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ói thầu 090\TH dữ liệu\"/>
    </mc:Choice>
  </mc:AlternateContent>
  <xr:revisionPtr revIDLastSave="0" documentId="13_ncr:1_{894016EC-FAC6-4697-9B06-9EB194FFA6DE}" xr6:coauthVersionLast="47" xr6:coauthVersionMax="47" xr10:uidLastSave="{00000000-0000-0000-0000-000000000000}"/>
  <bookViews>
    <workbookView xWindow="-19310" yWindow="-110" windowWidth="19420" windowHeight="10300" tabRatio="744" firstSheet="14" activeTab="14" xr2:uid="{00000000-000D-0000-FFFF-FFFF00000000}"/>
  </bookViews>
  <sheets>
    <sheet name="IBSHI đơn 5 (4)" sheetId="31" state="hidden" r:id="rId1"/>
    <sheet name="Máy hàn" sheetId="37" state="hidden" r:id="rId2"/>
    <sheet name="Sàn nhựa Đại Việt" sheetId="38" state="hidden" r:id="rId3"/>
    <sheet name="Vật tư đóng kiện Trân toàn" sheetId="33" state="hidden" r:id="rId4"/>
    <sheet name="Vật tư " sheetId="36" state="hidden" r:id="rId5"/>
    <sheet name="Vật tư sơn 090" sheetId="35" state="hidden" r:id="rId6"/>
    <sheet name="Vật tư Hùng Nguyên" sheetId="39" state="hidden" r:id="rId7"/>
    <sheet name="Vật tư Quang Thịnh Phát" sheetId="42" state="hidden" r:id="rId8"/>
    <sheet name="Vật tư đóng kiện Ngọc hiếu 090" sheetId="30" state="hidden" r:id="rId9"/>
    <sheet name="Vật tư đóng kiện Hoàng hà2" sheetId="43" state="hidden" r:id="rId10"/>
    <sheet name="Vật tư đóng kiện Hoàng hà 090" sheetId="29" state="hidden" r:id="rId11"/>
    <sheet name="DT04 (TM) 1 " sheetId="24" state="hidden" r:id="rId12"/>
    <sheet name="Vat lieu han -BRA090" sheetId="41" state="hidden" r:id="rId13"/>
    <sheet name="Vật tư sơn BRA090" sheetId="40" state="hidden" r:id="rId14"/>
    <sheet name="25-BRA-I-090" sheetId="1" r:id="rId15"/>
    <sheet name="Tổng hợp" sheetId="19" r:id="rId16"/>
    <sheet name="ChiTiet Dự Toán" sheetId="44" r:id="rId17"/>
    <sheet name="TongHop" sheetId="45" r:id="rId18"/>
    <sheet name="DT03 (TM)" sheetId="46" r:id="rId19"/>
    <sheet name="Vật tư đóng kiện của Hoàng Hà" sheetId="34" state="hidden" r:id="rId20"/>
    <sheet name="Hoàng hà" sheetId="28" state="hidden" r:id="rId21"/>
    <sheet name="BG Gnee 2" sheetId="13" state="hidden" r:id="rId22"/>
    <sheet name="Báo giá của GNEE" sheetId="10"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 localSheetId="1">#N/A</definedName>
    <definedName name="\a" localSheetId="2">#N/A</definedName>
    <definedName name="\a" localSheetId="4">#N/A</definedName>
    <definedName name="\a" localSheetId="19">#N/A</definedName>
    <definedName name="\a" localSheetId="10">#N/A</definedName>
    <definedName name="\a" localSheetId="9">#N/A</definedName>
    <definedName name="\a" localSheetId="8">#N/A</definedName>
    <definedName name="\a" localSheetId="3">#N/A</definedName>
    <definedName name="\a" localSheetId="6">#N/A</definedName>
    <definedName name="\a" localSheetId="7">#N/A</definedName>
    <definedName name="\a" localSheetId="5">#N/A</definedName>
    <definedName name="\a">#REF!</definedName>
    <definedName name="\b">#N/A</definedName>
    <definedName name="\c">#N/A</definedName>
    <definedName name="\d">#N/A</definedName>
    <definedName name="\e">#N/A</definedName>
    <definedName name="\f">#N/A</definedName>
    <definedName name="\g">#N/A</definedName>
    <definedName name="\h" localSheetId="11">[1]PP!$IC$5</definedName>
    <definedName name="\h" localSheetId="1">#N/A</definedName>
    <definedName name="\h" localSheetId="2">#N/A</definedName>
    <definedName name="\h" localSheetId="4">#N/A</definedName>
    <definedName name="\h" localSheetId="19">#N/A</definedName>
    <definedName name="\h" localSheetId="10">#N/A</definedName>
    <definedName name="\h" localSheetId="9">#N/A</definedName>
    <definedName name="\h" localSheetId="8">#N/A</definedName>
    <definedName name="\h" localSheetId="3">#N/A</definedName>
    <definedName name="\h" localSheetId="6">#N/A</definedName>
    <definedName name="\h" localSheetId="7">#N/A</definedName>
    <definedName name="\h" localSheetId="5">#N/A</definedName>
    <definedName name="\h">#REF!</definedName>
    <definedName name="\i" localSheetId="11">[1]PP!$IP$7844</definedName>
    <definedName name="\i" localSheetId="1">#N/A</definedName>
    <definedName name="\i" localSheetId="2">#N/A</definedName>
    <definedName name="\i" localSheetId="4">#N/A</definedName>
    <definedName name="\i" localSheetId="19">#N/A</definedName>
    <definedName name="\i" localSheetId="10">#N/A</definedName>
    <definedName name="\i" localSheetId="9">#N/A</definedName>
    <definedName name="\i" localSheetId="8">#N/A</definedName>
    <definedName name="\i" localSheetId="3">#N/A</definedName>
    <definedName name="\i" localSheetId="6">#N/A</definedName>
    <definedName name="\i" localSheetId="7">#N/A</definedName>
    <definedName name="\i" localSheetId="5">#N/A</definedName>
    <definedName name="\i">#REF!</definedName>
    <definedName name="\j">#N/A</definedName>
    <definedName name="\k">#N/A</definedName>
    <definedName name="\KWS123">#N/A</definedName>
    <definedName name="\m" localSheetId="11">[1]PP!#REF!</definedName>
    <definedName name="\m" localSheetId="1">#N/A</definedName>
    <definedName name="\m" localSheetId="2">#N/A</definedName>
    <definedName name="\m" localSheetId="4">#N/A</definedName>
    <definedName name="\m" localSheetId="19">#N/A</definedName>
    <definedName name="\m" localSheetId="10">#N/A</definedName>
    <definedName name="\m" localSheetId="9">#N/A</definedName>
    <definedName name="\m" localSheetId="8">#N/A</definedName>
    <definedName name="\m" localSheetId="3">#N/A</definedName>
    <definedName name="\m" localSheetId="6">#N/A</definedName>
    <definedName name="\m" localSheetId="7">#N/A</definedName>
    <definedName name="\m" localSheetId="5">#N/A</definedName>
    <definedName name="\m">#REF!</definedName>
    <definedName name="\n">#N/A</definedName>
    <definedName name="\p">#REF!</definedName>
    <definedName name="\s" localSheetId="11">[1]PP!$HX$3</definedName>
    <definedName name="\s" localSheetId="1">#N/A</definedName>
    <definedName name="\s" localSheetId="2">#N/A</definedName>
    <definedName name="\s" localSheetId="4">#N/A</definedName>
    <definedName name="\s" localSheetId="19">#N/A</definedName>
    <definedName name="\s" localSheetId="10">#N/A</definedName>
    <definedName name="\s" localSheetId="9">#N/A</definedName>
    <definedName name="\s" localSheetId="8">#N/A</definedName>
    <definedName name="\s" localSheetId="3">#N/A</definedName>
    <definedName name="\s" localSheetId="6">#N/A</definedName>
    <definedName name="\s" localSheetId="7">#N/A</definedName>
    <definedName name="\s" localSheetId="5">#N/A</definedName>
    <definedName name="\s">#REF!</definedName>
    <definedName name="\t">#N/A</definedName>
    <definedName name="\v">#REF!</definedName>
    <definedName name="\w">#REF!</definedName>
    <definedName name="\z">#REF!</definedName>
    <definedName name="_" hidden="1">#REF!</definedName>
    <definedName name="__" hidden="1">#REF!</definedName>
    <definedName name="_______" hidden="1">#REF!</definedName>
    <definedName name="___________" localSheetId="18" hidden="1">{#N/A,#N/A,FALSE,"CCTV"}</definedName>
    <definedName name="___________" hidden="1">{#N/A,#N/A,FALSE,"CCTV"}</definedName>
    <definedName name="_________________________________________H1" localSheetId="18" hidden="1">{#N/A,#N/A,TRUE,"Mhr_Sum"}</definedName>
    <definedName name="_________________________________________H1" hidden="1">{#N/A,#N/A,TRUE,"Mhr_Sum"}</definedName>
    <definedName name="_________________________________________H4" localSheetId="18" hidden="1">{#N/A,#N/A,TRUE,"Mhr_Sum"}</definedName>
    <definedName name="_________________________________________H4" hidden="1">{#N/A,#N/A,TRUE,"Mhr_Sum"}</definedName>
    <definedName name="_______________________________________H1" localSheetId="18" hidden="1">{#N/A,#N/A,TRUE,"Mhr_Sum"}</definedName>
    <definedName name="_______________________________________H1" hidden="1">{#N/A,#N/A,TRUE,"Mhr_Sum"}</definedName>
    <definedName name="_______________________________________H4" localSheetId="18" hidden="1">{#N/A,#N/A,TRUE,"Mhr_Sum"}</definedName>
    <definedName name="_______________________________________H4" hidden="1">{#N/A,#N/A,TRUE,"Mhr_Sum"}</definedName>
    <definedName name="______________________________________H1" localSheetId="18" hidden="1">{#N/A,#N/A,TRUE,"Mhr_Sum"}</definedName>
    <definedName name="______________________________________H1" hidden="1">{#N/A,#N/A,TRUE,"Mhr_Sum"}</definedName>
    <definedName name="______________________________________H4" localSheetId="18" hidden="1">{#N/A,#N/A,TRUE,"Mhr_Sum"}</definedName>
    <definedName name="______________________________________H4" hidden="1">{#N/A,#N/A,TRUE,"Mhr_Sum"}</definedName>
    <definedName name="_____________________________________H1" localSheetId="18" hidden="1">{#N/A,#N/A,TRUE,"Mhr_Sum"}</definedName>
    <definedName name="_____________________________________H1" hidden="1">{#N/A,#N/A,TRUE,"Mhr_Sum"}</definedName>
    <definedName name="_____________________________________H4" localSheetId="18" hidden="1">{#N/A,#N/A,TRUE,"Mhr_Sum"}</definedName>
    <definedName name="_____________________________________H4" hidden="1">{#N/A,#N/A,TRUE,"Mhr_Sum"}</definedName>
    <definedName name="____________________________________fsf2" localSheetId="18" hidden="1">{#N/A,#N/A,TRUE,"Mhr_Sum"}</definedName>
    <definedName name="____________________________________fsf2" hidden="1">{#N/A,#N/A,TRUE,"Mhr_Sum"}</definedName>
    <definedName name="____________________________________H1" localSheetId="18" hidden="1">{#N/A,#N/A,TRUE,"Mhr_Sum"}</definedName>
    <definedName name="____________________________________H1" hidden="1">{#N/A,#N/A,TRUE,"Mhr_Sum"}</definedName>
    <definedName name="____________________________________H4" localSheetId="18" hidden="1">{#N/A,#N/A,TRUE,"Mhr_Sum"}</definedName>
    <definedName name="____________________________________H4" hidden="1">{#N/A,#N/A,TRUE,"Mhr_Sum"}</definedName>
    <definedName name="___________________________________fsf2" localSheetId="18" hidden="1">{#N/A,#N/A,TRUE,"Mhr_Sum"}</definedName>
    <definedName name="___________________________________fsf2" hidden="1">{#N/A,#N/A,TRUE,"Mhr_Sum"}</definedName>
    <definedName name="___________________________________H1" localSheetId="18" hidden="1">{#N/A,#N/A,TRUE,"Mhr_Sum"}</definedName>
    <definedName name="___________________________________H1" hidden="1">{#N/A,#N/A,TRUE,"Mhr_Sum"}</definedName>
    <definedName name="___________________________________H4" localSheetId="18" hidden="1">{#N/A,#N/A,TRUE,"Mhr_Sum"}</definedName>
    <definedName name="___________________________________H4" hidden="1">{#N/A,#N/A,TRUE,"Mhr_Sum"}</definedName>
    <definedName name="__________________________________H1" localSheetId="18" hidden="1">{#N/A,#N/A,TRUE,"Mhr_Sum"}</definedName>
    <definedName name="__________________________________H1" hidden="1">{#N/A,#N/A,TRUE,"Mhr_Sum"}</definedName>
    <definedName name="__________________________________H4" localSheetId="18" hidden="1">{#N/A,#N/A,TRUE,"Mhr_Sum"}</definedName>
    <definedName name="__________________________________H4" hidden="1">{#N/A,#N/A,TRUE,"Mhr_Sum"}</definedName>
    <definedName name="_________________________________fsf2" localSheetId="18" hidden="1">{#N/A,#N/A,TRUE,"Mhr_Sum"}</definedName>
    <definedName name="_________________________________fsf2" hidden="1">{#N/A,#N/A,TRUE,"Mhr_Sum"}</definedName>
    <definedName name="_________________________________H1" localSheetId="18" hidden="1">{#N/A,#N/A,TRUE,"Mhr_Sum"}</definedName>
    <definedName name="_________________________________H1" hidden="1">{#N/A,#N/A,TRUE,"Mhr_Sum"}</definedName>
    <definedName name="_________________________________H4" localSheetId="18" hidden="1">{#N/A,#N/A,TRUE,"Mhr_Sum"}</definedName>
    <definedName name="_________________________________H4" hidden="1">{#N/A,#N/A,TRUE,"Mhr_Sum"}</definedName>
    <definedName name="________________________________H1" localSheetId="18" hidden="1">{#N/A,#N/A,TRUE,"Mhr_Sum"}</definedName>
    <definedName name="________________________________H1" hidden="1">{#N/A,#N/A,TRUE,"Mhr_Sum"}</definedName>
    <definedName name="________________________________H4" localSheetId="18" hidden="1">{#N/A,#N/A,TRUE,"Mhr_Sum"}</definedName>
    <definedName name="________________________________H4" hidden="1">{#N/A,#N/A,TRUE,"Mhr_Sum"}</definedName>
    <definedName name="_______________________________fsf2" localSheetId="18" hidden="1">{#N/A,#N/A,TRUE,"Mhr_Sum"}</definedName>
    <definedName name="_______________________________fsf2" hidden="1">{#N/A,#N/A,TRUE,"Mhr_Sum"}</definedName>
    <definedName name="_______________________________H1" localSheetId="18" hidden="1">{#N/A,#N/A,TRUE,"Mhr_Sum"}</definedName>
    <definedName name="_______________________________H1" hidden="1">{#N/A,#N/A,TRUE,"Mhr_Sum"}</definedName>
    <definedName name="_______________________________H4" localSheetId="18" hidden="1">{#N/A,#N/A,TRUE,"Mhr_Sum"}</definedName>
    <definedName name="_______________________________H4" hidden="1">{#N/A,#N/A,TRUE,"Mhr_Sum"}</definedName>
    <definedName name="______________________________fsf2" localSheetId="18" hidden="1">{#N/A,#N/A,TRUE,"Mhr_Sum"}</definedName>
    <definedName name="______________________________fsf2" hidden="1">{#N/A,#N/A,TRUE,"Mhr_Sum"}</definedName>
    <definedName name="______________________________H1" localSheetId="18" hidden="1">{#N/A,#N/A,TRUE,"Mhr_Sum"}</definedName>
    <definedName name="______________________________H1" hidden="1">{#N/A,#N/A,TRUE,"Mhr_Sum"}</definedName>
    <definedName name="______________________________H4" localSheetId="18" hidden="1">{#N/A,#N/A,TRUE,"Mhr_Sum"}</definedName>
    <definedName name="______________________________H4" hidden="1">{#N/A,#N/A,TRUE,"Mhr_Sum"}</definedName>
    <definedName name="_____________________________fsf2" localSheetId="18" hidden="1">{#N/A,#N/A,TRUE,"Mhr_Sum"}</definedName>
    <definedName name="_____________________________fsf2" hidden="1">{#N/A,#N/A,TRUE,"Mhr_Sum"}</definedName>
    <definedName name="_____________________________H1" localSheetId="18" hidden="1">{#N/A,#N/A,TRUE,"Mhr_Sum"}</definedName>
    <definedName name="_____________________________H1" hidden="1">{#N/A,#N/A,TRUE,"Mhr_Sum"}</definedName>
    <definedName name="_____________________________H4" localSheetId="18" hidden="1">{#N/A,#N/A,TRUE,"Mhr_Sum"}</definedName>
    <definedName name="_____________________________H4" hidden="1">{#N/A,#N/A,TRUE,"Mhr_Sum"}</definedName>
    <definedName name="____________________________fsf2" localSheetId="18" hidden="1">{#N/A,#N/A,TRUE,"Mhr_Sum"}</definedName>
    <definedName name="____________________________fsf2" hidden="1">{#N/A,#N/A,TRUE,"Mhr_Sum"}</definedName>
    <definedName name="____________________________H1" localSheetId="18" hidden="1">{#N/A,#N/A,TRUE,"Mhr_Sum"}</definedName>
    <definedName name="____________________________H1" hidden="1">{#N/A,#N/A,TRUE,"Mhr_Sum"}</definedName>
    <definedName name="____________________________H4" localSheetId="18" hidden="1">{#N/A,#N/A,TRUE,"Mhr_Sum"}</definedName>
    <definedName name="____________________________H4" hidden="1">{#N/A,#N/A,TRUE,"Mhr_Sum"}</definedName>
    <definedName name="___________________________fsf2" localSheetId="18" hidden="1">{#N/A,#N/A,TRUE,"Mhr_Sum"}</definedName>
    <definedName name="___________________________fsf2" hidden="1">{#N/A,#N/A,TRUE,"Mhr_Sum"}</definedName>
    <definedName name="___________________________H1" localSheetId="18" hidden="1">{#N/A,#N/A,TRUE,"Mhr_Sum"}</definedName>
    <definedName name="___________________________H1" hidden="1">{#N/A,#N/A,TRUE,"Mhr_Sum"}</definedName>
    <definedName name="___________________________H4" localSheetId="18" hidden="1">{#N/A,#N/A,TRUE,"Mhr_Sum"}</definedName>
    <definedName name="___________________________H4" hidden="1">{#N/A,#N/A,TRUE,"Mhr_Sum"}</definedName>
    <definedName name="__________________________fsf2" localSheetId="18" hidden="1">{#N/A,#N/A,TRUE,"Mhr_Sum"}</definedName>
    <definedName name="__________________________fsf2" hidden="1">{#N/A,#N/A,TRUE,"Mhr_Sum"}</definedName>
    <definedName name="__________________________H1" localSheetId="18" hidden="1">{#N/A,#N/A,TRUE,"Mhr_Sum"}</definedName>
    <definedName name="__________________________H1" hidden="1">{#N/A,#N/A,TRUE,"Mhr_Sum"}</definedName>
    <definedName name="__________________________H4" localSheetId="18" hidden="1">{#N/A,#N/A,TRUE,"Mhr_Sum"}</definedName>
    <definedName name="__________________________H4" hidden="1">{#N/A,#N/A,TRUE,"Mhr_Sum"}</definedName>
    <definedName name="_________________________fsf2" localSheetId="18" hidden="1">{#N/A,#N/A,TRUE,"Mhr_Sum"}</definedName>
    <definedName name="_________________________fsf2" hidden="1">{#N/A,#N/A,TRUE,"Mhr_Sum"}</definedName>
    <definedName name="_________________________H1" localSheetId="18" hidden="1">{#N/A,#N/A,TRUE,"Mhr_Sum"}</definedName>
    <definedName name="_________________________H1" hidden="1">{#N/A,#N/A,TRUE,"Mhr_Sum"}</definedName>
    <definedName name="_________________________H4" localSheetId="18" hidden="1">{#N/A,#N/A,TRUE,"Mhr_Sum"}</definedName>
    <definedName name="_________________________H4" hidden="1">{#N/A,#N/A,TRUE,"Mhr_Sum"}</definedName>
    <definedName name="________________________fsf2" localSheetId="18" hidden="1">{#N/A,#N/A,TRUE,"Mhr_Sum"}</definedName>
    <definedName name="________________________fsf2" hidden="1">{#N/A,#N/A,TRUE,"Mhr_Sum"}</definedName>
    <definedName name="________________________H1" localSheetId="18" hidden="1">{#N/A,#N/A,TRUE,"Mhr_Sum"}</definedName>
    <definedName name="________________________H1" hidden="1">{#N/A,#N/A,TRUE,"Mhr_Sum"}</definedName>
    <definedName name="________________________H4" localSheetId="18" hidden="1">{#N/A,#N/A,TRUE,"Mhr_Sum"}</definedName>
    <definedName name="________________________H4" hidden="1">{#N/A,#N/A,TRUE,"Mhr_Sum"}</definedName>
    <definedName name="_______________________fsf2" localSheetId="18" hidden="1">{#N/A,#N/A,TRUE,"Mhr_Sum"}</definedName>
    <definedName name="_______________________fsf2" hidden="1">{#N/A,#N/A,TRUE,"Mhr_Sum"}</definedName>
    <definedName name="_______________________H1" localSheetId="18" hidden="1">{#N/A,#N/A,TRUE,"Mhr_Sum"}</definedName>
    <definedName name="_______________________H1" hidden="1">{#N/A,#N/A,TRUE,"Mhr_Sum"}</definedName>
    <definedName name="_______________________H4" localSheetId="18" hidden="1">{#N/A,#N/A,TRUE,"Mhr_Sum"}</definedName>
    <definedName name="_______________________H4" hidden="1">{#N/A,#N/A,TRUE,"Mhr_Sum"}</definedName>
    <definedName name="______________________fsf2" localSheetId="18" hidden="1">{#N/A,#N/A,TRUE,"Mhr_Sum"}</definedName>
    <definedName name="______________________fsf2" hidden="1">{#N/A,#N/A,TRUE,"Mhr_Sum"}</definedName>
    <definedName name="______________________H1" localSheetId="18" hidden="1">{#N/A,#N/A,TRUE,"Mhr_Sum"}</definedName>
    <definedName name="______________________H1" hidden="1">{#N/A,#N/A,TRUE,"Mhr_Sum"}</definedName>
    <definedName name="______________________H4" localSheetId="18" hidden="1">{#N/A,#N/A,TRUE,"Mhr_Sum"}</definedName>
    <definedName name="______________________H4" hidden="1">{#N/A,#N/A,TRUE,"Mhr_Sum"}</definedName>
    <definedName name="_____________________fsf2" localSheetId="18" hidden="1">{#N/A,#N/A,TRUE,"Mhr_Sum"}</definedName>
    <definedName name="_____________________fsf2" hidden="1">{#N/A,#N/A,TRUE,"Mhr_Sum"}</definedName>
    <definedName name="_____________________H1" localSheetId="18" hidden="1">{#N/A,#N/A,TRUE,"Mhr_Sum"}</definedName>
    <definedName name="_____________________H1" hidden="1">{#N/A,#N/A,TRUE,"Mhr_Sum"}</definedName>
    <definedName name="_____________________H4" localSheetId="18" hidden="1">{#N/A,#N/A,TRUE,"Mhr_Sum"}</definedName>
    <definedName name="_____________________H4" hidden="1">{#N/A,#N/A,TRUE,"Mhr_Sum"}</definedName>
    <definedName name="____________________fsf2" localSheetId="18" hidden="1">{#N/A,#N/A,TRUE,"Mhr_Sum"}</definedName>
    <definedName name="____________________fsf2" hidden="1">{#N/A,#N/A,TRUE,"Mhr_Sum"}</definedName>
    <definedName name="____________________H1" localSheetId="18" hidden="1">{#N/A,#N/A,TRUE,"Mhr_Sum"}</definedName>
    <definedName name="____________________H1" hidden="1">{#N/A,#N/A,TRUE,"Mhr_Sum"}</definedName>
    <definedName name="____________________H4" localSheetId="18" hidden="1">{#N/A,#N/A,TRUE,"Mhr_Sum"}</definedName>
    <definedName name="____________________H4" hidden="1">{#N/A,#N/A,TRUE,"Mhr_Sum"}</definedName>
    <definedName name="___________________fsf2" localSheetId="18" hidden="1">{#N/A,#N/A,TRUE,"Mhr_Sum"}</definedName>
    <definedName name="___________________fsf2" hidden="1">{#N/A,#N/A,TRUE,"Mhr_Sum"}</definedName>
    <definedName name="___________________H1" localSheetId="18" hidden="1">{#N/A,#N/A,TRUE,"Mhr_Sum"}</definedName>
    <definedName name="___________________H1" hidden="1">{#N/A,#N/A,TRUE,"Mhr_Sum"}</definedName>
    <definedName name="___________________H4" localSheetId="18" hidden="1">{#N/A,#N/A,TRUE,"Mhr_Sum"}</definedName>
    <definedName name="___________________H4" hidden="1">{#N/A,#N/A,TRUE,"Mhr_Sum"}</definedName>
    <definedName name="__________________fsf2" localSheetId="18" hidden="1">{#N/A,#N/A,TRUE,"Mhr_Sum"}</definedName>
    <definedName name="__________________fsf2" hidden="1">{#N/A,#N/A,TRUE,"Mhr_Sum"}</definedName>
    <definedName name="__________________H1" localSheetId="18" hidden="1">{#N/A,#N/A,TRUE,"Mhr_Sum"}</definedName>
    <definedName name="__________________H1" hidden="1">{#N/A,#N/A,TRUE,"Mhr_Sum"}</definedName>
    <definedName name="__________________H4" localSheetId="18" hidden="1">{#N/A,#N/A,TRUE,"Mhr_Sum"}</definedName>
    <definedName name="__________________H4" hidden="1">{#N/A,#N/A,TRUE,"Mhr_Sum"}</definedName>
    <definedName name="_________________fsf2" localSheetId="18" hidden="1">{#N/A,#N/A,TRUE,"Mhr_Sum"}</definedName>
    <definedName name="_________________fsf2" hidden="1">{#N/A,#N/A,TRUE,"Mhr_Sum"}</definedName>
    <definedName name="_________________H1" localSheetId="18" hidden="1">{#N/A,#N/A,TRUE,"Mhr_Sum"}</definedName>
    <definedName name="_________________H1" hidden="1">{#N/A,#N/A,TRUE,"Mhr_Sum"}</definedName>
    <definedName name="_________________H4" localSheetId="18" hidden="1">{#N/A,#N/A,TRUE,"Mhr_Sum"}</definedName>
    <definedName name="_________________H4" hidden="1">{#N/A,#N/A,TRUE,"Mhr_Sum"}</definedName>
    <definedName name="________________a129" localSheetId="18" hidden="1">{"Offgrid",#N/A,FALSE,"OFFGRID";"Region",#N/A,FALSE,"REGION";"Offgrid -2",#N/A,FALSE,"OFFGRID";"WTP",#N/A,FALSE,"WTP";"WTP -2",#N/A,FALSE,"WTP";"Project",#N/A,FALSE,"PROJECT";"Summary -2",#N/A,FALSE,"SUMMARY"}</definedName>
    <definedName name="________________a129" localSheetId="11" hidden="1">{"Offgrid",#N/A,FALSE,"OFFGRID";"Region",#N/A,FALSE,"REGION";"Offgrid -2",#N/A,FALSE,"OFFGRID";"WTP",#N/A,FALSE,"WTP";"WTP -2",#N/A,FALSE,"WTP";"Project",#N/A,FALSE,"PROJECT";"Summary -2",#N/A,FALSE,"SUMMARY"}</definedName>
    <definedName name="________________a129" localSheetId="1" hidden="1">{"Offgrid",#N/A,FALSE,"OFFGRID";"Region",#N/A,FALSE,"REGION";"Offgrid -2",#N/A,FALSE,"OFFGRID";"WTP",#N/A,FALSE,"WTP";"WTP -2",#N/A,FALSE,"WTP";"Project",#N/A,FALSE,"PROJECT";"Summary -2",#N/A,FALSE,"SUMMARY"}</definedName>
    <definedName name="________________a129" localSheetId="2" hidden="1">{"Offgrid",#N/A,FALSE,"OFFGRID";"Region",#N/A,FALSE,"REGION";"Offgrid -2",#N/A,FALSE,"OFFGRID";"WTP",#N/A,FALSE,"WTP";"WTP -2",#N/A,FALSE,"WTP";"Project",#N/A,FALSE,"PROJECT";"Summary -2",#N/A,FALSE,"SUMMARY"}</definedName>
    <definedName name="________________a129" localSheetId="12" hidden="1">{"Offgrid",#N/A,FALSE,"OFFGRID";"Region",#N/A,FALSE,"REGION";"Offgrid -2",#N/A,FALSE,"OFFGRID";"WTP",#N/A,FALSE,"WTP";"WTP -2",#N/A,FALSE,"WTP";"Project",#N/A,FALSE,"PROJECT";"Summary -2",#N/A,FALSE,"SUMMARY"}</definedName>
    <definedName name="________________a129" localSheetId="4" hidden="1">{"Offgrid",#N/A,FALSE,"OFFGRID";"Region",#N/A,FALSE,"REGION";"Offgrid -2",#N/A,FALSE,"OFFGRID";"WTP",#N/A,FALSE,"WTP";"WTP -2",#N/A,FALSE,"WTP";"Project",#N/A,FALSE,"PROJECT";"Summary -2",#N/A,FALSE,"SUMMARY"}</definedName>
    <definedName name="________________a129" localSheetId="19" hidden="1">{"Offgrid",#N/A,FALSE,"OFFGRID";"Region",#N/A,FALSE,"REGION";"Offgrid -2",#N/A,FALSE,"OFFGRID";"WTP",#N/A,FALSE,"WTP";"WTP -2",#N/A,FALSE,"WTP";"Project",#N/A,FALSE,"PROJECT";"Summary -2",#N/A,FALSE,"SUMMARY"}</definedName>
    <definedName name="________________a129" localSheetId="10" hidden="1">{"Offgrid",#N/A,FALSE,"OFFGRID";"Region",#N/A,FALSE,"REGION";"Offgrid -2",#N/A,FALSE,"OFFGRID";"WTP",#N/A,FALSE,"WTP";"WTP -2",#N/A,FALSE,"WTP";"Project",#N/A,FALSE,"PROJECT";"Summary -2",#N/A,FALSE,"SUMMARY"}</definedName>
    <definedName name="________________a129" localSheetId="9" hidden="1">{"Offgrid",#N/A,FALSE,"OFFGRID";"Region",#N/A,FALSE,"REGION";"Offgrid -2",#N/A,FALSE,"OFFGRID";"WTP",#N/A,FALSE,"WTP";"WTP -2",#N/A,FALSE,"WTP";"Project",#N/A,FALSE,"PROJECT";"Summary -2",#N/A,FALSE,"SUMMARY"}</definedName>
    <definedName name="________________a129" localSheetId="8" hidden="1">{"Offgrid",#N/A,FALSE,"OFFGRID";"Region",#N/A,FALSE,"REGION";"Offgrid -2",#N/A,FALSE,"OFFGRID";"WTP",#N/A,FALSE,"WTP";"WTP -2",#N/A,FALSE,"WTP";"Project",#N/A,FALSE,"PROJECT";"Summary -2",#N/A,FALSE,"SUMMARY"}</definedName>
    <definedName name="________________a129" localSheetId="3" hidden="1">{"Offgrid",#N/A,FALSE,"OFFGRID";"Region",#N/A,FALSE,"REGION";"Offgrid -2",#N/A,FALSE,"OFFGRID";"WTP",#N/A,FALSE,"WTP";"WTP -2",#N/A,FALSE,"WTP";"Project",#N/A,FALSE,"PROJECT";"Summary -2",#N/A,FALSE,"SUMMARY"}</definedName>
    <definedName name="________________a129" localSheetId="6" hidden="1">{"Offgrid",#N/A,FALSE,"OFFGRID";"Region",#N/A,FALSE,"REGION";"Offgrid -2",#N/A,FALSE,"OFFGRID";"WTP",#N/A,FALSE,"WTP";"WTP -2",#N/A,FALSE,"WTP";"Project",#N/A,FALSE,"PROJECT";"Summary -2",#N/A,FALSE,"SUMMARY"}</definedName>
    <definedName name="________________a129" localSheetId="7" hidden="1">{"Offgrid",#N/A,FALSE,"OFFGRID";"Region",#N/A,FALSE,"REGION";"Offgrid -2",#N/A,FALSE,"OFFGRID";"WTP",#N/A,FALSE,"WTP";"WTP -2",#N/A,FALSE,"WTP";"Project",#N/A,FALSE,"PROJECT";"Summary -2",#N/A,FALSE,"SUMMARY"}</definedName>
    <definedName name="________________a129" localSheetId="5" hidden="1">{"Offgrid",#N/A,FALSE,"OFFGRID";"Region",#N/A,FALSE,"REGION";"Offgrid -2",#N/A,FALSE,"OFFGRID";"WTP",#N/A,FALSE,"WTP";"WTP -2",#N/A,FALSE,"WTP";"Project",#N/A,FALSE,"PROJECT";"Summary -2",#N/A,FALSE,"SUMMARY"}</definedName>
    <definedName name="________________a129" localSheetId="13"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18" hidden="1">{"Offgrid",#N/A,FALSE,"OFFGRID";"Region",#N/A,FALSE,"REGION";"Offgrid -2",#N/A,FALSE,"OFFGRID";"WTP",#N/A,FALSE,"WTP";"WTP -2",#N/A,FALSE,"WTP";"Project",#N/A,FALSE,"PROJECT";"Summary -2",#N/A,FALSE,"SUMMARY"}</definedName>
    <definedName name="________________a130" localSheetId="11"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2" hidden="1">{"Offgrid",#N/A,FALSE,"OFFGRID";"Region",#N/A,FALSE,"REGION";"Offgrid -2",#N/A,FALSE,"OFFGRID";"WTP",#N/A,FALSE,"WTP";"WTP -2",#N/A,FALSE,"WTP";"Project",#N/A,FALSE,"PROJECT";"Summary -2",#N/A,FALSE,"SUMMARY"}</definedName>
    <definedName name="________________a130" localSheetId="12" hidden="1">{"Offgrid",#N/A,FALSE,"OFFGRID";"Region",#N/A,FALSE,"REGION";"Offgrid -2",#N/A,FALSE,"OFFGRID";"WTP",#N/A,FALSE,"WTP";"WTP -2",#N/A,FALSE,"WTP";"Project",#N/A,FALSE,"PROJECT";"Summary -2",#N/A,FALSE,"SUMMARY"}</definedName>
    <definedName name="________________a130" localSheetId="4" hidden="1">{"Offgrid",#N/A,FALSE,"OFFGRID";"Region",#N/A,FALSE,"REGION";"Offgrid -2",#N/A,FALSE,"OFFGRID";"WTP",#N/A,FALSE,"WTP";"WTP -2",#N/A,FALSE,"WTP";"Project",#N/A,FALSE,"PROJECT";"Summary -2",#N/A,FALSE,"SUMMARY"}</definedName>
    <definedName name="________________a130" localSheetId="19" hidden="1">{"Offgrid",#N/A,FALSE,"OFFGRID";"Region",#N/A,FALSE,"REGION";"Offgrid -2",#N/A,FALSE,"OFFGRID";"WTP",#N/A,FALSE,"WTP";"WTP -2",#N/A,FALSE,"WTP";"Project",#N/A,FALSE,"PROJECT";"Summary -2",#N/A,FALSE,"SUMMARY"}</definedName>
    <definedName name="________________a130" localSheetId="10" hidden="1">{"Offgrid",#N/A,FALSE,"OFFGRID";"Region",#N/A,FALSE,"REGION";"Offgrid -2",#N/A,FALSE,"OFFGRID";"WTP",#N/A,FALSE,"WTP";"WTP -2",#N/A,FALSE,"WTP";"Project",#N/A,FALSE,"PROJECT";"Summary -2",#N/A,FALSE,"SUMMARY"}</definedName>
    <definedName name="________________a130" localSheetId="9" hidden="1">{"Offgrid",#N/A,FALSE,"OFFGRID";"Region",#N/A,FALSE,"REGION";"Offgrid -2",#N/A,FALSE,"OFFGRID";"WTP",#N/A,FALSE,"WTP";"WTP -2",#N/A,FALSE,"WTP";"Project",#N/A,FALSE,"PROJECT";"Summary -2",#N/A,FALSE,"SUMMARY"}</definedName>
    <definedName name="________________a130" localSheetId="8"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localSheetId="6" hidden="1">{"Offgrid",#N/A,FALSE,"OFFGRID";"Region",#N/A,FALSE,"REGION";"Offgrid -2",#N/A,FALSE,"OFFGRID";"WTP",#N/A,FALSE,"WTP";"WTP -2",#N/A,FALSE,"WTP";"Project",#N/A,FALSE,"PROJECT";"Summary -2",#N/A,FALSE,"SUMMARY"}</definedName>
    <definedName name="________________a130" localSheetId="7" hidden="1">{"Offgrid",#N/A,FALSE,"OFFGRID";"Region",#N/A,FALSE,"REGION";"Offgrid -2",#N/A,FALSE,"OFFGRID";"WTP",#N/A,FALSE,"WTP";"WTP -2",#N/A,FALSE,"WTP";"Project",#N/A,FALSE,"PROJECT";"Summary -2",#N/A,FALSE,"SUMMARY"}</definedName>
    <definedName name="________________a130" localSheetId="5" hidden="1">{"Offgrid",#N/A,FALSE,"OFFGRID";"Region",#N/A,FALSE,"REGION";"Offgrid -2",#N/A,FALSE,"OFFGRID";"WTP",#N/A,FALSE,"WTP";"WTP -2",#N/A,FALSE,"WTP";"Project",#N/A,FALSE,"PROJECT";"Summary -2",#N/A,FALSE,"SUMMARY"}</definedName>
    <definedName name="________________a130" localSheetId="13"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localSheetId="18" hidden="1">{#N/A,#N/A,TRUE,"Mhr_Sum"}</definedName>
    <definedName name="________________fsf2" hidden="1">{#N/A,#N/A,TRUE,"Mhr_Sum"}</definedName>
    <definedName name="________________Goi8" localSheetId="18" hidden="1">{"'Sheet1'!$L$16"}</definedName>
    <definedName name="________________Goi8" localSheetId="11" hidden="1">{"'Sheet1'!$L$16"}</definedName>
    <definedName name="________________Goi8" localSheetId="1" hidden="1">{"'Sheet1'!$L$16"}</definedName>
    <definedName name="________________Goi8" localSheetId="2" hidden="1">{"'Sheet1'!$L$16"}</definedName>
    <definedName name="________________Goi8" localSheetId="12" hidden="1">{"'Sheet1'!$L$16"}</definedName>
    <definedName name="________________Goi8" localSheetId="4" hidden="1">{"'Sheet1'!$L$16"}</definedName>
    <definedName name="________________Goi8" localSheetId="19" hidden="1">{"'Sheet1'!$L$16"}</definedName>
    <definedName name="________________Goi8" localSheetId="10" hidden="1">{"'Sheet1'!$L$16"}</definedName>
    <definedName name="________________Goi8" localSheetId="9" hidden="1">{"'Sheet1'!$L$16"}</definedName>
    <definedName name="________________Goi8" localSheetId="8" hidden="1">{"'Sheet1'!$L$16"}</definedName>
    <definedName name="________________Goi8" localSheetId="3" hidden="1">{"'Sheet1'!$L$16"}</definedName>
    <definedName name="________________Goi8" localSheetId="6" hidden="1">{"'Sheet1'!$L$16"}</definedName>
    <definedName name="________________Goi8" localSheetId="7" hidden="1">{"'Sheet1'!$L$16"}</definedName>
    <definedName name="________________Goi8" localSheetId="5" hidden="1">{"'Sheet1'!$L$16"}</definedName>
    <definedName name="________________Goi8" localSheetId="13" hidden="1">{"'Sheet1'!$L$16"}</definedName>
    <definedName name="________________Goi8" hidden="1">{"'Sheet1'!$L$16"}</definedName>
    <definedName name="________________H1" localSheetId="18" hidden="1">{#N/A,#N/A,TRUE,"Mhr_Sum"}</definedName>
    <definedName name="________________H1" hidden="1">{#N/A,#N/A,TRUE,"Mhr_Sum"}</definedName>
    <definedName name="________________H4" localSheetId="18" hidden="1">{#N/A,#N/A,TRUE,"Mhr_Sum"}</definedName>
    <definedName name="________________H4" hidden="1">{#N/A,#N/A,TRUE,"Mhr_Sum"}</definedName>
    <definedName name="________________Lan1" localSheetId="18" hidden="1">{"'Sheet1'!$L$16"}</definedName>
    <definedName name="________________Lan1" localSheetId="11" hidden="1">{"'Sheet1'!$L$16"}</definedName>
    <definedName name="________________Lan1" localSheetId="1" hidden="1">{"'Sheet1'!$L$16"}</definedName>
    <definedName name="________________Lan1" localSheetId="2" hidden="1">{"'Sheet1'!$L$16"}</definedName>
    <definedName name="________________Lan1" localSheetId="12" hidden="1">{"'Sheet1'!$L$16"}</definedName>
    <definedName name="________________Lan1" localSheetId="4" hidden="1">{"'Sheet1'!$L$16"}</definedName>
    <definedName name="________________Lan1" localSheetId="19" hidden="1">{"'Sheet1'!$L$16"}</definedName>
    <definedName name="________________Lan1" localSheetId="10" hidden="1">{"'Sheet1'!$L$16"}</definedName>
    <definedName name="________________Lan1" localSheetId="9" hidden="1">{"'Sheet1'!$L$16"}</definedName>
    <definedName name="________________Lan1" localSheetId="8" hidden="1">{"'Sheet1'!$L$16"}</definedName>
    <definedName name="________________Lan1" localSheetId="3" hidden="1">{"'Sheet1'!$L$16"}</definedName>
    <definedName name="________________Lan1" localSheetId="6" hidden="1">{"'Sheet1'!$L$16"}</definedName>
    <definedName name="________________Lan1" localSheetId="7" hidden="1">{"'Sheet1'!$L$16"}</definedName>
    <definedName name="________________Lan1" localSheetId="5" hidden="1">{"'Sheet1'!$L$16"}</definedName>
    <definedName name="________________Lan1" localSheetId="13" hidden="1">{"'Sheet1'!$L$16"}</definedName>
    <definedName name="________________Lan1" hidden="1">{"'Sheet1'!$L$16"}</definedName>
    <definedName name="________________LAN3" localSheetId="18" hidden="1">{"'Sheet1'!$L$16"}</definedName>
    <definedName name="________________LAN3" localSheetId="11" hidden="1">{"'Sheet1'!$L$16"}</definedName>
    <definedName name="________________LAN3" localSheetId="1" hidden="1">{"'Sheet1'!$L$16"}</definedName>
    <definedName name="________________LAN3" localSheetId="2" hidden="1">{"'Sheet1'!$L$16"}</definedName>
    <definedName name="________________LAN3" localSheetId="12" hidden="1">{"'Sheet1'!$L$16"}</definedName>
    <definedName name="________________LAN3" localSheetId="4" hidden="1">{"'Sheet1'!$L$16"}</definedName>
    <definedName name="________________LAN3" localSheetId="19" hidden="1">{"'Sheet1'!$L$16"}</definedName>
    <definedName name="________________LAN3" localSheetId="10" hidden="1">{"'Sheet1'!$L$16"}</definedName>
    <definedName name="________________LAN3" localSheetId="9" hidden="1">{"'Sheet1'!$L$16"}</definedName>
    <definedName name="________________LAN3" localSheetId="8" hidden="1">{"'Sheet1'!$L$16"}</definedName>
    <definedName name="________________LAN3" localSheetId="3" hidden="1">{"'Sheet1'!$L$16"}</definedName>
    <definedName name="________________LAN3" localSheetId="6" hidden="1">{"'Sheet1'!$L$16"}</definedName>
    <definedName name="________________LAN3" localSheetId="7" hidden="1">{"'Sheet1'!$L$16"}</definedName>
    <definedName name="________________LAN3" localSheetId="5" hidden="1">{"'Sheet1'!$L$16"}</definedName>
    <definedName name="________________LAN3" localSheetId="13" hidden="1">{"'Sheet1'!$L$16"}</definedName>
    <definedName name="________________LAN3" hidden="1">{"'Sheet1'!$L$16"}</definedName>
    <definedName name="_______________fsf2" localSheetId="18" hidden="1">{#N/A,#N/A,TRUE,"Mhr_Sum"}</definedName>
    <definedName name="_______________fsf2" hidden="1">{#N/A,#N/A,TRUE,"Mhr_Sum"}</definedName>
    <definedName name="_______________H1" localSheetId="18" hidden="1">{#N/A,#N/A,TRUE,"Mhr_Sum"}</definedName>
    <definedName name="_______________H1" hidden="1">{#N/A,#N/A,TRUE,"Mhr_Sum"}</definedName>
    <definedName name="_______________H4" localSheetId="18" hidden="1">{#N/A,#N/A,TRUE,"Mhr_Sum"}</definedName>
    <definedName name="_______________H4" hidden="1">{#N/A,#N/A,TRUE,"Mhr_Sum"}</definedName>
    <definedName name="______________fsf2" localSheetId="18" hidden="1">{#N/A,#N/A,TRUE,"Mhr_Sum"}</definedName>
    <definedName name="______________fsf2" hidden="1">{#N/A,#N/A,TRUE,"Mhr_Sum"}</definedName>
    <definedName name="______________H1" localSheetId="18" hidden="1">{#N/A,#N/A,TRUE,"Mhr_Sum"}</definedName>
    <definedName name="______________H1" hidden="1">{#N/A,#N/A,TRUE,"Mhr_Sum"}</definedName>
    <definedName name="______________H4" localSheetId="18" hidden="1">{#N/A,#N/A,TRUE,"Mhr_Sum"}</definedName>
    <definedName name="______________H4" hidden="1">{#N/A,#N/A,TRUE,"Mhr_Sum"}</definedName>
    <definedName name="______________PA3" localSheetId="18" hidden="1">{"'Sheet1'!$L$16"}</definedName>
    <definedName name="______________PA3" localSheetId="11" hidden="1">{"'Sheet1'!$L$16"}</definedName>
    <definedName name="______________PA3" localSheetId="1" hidden="1">{"'Sheet1'!$L$16"}</definedName>
    <definedName name="______________PA3" localSheetId="2" hidden="1">{"'Sheet1'!$L$16"}</definedName>
    <definedName name="______________PA3" localSheetId="12" hidden="1">{"'Sheet1'!$L$16"}</definedName>
    <definedName name="______________PA3" localSheetId="4" hidden="1">{"'Sheet1'!$L$16"}</definedName>
    <definedName name="______________PA3" localSheetId="19" hidden="1">{"'Sheet1'!$L$16"}</definedName>
    <definedName name="______________PA3" localSheetId="10" hidden="1">{"'Sheet1'!$L$16"}</definedName>
    <definedName name="______________PA3" localSheetId="9" hidden="1">{"'Sheet1'!$L$16"}</definedName>
    <definedName name="______________PA3" localSheetId="8" hidden="1">{"'Sheet1'!$L$16"}</definedName>
    <definedName name="______________PA3" localSheetId="3" hidden="1">{"'Sheet1'!$L$16"}</definedName>
    <definedName name="______________PA3" localSheetId="6" hidden="1">{"'Sheet1'!$L$16"}</definedName>
    <definedName name="______________PA3" localSheetId="7" hidden="1">{"'Sheet1'!$L$16"}</definedName>
    <definedName name="______________PA3" localSheetId="5" hidden="1">{"'Sheet1'!$L$16"}</definedName>
    <definedName name="______________PA3" localSheetId="13" hidden="1">{"'Sheet1'!$L$16"}</definedName>
    <definedName name="______________PA3" hidden="1">{"'Sheet1'!$L$16"}</definedName>
    <definedName name="______________SC2">#REF!</definedName>
    <definedName name="_____________fsf2" localSheetId="18" hidden="1">{#N/A,#N/A,TRUE,"Mhr_Sum"}</definedName>
    <definedName name="_____________fsf2" hidden="1">{#N/A,#N/A,TRUE,"Mhr_Sum"}</definedName>
    <definedName name="_____________H1" localSheetId="18" hidden="1">{#N/A,#N/A,TRUE,"Mhr_Sum"}</definedName>
    <definedName name="_____________H1" hidden="1">{#N/A,#N/A,TRUE,"Mhr_Sum"}</definedName>
    <definedName name="_____________H4" localSheetId="18" hidden="1">{#N/A,#N/A,TRUE,"Mhr_Sum"}</definedName>
    <definedName name="_____________H4" hidden="1">{#N/A,#N/A,TRUE,"Mhr_Sum"}</definedName>
    <definedName name="_____________MAC12">#REF!</definedName>
    <definedName name="_____________SC2">#REF!</definedName>
    <definedName name="____________a1" localSheetId="18" hidden="1">{"'Sheet1'!$L$16"}</definedName>
    <definedName name="____________a1" hidden="1">{"'Sheet1'!$L$16"}</definedName>
    <definedName name="____________a11" localSheetId="18" hidden="1">{"'장비'!$A$3:$M$12"}</definedName>
    <definedName name="____________a11" hidden="1">{"'장비'!$A$3:$M$12"}</definedName>
    <definedName name="____________fsf2" localSheetId="18" hidden="1">{#N/A,#N/A,TRUE,"Mhr_Sum"}</definedName>
    <definedName name="____________fsf2" hidden="1">{#N/A,#N/A,TRUE,"Mhr_Sum"}</definedName>
    <definedName name="____________H1" localSheetId="18" hidden="1">{#N/A,#N/A,TRUE,"Mhr_Sum"}</definedName>
    <definedName name="____________H1" hidden="1">{#N/A,#N/A,TRUE,"Mhr_Sum"}</definedName>
    <definedName name="____________H3" localSheetId="18" hidden="1">{"'장비'!$A$3:$M$12"}</definedName>
    <definedName name="____________H3" hidden="1">{"'장비'!$A$3:$M$12"}</definedName>
    <definedName name="____________H4" localSheetId="18" hidden="1">{#N/A,#N/A,TRUE,"Mhr_Sum"}</definedName>
    <definedName name="____________H4" hidden="1">{#N/A,#N/A,TRUE,"Mhr_Sum"}</definedName>
    <definedName name="____________HE08">#REF!</definedName>
    <definedName name="____________hu1" localSheetId="18" hidden="1">{"'Sheet1'!$L$16"}</definedName>
    <definedName name="____________hu1" hidden="1">{"'Sheet1'!$L$16"}</definedName>
    <definedName name="____________hu2" localSheetId="18" hidden="1">{"'Sheet1'!$L$16"}</definedName>
    <definedName name="____________hu2" hidden="1">{"'Sheet1'!$L$16"}</definedName>
    <definedName name="____________hu5" localSheetId="18" hidden="1">{"'Sheet1'!$L$16"}</definedName>
    <definedName name="____________hu5" hidden="1">{"'Sheet1'!$L$16"}</definedName>
    <definedName name="____________hu6" localSheetId="18" hidden="1">{"'Sheet1'!$L$16"}</definedName>
    <definedName name="____________hu6" hidden="1">{"'Sheet1'!$L$16"}</definedName>
    <definedName name="____________hu7" localSheetId="18" hidden="1">{"'Sheet1'!$L$16"}</definedName>
    <definedName name="____________hu7" hidden="1">{"'Sheet1'!$L$16"}</definedName>
    <definedName name="____________NO1">#REF!</definedName>
    <definedName name="____________T10" localSheetId="18" hidden="1">{"'Sheet1'!$L$16"}</definedName>
    <definedName name="____________T10" hidden="1">{"'Sheet1'!$L$16"}</definedName>
    <definedName name="___________ddn600">#REF!</definedName>
    <definedName name="___________fsf2" localSheetId="18" hidden="1">{#N/A,#N/A,TRUE,"Mhr_Sum"}</definedName>
    <definedName name="___________fsf2" hidden="1">{#N/A,#N/A,TRUE,"Mhr_Sum"}</definedName>
    <definedName name="___________H1" localSheetId="18" hidden="1">{#N/A,#N/A,TRUE,"Mhr_Sum"}</definedName>
    <definedName name="___________H1" hidden="1">{#N/A,#N/A,TRUE,"Mhr_Sum"}</definedName>
    <definedName name="___________H4" localSheetId="18" hidden="1">{#N/A,#N/A,TRUE,"Mhr_Sum"}</definedName>
    <definedName name="___________H4" hidden="1">{#N/A,#N/A,TRUE,"Mhr_Sum"}</definedName>
    <definedName name="___________HE1">#REF!</definedName>
    <definedName name="___________sc1">#REF!</definedName>
    <definedName name="___________SN3">#REF!</definedName>
    <definedName name="___________TM2" localSheetId="18" hidden="1">{"'Sheet1'!$L$16"}</definedName>
    <definedName name="___________TM2" localSheetId="11" hidden="1">{"'Sheet1'!$L$16"}</definedName>
    <definedName name="___________TM2" localSheetId="1" hidden="1">{"'Sheet1'!$L$16"}</definedName>
    <definedName name="___________TM2" localSheetId="2" hidden="1">{"'Sheet1'!$L$16"}</definedName>
    <definedName name="___________TM2" localSheetId="12" hidden="1">{"'Sheet1'!$L$16"}</definedName>
    <definedName name="___________TM2" localSheetId="4" hidden="1">{"'Sheet1'!$L$16"}</definedName>
    <definedName name="___________TM2" localSheetId="19" hidden="1">{"'Sheet1'!$L$16"}</definedName>
    <definedName name="___________TM2" localSheetId="10" hidden="1">{"'Sheet1'!$L$16"}</definedName>
    <definedName name="___________TM2" localSheetId="9" hidden="1">{"'Sheet1'!$L$16"}</definedName>
    <definedName name="___________TM2" localSheetId="8" hidden="1">{"'Sheet1'!$L$16"}</definedName>
    <definedName name="___________TM2" localSheetId="3" hidden="1">{"'Sheet1'!$L$16"}</definedName>
    <definedName name="___________TM2" localSheetId="6" hidden="1">{"'Sheet1'!$L$16"}</definedName>
    <definedName name="___________TM2" localSheetId="7" hidden="1">{"'Sheet1'!$L$16"}</definedName>
    <definedName name="___________TM2" localSheetId="5" hidden="1">{"'Sheet1'!$L$16"}</definedName>
    <definedName name="___________TM2" localSheetId="13" hidden="1">{"'Sheet1'!$L$16"}</definedName>
    <definedName name="___________TM2" hidden="1">{"'Sheet1'!$L$16"}</definedName>
    <definedName name="___________tt3" localSheetId="18" hidden="1">{"'Sheet1'!$L$16"}</definedName>
    <definedName name="___________tt3" localSheetId="11" hidden="1">{"'Sheet1'!$L$16"}</definedName>
    <definedName name="___________tt3" localSheetId="1" hidden="1">{"'Sheet1'!$L$16"}</definedName>
    <definedName name="___________tt3" localSheetId="2" hidden="1">{"'Sheet1'!$L$16"}</definedName>
    <definedName name="___________tt3" localSheetId="12" hidden="1">{"'Sheet1'!$L$16"}</definedName>
    <definedName name="___________tt3" localSheetId="4" hidden="1">{"'Sheet1'!$L$16"}</definedName>
    <definedName name="___________tt3" localSheetId="19" hidden="1">{"'Sheet1'!$L$16"}</definedName>
    <definedName name="___________tt3" localSheetId="10" hidden="1">{"'Sheet1'!$L$16"}</definedName>
    <definedName name="___________tt3" localSheetId="9" hidden="1">{"'Sheet1'!$L$16"}</definedName>
    <definedName name="___________tt3" localSheetId="8" hidden="1">{"'Sheet1'!$L$16"}</definedName>
    <definedName name="___________tt3" localSheetId="3" hidden="1">{"'Sheet1'!$L$16"}</definedName>
    <definedName name="___________tt3" localSheetId="6" hidden="1">{"'Sheet1'!$L$16"}</definedName>
    <definedName name="___________tt3" localSheetId="7" hidden="1">{"'Sheet1'!$L$16"}</definedName>
    <definedName name="___________tt3" localSheetId="5" hidden="1">{"'Sheet1'!$L$16"}</definedName>
    <definedName name="___________tt3" localSheetId="13" hidden="1">{"'Sheet1'!$L$16"}</definedName>
    <definedName name="___________tt3" hidden="1">{"'Sheet1'!$L$16"}</definedName>
    <definedName name="___________TX1">#REF!</definedName>
    <definedName name="___________VL100">#REF!</definedName>
    <definedName name="___________VL200">#REF!</definedName>
    <definedName name="___________VL250">#REF!</definedName>
    <definedName name="__________fsf2" localSheetId="18" hidden="1">{#N/A,#N/A,TRUE,"Mhr_Sum"}</definedName>
    <definedName name="__________fsf2" hidden="1">{#N/A,#N/A,TRUE,"Mhr_Sum"}</definedName>
    <definedName name="__________H1" localSheetId="18" hidden="1">{#N/A,#N/A,TRUE,"Mhr_Sum"}</definedName>
    <definedName name="__________H1" hidden="1">{#N/A,#N/A,TRUE,"Mhr_Sum"}</definedName>
    <definedName name="__________H4" localSheetId="18" hidden="1">{#N/A,#N/A,TRUE,"Mhr_Sum"}</definedName>
    <definedName name="__________H4" hidden="1">{#N/A,#N/A,TRUE,"Mhr_Sum"}</definedName>
    <definedName name="__________HE11">#REF!</definedName>
    <definedName name="__________nin190">#REF!</definedName>
    <definedName name="_________ddn600">#REF!</definedName>
    <definedName name="_________fsf2" localSheetId="18" hidden="1">{#N/A,#N/A,TRUE,"Mhr_Sum"}</definedName>
    <definedName name="_________fsf2" hidden="1">{#N/A,#N/A,TRUE,"Mhr_Sum"}</definedName>
    <definedName name="_________Goi8" localSheetId="18" hidden="1">{"'Sheet1'!$L$16"}</definedName>
    <definedName name="_________Goi8" localSheetId="11" hidden="1">{"'Sheet1'!$L$16"}</definedName>
    <definedName name="_________Goi8" localSheetId="1" hidden="1">{"'Sheet1'!$L$16"}</definedName>
    <definedName name="_________Goi8" localSheetId="2" hidden="1">{"'Sheet1'!$L$16"}</definedName>
    <definedName name="_________Goi8" localSheetId="12" hidden="1">{"'Sheet1'!$L$16"}</definedName>
    <definedName name="_________Goi8" localSheetId="4" hidden="1">{"'Sheet1'!$L$16"}</definedName>
    <definedName name="_________Goi8" localSheetId="19" hidden="1">{"'Sheet1'!$L$16"}</definedName>
    <definedName name="_________Goi8" localSheetId="10" hidden="1">{"'Sheet1'!$L$16"}</definedName>
    <definedName name="_________Goi8" localSheetId="9" hidden="1">{"'Sheet1'!$L$16"}</definedName>
    <definedName name="_________Goi8" localSheetId="8" hidden="1">{"'Sheet1'!$L$16"}</definedName>
    <definedName name="_________Goi8" localSheetId="3" hidden="1">{"'Sheet1'!$L$16"}</definedName>
    <definedName name="_________Goi8" localSheetId="6" hidden="1">{"'Sheet1'!$L$16"}</definedName>
    <definedName name="_________Goi8" localSheetId="7" hidden="1">{"'Sheet1'!$L$16"}</definedName>
    <definedName name="_________Goi8" localSheetId="5" hidden="1">{"'Sheet1'!$L$16"}</definedName>
    <definedName name="_________Goi8" localSheetId="13" hidden="1">{"'Sheet1'!$L$16"}</definedName>
    <definedName name="_________Goi8" hidden="1">{"'Sheet1'!$L$16"}</definedName>
    <definedName name="_________H1" localSheetId="18" hidden="1">{#N/A,#N/A,TRUE,"Mhr_Sum"}</definedName>
    <definedName name="_________H1" hidden="1">{#N/A,#N/A,TRUE,"Mhr_Sum"}</definedName>
    <definedName name="_________H4" localSheetId="18" hidden="1">{#N/A,#N/A,TRUE,"Mhr_Sum"}</definedName>
    <definedName name="_________H4" hidden="1">{#N/A,#N/A,TRUE,"Mhr_Sum"}</definedName>
    <definedName name="_________HE2">#REF!</definedName>
    <definedName name="_________Lan1" localSheetId="18" hidden="1">{"'Sheet1'!$L$16"}</definedName>
    <definedName name="_________Lan1" localSheetId="11" hidden="1">{"'Sheet1'!$L$16"}</definedName>
    <definedName name="_________Lan1" localSheetId="1" hidden="1">{"'Sheet1'!$L$16"}</definedName>
    <definedName name="_________Lan1" localSheetId="2" hidden="1">{"'Sheet1'!$L$16"}</definedName>
    <definedName name="_________Lan1" localSheetId="12" hidden="1">{"'Sheet1'!$L$16"}</definedName>
    <definedName name="_________Lan1" localSheetId="4" hidden="1">{"'Sheet1'!$L$16"}</definedName>
    <definedName name="_________Lan1" localSheetId="19" hidden="1">{"'Sheet1'!$L$16"}</definedName>
    <definedName name="_________Lan1" localSheetId="10" hidden="1">{"'Sheet1'!$L$16"}</definedName>
    <definedName name="_________Lan1" localSheetId="9" hidden="1">{"'Sheet1'!$L$16"}</definedName>
    <definedName name="_________Lan1" localSheetId="8" hidden="1">{"'Sheet1'!$L$16"}</definedName>
    <definedName name="_________Lan1" localSheetId="3" hidden="1">{"'Sheet1'!$L$16"}</definedName>
    <definedName name="_________Lan1" localSheetId="6" hidden="1">{"'Sheet1'!$L$16"}</definedName>
    <definedName name="_________Lan1" localSheetId="7" hidden="1">{"'Sheet1'!$L$16"}</definedName>
    <definedName name="_________Lan1" localSheetId="5" hidden="1">{"'Sheet1'!$L$16"}</definedName>
    <definedName name="_________Lan1" localSheetId="13" hidden="1">{"'Sheet1'!$L$16"}</definedName>
    <definedName name="_________Lan1" hidden="1">{"'Sheet1'!$L$16"}</definedName>
    <definedName name="_________ro1">#REF!</definedName>
    <definedName name="_________SN3">#REF!</definedName>
    <definedName name="_________TL1">#REF!</definedName>
    <definedName name="_________TX1">#REF!</definedName>
    <definedName name="_________VL100">#REF!</definedName>
    <definedName name="_________VL200">#REF!</definedName>
    <definedName name="_________VL250">#REF!</definedName>
    <definedName name="________a1" localSheetId="18" hidden="1">{"'Sheet1'!$L$16"}</definedName>
    <definedName name="________a1" localSheetId="11" hidden="1">{"'Sheet1'!$L$16"}</definedName>
    <definedName name="________a1" localSheetId="1" hidden="1">{"'Sheet1'!$L$16"}</definedName>
    <definedName name="________a1" localSheetId="2" hidden="1">{"'Sheet1'!$L$16"}</definedName>
    <definedName name="________a1" localSheetId="12" hidden="1">{"'Sheet1'!$L$16"}</definedName>
    <definedName name="________a1" localSheetId="4" hidden="1">{"'Sheet1'!$L$16"}</definedName>
    <definedName name="________a1" localSheetId="19" hidden="1">{"'Sheet1'!$L$16"}</definedName>
    <definedName name="________a1" localSheetId="10" hidden="1">{"'Sheet1'!$L$16"}</definedName>
    <definedName name="________a1" localSheetId="9" hidden="1">{"'Sheet1'!$L$16"}</definedName>
    <definedName name="________a1" localSheetId="8" hidden="1">{"'Sheet1'!$L$16"}</definedName>
    <definedName name="________a1" localSheetId="3" hidden="1">{"'Sheet1'!$L$16"}</definedName>
    <definedName name="________a1" localSheetId="6" hidden="1">{"'Sheet1'!$L$16"}</definedName>
    <definedName name="________a1" localSheetId="7" hidden="1">{"'Sheet1'!$L$16"}</definedName>
    <definedName name="________a1" localSheetId="5" hidden="1">{"'Sheet1'!$L$16"}</definedName>
    <definedName name="________a1" localSheetId="13" hidden="1">{"'Sheet1'!$L$16"}</definedName>
    <definedName name="________a1" hidden="1">{"'Sheet1'!$L$16"}</definedName>
    <definedName name="________a129" localSheetId="18" hidden="1">{"Offgrid",#N/A,FALSE,"OFFGRID";"Region",#N/A,FALSE,"REGION";"Offgrid -2",#N/A,FALSE,"OFFGRID";"WTP",#N/A,FALSE,"WTP";"WTP -2",#N/A,FALSE,"WTP";"Project",#N/A,FALSE,"PROJECT";"Summary -2",#N/A,FALSE,"SUMMARY"}</definedName>
    <definedName name="________a129" localSheetId="11" hidden="1">{"Offgrid",#N/A,FALSE,"OFFGRID";"Region",#N/A,FALSE,"REGION";"Offgrid -2",#N/A,FALSE,"OFFGRID";"WTP",#N/A,FALSE,"WTP";"WTP -2",#N/A,FALSE,"WTP";"Project",#N/A,FALSE,"PROJECT";"Summary -2",#N/A,FALSE,"SUMMARY"}</definedName>
    <definedName name="________a129" localSheetId="1" hidden="1">{"Offgrid",#N/A,FALSE,"OFFGRID";"Region",#N/A,FALSE,"REGION";"Offgrid -2",#N/A,FALSE,"OFFGRID";"WTP",#N/A,FALSE,"WTP";"WTP -2",#N/A,FALSE,"WTP";"Project",#N/A,FALSE,"PROJECT";"Summary -2",#N/A,FALSE,"SUMMARY"}</definedName>
    <definedName name="________a129" localSheetId="2" hidden="1">{"Offgrid",#N/A,FALSE,"OFFGRID";"Region",#N/A,FALSE,"REGION";"Offgrid -2",#N/A,FALSE,"OFFGRID";"WTP",#N/A,FALSE,"WTP";"WTP -2",#N/A,FALSE,"WTP";"Project",#N/A,FALSE,"PROJECT";"Summary -2",#N/A,FALSE,"SUMMARY"}</definedName>
    <definedName name="________a129" localSheetId="12" hidden="1">{"Offgrid",#N/A,FALSE,"OFFGRID";"Region",#N/A,FALSE,"REGION";"Offgrid -2",#N/A,FALSE,"OFFGRID";"WTP",#N/A,FALSE,"WTP";"WTP -2",#N/A,FALSE,"WTP";"Project",#N/A,FALSE,"PROJECT";"Summary -2",#N/A,FALSE,"SUMMARY"}</definedName>
    <definedName name="________a129" localSheetId="4" hidden="1">{"Offgrid",#N/A,FALSE,"OFFGRID";"Region",#N/A,FALSE,"REGION";"Offgrid -2",#N/A,FALSE,"OFFGRID";"WTP",#N/A,FALSE,"WTP";"WTP -2",#N/A,FALSE,"WTP";"Project",#N/A,FALSE,"PROJECT";"Summary -2",#N/A,FALSE,"SUMMARY"}</definedName>
    <definedName name="________a129" localSheetId="19" hidden="1">{"Offgrid",#N/A,FALSE,"OFFGRID";"Region",#N/A,FALSE,"REGION";"Offgrid -2",#N/A,FALSE,"OFFGRID";"WTP",#N/A,FALSE,"WTP";"WTP -2",#N/A,FALSE,"WTP";"Project",#N/A,FALSE,"PROJECT";"Summary -2",#N/A,FALSE,"SUMMARY"}</definedName>
    <definedName name="________a129" localSheetId="10" hidden="1">{"Offgrid",#N/A,FALSE,"OFFGRID";"Region",#N/A,FALSE,"REGION";"Offgrid -2",#N/A,FALSE,"OFFGRID";"WTP",#N/A,FALSE,"WTP";"WTP -2",#N/A,FALSE,"WTP";"Project",#N/A,FALSE,"PROJECT";"Summary -2",#N/A,FALSE,"SUMMARY"}</definedName>
    <definedName name="________a129" localSheetId="9" hidden="1">{"Offgrid",#N/A,FALSE,"OFFGRID";"Region",#N/A,FALSE,"REGION";"Offgrid -2",#N/A,FALSE,"OFFGRID";"WTP",#N/A,FALSE,"WTP";"WTP -2",#N/A,FALSE,"WTP";"Project",#N/A,FALSE,"PROJECT";"Summary -2",#N/A,FALSE,"SUMMARY"}</definedName>
    <definedName name="________a129" localSheetId="8" hidden="1">{"Offgrid",#N/A,FALSE,"OFFGRID";"Region",#N/A,FALSE,"REGION";"Offgrid -2",#N/A,FALSE,"OFFGRID";"WTP",#N/A,FALSE,"WTP";"WTP -2",#N/A,FALSE,"WTP";"Project",#N/A,FALSE,"PROJECT";"Summary -2",#N/A,FALSE,"SUMMARY"}</definedName>
    <definedName name="________a129" localSheetId="3" hidden="1">{"Offgrid",#N/A,FALSE,"OFFGRID";"Region",#N/A,FALSE,"REGION";"Offgrid -2",#N/A,FALSE,"OFFGRID";"WTP",#N/A,FALSE,"WTP";"WTP -2",#N/A,FALSE,"WTP";"Project",#N/A,FALSE,"PROJECT";"Summary -2",#N/A,FALSE,"SUMMARY"}</definedName>
    <definedName name="________a129" localSheetId="6" hidden="1">{"Offgrid",#N/A,FALSE,"OFFGRID";"Region",#N/A,FALSE,"REGION";"Offgrid -2",#N/A,FALSE,"OFFGRID";"WTP",#N/A,FALSE,"WTP";"WTP -2",#N/A,FALSE,"WTP";"Project",#N/A,FALSE,"PROJECT";"Summary -2",#N/A,FALSE,"SUMMARY"}</definedName>
    <definedName name="________a129" localSheetId="7" hidden="1">{"Offgrid",#N/A,FALSE,"OFFGRID";"Region",#N/A,FALSE,"REGION";"Offgrid -2",#N/A,FALSE,"OFFGRID";"WTP",#N/A,FALSE,"WTP";"WTP -2",#N/A,FALSE,"WTP";"Project",#N/A,FALSE,"PROJECT";"Summary -2",#N/A,FALSE,"SUMMARY"}</definedName>
    <definedName name="________a129" localSheetId="5" hidden="1">{"Offgrid",#N/A,FALSE,"OFFGRID";"Region",#N/A,FALSE,"REGION";"Offgrid -2",#N/A,FALSE,"OFFGRID";"WTP",#N/A,FALSE,"WTP";"WTP -2",#N/A,FALSE,"WTP";"Project",#N/A,FALSE,"PROJECT";"Summary -2",#N/A,FALSE,"SUMMARY"}</definedName>
    <definedName name="________a129" localSheetId="13"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8" hidden="1">{"Offgrid",#N/A,FALSE,"OFFGRID";"Region",#N/A,FALSE,"REGION";"Offgrid -2",#N/A,FALSE,"OFFGRID";"WTP",#N/A,FALSE,"WTP";"WTP -2",#N/A,FALSE,"WTP";"Project",#N/A,FALSE,"PROJECT";"Summary -2",#N/A,FALSE,"SUMMARY"}</definedName>
    <definedName name="________a130" localSheetId="11"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12" hidden="1">{"Offgrid",#N/A,FALSE,"OFFGRID";"Region",#N/A,FALSE,"REGION";"Offgrid -2",#N/A,FALSE,"OFFGRID";"WTP",#N/A,FALSE,"WTP";"WTP -2",#N/A,FALSE,"WTP";"Project",#N/A,FALSE,"PROJECT";"Summary -2",#N/A,FALSE,"SUMMARY"}</definedName>
    <definedName name="________a130" localSheetId="4" hidden="1">{"Offgrid",#N/A,FALSE,"OFFGRID";"Region",#N/A,FALSE,"REGION";"Offgrid -2",#N/A,FALSE,"OFFGRID";"WTP",#N/A,FALSE,"WTP";"WTP -2",#N/A,FALSE,"WTP";"Project",#N/A,FALSE,"PROJECT";"Summary -2",#N/A,FALSE,"SUMMARY"}</definedName>
    <definedName name="________a130" localSheetId="19" hidden="1">{"Offgrid",#N/A,FALSE,"OFFGRID";"Region",#N/A,FALSE,"REGION";"Offgrid -2",#N/A,FALSE,"OFFGRID";"WTP",#N/A,FALSE,"WTP";"WTP -2",#N/A,FALSE,"WTP";"Project",#N/A,FALSE,"PROJECT";"Summary -2",#N/A,FALSE,"SUMMARY"}</definedName>
    <definedName name="________a130" localSheetId="10" hidden="1">{"Offgrid",#N/A,FALSE,"OFFGRID";"Region",#N/A,FALSE,"REGION";"Offgrid -2",#N/A,FALSE,"OFFGRID";"WTP",#N/A,FALSE,"WTP";"WTP -2",#N/A,FALSE,"WTP";"Project",#N/A,FALSE,"PROJECT";"Summary -2",#N/A,FALSE,"SUMMARY"}</definedName>
    <definedName name="________a130" localSheetId="9" hidden="1">{"Offgrid",#N/A,FALSE,"OFFGRID";"Region",#N/A,FALSE,"REGION";"Offgrid -2",#N/A,FALSE,"OFFGRID";"WTP",#N/A,FALSE,"WTP";"WTP -2",#N/A,FALSE,"WTP";"Project",#N/A,FALSE,"PROJECT";"Summary -2",#N/A,FALSE,"SUMMARY"}</definedName>
    <definedName name="________a130" localSheetId="8"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localSheetId="6" hidden="1">{"Offgrid",#N/A,FALSE,"OFFGRID";"Region",#N/A,FALSE,"REGION";"Offgrid -2",#N/A,FALSE,"OFFGRID";"WTP",#N/A,FALSE,"WTP";"WTP -2",#N/A,FALSE,"WTP";"Project",#N/A,FALSE,"PROJECT";"Summary -2",#N/A,FALSE,"SUMMARY"}</definedName>
    <definedName name="________a130" localSheetId="7" hidden="1">{"Offgrid",#N/A,FALSE,"OFFGRID";"Region",#N/A,FALSE,"REGION";"Offgrid -2",#N/A,FALSE,"OFFGRID";"WTP",#N/A,FALSE,"WTP";"WTP -2",#N/A,FALSE,"WTP";"Project",#N/A,FALSE,"PROJECT";"Summary -2",#N/A,FALSE,"SUMMARY"}</definedName>
    <definedName name="________a130" localSheetId="5" hidden="1">{"Offgrid",#N/A,FALSE,"OFFGRID";"Region",#N/A,FALSE,"REGION";"Offgrid -2",#N/A,FALSE,"OFFGRID";"WTP",#N/A,FALSE,"WTP";"WTP -2",#N/A,FALSE,"WTP";"Project",#N/A,FALSE,"PROJECT";"Summary -2",#N/A,FALSE,"SUMMARY"}</definedName>
    <definedName name="________a130" localSheetId="13"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localSheetId="18" hidden="1">{#N/A,#N/A,TRUE,"Mhr_Sum"}</definedName>
    <definedName name="________fsf2" hidden="1">{#N/A,#N/A,TRUE,"Mhr_Sum"}</definedName>
    <definedName name="________Goi8" localSheetId="18" hidden="1">{"'Sheet1'!$L$16"}</definedName>
    <definedName name="________Goi8" localSheetId="11" hidden="1">{"'Sheet1'!$L$16"}</definedName>
    <definedName name="________Goi8" localSheetId="1" hidden="1">{"'Sheet1'!$L$16"}</definedName>
    <definedName name="________Goi8" localSheetId="2" hidden="1">{"'Sheet1'!$L$16"}</definedName>
    <definedName name="________Goi8" localSheetId="12" hidden="1">{"'Sheet1'!$L$16"}</definedName>
    <definedName name="________Goi8" localSheetId="4" hidden="1">{"'Sheet1'!$L$16"}</definedName>
    <definedName name="________Goi8" localSheetId="19" hidden="1">{"'Sheet1'!$L$16"}</definedName>
    <definedName name="________Goi8" localSheetId="10" hidden="1">{"'Sheet1'!$L$16"}</definedName>
    <definedName name="________Goi8" localSheetId="9" hidden="1">{"'Sheet1'!$L$16"}</definedName>
    <definedName name="________Goi8" localSheetId="8" hidden="1">{"'Sheet1'!$L$16"}</definedName>
    <definedName name="________Goi8" localSheetId="3" hidden="1">{"'Sheet1'!$L$16"}</definedName>
    <definedName name="________Goi8" localSheetId="6" hidden="1">{"'Sheet1'!$L$16"}</definedName>
    <definedName name="________Goi8" localSheetId="7" hidden="1">{"'Sheet1'!$L$16"}</definedName>
    <definedName name="________Goi8" localSheetId="5" hidden="1">{"'Sheet1'!$L$16"}</definedName>
    <definedName name="________Goi8" localSheetId="13" hidden="1">{"'Sheet1'!$L$16"}</definedName>
    <definedName name="________Goi8" hidden="1">{"'Sheet1'!$L$16"}</definedName>
    <definedName name="________H1" localSheetId="18" hidden="1">{#N/A,#N/A,TRUE,"Mhr_Sum"}</definedName>
    <definedName name="________H1" hidden="1">{#N/A,#N/A,TRUE,"Mhr_Sum"}</definedName>
    <definedName name="________H4" localSheetId="18" hidden="1">{#N/A,#N/A,TRUE,"Mhr_Sum"}</definedName>
    <definedName name="________H4" hidden="1">{#N/A,#N/A,TRUE,"Mhr_Sum"}</definedName>
    <definedName name="________hu1" localSheetId="18" hidden="1">{"'Sheet1'!$L$16"}</definedName>
    <definedName name="________hu1" localSheetId="11" hidden="1">{"'Sheet1'!$L$16"}</definedName>
    <definedName name="________hu1" localSheetId="1" hidden="1">{"'Sheet1'!$L$16"}</definedName>
    <definedName name="________hu1" localSheetId="2" hidden="1">{"'Sheet1'!$L$16"}</definedName>
    <definedName name="________hu1" localSheetId="12" hidden="1">{"'Sheet1'!$L$16"}</definedName>
    <definedName name="________hu1" localSheetId="4" hidden="1">{"'Sheet1'!$L$16"}</definedName>
    <definedName name="________hu1" localSheetId="19" hidden="1">{"'Sheet1'!$L$16"}</definedName>
    <definedName name="________hu1" localSheetId="10" hidden="1">{"'Sheet1'!$L$16"}</definedName>
    <definedName name="________hu1" localSheetId="9" hidden="1">{"'Sheet1'!$L$16"}</definedName>
    <definedName name="________hu1" localSheetId="8" hidden="1">{"'Sheet1'!$L$16"}</definedName>
    <definedName name="________hu1" localSheetId="3" hidden="1">{"'Sheet1'!$L$16"}</definedName>
    <definedName name="________hu1" localSheetId="6" hidden="1">{"'Sheet1'!$L$16"}</definedName>
    <definedName name="________hu1" localSheetId="7" hidden="1">{"'Sheet1'!$L$16"}</definedName>
    <definedName name="________hu1" localSheetId="5" hidden="1">{"'Sheet1'!$L$16"}</definedName>
    <definedName name="________hu1" localSheetId="13" hidden="1">{"'Sheet1'!$L$16"}</definedName>
    <definedName name="________hu1" hidden="1">{"'Sheet1'!$L$16"}</definedName>
    <definedName name="________hu2" localSheetId="18" hidden="1">{"'Sheet1'!$L$16"}</definedName>
    <definedName name="________hu2" localSheetId="11" hidden="1">{"'Sheet1'!$L$16"}</definedName>
    <definedName name="________hu2" localSheetId="1" hidden="1">{"'Sheet1'!$L$16"}</definedName>
    <definedName name="________hu2" localSheetId="2" hidden="1">{"'Sheet1'!$L$16"}</definedName>
    <definedName name="________hu2" localSheetId="12" hidden="1">{"'Sheet1'!$L$16"}</definedName>
    <definedName name="________hu2" localSheetId="4" hidden="1">{"'Sheet1'!$L$16"}</definedName>
    <definedName name="________hu2" localSheetId="19" hidden="1">{"'Sheet1'!$L$16"}</definedName>
    <definedName name="________hu2" localSheetId="10" hidden="1">{"'Sheet1'!$L$16"}</definedName>
    <definedName name="________hu2" localSheetId="9" hidden="1">{"'Sheet1'!$L$16"}</definedName>
    <definedName name="________hu2" localSheetId="8" hidden="1">{"'Sheet1'!$L$16"}</definedName>
    <definedName name="________hu2" localSheetId="3" hidden="1">{"'Sheet1'!$L$16"}</definedName>
    <definedName name="________hu2" localSheetId="6" hidden="1">{"'Sheet1'!$L$16"}</definedName>
    <definedName name="________hu2" localSheetId="7" hidden="1">{"'Sheet1'!$L$16"}</definedName>
    <definedName name="________hu2" localSheetId="5" hidden="1">{"'Sheet1'!$L$16"}</definedName>
    <definedName name="________hu2" localSheetId="13" hidden="1">{"'Sheet1'!$L$16"}</definedName>
    <definedName name="________hu2" hidden="1">{"'Sheet1'!$L$16"}</definedName>
    <definedName name="________hu5" localSheetId="18" hidden="1">{"'Sheet1'!$L$16"}</definedName>
    <definedName name="________hu5" localSheetId="11" hidden="1">{"'Sheet1'!$L$16"}</definedName>
    <definedName name="________hu5" localSheetId="1" hidden="1">{"'Sheet1'!$L$16"}</definedName>
    <definedName name="________hu5" localSheetId="2" hidden="1">{"'Sheet1'!$L$16"}</definedName>
    <definedName name="________hu5" localSheetId="12" hidden="1">{"'Sheet1'!$L$16"}</definedName>
    <definedName name="________hu5" localSheetId="4" hidden="1">{"'Sheet1'!$L$16"}</definedName>
    <definedName name="________hu5" localSheetId="19" hidden="1">{"'Sheet1'!$L$16"}</definedName>
    <definedName name="________hu5" localSheetId="10" hidden="1">{"'Sheet1'!$L$16"}</definedName>
    <definedName name="________hu5" localSheetId="9" hidden="1">{"'Sheet1'!$L$16"}</definedName>
    <definedName name="________hu5" localSheetId="8" hidden="1">{"'Sheet1'!$L$16"}</definedName>
    <definedName name="________hu5" localSheetId="3" hidden="1">{"'Sheet1'!$L$16"}</definedName>
    <definedName name="________hu5" localSheetId="6" hidden="1">{"'Sheet1'!$L$16"}</definedName>
    <definedName name="________hu5" localSheetId="7" hidden="1">{"'Sheet1'!$L$16"}</definedName>
    <definedName name="________hu5" localSheetId="5" hidden="1">{"'Sheet1'!$L$16"}</definedName>
    <definedName name="________hu5" localSheetId="13" hidden="1">{"'Sheet1'!$L$16"}</definedName>
    <definedName name="________hu5" hidden="1">{"'Sheet1'!$L$16"}</definedName>
    <definedName name="________hu6" localSheetId="18" hidden="1">{"'Sheet1'!$L$16"}</definedName>
    <definedName name="________hu6" localSheetId="11" hidden="1">{"'Sheet1'!$L$16"}</definedName>
    <definedName name="________hu6" localSheetId="1" hidden="1">{"'Sheet1'!$L$16"}</definedName>
    <definedName name="________hu6" localSheetId="2" hidden="1">{"'Sheet1'!$L$16"}</definedName>
    <definedName name="________hu6" localSheetId="12" hidden="1">{"'Sheet1'!$L$16"}</definedName>
    <definedName name="________hu6" localSheetId="4" hidden="1">{"'Sheet1'!$L$16"}</definedName>
    <definedName name="________hu6" localSheetId="19" hidden="1">{"'Sheet1'!$L$16"}</definedName>
    <definedName name="________hu6" localSheetId="10" hidden="1">{"'Sheet1'!$L$16"}</definedName>
    <definedName name="________hu6" localSheetId="9" hidden="1">{"'Sheet1'!$L$16"}</definedName>
    <definedName name="________hu6" localSheetId="8" hidden="1">{"'Sheet1'!$L$16"}</definedName>
    <definedName name="________hu6" localSheetId="3" hidden="1">{"'Sheet1'!$L$16"}</definedName>
    <definedName name="________hu6" localSheetId="6" hidden="1">{"'Sheet1'!$L$16"}</definedName>
    <definedName name="________hu6" localSheetId="7" hidden="1">{"'Sheet1'!$L$16"}</definedName>
    <definedName name="________hu6" localSheetId="5" hidden="1">{"'Sheet1'!$L$16"}</definedName>
    <definedName name="________hu6" localSheetId="13" hidden="1">{"'Sheet1'!$L$16"}</definedName>
    <definedName name="________hu6" hidden="1">{"'Sheet1'!$L$16"}</definedName>
    <definedName name="________int6">#REF!</definedName>
    <definedName name="________Lan1" localSheetId="18" hidden="1">{"'Sheet1'!$L$16"}</definedName>
    <definedName name="________Lan1" localSheetId="11" hidden="1">{"'Sheet1'!$L$16"}</definedName>
    <definedName name="________Lan1" localSheetId="1" hidden="1">{"'Sheet1'!$L$16"}</definedName>
    <definedName name="________Lan1" localSheetId="2" hidden="1">{"'Sheet1'!$L$16"}</definedName>
    <definedName name="________Lan1" localSheetId="12" hidden="1">{"'Sheet1'!$L$16"}</definedName>
    <definedName name="________Lan1" localSheetId="4" hidden="1">{"'Sheet1'!$L$16"}</definedName>
    <definedName name="________Lan1" localSheetId="19" hidden="1">{"'Sheet1'!$L$16"}</definedName>
    <definedName name="________Lan1" localSheetId="10" hidden="1">{"'Sheet1'!$L$16"}</definedName>
    <definedName name="________Lan1" localSheetId="9" hidden="1">{"'Sheet1'!$L$16"}</definedName>
    <definedName name="________Lan1" localSheetId="8" hidden="1">{"'Sheet1'!$L$16"}</definedName>
    <definedName name="________Lan1" localSheetId="3" hidden="1">{"'Sheet1'!$L$16"}</definedName>
    <definedName name="________Lan1" localSheetId="6" hidden="1">{"'Sheet1'!$L$16"}</definedName>
    <definedName name="________Lan1" localSheetId="7" hidden="1">{"'Sheet1'!$L$16"}</definedName>
    <definedName name="________Lan1" localSheetId="5" hidden="1">{"'Sheet1'!$L$16"}</definedName>
    <definedName name="________Lan1" localSheetId="13" hidden="1">{"'Sheet1'!$L$16"}</definedName>
    <definedName name="________Lan1" hidden="1">{"'Sheet1'!$L$16"}</definedName>
    <definedName name="________LAN3" localSheetId="18" hidden="1">{"'Sheet1'!$L$16"}</definedName>
    <definedName name="________LAN3" localSheetId="11" hidden="1">{"'Sheet1'!$L$16"}</definedName>
    <definedName name="________LAN3" localSheetId="1" hidden="1">{"'Sheet1'!$L$16"}</definedName>
    <definedName name="________LAN3" localSheetId="2" hidden="1">{"'Sheet1'!$L$16"}</definedName>
    <definedName name="________LAN3" localSheetId="12" hidden="1">{"'Sheet1'!$L$16"}</definedName>
    <definedName name="________LAN3" localSheetId="4" hidden="1">{"'Sheet1'!$L$16"}</definedName>
    <definedName name="________LAN3" localSheetId="19" hidden="1">{"'Sheet1'!$L$16"}</definedName>
    <definedName name="________LAN3" localSheetId="10" hidden="1">{"'Sheet1'!$L$16"}</definedName>
    <definedName name="________LAN3" localSheetId="9" hidden="1">{"'Sheet1'!$L$16"}</definedName>
    <definedName name="________LAN3" localSheetId="8" hidden="1">{"'Sheet1'!$L$16"}</definedName>
    <definedName name="________LAN3" localSheetId="3" hidden="1">{"'Sheet1'!$L$16"}</definedName>
    <definedName name="________LAN3" localSheetId="6" hidden="1">{"'Sheet1'!$L$16"}</definedName>
    <definedName name="________LAN3" localSheetId="7" hidden="1">{"'Sheet1'!$L$16"}</definedName>
    <definedName name="________LAN3" localSheetId="5" hidden="1">{"'Sheet1'!$L$16"}</definedName>
    <definedName name="________LAN3" localSheetId="13" hidden="1">{"'Sheet1'!$L$16"}</definedName>
    <definedName name="________LAN3" hidden="1">{"'Sheet1'!$L$16"}</definedName>
    <definedName name="________nin190">#REF!</definedName>
    <definedName name="________TM2" localSheetId="18" hidden="1">{"'Sheet1'!$L$16"}</definedName>
    <definedName name="________TM2" localSheetId="11" hidden="1">{"'Sheet1'!$L$16"}</definedName>
    <definedName name="________TM2" localSheetId="1" hidden="1">{"'Sheet1'!$L$16"}</definedName>
    <definedName name="________TM2" localSheetId="2" hidden="1">{"'Sheet1'!$L$16"}</definedName>
    <definedName name="________TM2" localSheetId="12" hidden="1">{"'Sheet1'!$L$16"}</definedName>
    <definedName name="________TM2" localSheetId="4" hidden="1">{"'Sheet1'!$L$16"}</definedName>
    <definedName name="________TM2" localSheetId="19" hidden="1">{"'Sheet1'!$L$16"}</definedName>
    <definedName name="________TM2" localSheetId="10" hidden="1">{"'Sheet1'!$L$16"}</definedName>
    <definedName name="________TM2" localSheetId="9" hidden="1">{"'Sheet1'!$L$16"}</definedName>
    <definedName name="________TM2" localSheetId="8" hidden="1">{"'Sheet1'!$L$16"}</definedName>
    <definedName name="________TM2" localSheetId="3" hidden="1">{"'Sheet1'!$L$16"}</definedName>
    <definedName name="________TM2" localSheetId="6" hidden="1">{"'Sheet1'!$L$16"}</definedName>
    <definedName name="________TM2" localSheetId="7" hidden="1">{"'Sheet1'!$L$16"}</definedName>
    <definedName name="________TM2" localSheetId="5" hidden="1">{"'Sheet1'!$L$16"}</definedName>
    <definedName name="________TM2" localSheetId="13" hidden="1">{"'Sheet1'!$L$16"}</definedName>
    <definedName name="________TM2" hidden="1">{"'Sheet1'!$L$16"}</definedName>
    <definedName name="________tt3" localSheetId="18" hidden="1">{"'Sheet1'!$L$16"}</definedName>
    <definedName name="________tt3" localSheetId="11" hidden="1">{"'Sheet1'!$L$16"}</definedName>
    <definedName name="________tt3" localSheetId="1" hidden="1">{"'Sheet1'!$L$16"}</definedName>
    <definedName name="________tt3" localSheetId="2" hidden="1">{"'Sheet1'!$L$16"}</definedName>
    <definedName name="________tt3" localSheetId="12" hidden="1">{"'Sheet1'!$L$16"}</definedName>
    <definedName name="________tt3" localSheetId="4" hidden="1">{"'Sheet1'!$L$16"}</definedName>
    <definedName name="________tt3" localSheetId="19" hidden="1">{"'Sheet1'!$L$16"}</definedName>
    <definedName name="________tt3" localSheetId="10" hidden="1">{"'Sheet1'!$L$16"}</definedName>
    <definedName name="________tt3" localSheetId="9" hidden="1">{"'Sheet1'!$L$16"}</definedName>
    <definedName name="________tt3" localSheetId="8" hidden="1">{"'Sheet1'!$L$16"}</definedName>
    <definedName name="________tt3" localSheetId="3" hidden="1">{"'Sheet1'!$L$16"}</definedName>
    <definedName name="________tt3" localSheetId="6" hidden="1">{"'Sheet1'!$L$16"}</definedName>
    <definedName name="________tt3" localSheetId="7" hidden="1">{"'Sheet1'!$L$16"}</definedName>
    <definedName name="________tt3" localSheetId="5" hidden="1">{"'Sheet1'!$L$16"}</definedName>
    <definedName name="________tt3" localSheetId="13" hidden="1">{"'Sheet1'!$L$16"}</definedName>
    <definedName name="________tt3" hidden="1">{"'Sheet1'!$L$16"}</definedName>
    <definedName name="_______a129" localSheetId="18" hidden="1">{"Offgrid",#N/A,FALSE,"OFFGRID";"Region",#N/A,FALSE,"REGION";"Offgrid -2",#N/A,FALSE,"OFFGRID";"WTP",#N/A,FALSE,"WTP";"WTP -2",#N/A,FALSE,"WTP";"Project",#N/A,FALSE,"PROJECT";"Summary -2",#N/A,FALSE,"SUMMARY"}</definedName>
    <definedName name="_______a129" localSheetId="11" hidden="1">{"Offgrid",#N/A,FALSE,"OFFGRID";"Region",#N/A,FALSE,"REGION";"Offgrid -2",#N/A,FALSE,"OFFGRID";"WTP",#N/A,FALSE,"WTP";"WTP -2",#N/A,FALSE,"WTP";"Project",#N/A,FALSE,"PROJECT";"Summary -2",#N/A,FALSE,"SUMMARY"}</definedName>
    <definedName name="_______a129" localSheetId="1" hidden="1">{"Offgrid",#N/A,FALSE,"OFFGRID";"Region",#N/A,FALSE,"REGION";"Offgrid -2",#N/A,FALSE,"OFFGRID";"WTP",#N/A,FALSE,"WTP";"WTP -2",#N/A,FALSE,"WTP";"Project",#N/A,FALSE,"PROJECT";"Summary -2",#N/A,FALSE,"SUMMARY"}</definedName>
    <definedName name="_______a129" localSheetId="2" hidden="1">{"Offgrid",#N/A,FALSE,"OFFGRID";"Region",#N/A,FALSE,"REGION";"Offgrid -2",#N/A,FALSE,"OFFGRID";"WTP",#N/A,FALSE,"WTP";"WTP -2",#N/A,FALSE,"WTP";"Project",#N/A,FALSE,"PROJECT";"Summary -2",#N/A,FALSE,"SUMMARY"}</definedName>
    <definedName name="_______a129" localSheetId="12" hidden="1">{"Offgrid",#N/A,FALSE,"OFFGRID";"Region",#N/A,FALSE,"REGION";"Offgrid -2",#N/A,FALSE,"OFFGRID";"WTP",#N/A,FALSE,"WTP";"WTP -2",#N/A,FALSE,"WTP";"Project",#N/A,FALSE,"PROJECT";"Summary -2",#N/A,FALSE,"SUMMARY"}</definedName>
    <definedName name="_______a129" localSheetId="4" hidden="1">{"Offgrid",#N/A,FALSE,"OFFGRID";"Region",#N/A,FALSE,"REGION";"Offgrid -2",#N/A,FALSE,"OFFGRID";"WTP",#N/A,FALSE,"WTP";"WTP -2",#N/A,FALSE,"WTP";"Project",#N/A,FALSE,"PROJECT";"Summary -2",#N/A,FALSE,"SUMMARY"}</definedName>
    <definedName name="_______a129" localSheetId="19" hidden="1">{"Offgrid",#N/A,FALSE,"OFFGRID";"Region",#N/A,FALSE,"REGION";"Offgrid -2",#N/A,FALSE,"OFFGRID";"WTP",#N/A,FALSE,"WTP";"WTP -2",#N/A,FALSE,"WTP";"Project",#N/A,FALSE,"PROJECT";"Summary -2",#N/A,FALSE,"SUMMARY"}</definedName>
    <definedName name="_______a129" localSheetId="10" hidden="1">{"Offgrid",#N/A,FALSE,"OFFGRID";"Region",#N/A,FALSE,"REGION";"Offgrid -2",#N/A,FALSE,"OFFGRID";"WTP",#N/A,FALSE,"WTP";"WTP -2",#N/A,FALSE,"WTP";"Project",#N/A,FALSE,"PROJECT";"Summary -2",#N/A,FALSE,"SUMMARY"}</definedName>
    <definedName name="_______a129" localSheetId="9" hidden="1">{"Offgrid",#N/A,FALSE,"OFFGRID";"Region",#N/A,FALSE,"REGION";"Offgrid -2",#N/A,FALSE,"OFFGRID";"WTP",#N/A,FALSE,"WTP";"WTP -2",#N/A,FALSE,"WTP";"Project",#N/A,FALSE,"PROJECT";"Summary -2",#N/A,FALSE,"SUMMARY"}</definedName>
    <definedName name="_______a129" localSheetId="8" hidden="1">{"Offgrid",#N/A,FALSE,"OFFGRID";"Region",#N/A,FALSE,"REGION";"Offgrid -2",#N/A,FALSE,"OFFGRID";"WTP",#N/A,FALSE,"WTP";"WTP -2",#N/A,FALSE,"WTP";"Project",#N/A,FALSE,"PROJECT";"Summary -2",#N/A,FALSE,"SUMMARY"}</definedName>
    <definedName name="_______a129" localSheetId="3" hidden="1">{"Offgrid",#N/A,FALSE,"OFFGRID";"Region",#N/A,FALSE,"REGION";"Offgrid -2",#N/A,FALSE,"OFFGRID";"WTP",#N/A,FALSE,"WTP";"WTP -2",#N/A,FALSE,"WTP";"Project",#N/A,FALSE,"PROJECT";"Summary -2",#N/A,FALSE,"SUMMARY"}</definedName>
    <definedName name="_______a129" localSheetId="6" hidden="1">{"Offgrid",#N/A,FALSE,"OFFGRID";"Region",#N/A,FALSE,"REGION";"Offgrid -2",#N/A,FALSE,"OFFGRID";"WTP",#N/A,FALSE,"WTP";"WTP -2",#N/A,FALSE,"WTP";"Project",#N/A,FALSE,"PROJECT";"Summary -2",#N/A,FALSE,"SUMMARY"}</definedName>
    <definedName name="_______a129" localSheetId="7" hidden="1">{"Offgrid",#N/A,FALSE,"OFFGRID";"Region",#N/A,FALSE,"REGION";"Offgrid -2",#N/A,FALSE,"OFFGRID";"WTP",#N/A,FALSE,"WTP";"WTP -2",#N/A,FALSE,"WTP";"Project",#N/A,FALSE,"PROJECT";"Summary -2",#N/A,FALSE,"SUMMARY"}</definedName>
    <definedName name="_______a129" localSheetId="5" hidden="1">{"Offgrid",#N/A,FALSE,"OFFGRID";"Region",#N/A,FALSE,"REGION";"Offgrid -2",#N/A,FALSE,"OFFGRID";"WTP",#N/A,FALSE,"WTP";"WTP -2",#N/A,FALSE,"WTP";"Project",#N/A,FALSE,"PROJECT";"Summary -2",#N/A,FALSE,"SUMMARY"}</definedName>
    <definedName name="_______a129" localSheetId="13"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8" hidden="1">{"Offgrid",#N/A,FALSE,"OFFGRID";"Region",#N/A,FALSE,"REGION";"Offgrid -2",#N/A,FALSE,"OFFGRID";"WTP",#N/A,FALSE,"WTP";"WTP -2",#N/A,FALSE,"WTP";"Project",#N/A,FALSE,"PROJECT";"Summary -2",#N/A,FALSE,"SUMMARY"}</definedName>
    <definedName name="_______a130" localSheetId="11"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12" hidden="1">{"Offgrid",#N/A,FALSE,"OFFGRID";"Region",#N/A,FALSE,"REGION";"Offgrid -2",#N/A,FALSE,"OFFGRID";"WTP",#N/A,FALSE,"WTP";"WTP -2",#N/A,FALSE,"WTP";"Project",#N/A,FALSE,"PROJECT";"Summary -2",#N/A,FALSE,"SUMMARY"}</definedName>
    <definedName name="_______a130" localSheetId="4" hidden="1">{"Offgrid",#N/A,FALSE,"OFFGRID";"Region",#N/A,FALSE,"REGION";"Offgrid -2",#N/A,FALSE,"OFFGRID";"WTP",#N/A,FALSE,"WTP";"WTP -2",#N/A,FALSE,"WTP";"Project",#N/A,FALSE,"PROJECT";"Summary -2",#N/A,FALSE,"SUMMARY"}</definedName>
    <definedName name="_______a130" localSheetId="19" hidden="1">{"Offgrid",#N/A,FALSE,"OFFGRID";"Region",#N/A,FALSE,"REGION";"Offgrid -2",#N/A,FALSE,"OFFGRID";"WTP",#N/A,FALSE,"WTP";"WTP -2",#N/A,FALSE,"WTP";"Project",#N/A,FALSE,"PROJECT";"Summary -2",#N/A,FALSE,"SUMMARY"}</definedName>
    <definedName name="_______a130" localSheetId="10" hidden="1">{"Offgrid",#N/A,FALSE,"OFFGRID";"Region",#N/A,FALSE,"REGION";"Offgrid -2",#N/A,FALSE,"OFFGRID";"WTP",#N/A,FALSE,"WTP";"WTP -2",#N/A,FALSE,"WTP";"Project",#N/A,FALSE,"PROJECT";"Summary -2",#N/A,FALSE,"SUMMARY"}</definedName>
    <definedName name="_______a130" localSheetId="9" hidden="1">{"Offgrid",#N/A,FALSE,"OFFGRID";"Region",#N/A,FALSE,"REGION";"Offgrid -2",#N/A,FALSE,"OFFGRID";"WTP",#N/A,FALSE,"WTP";"WTP -2",#N/A,FALSE,"WTP";"Project",#N/A,FALSE,"PROJECT";"Summary -2",#N/A,FALSE,"SUMMARY"}</definedName>
    <definedName name="_______a130" localSheetId="8"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localSheetId="6" hidden="1">{"Offgrid",#N/A,FALSE,"OFFGRID";"Region",#N/A,FALSE,"REGION";"Offgrid -2",#N/A,FALSE,"OFFGRID";"WTP",#N/A,FALSE,"WTP";"WTP -2",#N/A,FALSE,"WTP";"Project",#N/A,FALSE,"PROJECT";"Summary -2",#N/A,FALSE,"SUMMARY"}</definedName>
    <definedName name="_______a130" localSheetId="7" hidden="1">{"Offgrid",#N/A,FALSE,"OFFGRID";"Region",#N/A,FALSE,"REGION";"Offgrid -2",#N/A,FALSE,"OFFGRID";"WTP",#N/A,FALSE,"WTP";"WTP -2",#N/A,FALSE,"WTP";"Project",#N/A,FALSE,"PROJECT";"Summary -2",#N/A,FALSE,"SUMMARY"}</definedName>
    <definedName name="_______a130" localSheetId="5" hidden="1">{"Offgrid",#N/A,FALSE,"OFFGRID";"Region",#N/A,FALSE,"REGION";"Offgrid -2",#N/A,FALSE,"OFFGRID";"WTP",#N/A,FALSE,"WTP";"WTP -2",#N/A,FALSE,"WTP";"Project",#N/A,FALSE,"PROJECT";"Summary -2",#N/A,FALSE,"SUMMARY"}</definedName>
    <definedName name="_______a130" localSheetId="13"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localSheetId="18" hidden="1">{#N/A,#N/A,TRUE,"Mhr_Sum"}</definedName>
    <definedName name="_______fsf2" hidden="1">{#N/A,#N/A,TRUE,"Mhr_Sum"}</definedName>
    <definedName name="_______h1" localSheetId="18" hidden="1">{"'Sheet1'!$L$16"}</definedName>
    <definedName name="_______h1" localSheetId="11" hidden="1">{"'Sheet1'!$L$16"}</definedName>
    <definedName name="_______h1" localSheetId="1" hidden="1">{"'Sheet1'!$L$16"}</definedName>
    <definedName name="_______h1" localSheetId="2" hidden="1">{"'Sheet1'!$L$16"}</definedName>
    <definedName name="_______h1" localSheetId="12" hidden="1">{"'Sheet1'!$L$16"}</definedName>
    <definedName name="_______h1" localSheetId="4" hidden="1">{"'Sheet1'!$L$16"}</definedName>
    <definedName name="_______h1" localSheetId="19" hidden="1">{"'Sheet1'!$L$16"}</definedName>
    <definedName name="_______h1" localSheetId="10" hidden="1">{"'Sheet1'!$L$16"}</definedName>
    <definedName name="_______h1" localSheetId="9" hidden="1">{"'Sheet1'!$L$16"}</definedName>
    <definedName name="_______h1" localSheetId="8" hidden="1">{"'Sheet1'!$L$16"}</definedName>
    <definedName name="_______h1" localSheetId="3" hidden="1">{"'Sheet1'!$L$16"}</definedName>
    <definedName name="_______h1" localSheetId="6" hidden="1">{"'Sheet1'!$L$16"}</definedName>
    <definedName name="_______h1" localSheetId="7" hidden="1">{"'Sheet1'!$L$16"}</definedName>
    <definedName name="_______h1" localSheetId="5" hidden="1">{"'Sheet1'!$L$16"}</definedName>
    <definedName name="_______h1" localSheetId="13" hidden="1">{"'Sheet1'!$L$16"}</definedName>
    <definedName name="_______h1" hidden="1">{"'Sheet1'!$L$16"}</definedName>
    <definedName name="_______H4" localSheetId="18" hidden="1">{#N/A,#N/A,TRUE,"Mhr_Sum"}</definedName>
    <definedName name="_______H4" hidden="1">{#N/A,#N/A,TRUE,"Mhr_Sum"}</definedName>
    <definedName name="_______HE1">#REF!</definedName>
    <definedName name="_______LAN3" localSheetId="18" hidden="1">{"'Sheet1'!$L$16"}</definedName>
    <definedName name="_______LAN3" localSheetId="11" hidden="1">{"'Sheet1'!$L$16"}</definedName>
    <definedName name="_______LAN3" localSheetId="1" hidden="1">{"'Sheet1'!$L$16"}</definedName>
    <definedName name="_______LAN3" localSheetId="2" hidden="1">{"'Sheet1'!$L$16"}</definedName>
    <definedName name="_______LAN3" localSheetId="12" hidden="1">{"'Sheet1'!$L$16"}</definedName>
    <definedName name="_______LAN3" localSheetId="4" hidden="1">{"'Sheet1'!$L$16"}</definedName>
    <definedName name="_______LAN3" localSheetId="19" hidden="1">{"'Sheet1'!$L$16"}</definedName>
    <definedName name="_______LAN3" localSheetId="10" hidden="1">{"'Sheet1'!$L$16"}</definedName>
    <definedName name="_______LAN3" localSheetId="9" hidden="1">{"'Sheet1'!$L$16"}</definedName>
    <definedName name="_______LAN3" localSheetId="8" hidden="1">{"'Sheet1'!$L$16"}</definedName>
    <definedName name="_______LAN3" localSheetId="3" hidden="1">{"'Sheet1'!$L$16"}</definedName>
    <definedName name="_______LAN3" localSheetId="6" hidden="1">{"'Sheet1'!$L$16"}</definedName>
    <definedName name="_______LAN3" localSheetId="7" hidden="1">{"'Sheet1'!$L$16"}</definedName>
    <definedName name="_______LAN3" localSheetId="5" hidden="1">{"'Sheet1'!$L$16"}</definedName>
    <definedName name="_______LAN3" localSheetId="13" hidden="1">{"'Sheet1'!$L$16"}</definedName>
    <definedName name="_______LAN3" hidden="1">{"'Sheet1'!$L$16"}</definedName>
    <definedName name="_______TM2" localSheetId="18" hidden="1">{"'Sheet1'!$L$16"}</definedName>
    <definedName name="_______TM2" localSheetId="11" hidden="1">{"'Sheet1'!$L$16"}</definedName>
    <definedName name="_______TM2" localSheetId="1" hidden="1">{"'Sheet1'!$L$16"}</definedName>
    <definedName name="_______TM2" localSheetId="2" hidden="1">{"'Sheet1'!$L$16"}</definedName>
    <definedName name="_______TM2" localSheetId="12" hidden="1">{"'Sheet1'!$L$16"}</definedName>
    <definedName name="_______TM2" localSheetId="4" hidden="1">{"'Sheet1'!$L$16"}</definedName>
    <definedName name="_______TM2" localSheetId="19" hidden="1">{"'Sheet1'!$L$16"}</definedName>
    <definedName name="_______TM2" localSheetId="10" hidden="1">{"'Sheet1'!$L$16"}</definedName>
    <definedName name="_______TM2" localSheetId="9" hidden="1">{"'Sheet1'!$L$16"}</definedName>
    <definedName name="_______TM2" localSheetId="8" hidden="1">{"'Sheet1'!$L$16"}</definedName>
    <definedName name="_______TM2" localSheetId="3" hidden="1">{"'Sheet1'!$L$16"}</definedName>
    <definedName name="_______TM2" localSheetId="6" hidden="1">{"'Sheet1'!$L$16"}</definedName>
    <definedName name="_______TM2" localSheetId="7" hidden="1">{"'Sheet1'!$L$16"}</definedName>
    <definedName name="_______TM2" localSheetId="5" hidden="1">{"'Sheet1'!$L$16"}</definedName>
    <definedName name="_______TM2" localSheetId="13" hidden="1">{"'Sheet1'!$L$16"}</definedName>
    <definedName name="_______TM2" hidden="1">{"'Sheet1'!$L$16"}</definedName>
    <definedName name="_______tt3" localSheetId="18" hidden="1">{"'Sheet1'!$L$16"}</definedName>
    <definedName name="_______tt3" localSheetId="11" hidden="1">{"'Sheet1'!$L$16"}</definedName>
    <definedName name="_______tt3" localSheetId="1" hidden="1">{"'Sheet1'!$L$16"}</definedName>
    <definedName name="_______tt3" localSheetId="2" hidden="1">{"'Sheet1'!$L$16"}</definedName>
    <definedName name="_______tt3" localSheetId="12" hidden="1">{"'Sheet1'!$L$16"}</definedName>
    <definedName name="_______tt3" localSheetId="4" hidden="1">{"'Sheet1'!$L$16"}</definedName>
    <definedName name="_______tt3" localSheetId="19" hidden="1">{"'Sheet1'!$L$16"}</definedName>
    <definedName name="_______tt3" localSheetId="10" hidden="1">{"'Sheet1'!$L$16"}</definedName>
    <definedName name="_______tt3" localSheetId="9" hidden="1">{"'Sheet1'!$L$16"}</definedName>
    <definedName name="_______tt3" localSheetId="8" hidden="1">{"'Sheet1'!$L$16"}</definedName>
    <definedName name="_______tt3" localSheetId="3" hidden="1">{"'Sheet1'!$L$16"}</definedName>
    <definedName name="_______tt3" localSheetId="6" hidden="1">{"'Sheet1'!$L$16"}</definedName>
    <definedName name="_______tt3" localSheetId="7" hidden="1">{"'Sheet1'!$L$16"}</definedName>
    <definedName name="_______tt3" localSheetId="5" hidden="1">{"'Sheet1'!$L$16"}</definedName>
    <definedName name="_______tt3" localSheetId="13" hidden="1">{"'Sheet1'!$L$16"}</definedName>
    <definedName name="_______tt3" hidden="1">{"'Sheet1'!$L$16"}</definedName>
    <definedName name="______a11" localSheetId="18" hidden="1">{"'장비'!$A$3:$M$12"}</definedName>
    <definedName name="______a11" hidden="1">{"'장비'!$A$3:$M$12"}</definedName>
    <definedName name="______a129" localSheetId="18"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1" hidden="1">{"Offgrid",#N/A,FALSE,"OFFGRID";"Region",#N/A,FALSE,"REGION";"Offgrid -2",#N/A,FALSE,"OFFGRID";"WTP",#N/A,FALSE,"WTP";"WTP -2",#N/A,FALSE,"WTP";"Project",#N/A,FALSE,"PROJECT";"Summary -2",#N/A,FALSE,"SUMMARY"}</definedName>
    <definedName name="______a129" localSheetId="2" hidden="1">{"Offgrid",#N/A,FALSE,"OFFGRID";"Region",#N/A,FALSE,"REGION";"Offgrid -2",#N/A,FALSE,"OFFGRID";"WTP",#N/A,FALSE,"WTP";"WTP -2",#N/A,FALSE,"WTP";"Project",#N/A,FALSE,"PROJECT";"Summary -2",#N/A,FALSE,"SUMMARY"}</definedName>
    <definedName name="______a129" localSheetId="12" hidden="1">{"Offgrid",#N/A,FALSE,"OFFGRID";"Region",#N/A,FALSE,"REGION";"Offgrid -2",#N/A,FALSE,"OFFGRID";"WTP",#N/A,FALSE,"WTP";"WTP -2",#N/A,FALSE,"WTP";"Project",#N/A,FALSE,"PROJECT";"Summary -2",#N/A,FALSE,"SUMMARY"}</definedName>
    <definedName name="______a129" localSheetId="4" hidden="1">{"Offgrid",#N/A,FALSE,"OFFGRID";"Region",#N/A,FALSE,"REGION";"Offgrid -2",#N/A,FALSE,"OFFGRID";"WTP",#N/A,FALSE,"WTP";"WTP -2",#N/A,FALSE,"WTP";"Project",#N/A,FALSE,"PROJECT";"Summary -2",#N/A,FALSE,"SUMMARY"}</definedName>
    <definedName name="______a129" localSheetId="19" hidden="1">{"Offgrid",#N/A,FALSE,"OFFGRID";"Region",#N/A,FALSE,"REGION";"Offgrid -2",#N/A,FALSE,"OFFGRID";"WTP",#N/A,FALSE,"WTP";"WTP -2",#N/A,FALSE,"WTP";"Project",#N/A,FALSE,"PROJECT";"Summary -2",#N/A,FALSE,"SUMMARY"}</definedName>
    <definedName name="______a129" localSheetId="10" hidden="1">{"Offgrid",#N/A,FALSE,"OFFGRID";"Region",#N/A,FALSE,"REGION";"Offgrid -2",#N/A,FALSE,"OFFGRID";"WTP",#N/A,FALSE,"WTP";"WTP -2",#N/A,FALSE,"WTP";"Project",#N/A,FALSE,"PROJECT";"Summary -2",#N/A,FALSE,"SUMMARY"}</definedName>
    <definedName name="______a129" localSheetId="9" hidden="1">{"Offgrid",#N/A,FALSE,"OFFGRID";"Region",#N/A,FALSE,"REGION";"Offgrid -2",#N/A,FALSE,"OFFGRID";"WTP",#N/A,FALSE,"WTP";"WTP -2",#N/A,FALSE,"WTP";"Project",#N/A,FALSE,"PROJECT";"Summary -2",#N/A,FALSE,"SUMMARY"}</definedName>
    <definedName name="______a129" localSheetId="8" hidden="1">{"Offgrid",#N/A,FALSE,"OFFGRID";"Region",#N/A,FALSE,"REGION";"Offgrid -2",#N/A,FALSE,"OFFGRID";"WTP",#N/A,FALSE,"WTP";"WTP -2",#N/A,FALSE,"WTP";"Project",#N/A,FALSE,"PROJECT";"Summary -2",#N/A,FALSE,"SUMMARY"}</definedName>
    <definedName name="______a129" localSheetId="3" hidden="1">{"Offgrid",#N/A,FALSE,"OFFGRID";"Region",#N/A,FALSE,"REGION";"Offgrid -2",#N/A,FALSE,"OFFGRID";"WTP",#N/A,FALSE,"WTP";"WTP -2",#N/A,FALSE,"WTP";"Project",#N/A,FALSE,"PROJECT";"Summary -2",#N/A,FALSE,"SUMMARY"}</definedName>
    <definedName name="______a129" localSheetId="6" hidden="1">{"Offgrid",#N/A,FALSE,"OFFGRID";"Region",#N/A,FALSE,"REGION";"Offgrid -2",#N/A,FALSE,"OFFGRID";"WTP",#N/A,FALSE,"WTP";"WTP -2",#N/A,FALSE,"WTP";"Project",#N/A,FALSE,"PROJECT";"Summary -2",#N/A,FALSE,"SUMMARY"}</definedName>
    <definedName name="______a129" localSheetId="7" hidden="1">{"Offgrid",#N/A,FALSE,"OFFGRID";"Region",#N/A,FALSE,"REGION";"Offgrid -2",#N/A,FALSE,"OFFGRID";"WTP",#N/A,FALSE,"WTP";"WTP -2",#N/A,FALSE,"WTP";"Project",#N/A,FALSE,"PROJECT";"Summary -2",#N/A,FALSE,"SUMMARY"}</definedName>
    <definedName name="______a129" localSheetId="5"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8"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12" hidden="1">{"Offgrid",#N/A,FALSE,"OFFGRID";"Region",#N/A,FALSE,"REGION";"Offgrid -2",#N/A,FALSE,"OFFGRID";"WTP",#N/A,FALSE,"WTP";"WTP -2",#N/A,FALSE,"WTP";"Project",#N/A,FALSE,"PROJECT";"Summary -2",#N/A,FALSE,"SUMMARY"}</definedName>
    <definedName name="______a130" localSheetId="4" hidden="1">{"Offgrid",#N/A,FALSE,"OFFGRID";"Region",#N/A,FALSE,"REGION";"Offgrid -2",#N/A,FALSE,"OFFGRID";"WTP",#N/A,FALSE,"WTP";"WTP -2",#N/A,FALSE,"WTP";"Project",#N/A,FALSE,"PROJECT";"Summary -2",#N/A,FALSE,"SUMMARY"}</definedName>
    <definedName name="______a130" localSheetId="19" hidden="1">{"Offgrid",#N/A,FALSE,"OFFGRID";"Region",#N/A,FALSE,"REGION";"Offgrid -2",#N/A,FALSE,"OFFGRID";"WTP",#N/A,FALSE,"WTP";"WTP -2",#N/A,FALSE,"WTP";"Project",#N/A,FALSE,"PROJECT";"Summary -2",#N/A,FALSE,"SUMMARY"}</definedName>
    <definedName name="______a130" localSheetId="10" hidden="1">{"Offgrid",#N/A,FALSE,"OFFGRID";"Region",#N/A,FALSE,"REGION";"Offgrid -2",#N/A,FALSE,"OFFGRID";"WTP",#N/A,FALSE,"WTP";"WTP -2",#N/A,FALSE,"WTP";"Project",#N/A,FALSE,"PROJECT";"Summary -2",#N/A,FALSE,"SUMMARY"}</definedName>
    <definedName name="______a130" localSheetId="9" hidden="1">{"Offgrid",#N/A,FALSE,"OFFGRID";"Region",#N/A,FALSE,"REGION";"Offgrid -2",#N/A,FALSE,"OFFGRID";"WTP",#N/A,FALSE,"WTP";"WTP -2",#N/A,FALSE,"WTP";"Project",#N/A,FALSE,"PROJECT";"Summary -2",#N/A,FALSE,"SUMMARY"}</definedName>
    <definedName name="______a130" localSheetId="8"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6" hidden="1">{"Offgrid",#N/A,FALSE,"OFFGRID";"Region",#N/A,FALSE,"REGION";"Offgrid -2",#N/A,FALSE,"OFFGRID";"WTP",#N/A,FALSE,"WTP";"WTP -2",#N/A,FALSE,"WTP";"Project",#N/A,FALSE,"PROJECT";"Summary -2",#N/A,FALSE,"SUMMARY"}</definedName>
    <definedName name="______a130" localSheetId="7"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localSheetId="18" hidden="1">{"'Sheet1'!$L$16"}</definedName>
    <definedName name="______Bm2" localSheetId="11" hidden="1">{"'Sheet1'!$L$16"}</definedName>
    <definedName name="______Bm2" localSheetId="1" hidden="1">{"'Sheet1'!$L$16"}</definedName>
    <definedName name="______Bm2" localSheetId="2" hidden="1">{"'Sheet1'!$L$16"}</definedName>
    <definedName name="______Bm2" localSheetId="12" hidden="1">{"'Sheet1'!$L$16"}</definedName>
    <definedName name="______Bm2" localSheetId="4" hidden="1">{"'Sheet1'!$L$16"}</definedName>
    <definedName name="______Bm2" localSheetId="19" hidden="1">{"'Sheet1'!$L$16"}</definedName>
    <definedName name="______Bm2" localSheetId="10" hidden="1">{"'Sheet1'!$L$16"}</definedName>
    <definedName name="______Bm2" localSheetId="9" hidden="1">{"'Sheet1'!$L$16"}</definedName>
    <definedName name="______Bm2" localSheetId="8" hidden="1">{"'Sheet1'!$L$16"}</definedName>
    <definedName name="______Bm2" localSheetId="3" hidden="1">{"'Sheet1'!$L$16"}</definedName>
    <definedName name="______Bm2" localSheetId="6" hidden="1">{"'Sheet1'!$L$16"}</definedName>
    <definedName name="______Bm2" localSheetId="7" hidden="1">{"'Sheet1'!$L$16"}</definedName>
    <definedName name="______Bm2" localSheetId="5" hidden="1">{"'Sheet1'!$L$16"}</definedName>
    <definedName name="______Bm2" localSheetId="13" hidden="1">{"'Sheet1'!$L$16"}</definedName>
    <definedName name="______Bm2" hidden="1">{"'Sheet1'!$L$16"}</definedName>
    <definedName name="______CP31" localSheetId="18" hidden="1">{"'Sheet1'!$L$16"}</definedName>
    <definedName name="______CP31" localSheetId="11" hidden="1">{"'Sheet1'!$L$16"}</definedName>
    <definedName name="______CP31" localSheetId="1" hidden="1">{"'Sheet1'!$L$16"}</definedName>
    <definedName name="______CP31" localSheetId="2" hidden="1">{"'Sheet1'!$L$16"}</definedName>
    <definedName name="______CP31" localSheetId="12" hidden="1">{"'Sheet1'!$L$16"}</definedName>
    <definedName name="______CP31" localSheetId="4" hidden="1">{"'Sheet1'!$L$16"}</definedName>
    <definedName name="______CP31" localSheetId="19" hidden="1">{"'Sheet1'!$L$16"}</definedName>
    <definedName name="______CP31" localSheetId="10" hidden="1">{"'Sheet1'!$L$16"}</definedName>
    <definedName name="______CP31" localSheetId="9" hidden="1">{"'Sheet1'!$L$16"}</definedName>
    <definedName name="______CP31" localSheetId="8" hidden="1">{"'Sheet1'!$L$16"}</definedName>
    <definedName name="______CP31" localSheetId="3" hidden="1">{"'Sheet1'!$L$16"}</definedName>
    <definedName name="______CP31" localSheetId="6" hidden="1">{"'Sheet1'!$L$16"}</definedName>
    <definedName name="______CP31" localSheetId="7" hidden="1">{"'Sheet1'!$L$16"}</definedName>
    <definedName name="______CP31" localSheetId="5" hidden="1">{"'Sheet1'!$L$16"}</definedName>
    <definedName name="______CP31" localSheetId="13" hidden="1">{"'Sheet1'!$L$16"}</definedName>
    <definedName name="______CP31" hidden="1">{"'Sheet1'!$L$16"}</definedName>
    <definedName name="______F3">#REF!</definedName>
    <definedName name="______fsf2" localSheetId="18" hidden="1">{#N/A,#N/A,TRUE,"Mhr_Sum"}</definedName>
    <definedName name="______fsf2" hidden="1">{#N/A,#N/A,TRUE,"Mhr_Sum"}</definedName>
    <definedName name="______Goi8" localSheetId="18" hidden="1">{"'Sheet1'!$L$16"}</definedName>
    <definedName name="______Goi8" localSheetId="11" hidden="1">{"'Sheet1'!$L$16"}</definedName>
    <definedName name="______Goi8" localSheetId="1" hidden="1">{"'Sheet1'!$L$16"}</definedName>
    <definedName name="______Goi8" localSheetId="2" hidden="1">{"'Sheet1'!$L$16"}</definedName>
    <definedName name="______Goi8" localSheetId="12" hidden="1">{"'Sheet1'!$L$16"}</definedName>
    <definedName name="______Goi8" localSheetId="4" hidden="1">{"'Sheet1'!$L$16"}</definedName>
    <definedName name="______Goi8" localSheetId="19" hidden="1">{"'Sheet1'!$L$16"}</definedName>
    <definedName name="______Goi8" localSheetId="10" hidden="1">{"'Sheet1'!$L$16"}</definedName>
    <definedName name="______Goi8" localSheetId="9" hidden="1">{"'Sheet1'!$L$16"}</definedName>
    <definedName name="______Goi8" localSheetId="8" hidden="1">{"'Sheet1'!$L$16"}</definedName>
    <definedName name="______Goi8" localSheetId="3" hidden="1">{"'Sheet1'!$L$16"}</definedName>
    <definedName name="______Goi8" localSheetId="6" hidden="1">{"'Sheet1'!$L$16"}</definedName>
    <definedName name="______Goi8" localSheetId="7" hidden="1">{"'Sheet1'!$L$16"}</definedName>
    <definedName name="______Goi8" localSheetId="5" hidden="1">{"'Sheet1'!$L$16"}</definedName>
    <definedName name="______Goi8" localSheetId="13" hidden="1">{"'Sheet1'!$L$16"}</definedName>
    <definedName name="______Goi8" hidden="1">{"'Sheet1'!$L$16"}</definedName>
    <definedName name="______H1" localSheetId="18" hidden="1">{#N/A,#N/A,TRUE,"Mhr_Sum"}</definedName>
    <definedName name="______H1" hidden="1">{#N/A,#N/A,TRUE,"Mhr_Sum"}</definedName>
    <definedName name="______H3" localSheetId="18" hidden="1">{"'장비'!$A$3:$M$12"}</definedName>
    <definedName name="______H3" hidden="1">{"'장비'!$A$3:$M$12"}</definedName>
    <definedName name="______H4" localSheetId="18" hidden="1">{#N/A,#N/A,TRUE,"Mhr_Sum"}</definedName>
    <definedName name="______H4" hidden="1">{#N/A,#N/A,TRUE,"Mhr_Sum"}</definedName>
    <definedName name="______HE09">#REF!</definedName>
    <definedName name="______Lan1" localSheetId="18" hidden="1">{"'Sheet1'!$L$16"}</definedName>
    <definedName name="______Lan1" localSheetId="11" hidden="1">{"'Sheet1'!$L$16"}</definedName>
    <definedName name="______Lan1" localSheetId="1" hidden="1">{"'Sheet1'!$L$16"}</definedName>
    <definedName name="______Lan1" localSheetId="2" hidden="1">{"'Sheet1'!$L$16"}</definedName>
    <definedName name="______Lan1" localSheetId="12" hidden="1">{"'Sheet1'!$L$16"}</definedName>
    <definedName name="______Lan1" localSheetId="4" hidden="1">{"'Sheet1'!$L$16"}</definedName>
    <definedName name="______Lan1" localSheetId="19" hidden="1">{"'Sheet1'!$L$16"}</definedName>
    <definedName name="______Lan1" localSheetId="10" hidden="1">{"'Sheet1'!$L$16"}</definedName>
    <definedName name="______Lan1" localSheetId="9" hidden="1">{"'Sheet1'!$L$16"}</definedName>
    <definedName name="______Lan1" localSheetId="8" hidden="1">{"'Sheet1'!$L$16"}</definedName>
    <definedName name="______Lan1" localSheetId="3" hidden="1">{"'Sheet1'!$L$16"}</definedName>
    <definedName name="______Lan1" localSheetId="6" hidden="1">{"'Sheet1'!$L$16"}</definedName>
    <definedName name="______Lan1" localSheetId="7" hidden="1">{"'Sheet1'!$L$16"}</definedName>
    <definedName name="______Lan1" localSheetId="5" hidden="1">{"'Sheet1'!$L$16"}</definedName>
    <definedName name="______Lan1" localSheetId="13" hidden="1">{"'Sheet1'!$L$16"}</definedName>
    <definedName name="______Lan1" hidden="1">{"'Sheet1'!$L$16"}</definedName>
    <definedName name="______LAN3" localSheetId="18" hidden="1">{"'Sheet1'!$L$16"}</definedName>
    <definedName name="______LAN3" localSheetId="11" hidden="1">{"'Sheet1'!$L$16"}</definedName>
    <definedName name="______LAN3" localSheetId="1" hidden="1">{"'Sheet1'!$L$16"}</definedName>
    <definedName name="______LAN3" localSheetId="2" hidden="1">{"'Sheet1'!$L$16"}</definedName>
    <definedName name="______LAN3" localSheetId="12" hidden="1">{"'Sheet1'!$L$16"}</definedName>
    <definedName name="______LAN3" localSheetId="4" hidden="1">{"'Sheet1'!$L$16"}</definedName>
    <definedName name="______LAN3" localSheetId="19" hidden="1">{"'Sheet1'!$L$16"}</definedName>
    <definedName name="______LAN3" localSheetId="10" hidden="1">{"'Sheet1'!$L$16"}</definedName>
    <definedName name="______LAN3" localSheetId="9" hidden="1">{"'Sheet1'!$L$16"}</definedName>
    <definedName name="______LAN3" localSheetId="8" hidden="1">{"'Sheet1'!$L$16"}</definedName>
    <definedName name="______LAN3" localSheetId="3" hidden="1">{"'Sheet1'!$L$16"}</definedName>
    <definedName name="______LAN3" localSheetId="6" hidden="1">{"'Sheet1'!$L$16"}</definedName>
    <definedName name="______LAN3" localSheetId="7" hidden="1">{"'Sheet1'!$L$16"}</definedName>
    <definedName name="______LAN3" localSheetId="5" hidden="1">{"'Sheet1'!$L$16"}</definedName>
    <definedName name="______LAN3" localSheetId="13" hidden="1">{"'Sheet1'!$L$16"}</definedName>
    <definedName name="______LAN3" hidden="1">{"'Sheet1'!$L$16"}</definedName>
    <definedName name="______NCN15" localSheetId="18" hidden="1">{"'Sheet1'!$L$16"}</definedName>
    <definedName name="______NCN15" localSheetId="11" hidden="1">{"'Sheet1'!$L$16"}</definedName>
    <definedName name="______NCN15" localSheetId="1" hidden="1">{"'Sheet1'!$L$16"}</definedName>
    <definedName name="______NCN15" localSheetId="2" hidden="1">{"'Sheet1'!$L$16"}</definedName>
    <definedName name="______NCN15" localSheetId="12" hidden="1">{"'Sheet1'!$L$16"}</definedName>
    <definedName name="______NCN15" localSheetId="4" hidden="1">{"'Sheet1'!$L$16"}</definedName>
    <definedName name="______NCN15" localSheetId="19" hidden="1">{"'Sheet1'!$L$16"}</definedName>
    <definedName name="______NCN15" localSheetId="10" hidden="1">{"'Sheet1'!$L$16"}</definedName>
    <definedName name="______NCN15" localSheetId="9" hidden="1">{"'Sheet1'!$L$16"}</definedName>
    <definedName name="______NCN15" localSheetId="8" hidden="1">{"'Sheet1'!$L$16"}</definedName>
    <definedName name="______NCN15" localSheetId="3" hidden="1">{"'Sheet1'!$L$16"}</definedName>
    <definedName name="______NCN15" localSheetId="6" hidden="1">{"'Sheet1'!$L$16"}</definedName>
    <definedName name="______NCN15" localSheetId="7" hidden="1">{"'Sheet1'!$L$16"}</definedName>
    <definedName name="______NCN15" localSheetId="5" hidden="1">{"'Sheet1'!$L$16"}</definedName>
    <definedName name="______NCN15" localSheetId="13" hidden="1">{"'Sheet1'!$L$16"}</definedName>
    <definedName name="______NCN15" hidden="1">{"'Sheet1'!$L$16"}</definedName>
    <definedName name="______nin190">#REF!</definedName>
    <definedName name="______PA3" localSheetId="18" hidden="1">{"'Sheet1'!$L$16"}</definedName>
    <definedName name="______PA3" localSheetId="11" hidden="1">{"'Sheet1'!$L$16"}</definedName>
    <definedName name="______PA3" localSheetId="1" hidden="1">{"'Sheet1'!$L$16"}</definedName>
    <definedName name="______PA3" localSheetId="2" hidden="1">{"'Sheet1'!$L$16"}</definedName>
    <definedName name="______PA3" localSheetId="12" hidden="1">{"'Sheet1'!$L$16"}</definedName>
    <definedName name="______PA3" localSheetId="4" hidden="1">{"'Sheet1'!$L$16"}</definedName>
    <definedName name="______PA3" localSheetId="19" hidden="1">{"'Sheet1'!$L$16"}</definedName>
    <definedName name="______PA3" localSheetId="10" hidden="1">{"'Sheet1'!$L$16"}</definedName>
    <definedName name="______PA3" localSheetId="9" hidden="1">{"'Sheet1'!$L$16"}</definedName>
    <definedName name="______PA3" localSheetId="8" hidden="1">{"'Sheet1'!$L$16"}</definedName>
    <definedName name="______PA3" localSheetId="3" hidden="1">{"'Sheet1'!$L$16"}</definedName>
    <definedName name="______PA3" localSheetId="6" hidden="1">{"'Sheet1'!$L$16"}</definedName>
    <definedName name="______PA3" localSheetId="7" hidden="1">{"'Sheet1'!$L$16"}</definedName>
    <definedName name="______PA3" localSheetId="5" hidden="1">{"'Sheet1'!$L$16"}</definedName>
    <definedName name="______PA3" localSheetId="13" hidden="1">{"'Sheet1'!$L$16"}</definedName>
    <definedName name="______PA3" hidden="1">{"'Sheet1'!$L$16"}</definedName>
    <definedName name="______TH20004" localSheetId="18" hidden="1">{"'Sheet1'!$L$16"}</definedName>
    <definedName name="______TH20004" localSheetId="11" hidden="1">{"'Sheet1'!$L$16"}</definedName>
    <definedName name="______TH20004" localSheetId="1" hidden="1">{"'Sheet1'!$L$16"}</definedName>
    <definedName name="______TH20004" localSheetId="2" hidden="1">{"'Sheet1'!$L$16"}</definedName>
    <definedName name="______TH20004" localSheetId="12" hidden="1">{"'Sheet1'!$L$16"}</definedName>
    <definedName name="______TH20004" localSheetId="4" hidden="1">{"'Sheet1'!$L$16"}</definedName>
    <definedName name="______TH20004" localSheetId="19" hidden="1">{"'Sheet1'!$L$16"}</definedName>
    <definedName name="______TH20004" localSheetId="10" hidden="1">{"'Sheet1'!$L$16"}</definedName>
    <definedName name="______TH20004" localSheetId="9" hidden="1">{"'Sheet1'!$L$16"}</definedName>
    <definedName name="______TH20004" localSheetId="8" hidden="1">{"'Sheet1'!$L$16"}</definedName>
    <definedName name="______TH20004" localSheetId="3" hidden="1">{"'Sheet1'!$L$16"}</definedName>
    <definedName name="______TH20004" localSheetId="6" hidden="1">{"'Sheet1'!$L$16"}</definedName>
    <definedName name="______TH20004" localSheetId="7" hidden="1">{"'Sheet1'!$L$16"}</definedName>
    <definedName name="______TH20004" localSheetId="5" hidden="1">{"'Sheet1'!$L$16"}</definedName>
    <definedName name="______TH20004" localSheetId="13" hidden="1">{"'Sheet1'!$L$16"}</definedName>
    <definedName name="______TH20004" hidden="1">{"'Sheet1'!$L$16"}</definedName>
    <definedName name="_____a129" localSheetId="18"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localSheetId="2" hidden="1">{"Offgrid",#N/A,FALSE,"OFFGRID";"Region",#N/A,FALSE,"REGION";"Offgrid -2",#N/A,FALSE,"OFFGRID";"WTP",#N/A,FALSE,"WTP";"WTP -2",#N/A,FALSE,"WTP";"Project",#N/A,FALSE,"PROJECT";"Summary -2",#N/A,FALSE,"SUMMARY"}</definedName>
    <definedName name="_____a129" localSheetId="12" hidden="1">{"Offgrid",#N/A,FALSE,"OFFGRID";"Region",#N/A,FALSE,"REGION";"Offgrid -2",#N/A,FALSE,"OFFGRID";"WTP",#N/A,FALSE,"WTP";"WTP -2",#N/A,FALSE,"WTP";"Project",#N/A,FALSE,"PROJECT";"Summary -2",#N/A,FALSE,"SUMMARY"}</definedName>
    <definedName name="_____a129" localSheetId="4" hidden="1">{"Offgrid",#N/A,FALSE,"OFFGRID";"Region",#N/A,FALSE,"REGION";"Offgrid -2",#N/A,FALSE,"OFFGRID";"WTP",#N/A,FALSE,"WTP";"WTP -2",#N/A,FALSE,"WTP";"Project",#N/A,FALSE,"PROJECT";"Summary -2",#N/A,FALSE,"SUMMARY"}</definedName>
    <definedName name="_____a129" localSheetId="19" hidden="1">{"Offgrid",#N/A,FALSE,"OFFGRID";"Region",#N/A,FALSE,"REGION";"Offgrid -2",#N/A,FALSE,"OFFGRID";"WTP",#N/A,FALSE,"WTP";"WTP -2",#N/A,FALSE,"WTP";"Project",#N/A,FALSE,"PROJECT";"Summary -2",#N/A,FALSE,"SUMMARY"}</definedName>
    <definedName name="_____a129" localSheetId="10" hidden="1">{"Offgrid",#N/A,FALSE,"OFFGRID";"Region",#N/A,FALSE,"REGION";"Offgrid -2",#N/A,FALSE,"OFFGRID";"WTP",#N/A,FALSE,"WTP";"WTP -2",#N/A,FALSE,"WTP";"Project",#N/A,FALSE,"PROJECT";"Summary -2",#N/A,FALSE,"SUMMARY"}</definedName>
    <definedName name="_____a129" localSheetId="9" hidden="1">{"Offgrid",#N/A,FALSE,"OFFGRID";"Region",#N/A,FALSE,"REGION";"Offgrid -2",#N/A,FALSE,"OFFGRID";"WTP",#N/A,FALSE,"WTP";"WTP -2",#N/A,FALSE,"WTP";"Project",#N/A,FALSE,"PROJECT";"Summary -2",#N/A,FALSE,"SUMMARY"}</definedName>
    <definedName name="_____a129" localSheetId="8" hidden="1">{"Offgrid",#N/A,FALSE,"OFFGRID";"Region",#N/A,FALSE,"REGION";"Offgrid -2",#N/A,FALSE,"OFFGRID";"WTP",#N/A,FALSE,"WTP";"WTP -2",#N/A,FALSE,"WTP";"Project",#N/A,FALSE,"PROJECT";"Summary -2",#N/A,FALSE,"SUMMARY"}</definedName>
    <definedName name="_____a129" localSheetId="3" hidden="1">{"Offgrid",#N/A,FALSE,"OFFGRID";"Region",#N/A,FALSE,"REGION";"Offgrid -2",#N/A,FALSE,"OFFGRID";"WTP",#N/A,FALSE,"WTP";"WTP -2",#N/A,FALSE,"WTP";"Project",#N/A,FALSE,"PROJECT";"Summary -2",#N/A,FALSE,"SUMMARY"}</definedName>
    <definedName name="_____a129" localSheetId="6" hidden="1">{"Offgrid",#N/A,FALSE,"OFFGRID";"Region",#N/A,FALSE,"REGION";"Offgrid -2",#N/A,FALSE,"OFFGRID";"WTP",#N/A,FALSE,"WTP";"WTP -2",#N/A,FALSE,"WTP";"Project",#N/A,FALSE,"PROJECT";"Summary -2",#N/A,FALSE,"SUMMARY"}</definedName>
    <definedName name="_____a129" localSheetId="7" hidden="1">{"Offgrid",#N/A,FALSE,"OFFGRID";"Region",#N/A,FALSE,"REGION";"Offgrid -2",#N/A,FALSE,"OFFGRID";"WTP",#N/A,FALSE,"WTP";"WTP -2",#N/A,FALSE,"WTP";"Project",#N/A,FALSE,"PROJECT";"Summary -2",#N/A,FALSE,"SUMMARY"}</definedName>
    <definedName name="_____a129" localSheetId="5"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8"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12" hidden="1">{"Offgrid",#N/A,FALSE,"OFFGRID";"Region",#N/A,FALSE,"REGION";"Offgrid -2",#N/A,FALSE,"OFFGRID";"WTP",#N/A,FALSE,"WTP";"WTP -2",#N/A,FALSE,"WTP";"Project",#N/A,FALSE,"PROJECT";"Summary -2",#N/A,FALSE,"SUMMARY"}</definedName>
    <definedName name="_____a130" localSheetId="4" hidden="1">{"Offgrid",#N/A,FALSE,"OFFGRID";"Region",#N/A,FALSE,"REGION";"Offgrid -2",#N/A,FALSE,"OFFGRID";"WTP",#N/A,FALSE,"WTP";"WTP -2",#N/A,FALSE,"WTP";"Project",#N/A,FALSE,"PROJECT";"Summary -2",#N/A,FALSE,"SUMMARY"}</definedName>
    <definedName name="_____a130" localSheetId="19" hidden="1">{"Offgrid",#N/A,FALSE,"OFFGRID";"Region",#N/A,FALSE,"REGION";"Offgrid -2",#N/A,FALSE,"OFFGRID";"WTP",#N/A,FALSE,"WTP";"WTP -2",#N/A,FALSE,"WTP";"Project",#N/A,FALSE,"PROJECT";"Summary -2",#N/A,FALSE,"SUMMARY"}</definedName>
    <definedName name="_____a130" localSheetId="10" hidden="1">{"Offgrid",#N/A,FALSE,"OFFGRID";"Region",#N/A,FALSE,"REGION";"Offgrid -2",#N/A,FALSE,"OFFGRID";"WTP",#N/A,FALSE,"WTP";"WTP -2",#N/A,FALSE,"WTP";"Project",#N/A,FALSE,"PROJECT";"Summary -2",#N/A,FALSE,"SUMMARY"}</definedName>
    <definedName name="_____a130" localSheetId="9" hidden="1">{"Offgrid",#N/A,FALSE,"OFFGRID";"Region",#N/A,FALSE,"REGION";"Offgrid -2",#N/A,FALSE,"OFFGRID";"WTP",#N/A,FALSE,"WTP";"WTP -2",#N/A,FALSE,"WTP";"Project",#N/A,FALSE,"PROJECT";"Summary -2",#N/A,FALSE,"SUMMARY"}</definedName>
    <definedName name="_____a130" localSheetId="8"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6" hidden="1">{"Offgrid",#N/A,FALSE,"OFFGRID";"Region",#N/A,FALSE,"REGION";"Offgrid -2",#N/A,FALSE,"OFFGRID";"WTP",#N/A,FALSE,"WTP";"WTP -2",#N/A,FALSE,"WTP";"Project",#N/A,FALSE,"PROJECT";"Summary -2",#N/A,FALSE,"SUMMARY"}</definedName>
    <definedName name="_____a130" localSheetId="7"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18" hidden="1">{"'Sheet1'!$L$16"}</definedName>
    <definedName name="_____a2" localSheetId="11" hidden="1">{"'Sheet1'!$L$16"}</definedName>
    <definedName name="_____a2" localSheetId="1" hidden="1">{"'Sheet1'!$L$16"}</definedName>
    <definedName name="_____a2" localSheetId="2" hidden="1">{"'Sheet1'!$L$16"}</definedName>
    <definedName name="_____a2" localSheetId="12" hidden="1">{"'Sheet1'!$L$16"}</definedName>
    <definedName name="_____a2" localSheetId="4" hidden="1">{"'Sheet1'!$L$16"}</definedName>
    <definedName name="_____a2" localSheetId="19" hidden="1">{"'Sheet1'!$L$16"}</definedName>
    <definedName name="_____a2" localSheetId="10" hidden="1">{"'Sheet1'!$L$16"}</definedName>
    <definedName name="_____a2" localSheetId="9" hidden="1">{"'Sheet1'!$L$16"}</definedName>
    <definedName name="_____a2" localSheetId="8" hidden="1">{"'Sheet1'!$L$16"}</definedName>
    <definedName name="_____a2" localSheetId="3" hidden="1">{"'Sheet1'!$L$16"}</definedName>
    <definedName name="_____a2" localSheetId="6" hidden="1">{"'Sheet1'!$L$16"}</definedName>
    <definedName name="_____a2" localSheetId="7" hidden="1">{"'Sheet1'!$L$16"}</definedName>
    <definedName name="_____a2" localSheetId="5" hidden="1">{"'Sheet1'!$L$16"}</definedName>
    <definedName name="_____a2" localSheetId="13" hidden="1">{"'Sheet1'!$L$16"}</definedName>
    <definedName name="_____a2" hidden="1">{"'Sheet1'!$L$16"}</definedName>
    <definedName name="_____Bm2" localSheetId="18" hidden="1">{"'Sheet1'!$L$16"}</definedName>
    <definedName name="_____Bm2" localSheetId="11" hidden="1">{"'Sheet1'!$L$16"}</definedName>
    <definedName name="_____Bm2" localSheetId="1" hidden="1">{"'Sheet1'!$L$16"}</definedName>
    <definedName name="_____Bm2" localSheetId="2" hidden="1">{"'Sheet1'!$L$16"}</definedName>
    <definedName name="_____Bm2" localSheetId="12" hidden="1">{"'Sheet1'!$L$16"}</definedName>
    <definedName name="_____Bm2" localSheetId="4" hidden="1">{"'Sheet1'!$L$16"}</definedName>
    <definedName name="_____Bm2" localSheetId="19" hidden="1">{"'Sheet1'!$L$16"}</definedName>
    <definedName name="_____Bm2" localSheetId="10" hidden="1">{"'Sheet1'!$L$16"}</definedName>
    <definedName name="_____Bm2" localSheetId="9" hidden="1">{"'Sheet1'!$L$16"}</definedName>
    <definedName name="_____Bm2" localSheetId="8" hidden="1">{"'Sheet1'!$L$16"}</definedName>
    <definedName name="_____Bm2" localSheetId="3" hidden="1">{"'Sheet1'!$L$16"}</definedName>
    <definedName name="_____Bm2" localSheetId="6" hidden="1">{"'Sheet1'!$L$16"}</definedName>
    <definedName name="_____Bm2" localSheetId="7" hidden="1">{"'Sheet1'!$L$16"}</definedName>
    <definedName name="_____Bm2" localSheetId="5" hidden="1">{"'Sheet1'!$L$16"}</definedName>
    <definedName name="_____Bm2" localSheetId="13" hidden="1">{"'Sheet1'!$L$16"}</definedName>
    <definedName name="_____Bm2" hidden="1">{"'Sheet1'!$L$16"}</definedName>
    <definedName name="_____CON1">#REF!</definedName>
    <definedName name="_____CP31" localSheetId="18" hidden="1">{"'Sheet1'!$L$16"}</definedName>
    <definedName name="_____CP31" localSheetId="11" hidden="1">{"'Sheet1'!$L$16"}</definedName>
    <definedName name="_____CP31" localSheetId="1" hidden="1">{"'Sheet1'!$L$16"}</definedName>
    <definedName name="_____CP31" localSheetId="2" hidden="1">{"'Sheet1'!$L$16"}</definedName>
    <definedName name="_____CP31" localSheetId="12" hidden="1">{"'Sheet1'!$L$16"}</definedName>
    <definedName name="_____CP31" localSheetId="4" hidden="1">{"'Sheet1'!$L$16"}</definedName>
    <definedName name="_____CP31" localSheetId="19" hidden="1">{"'Sheet1'!$L$16"}</definedName>
    <definedName name="_____CP31" localSheetId="10" hidden="1">{"'Sheet1'!$L$16"}</definedName>
    <definedName name="_____CP31" localSheetId="9" hidden="1">{"'Sheet1'!$L$16"}</definedName>
    <definedName name="_____CP31" localSheetId="8" hidden="1">{"'Sheet1'!$L$16"}</definedName>
    <definedName name="_____CP31" localSheetId="3" hidden="1">{"'Sheet1'!$L$16"}</definedName>
    <definedName name="_____CP31" localSheetId="6" hidden="1">{"'Sheet1'!$L$16"}</definedName>
    <definedName name="_____CP31" localSheetId="7" hidden="1">{"'Sheet1'!$L$16"}</definedName>
    <definedName name="_____CP31" localSheetId="5" hidden="1">{"'Sheet1'!$L$16"}</definedName>
    <definedName name="_____CP31" localSheetId="13" hidden="1">{"'Sheet1'!$L$16"}</definedName>
    <definedName name="_____CP31" hidden="1">{"'Sheet1'!$L$16"}</definedName>
    <definedName name="_____d1500" localSheetId="18" hidden="1">{"'Sheet1'!$L$16"}</definedName>
    <definedName name="_____d1500" localSheetId="11" hidden="1">{"'Sheet1'!$L$16"}</definedName>
    <definedName name="_____d1500" localSheetId="1" hidden="1">{"'Sheet1'!$L$16"}</definedName>
    <definedName name="_____d1500" localSheetId="2" hidden="1">{"'Sheet1'!$L$16"}</definedName>
    <definedName name="_____d1500" localSheetId="12" hidden="1">{"'Sheet1'!$L$16"}</definedName>
    <definedName name="_____d1500" localSheetId="4" hidden="1">{"'Sheet1'!$L$16"}</definedName>
    <definedName name="_____d1500" localSheetId="19" hidden="1">{"'Sheet1'!$L$16"}</definedName>
    <definedName name="_____d1500" localSheetId="10" hidden="1">{"'Sheet1'!$L$16"}</definedName>
    <definedName name="_____d1500" localSheetId="9" hidden="1">{"'Sheet1'!$L$16"}</definedName>
    <definedName name="_____d1500" localSheetId="8" hidden="1">{"'Sheet1'!$L$16"}</definedName>
    <definedName name="_____d1500" localSheetId="3" hidden="1">{"'Sheet1'!$L$16"}</definedName>
    <definedName name="_____d1500" localSheetId="6" hidden="1">{"'Sheet1'!$L$16"}</definedName>
    <definedName name="_____d1500" localSheetId="7" hidden="1">{"'Sheet1'!$L$16"}</definedName>
    <definedName name="_____d1500" localSheetId="5" hidden="1">{"'Sheet1'!$L$16"}</definedName>
    <definedName name="_____d1500" localSheetId="13" hidden="1">{"'Sheet1'!$L$16"}</definedName>
    <definedName name="_____d1500" hidden="1">{"'Sheet1'!$L$16"}</definedName>
    <definedName name="_____fsf2" localSheetId="18" hidden="1">{#N/A,#N/A,TRUE,"Mhr_Sum"}</definedName>
    <definedName name="_____fsf2" hidden="1">{#N/A,#N/A,TRUE,"Mhr_Sum"}</definedName>
    <definedName name="_____Goi8" localSheetId="18" hidden="1">{"'Sheet1'!$L$16"}</definedName>
    <definedName name="_____Goi8" localSheetId="11" hidden="1">{"'Sheet1'!$L$16"}</definedName>
    <definedName name="_____Goi8" localSheetId="1" hidden="1">{"'Sheet1'!$L$16"}</definedName>
    <definedName name="_____Goi8" localSheetId="2" hidden="1">{"'Sheet1'!$L$16"}</definedName>
    <definedName name="_____Goi8" localSheetId="12" hidden="1">{"'Sheet1'!$L$16"}</definedName>
    <definedName name="_____Goi8" localSheetId="4" hidden="1">{"'Sheet1'!$L$16"}</definedName>
    <definedName name="_____Goi8" localSheetId="19" hidden="1">{"'Sheet1'!$L$16"}</definedName>
    <definedName name="_____Goi8" localSheetId="10" hidden="1">{"'Sheet1'!$L$16"}</definedName>
    <definedName name="_____Goi8" localSheetId="9" hidden="1">{"'Sheet1'!$L$16"}</definedName>
    <definedName name="_____Goi8" localSheetId="8" hidden="1">{"'Sheet1'!$L$16"}</definedName>
    <definedName name="_____Goi8" localSheetId="3" hidden="1">{"'Sheet1'!$L$16"}</definedName>
    <definedName name="_____Goi8" localSheetId="6" hidden="1">{"'Sheet1'!$L$16"}</definedName>
    <definedName name="_____Goi8" localSheetId="7" hidden="1">{"'Sheet1'!$L$16"}</definedName>
    <definedName name="_____Goi8" localSheetId="5" hidden="1">{"'Sheet1'!$L$16"}</definedName>
    <definedName name="_____Goi8" localSheetId="13" hidden="1">{"'Sheet1'!$L$16"}</definedName>
    <definedName name="_____Goi8" hidden="1">{"'Sheet1'!$L$16"}</definedName>
    <definedName name="_____H1" localSheetId="18" hidden="1">{#N/A,#N/A,TRUE,"Mhr_Sum"}</definedName>
    <definedName name="_____H1" hidden="1">{#N/A,#N/A,TRUE,"Mhr_Sum"}</definedName>
    <definedName name="_____H4" localSheetId="18" hidden="1">{#N/A,#N/A,TRUE,"Mhr_Sum"}</definedName>
    <definedName name="_____H4" hidden="1">{#N/A,#N/A,TRUE,"Mhr_Sum"}</definedName>
    <definedName name="_____HE1">#REF!</definedName>
    <definedName name="_____KM130" localSheetId="18" hidden="1">{"'Sheet1'!$L$16"}</definedName>
    <definedName name="_____KM130" localSheetId="11" hidden="1">{"'Sheet1'!$L$16"}</definedName>
    <definedName name="_____KM130" localSheetId="1" hidden="1">{"'Sheet1'!$L$16"}</definedName>
    <definedName name="_____KM130" localSheetId="2" hidden="1">{"'Sheet1'!$L$16"}</definedName>
    <definedName name="_____KM130" localSheetId="12" hidden="1">{"'Sheet1'!$L$16"}</definedName>
    <definedName name="_____KM130" localSheetId="4" hidden="1">{"'Sheet1'!$L$16"}</definedName>
    <definedName name="_____KM130" localSheetId="19" hidden="1">{"'Sheet1'!$L$16"}</definedName>
    <definedName name="_____KM130" localSheetId="10" hidden="1">{"'Sheet1'!$L$16"}</definedName>
    <definedName name="_____KM130" localSheetId="9" hidden="1">{"'Sheet1'!$L$16"}</definedName>
    <definedName name="_____KM130" localSheetId="8" hidden="1">{"'Sheet1'!$L$16"}</definedName>
    <definedName name="_____KM130" localSheetId="3" hidden="1">{"'Sheet1'!$L$16"}</definedName>
    <definedName name="_____KM130" localSheetId="6" hidden="1">{"'Sheet1'!$L$16"}</definedName>
    <definedName name="_____KM130" localSheetId="7" hidden="1">{"'Sheet1'!$L$16"}</definedName>
    <definedName name="_____KM130" localSheetId="5" hidden="1">{"'Sheet1'!$L$16"}</definedName>
    <definedName name="_____KM130" localSheetId="13" hidden="1">{"'Sheet1'!$L$16"}</definedName>
    <definedName name="_____KM130" hidden="1">{"'Sheet1'!$L$16"}</definedName>
    <definedName name="_____Lan1" localSheetId="18" hidden="1">{"'Sheet1'!$L$16"}</definedName>
    <definedName name="_____Lan1" localSheetId="11" hidden="1">{"'Sheet1'!$L$16"}</definedName>
    <definedName name="_____Lan1" localSheetId="1" hidden="1">{"'Sheet1'!$L$16"}</definedName>
    <definedName name="_____Lan1" localSheetId="2" hidden="1">{"'Sheet1'!$L$16"}</definedName>
    <definedName name="_____Lan1" localSheetId="12" hidden="1">{"'Sheet1'!$L$16"}</definedName>
    <definedName name="_____Lan1" localSheetId="4" hidden="1">{"'Sheet1'!$L$16"}</definedName>
    <definedName name="_____Lan1" localSheetId="19" hidden="1">{"'Sheet1'!$L$16"}</definedName>
    <definedName name="_____Lan1" localSheetId="10" hidden="1">{"'Sheet1'!$L$16"}</definedName>
    <definedName name="_____Lan1" localSheetId="9" hidden="1">{"'Sheet1'!$L$16"}</definedName>
    <definedName name="_____Lan1" localSheetId="8" hidden="1">{"'Sheet1'!$L$16"}</definedName>
    <definedName name="_____Lan1" localSheetId="3" hidden="1">{"'Sheet1'!$L$16"}</definedName>
    <definedName name="_____Lan1" localSheetId="6" hidden="1">{"'Sheet1'!$L$16"}</definedName>
    <definedName name="_____Lan1" localSheetId="7" hidden="1">{"'Sheet1'!$L$16"}</definedName>
    <definedName name="_____Lan1" localSheetId="5" hidden="1">{"'Sheet1'!$L$16"}</definedName>
    <definedName name="_____Lan1" localSheetId="13" hidden="1">{"'Sheet1'!$L$16"}</definedName>
    <definedName name="_____Lan1" hidden="1">{"'Sheet1'!$L$16"}</definedName>
    <definedName name="_____LAN3" localSheetId="18" hidden="1">{"'Sheet1'!$L$16"}</definedName>
    <definedName name="_____LAN3" localSheetId="11" hidden="1">{"'Sheet1'!$L$16"}</definedName>
    <definedName name="_____LAN3" localSheetId="1" hidden="1">{"'Sheet1'!$L$16"}</definedName>
    <definedName name="_____LAN3" localSheetId="2" hidden="1">{"'Sheet1'!$L$16"}</definedName>
    <definedName name="_____LAN3" localSheetId="12" hidden="1">{"'Sheet1'!$L$16"}</definedName>
    <definedName name="_____LAN3" localSheetId="4" hidden="1">{"'Sheet1'!$L$16"}</definedName>
    <definedName name="_____LAN3" localSheetId="19" hidden="1">{"'Sheet1'!$L$16"}</definedName>
    <definedName name="_____LAN3" localSheetId="10" hidden="1">{"'Sheet1'!$L$16"}</definedName>
    <definedName name="_____LAN3" localSheetId="9" hidden="1">{"'Sheet1'!$L$16"}</definedName>
    <definedName name="_____LAN3" localSheetId="8" hidden="1">{"'Sheet1'!$L$16"}</definedName>
    <definedName name="_____LAN3" localSheetId="3" hidden="1">{"'Sheet1'!$L$16"}</definedName>
    <definedName name="_____LAN3" localSheetId="6" hidden="1">{"'Sheet1'!$L$16"}</definedName>
    <definedName name="_____LAN3" localSheetId="7" hidden="1">{"'Sheet1'!$L$16"}</definedName>
    <definedName name="_____LAN3" localSheetId="5" hidden="1">{"'Sheet1'!$L$16"}</definedName>
    <definedName name="_____LAN3" localSheetId="13" hidden="1">{"'Sheet1'!$L$16"}</definedName>
    <definedName name="_____LAN3" hidden="1">{"'Sheet1'!$L$16"}</definedName>
    <definedName name="_____lap2">#REF!</definedName>
    <definedName name="_____MAC12">#REF!</definedName>
    <definedName name="_____PA3" localSheetId="18" hidden="1">{"'Sheet1'!$L$16"}</definedName>
    <definedName name="_____PA3" localSheetId="11" hidden="1">{"'Sheet1'!$L$16"}</definedName>
    <definedName name="_____PA3" localSheetId="1" hidden="1">{"'Sheet1'!$L$16"}</definedName>
    <definedName name="_____PA3" localSheetId="2" hidden="1">{"'Sheet1'!$L$16"}</definedName>
    <definedName name="_____PA3" localSheetId="12" hidden="1">{"'Sheet1'!$L$16"}</definedName>
    <definedName name="_____PA3" localSheetId="4" hidden="1">{"'Sheet1'!$L$16"}</definedName>
    <definedName name="_____PA3" localSheetId="19" hidden="1">{"'Sheet1'!$L$16"}</definedName>
    <definedName name="_____PA3" localSheetId="10" hidden="1">{"'Sheet1'!$L$16"}</definedName>
    <definedName name="_____PA3" localSheetId="9" hidden="1">{"'Sheet1'!$L$16"}</definedName>
    <definedName name="_____PA3" localSheetId="8" hidden="1">{"'Sheet1'!$L$16"}</definedName>
    <definedName name="_____PA3" localSheetId="3" hidden="1">{"'Sheet1'!$L$16"}</definedName>
    <definedName name="_____PA3" localSheetId="6" hidden="1">{"'Sheet1'!$L$16"}</definedName>
    <definedName name="_____PA3" localSheetId="7" hidden="1">{"'Sheet1'!$L$16"}</definedName>
    <definedName name="_____PA3" localSheetId="5" hidden="1">{"'Sheet1'!$L$16"}</definedName>
    <definedName name="_____PA3" localSheetId="13" hidden="1">{"'Sheet1'!$L$16"}</definedName>
    <definedName name="_____PA3" hidden="1">{"'Sheet1'!$L$16"}</definedName>
    <definedName name="_____PK2" localSheetId="18" hidden="1">{"'장비'!$A$3:$M$12"}</definedName>
    <definedName name="_____PK2" hidden="1">{"'장비'!$A$3:$M$12"}</definedName>
    <definedName name="_____PKG3" localSheetId="18" hidden="1">{"'장비'!$A$3:$M$12"}</definedName>
    <definedName name="_____PKG3" hidden="1">{"'장비'!$A$3:$M$12"}</definedName>
    <definedName name="_____qqq222" localSheetId="18" hidden="1">{"'장비'!$A$3:$M$12"}</definedName>
    <definedName name="_____qqq222" hidden="1">{"'장비'!$A$3:$M$12"}</definedName>
    <definedName name="_____sc1">#REF!</definedName>
    <definedName name="_____TH20004" localSheetId="18" hidden="1">{"'Sheet1'!$L$16"}</definedName>
    <definedName name="_____TH20004" localSheetId="11" hidden="1">{"'Sheet1'!$L$16"}</definedName>
    <definedName name="_____TH20004" localSheetId="1" hidden="1">{"'Sheet1'!$L$16"}</definedName>
    <definedName name="_____TH20004" localSheetId="2" hidden="1">{"'Sheet1'!$L$16"}</definedName>
    <definedName name="_____TH20004" localSheetId="12" hidden="1">{"'Sheet1'!$L$16"}</definedName>
    <definedName name="_____TH20004" localSheetId="4" hidden="1">{"'Sheet1'!$L$16"}</definedName>
    <definedName name="_____TH20004" localSheetId="19" hidden="1">{"'Sheet1'!$L$16"}</definedName>
    <definedName name="_____TH20004" localSheetId="10" hidden="1">{"'Sheet1'!$L$16"}</definedName>
    <definedName name="_____TH20004" localSheetId="9" hidden="1">{"'Sheet1'!$L$16"}</definedName>
    <definedName name="_____TH20004" localSheetId="8" hidden="1">{"'Sheet1'!$L$16"}</definedName>
    <definedName name="_____TH20004" localSheetId="3" hidden="1">{"'Sheet1'!$L$16"}</definedName>
    <definedName name="_____TH20004" localSheetId="6" hidden="1">{"'Sheet1'!$L$16"}</definedName>
    <definedName name="_____TH20004" localSheetId="7" hidden="1">{"'Sheet1'!$L$16"}</definedName>
    <definedName name="_____TH20004" localSheetId="5" hidden="1">{"'Sheet1'!$L$16"}</definedName>
    <definedName name="_____TH20004" localSheetId="13" hidden="1">{"'Sheet1'!$L$16"}</definedName>
    <definedName name="_____TH20004" hidden="1">{"'Sheet1'!$L$16"}</definedName>
    <definedName name="_____TM2" localSheetId="18" hidden="1">{"'Sheet1'!$L$16"}</definedName>
    <definedName name="_____TM2" localSheetId="11" hidden="1">{"'Sheet1'!$L$16"}</definedName>
    <definedName name="_____TM2" localSheetId="1" hidden="1">{"'Sheet1'!$L$16"}</definedName>
    <definedName name="_____TM2" localSheetId="2" hidden="1">{"'Sheet1'!$L$16"}</definedName>
    <definedName name="_____TM2" localSheetId="12" hidden="1">{"'Sheet1'!$L$16"}</definedName>
    <definedName name="_____TM2" localSheetId="4" hidden="1">{"'Sheet1'!$L$16"}</definedName>
    <definedName name="_____TM2" localSheetId="19" hidden="1">{"'Sheet1'!$L$16"}</definedName>
    <definedName name="_____TM2" localSheetId="10" hidden="1">{"'Sheet1'!$L$16"}</definedName>
    <definedName name="_____TM2" localSheetId="9" hidden="1">{"'Sheet1'!$L$16"}</definedName>
    <definedName name="_____TM2" localSheetId="8" hidden="1">{"'Sheet1'!$L$16"}</definedName>
    <definedName name="_____TM2" localSheetId="3" hidden="1">{"'Sheet1'!$L$16"}</definedName>
    <definedName name="_____TM2" localSheetId="6" hidden="1">{"'Sheet1'!$L$16"}</definedName>
    <definedName name="_____TM2" localSheetId="7" hidden="1">{"'Sheet1'!$L$16"}</definedName>
    <definedName name="_____TM2" localSheetId="5" hidden="1">{"'Sheet1'!$L$16"}</definedName>
    <definedName name="_____TM2" localSheetId="13" hidden="1">{"'Sheet1'!$L$16"}</definedName>
    <definedName name="_____TM2" hidden="1">{"'Sheet1'!$L$16"}</definedName>
    <definedName name="_____tt3" localSheetId="18" hidden="1">{"'Sheet1'!$L$16"}</definedName>
    <definedName name="_____tt3" localSheetId="11" hidden="1">{"'Sheet1'!$L$16"}</definedName>
    <definedName name="_____tt3" localSheetId="1" hidden="1">{"'Sheet1'!$L$16"}</definedName>
    <definedName name="_____tt3" localSheetId="2" hidden="1">{"'Sheet1'!$L$16"}</definedName>
    <definedName name="_____tt3" localSheetId="12" hidden="1">{"'Sheet1'!$L$16"}</definedName>
    <definedName name="_____tt3" localSheetId="4" hidden="1">{"'Sheet1'!$L$16"}</definedName>
    <definedName name="_____tt3" localSheetId="19" hidden="1">{"'Sheet1'!$L$16"}</definedName>
    <definedName name="_____tt3" localSheetId="10" hidden="1">{"'Sheet1'!$L$16"}</definedName>
    <definedName name="_____tt3" localSheetId="9" hidden="1">{"'Sheet1'!$L$16"}</definedName>
    <definedName name="_____tt3" localSheetId="8" hidden="1">{"'Sheet1'!$L$16"}</definedName>
    <definedName name="_____tt3" localSheetId="3" hidden="1">{"'Sheet1'!$L$16"}</definedName>
    <definedName name="_____tt3" localSheetId="6" hidden="1">{"'Sheet1'!$L$16"}</definedName>
    <definedName name="_____tt3" localSheetId="7" hidden="1">{"'Sheet1'!$L$16"}</definedName>
    <definedName name="_____tt3" localSheetId="5" hidden="1">{"'Sheet1'!$L$16"}</definedName>
    <definedName name="_____tt3" localSheetId="13" hidden="1">{"'Sheet1'!$L$16"}</definedName>
    <definedName name="_____tt3" hidden="1">{"'Sheet1'!$L$16"}</definedName>
    <definedName name="____a1" localSheetId="18" hidden="1">{"'Sheet1'!$L$16"}</definedName>
    <definedName name="____a1" hidden="1">{"'Sheet1'!$L$16"}</definedName>
    <definedName name="____a11" localSheetId="18" hidden="1">{"'장비'!$A$3:$M$12"}</definedName>
    <definedName name="____a11" hidden="1">{"'장비'!$A$3:$M$12"}</definedName>
    <definedName name="____a129" localSheetId="18"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12"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19"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8"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8"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19"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EE1" localSheetId="18" hidden="1">{#N/A,#N/A,FALSE,"단가표지"}</definedName>
    <definedName name="____EE1" hidden="1">{#N/A,#N/A,FALSE,"단가표지"}</definedName>
    <definedName name="____fsf2" localSheetId="18" hidden="1">{#N/A,#N/A,TRUE,"Mhr_Sum"}</definedName>
    <definedName name="____fsf2" hidden="1">{#N/A,#N/A,TRUE,"Mhr_Sum"}</definedName>
    <definedName name="____Goi8" localSheetId="18" hidden="1">{"'Sheet1'!$L$16"}</definedName>
    <definedName name="____Goi8" localSheetId="11" hidden="1">{"'Sheet1'!$L$16"}</definedName>
    <definedName name="____Goi8" localSheetId="1" hidden="1">{"'Sheet1'!$L$16"}</definedName>
    <definedName name="____Goi8" localSheetId="2" hidden="1">{"'Sheet1'!$L$16"}</definedName>
    <definedName name="____Goi8" localSheetId="12" hidden="1">{"'Sheet1'!$L$16"}</definedName>
    <definedName name="____Goi8" localSheetId="4" hidden="1">{"'Sheet1'!$L$16"}</definedName>
    <definedName name="____Goi8" localSheetId="19" hidden="1">{"'Sheet1'!$L$16"}</definedName>
    <definedName name="____Goi8" localSheetId="10" hidden="1">{"'Sheet1'!$L$16"}</definedName>
    <definedName name="____Goi8" localSheetId="9" hidden="1">{"'Sheet1'!$L$16"}</definedName>
    <definedName name="____Goi8" localSheetId="8" hidden="1">{"'Sheet1'!$L$16"}</definedName>
    <definedName name="____Goi8" localSheetId="3" hidden="1">{"'Sheet1'!$L$16"}</definedName>
    <definedName name="____Goi8" localSheetId="6" hidden="1">{"'Sheet1'!$L$16"}</definedName>
    <definedName name="____Goi8" localSheetId="7" hidden="1">{"'Sheet1'!$L$16"}</definedName>
    <definedName name="____Goi8" localSheetId="5" hidden="1">{"'Sheet1'!$L$16"}</definedName>
    <definedName name="____Goi8" localSheetId="13" hidden="1">{"'Sheet1'!$L$16"}</definedName>
    <definedName name="____Goi8" hidden="1">{"'Sheet1'!$L$16"}</definedName>
    <definedName name="____H1" localSheetId="18" hidden="1">{#N/A,#N/A,TRUE,"Mhr_Sum"}</definedName>
    <definedName name="____H1" hidden="1">{#N/A,#N/A,TRUE,"Mhr_Sum"}</definedName>
    <definedName name="____H3" localSheetId="18" hidden="1">{"'장비'!$A$3:$M$12"}</definedName>
    <definedName name="____H3" hidden="1">{"'장비'!$A$3:$M$12"}</definedName>
    <definedName name="____H4" localSheetId="18" hidden="1">{#N/A,#N/A,TRUE,"Mhr_Sum"}</definedName>
    <definedName name="____H4" hidden="1">{#N/A,#N/A,TRUE,"Mhr_Sum"}</definedName>
    <definedName name="____hu1" localSheetId="18" hidden="1">{"'Sheet1'!$L$16"}</definedName>
    <definedName name="____hu1" localSheetId="11" hidden="1">{"'Sheet1'!$L$16"}</definedName>
    <definedName name="____hu1" localSheetId="1" hidden="1">{"'Sheet1'!$L$16"}</definedName>
    <definedName name="____hu1" localSheetId="2" hidden="1">{"'Sheet1'!$L$16"}</definedName>
    <definedName name="____hu1" localSheetId="12" hidden="1">{"'Sheet1'!$L$16"}</definedName>
    <definedName name="____hu1" localSheetId="4" hidden="1">{"'Sheet1'!$L$16"}</definedName>
    <definedName name="____hu1" localSheetId="19" hidden="1">{"'Sheet1'!$L$16"}</definedName>
    <definedName name="____hu1" localSheetId="10" hidden="1">{"'Sheet1'!$L$16"}</definedName>
    <definedName name="____hu1" localSheetId="9" hidden="1">{"'Sheet1'!$L$16"}</definedName>
    <definedName name="____hu1" localSheetId="8" hidden="1">{"'Sheet1'!$L$16"}</definedName>
    <definedName name="____hu1" localSheetId="3" hidden="1">{"'Sheet1'!$L$16"}</definedName>
    <definedName name="____hu1" localSheetId="6" hidden="1">{"'Sheet1'!$L$16"}</definedName>
    <definedName name="____hu1" localSheetId="7" hidden="1">{"'Sheet1'!$L$16"}</definedName>
    <definedName name="____hu1" localSheetId="5" hidden="1">{"'Sheet1'!$L$16"}</definedName>
    <definedName name="____hu1" localSheetId="13" hidden="1">{"'Sheet1'!$L$16"}</definedName>
    <definedName name="____hu1" hidden="1">{"'Sheet1'!$L$16"}</definedName>
    <definedName name="____hu2" localSheetId="18" hidden="1">{"'Sheet1'!$L$16"}</definedName>
    <definedName name="____hu2" localSheetId="11" hidden="1">{"'Sheet1'!$L$16"}</definedName>
    <definedName name="____hu2" localSheetId="1" hidden="1">{"'Sheet1'!$L$16"}</definedName>
    <definedName name="____hu2" localSheetId="2" hidden="1">{"'Sheet1'!$L$16"}</definedName>
    <definedName name="____hu2" localSheetId="12" hidden="1">{"'Sheet1'!$L$16"}</definedName>
    <definedName name="____hu2" localSheetId="4" hidden="1">{"'Sheet1'!$L$16"}</definedName>
    <definedName name="____hu2" localSheetId="19" hidden="1">{"'Sheet1'!$L$16"}</definedName>
    <definedName name="____hu2" localSheetId="10" hidden="1">{"'Sheet1'!$L$16"}</definedName>
    <definedName name="____hu2" localSheetId="9" hidden="1">{"'Sheet1'!$L$16"}</definedName>
    <definedName name="____hu2" localSheetId="8" hidden="1">{"'Sheet1'!$L$16"}</definedName>
    <definedName name="____hu2" localSheetId="3" hidden="1">{"'Sheet1'!$L$16"}</definedName>
    <definedName name="____hu2" localSheetId="6" hidden="1">{"'Sheet1'!$L$16"}</definedName>
    <definedName name="____hu2" localSheetId="7" hidden="1">{"'Sheet1'!$L$16"}</definedName>
    <definedName name="____hu2" localSheetId="5" hidden="1">{"'Sheet1'!$L$16"}</definedName>
    <definedName name="____hu2" localSheetId="13" hidden="1">{"'Sheet1'!$L$16"}</definedName>
    <definedName name="____hu2" hidden="1">{"'Sheet1'!$L$16"}</definedName>
    <definedName name="____hu5" localSheetId="18" hidden="1">{"'Sheet1'!$L$16"}</definedName>
    <definedName name="____hu5" localSheetId="11" hidden="1">{"'Sheet1'!$L$16"}</definedName>
    <definedName name="____hu5" localSheetId="1" hidden="1">{"'Sheet1'!$L$16"}</definedName>
    <definedName name="____hu5" localSheetId="2" hidden="1">{"'Sheet1'!$L$16"}</definedName>
    <definedName name="____hu5" localSheetId="12" hidden="1">{"'Sheet1'!$L$16"}</definedName>
    <definedName name="____hu5" localSheetId="4" hidden="1">{"'Sheet1'!$L$16"}</definedName>
    <definedName name="____hu5" localSheetId="19" hidden="1">{"'Sheet1'!$L$16"}</definedName>
    <definedName name="____hu5" localSheetId="10" hidden="1">{"'Sheet1'!$L$16"}</definedName>
    <definedName name="____hu5" localSheetId="9" hidden="1">{"'Sheet1'!$L$16"}</definedName>
    <definedName name="____hu5" localSheetId="8" hidden="1">{"'Sheet1'!$L$16"}</definedName>
    <definedName name="____hu5" localSheetId="3" hidden="1">{"'Sheet1'!$L$16"}</definedName>
    <definedName name="____hu5" localSheetId="6" hidden="1">{"'Sheet1'!$L$16"}</definedName>
    <definedName name="____hu5" localSheetId="7" hidden="1">{"'Sheet1'!$L$16"}</definedName>
    <definedName name="____hu5" localSheetId="5" hidden="1">{"'Sheet1'!$L$16"}</definedName>
    <definedName name="____hu5" localSheetId="13" hidden="1">{"'Sheet1'!$L$16"}</definedName>
    <definedName name="____hu5" hidden="1">{"'Sheet1'!$L$16"}</definedName>
    <definedName name="____hu6" localSheetId="18" hidden="1">{"'Sheet1'!$L$16"}</definedName>
    <definedName name="____hu6" localSheetId="11" hidden="1">{"'Sheet1'!$L$16"}</definedName>
    <definedName name="____hu6" localSheetId="1" hidden="1">{"'Sheet1'!$L$16"}</definedName>
    <definedName name="____hu6" localSheetId="2" hidden="1">{"'Sheet1'!$L$16"}</definedName>
    <definedName name="____hu6" localSheetId="12" hidden="1">{"'Sheet1'!$L$16"}</definedName>
    <definedName name="____hu6" localSheetId="4" hidden="1">{"'Sheet1'!$L$16"}</definedName>
    <definedName name="____hu6" localSheetId="19" hidden="1">{"'Sheet1'!$L$16"}</definedName>
    <definedName name="____hu6" localSheetId="10" hidden="1">{"'Sheet1'!$L$16"}</definedName>
    <definedName name="____hu6" localSheetId="9" hidden="1">{"'Sheet1'!$L$16"}</definedName>
    <definedName name="____hu6" localSheetId="8" hidden="1">{"'Sheet1'!$L$16"}</definedName>
    <definedName name="____hu6" localSheetId="3" hidden="1">{"'Sheet1'!$L$16"}</definedName>
    <definedName name="____hu6" localSheetId="6" hidden="1">{"'Sheet1'!$L$16"}</definedName>
    <definedName name="____hu6" localSheetId="7" hidden="1">{"'Sheet1'!$L$16"}</definedName>
    <definedName name="____hu6" localSheetId="5" hidden="1">{"'Sheet1'!$L$16"}</definedName>
    <definedName name="____hu6" localSheetId="13" hidden="1">{"'Sheet1'!$L$16"}</definedName>
    <definedName name="____hu6" hidden="1">{"'Sheet1'!$L$16"}</definedName>
    <definedName name="____hu7" localSheetId="18" hidden="1">{"'Sheet1'!$L$16"}</definedName>
    <definedName name="____hu7" hidden="1">{"'Sheet1'!$L$16"}</definedName>
    <definedName name="____key2" localSheetId="11" hidden="1">[2]BM!#REF!</definedName>
    <definedName name="____key2" localSheetId="1" hidden="1">[2]BM!#REF!</definedName>
    <definedName name="____key2" localSheetId="2" hidden="1">[2]BM!#REF!</definedName>
    <definedName name="____key2" localSheetId="4" hidden="1">[2]BM!#REF!</definedName>
    <definedName name="____key2" localSheetId="19" hidden="1">[2]BM!#REF!</definedName>
    <definedName name="____key2" localSheetId="10" hidden="1">[2]BM!#REF!</definedName>
    <definedName name="____key2" localSheetId="9" hidden="1">[2]BM!#REF!</definedName>
    <definedName name="____key2" localSheetId="8" hidden="1">[2]BM!#REF!</definedName>
    <definedName name="____key2" localSheetId="3" hidden="1">[2]BM!#REF!</definedName>
    <definedName name="____key2" localSheetId="6" hidden="1">[2]BM!#REF!</definedName>
    <definedName name="____key2" localSheetId="7" hidden="1">[2]BM!#REF!</definedName>
    <definedName name="____key2" localSheetId="5" hidden="1">[2]BM!#REF!</definedName>
    <definedName name="____key2" hidden="1">#REF!</definedName>
    <definedName name="____Lan1" localSheetId="18" hidden="1">{"'Sheet1'!$L$16"}</definedName>
    <definedName name="____Lan1" localSheetId="11" hidden="1">{"'Sheet1'!$L$16"}</definedName>
    <definedName name="____Lan1" localSheetId="1" hidden="1">{"'Sheet1'!$L$16"}</definedName>
    <definedName name="____Lan1" localSheetId="2" hidden="1">{"'Sheet1'!$L$16"}</definedName>
    <definedName name="____Lan1" localSheetId="12" hidden="1">{"'Sheet1'!$L$16"}</definedName>
    <definedName name="____Lan1" localSheetId="4" hidden="1">{"'Sheet1'!$L$16"}</definedName>
    <definedName name="____Lan1" localSheetId="19" hidden="1">{"'Sheet1'!$L$16"}</definedName>
    <definedName name="____Lan1" localSheetId="10" hidden="1">{"'Sheet1'!$L$16"}</definedName>
    <definedName name="____Lan1" localSheetId="9" hidden="1">{"'Sheet1'!$L$16"}</definedName>
    <definedName name="____Lan1" localSheetId="8" hidden="1">{"'Sheet1'!$L$16"}</definedName>
    <definedName name="____Lan1" localSheetId="3" hidden="1">{"'Sheet1'!$L$16"}</definedName>
    <definedName name="____Lan1" localSheetId="6" hidden="1">{"'Sheet1'!$L$16"}</definedName>
    <definedName name="____Lan1" localSheetId="7" hidden="1">{"'Sheet1'!$L$16"}</definedName>
    <definedName name="____Lan1" localSheetId="5" hidden="1">{"'Sheet1'!$L$16"}</definedName>
    <definedName name="____Lan1" localSheetId="13" hidden="1">{"'Sheet1'!$L$16"}</definedName>
    <definedName name="____Lan1" hidden="1">{"'Sheet1'!$L$16"}</definedName>
    <definedName name="____LAN3" localSheetId="18" hidden="1">{"'Sheet1'!$L$16"}</definedName>
    <definedName name="____LAN3" localSheetId="11" hidden="1">{"'Sheet1'!$L$16"}</definedName>
    <definedName name="____LAN3" localSheetId="1" hidden="1">{"'Sheet1'!$L$16"}</definedName>
    <definedName name="____LAN3" localSheetId="2" hidden="1">{"'Sheet1'!$L$16"}</definedName>
    <definedName name="____LAN3" localSheetId="12" hidden="1">{"'Sheet1'!$L$16"}</definedName>
    <definedName name="____LAN3" localSheetId="4" hidden="1">{"'Sheet1'!$L$16"}</definedName>
    <definedName name="____LAN3" localSheetId="19" hidden="1">{"'Sheet1'!$L$16"}</definedName>
    <definedName name="____LAN3" localSheetId="10" hidden="1">{"'Sheet1'!$L$16"}</definedName>
    <definedName name="____LAN3" localSheetId="9" hidden="1">{"'Sheet1'!$L$16"}</definedName>
    <definedName name="____LAN3" localSheetId="8" hidden="1">{"'Sheet1'!$L$16"}</definedName>
    <definedName name="____LAN3" localSheetId="3" hidden="1">{"'Sheet1'!$L$16"}</definedName>
    <definedName name="____LAN3" localSheetId="6" hidden="1">{"'Sheet1'!$L$16"}</definedName>
    <definedName name="____LAN3" localSheetId="7" hidden="1">{"'Sheet1'!$L$16"}</definedName>
    <definedName name="____LAN3" localSheetId="5" hidden="1">{"'Sheet1'!$L$16"}</definedName>
    <definedName name="____LAN3" localSheetId="13" hidden="1">{"'Sheet1'!$L$16"}</definedName>
    <definedName name="____LAN3" hidden="1">{"'Sheet1'!$L$16"}</definedName>
    <definedName name="____NCN15" localSheetId="18" hidden="1">{"'Sheet1'!$L$16"}</definedName>
    <definedName name="____NCN15" localSheetId="11" hidden="1">{"'Sheet1'!$L$16"}</definedName>
    <definedName name="____NCN15" localSheetId="1" hidden="1">{"'Sheet1'!$L$16"}</definedName>
    <definedName name="____NCN15" localSheetId="2" hidden="1">{"'Sheet1'!$L$16"}</definedName>
    <definedName name="____NCN15" localSheetId="12" hidden="1">{"'Sheet1'!$L$16"}</definedName>
    <definedName name="____NCN15" localSheetId="4" hidden="1">{"'Sheet1'!$L$16"}</definedName>
    <definedName name="____NCN15" localSheetId="19" hidden="1">{"'Sheet1'!$L$16"}</definedName>
    <definedName name="____NCN15" localSheetId="10" hidden="1">{"'Sheet1'!$L$16"}</definedName>
    <definedName name="____NCN15" localSheetId="9" hidden="1">{"'Sheet1'!$L$16"}</definedName>
    <definedName name="____NCN15" localSheetId="8" hidden="1">{"'Sheet1'!$L$16"}</definedName>
    <definedName name="____NCN15" localSheetId="3" hidden="1">{"'Sheet1'!$L$16"}</definedName>
    <definedName name="____NCN15" localSheetId="6" hidden="1">{"'Sheet1'!$L$16"}</definedName>
    <definedName name="____NCN15" localSheetId="7" hidden="1">{"'Sheet1'!$L$16"}</definedName>
    <definedName name="____NCN15" localSheetId="5" hidden="1">{"'Sheet1'!$L$16"}</definedName>
    <definedName name="____NCN15" localSheetId="13" hidden="1">{"'Sheet1'!$L$16"}</definedName>
    <definedName name="____NCN15" hidden="1">{"'Sheet1'!$L$16"}</definedName>
    <definedName name="____PA3" localSheetId="18" hidden="1">{"'Sheet1'!$L$16"}</definedName>
    <definedName name="____PA3" localSheetId="11" hidden="1">{"'Sheet1'!$L$16"}</definedName>
    <definedName name="____PA3" localSheetId="1" hidden="1">{"'Sheet1'!$L$16"}</definedName>
    <definedName name="____PA3" localSheetId="2" hidden="1">{"'Sheet1'!$L$16"}</definedName>
    <definedName name="____PA3" localSheetId="12" hidden="1">{"'Sheet1'!$L$16"}</definedName>
    <definedName name="____PA3" localSheetId="4" hidden="1">{"'Sheet1'!$L$16"}</definedName>
    <definedName name="____PA3" localSheetId="19" hidden="1">{"'Sheet1'!$L$16"}</definedName>
    <definedName name="____PA3" localSheetId="10" hidden="1">{"'Sheet1'!$L$16"}</definedName>
    <definedName name="____PA3" localSheetId="9" hidden="1">{"'Sheet1'!$L$16"}</definedName>
    <definedName name="____PA3" localSheetId="8" hidden="1">{"'Sheet1'!$L$16"}</definedName>
    <definedName name="____PA3" localSheetId="3" hidden="1">{"'Sheet1'!$L$16"}</definedName>
    <definedName name="____PA3" localSheetId="6" hidden="1">{"'Sheet1'!$L$16"}</definedName>
    <definedName name="____PA3" localSheetId="7" hidden="1">{"'Sheet1'!$L$16"}</definedName>
    <definedName name="____PA3" localSheetId="5" hidden="1">{"'Sheet1'!$L$16"}</definedName>
    <definedName name="____PA3" localSheetId="13" hidden="1">{"'Sheet1'!$L$16"}</definedName>
    <definedName name="____PA3" hidden="1">{"'Sheet1'!$L$16"}</definedName>
    <definedName name="____PK2" localSheetId="18" hidden="1">{"'장비'!$A$3:$M$12"}</definedName>
    <definedName name="____PK2" hidden="1">{"'장비'!$A$3:$M$12"}</definedName>
    <definedName name="____PKG3" localSheetId="18" hidden="1">{"'장비'!$A$3:$M$12"}</definedName>
    <definedName name="____PKG3" hidden="1">{"'장비'!$A$3:$M$12"}</definedName>
    <definedName name="____qqq222" localSheetId="18" hidden="1">{"'장비'!$A$3:$M$12"}</definedName>
    <definedName name="____qqq222" hidden="1">{"'장비'!$A$3:$M$12"}</definedName>
    <definedName name="____S3" localSheetId="18" hidden="1">{#N/A,#N/A,FALSE,"포장2"}</definedName>
    <definedName name="____S3" hidden="1">{#N/A,#N/A,FALSE,"포장2"}</definedName>
    <definedName name="____T10" localSheetId="18" hidden="1">{"'Sheet1'!$L$16"}</definedName>
    <definedName name="____T10" hidden="1">{"'Sheet1'!$L$16"}</definedName>
    <definedName name="____TM2" localSheetId="18" hidden="1">{"'Sheet1'!$L$16"}</definedName>
    <definedName name="____TM2" localSheetId="11" hidden="1">{"'Sheet1'!$L$16"}</definedName>
    <definedName name="____TM2" localSheetId="1" hidden="1">{"'Sheet1'!$L$16"}</definedName>
    <definedName name="____TM2" localSheetId="2" hidden="1">{"'Sheet1'!$L$16"}</definedName>
    <definedName name="____TM2" localSheetId="12" hidden="1">{"'Sheet1'!$L$16"}</definedName>
    <definedName name="____TM2" localSheetId="4" hidden="1">{"'Sheet1'!$L$16"}</definedName>
    <definedName name="____TM2" localSheetId="19" hidden="1">{"'Sheet1'!$L$16"}</definedName>
    <definedName name="____TM2" localSheetId="10" hidden="1">{"'Sheet1'!$L$16"}</definedName>
    <definedName name="____TM2" localSheetId="9" hidden="1">{"'Sheet1'!$L$16"}</definedName>
    <definedName name="____TM2" localSheetId="8" hidden="1">{"'Sheet1'!$L$16"}</definedName>
    <definedName name="____TM2" localSheetId="3" hidden="1">{"'Sheet1'!$L$16"}</definedName>
    <definedName name="____TM2" localSheetId="6" hidden="1">{"'Sheet1'!$L$16"}</definedName>
    <definedName name="____TM2" localSheetId="7" hidden="1">{"'Sheet1'!$L$16"}</definedName>
    <definedName name="____TM2" localSheetId="5" hidden="1">{"'Sheet1'!$L$16"}</definedName>
    <definedName name="____TM2" localSheetId="13" hidden="1">{"'Sheet1'!$L$16"}</definedName>
    <definedName name="____TM2" hidden="1">{"'Sheet1'!$L$16"}</definedName>
    <definedName name="____tt3" localSheetId="18" hidden="1">{"'Sheet1'!$L$16"}</definedName>
    <definedName name="____tt3" localSheetId="11" hidden="1">{"'Sheet1'!$L$16"}</definedName>
    <definedName name="____tt3" localSheetId="1" hidden="1">{"'Sheet1'!$L$16"}</definedName>
    <definedName name="____tt3" localSheetId="2" hidden="1">{"'Sheet1'!$L$16"}</definedName>
    <definedName name="____tt3" localSheetId="12" hidden="1">{"'Sheet1'!$L$16"}</definedName>
    <definedName name="____tt3" localSheetId="4" hidden="1">{"'Sheet1'!$L$16"}</definedName>
    <definedName name="____tt3" localSheetId="19" hidden="1">{"'Sheet1'!$L$16"}</definedName>
    <definedName name="____tt3" localSheetId="10" hidden="1">{"'Sheet1'!$L$16"}</definedName>
    <definedName name="____tt3" localSheetId="9" hidden="1">{"'Sheet1'!$L$16"}</definedName>
    <definedName name="____tt3" localSheetId="8" hidden="1">{"'Sheet1'!$L$16"}</definedName>
    <definedName name="____tt3" localSheetId="3" hidden="1">{"'Sheet1'!$L$16"}</definedName>
    <definedName name="____tt3" localSheetId="6" hidden="1">{"'Sheet1'!$L$16"}</definedName>
    <definedName name="____tt3" localSheetId="7" hidden="1">{"'Sheet1'!$L$16"}</definedName>
    <definedName name="____tt3" localSheetId="5" hidden="1">{"'Sheet1'!$L$16"}</definedName>
    <definedName name="____tt3" localSheetId="13" hidden="1">{"'Sheet1'!$L$16"}</definedName>
    <definedName name="____tt3" hidden="1">{"'Sheet1'!$L$16"}</definedName>
    <definedName name="___a1" localSheetId="18" hidden="1">{"'Sheet1'!$L$16"}</definedName>
    <definedName name="___a1" localSheetId="11" hidden="1">{"'Sheet1'!$L$16"}</definedName>
    <definedName name="___a1" localSheetId="1" hidden="1">{"'Sheet1'!$L$16"}</definedName>
    <definedName name="___a1" localSheetId="2" hidden="1">{"'Sheet1'!$L$16"}</definedName>
    <definedName name="___a1" localSheetId="12" hidden="1">{"'Sheet1'!$L$16"}</definedName>
    <definedName name="___a1" localSheetId="4" hidden="1">{"'Sheet1'!$L$16"}</definedName>
    <definedName name="___a1" localSheetId="19" hidden="1">{"'Sheet1'!$L$16"}</definedName>
    <definedName name="___a1" localSheetId="10" hidden="1">{"'Sheet1'!$L$16"}</definedName>
    <definedName name="___a1" localSheetId="9" hidden="1">{"'Sheet1'!$L$16"}</definedName>
    <definedName name="___a1" localSheetId="8" hidden="1">{"'Sheet1'!$L$16"}</definedName>
    <definedName name="___a1" localSheetId="3" hidden="1">{"'Sheet1'!$L$16"}</definedName>
    <definedName name="___a1" localSheetId="6" hidden="1">{"'Sheet1'!$L$16"}</definedName>
    <definedName name="___a1" localSheetId="7" hidden="1">{"'Sheet1'!$L$16"}</definedName>
    <definedName name="___a1" localSheetId="5" hidden="1">{"'Sheet1'!$L$16"}</definedName>
    <definedName name="___a1" localSheetId="13" hidden="1">{"'Sheet1'!$L$16"}</definedName>
    <definedName name="___a1" hidden="1">{"'Sheet1'!$L$16"}</definedName>
    <definedName name="___a129" localSheetId="18"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12"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19"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9" hidden="1">{"Offgrid",#N/A,FALSE,"OFFGRID";"Region",#N/A,FALSE,"REGION";"Offgrid -2",#N/A,FALSE,"OFFGRID";"WTP",#N/A,FALSE,"WTP";"WTP -2",#N/A,FALSE,"WTP";"Project",#N/A,FALSE,"PROJECT";"Summary -2",#N/A,FALSE,"SUMMARY"}</definedName>
    <definedName name="___a129" localSheetId="8"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8"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12"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19"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0000">#REF!</definedName>
    <definedName name="___att2">[3]!___att2</definedName>
    <definedName name="___AW0031" localSheetId="18" hidden="1">{#N/A,#N/A,FALSE,"CCTV"}</definedName>
    <definedName name="___AW0031" hidden="1">{#N/A,#N/A,FALSE,"CCTV"}</definedName>
    <definedName name="___cal1">[4]제출계산서!$I$185</definedName>
    <definedName name="___cal2">[4]제출계산서!$I$185</definedName>
    <definedName name="___can430">40.73</definedName>
    <definedName name="___can435">43.3</definedName>
    <definedName name="___CON1">#REF!</definedName>
    <definedName name="___ddn400">#REF!</definedName>
    <definedName name="___edn1">#REF!</definedName>
    <definedName name="___EE1" localSheetId="18" hidden="1">{#N/A,#N/A,FALSE,"단가표지"}</definedName>
    <definedName name="___EE1" hidden="1">{#N/A,#N/A,FALSE,"단가표지"}</definedName>
    <definedName name="___F3">#REF!</definedName>
    <definedName name="___FF3">#REF!</definedName>
    <definedName name="___fsf2" localSheetId="18" hidden="1">{#N/A,#N/A,TRUE,"Mhr_Sum"}</definedName>
    <definedName name="___fsf2" hidden="1">{#N/A,#N/A,TRUE,"Mhr_Sum"}</definedName>
    <definedName name="___Goi8" localSheetId="18" hidden="1">{"'Sheet1'!$L$16"}</definedName>
    <definedName name="___Goi8" localSheetId="11" hidden="1">{"'Sheet1'!$L$16"}</definedName>
    <definedName name="___Goi8" localSheetId="1" hidden="1">{"'Sheet1'!$L$16"}</definedName>
    <definedName name="___Goi8" localSheetId="2" hidden="1">{"'Sheet1'!$L$16"}</definedName>
    <definedName name="___Goi8" localSheetId="12" hidden="1">{"'Sheet1'!$L$16"}</definedName>
    <definedName name="___Goi8" localSheetId="4" hidden="1">{"'Sheet1'!$L$16"}</definedName>
    <definedName name="___Goi8" localSheetId="19" hidden="1">{"'Sheet1'!$L$16"}</definedName>
    <definedName name="___Goi8" localSheetId="10" hidden="1">{"'Sheet1'!$L$16"}</definedName>
    <definedName name="___Goi8" localSheetId="9" hidden="1">{"'Sheet1'!$L$16"}</definedName>
    <definedName name="___Goi8" localSheetId="8" hidden="1">{"'Sheet1'!$L$16"}</definedName>
    <definedName name="___Goi8" localSheetId="3" hidden="1">{"'Sheet1'!$L$16"}</definedName>
    <definedName name="___Goi8" localSheetId="6" hidden="1">{"'Sheet1'!$L$16"}</definedName>
    <definedName name="___Goi8" localSheetId="7" hidden="1">{"'Sheet1'!$L$16"}</definedName>
    <definedName name="___Goi8" localSheetId="5" hidden="1">{"'Sheet1'!$L$16"}</definedName>
    <definedName name="___Goi8" localSheetId="13" hidden="1">{"'Sheet1'!$L$16"}</definedName>
    <definedName name="___Goi8" hidden="1">{"'Sheet1'!$L$16"}</definedName>
    <definedName name="___h1" localSheetId="18" hidden="1">{"'Sheet1'!$L$16"}</definedName>
    <definedName name="___h1" localSheetId="11" hidden="1">{"'Sheet1'!$L$16"}</definedName>
    <definedName name="___h1" localSheetId="1" hidden="1">{"'Sheet1'!$L$16"}</definedName>
    <definedName name="___h1" localSheetId="2" hidden="1">{"'Sheet1'!$L$16"}</definedName>
    <definedName name="___h1" localSheetId="12" hidden="1">{"'Sheet1'!$L$16"}</definedName>
    <definedName name="___h1" localSheetId="4" hidden="1">{"'Sheet1'!$L$16"}</definedName>
    <definedName name="___h1" localSheetId="19" hidden="1">{"'Sheet1'!$L$16"}</definedName>
    <definedName name="___h1" localSheetId="10" hidden="1">{"'Sheet1'!$L$16"}</definedName>
    <definedName name="___h1" localSheetId="9" hidden="1">{"'Sheet1'!$L$16"}</definedName>
    <definedName name="___h1" localSheetId="8" hidden="1">{"'Sheet1'!$L$16"}</definedName>
    <definedName name="___h1" localSheetId="3" hidden="1">{"'Sheet1'!$L$16"}</definedName>
    <definedName name="___h1" localSheetId="6" hidden="1">{"'Sheet1'!$L$16"}</definedName>
    <definedName name="___h1" localSheetId="7" hidden="1">{"'Sheet1'!$L$16"}</definedName>
    <definedName name="___h1" localSheetId="5" hidden="1">{"'Sheet1'!$L$16"}</definedName>
    <definedName name="___h1" localSheetId="13" hidden="1">{"'Sheet1'!$L$16"}</definedName>
    <definedName name="___h1" hidden="1">{"'Sheet1'!$L$16"}</definedName>
    <definedName name="___H4" localSheetId="18" hidden="1">{#N/A,#N/A,TRUE,"Mhr_Sum"}</definedName>
    <definedName name="___H4" hidden="1">{#N/A,#N/A,TRUE,"Mhr_Sum"}</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u1" localSheetId="18" hidden="1">{"'Sheet1'!$L$16"}</definedName>
    <definedName name="___hu1" localSheetId="11" hidden="1">{"'Sheet1'!$L$16"}</definedName>
    <definedName name="___hu1" localSheetId="1" hidden="1">{"'Sheet1'!$L$16"}</definedName>
    <definedName name="___hu1" localSheetId="2" hidden="1">{"'Sheet1'!$L$16"}</definedName>
    <definedName name="___hu1" localSheetId="12" hidden="1">{"'Sheet1'!$L$16"}</definedName>
    <definedName name="___hu1" localSheetId="4" hidden="1">{"'Sheet1'!$L$16"}</definedName>
    <definedName name="___hu1" localSheetId="19" hidden="1">{"'Sheet1'!$L$16"}</definedName>
    <definedName name="___hu1" localSheetId="10" hidden="1">{"'Sheet1'!$L$16"}</definedName>
    <definedName name="___hu1" localSheetId="9" hidden="1">{"'Sheet1'!$L$16"}</definedName>
    <definedName name="___hu1" localSheetId="8" hidden="1">{"'Sheet1'!$L$16"}</definedName>
    <definedName name="___hu1" localSheetId="3" hidden="1">{"'Sheet1'!$L$16"}</definedName>
    <definedName name="___hu1" localSheetId="6" hidden="1">{"'Sheet1'!$L$16"}</definedName>
    <definedName name="___hu1" localSheetId="7" hidden="1">{"'Sheet1'!$L$16"}</definedName>
    <definedName name="___hu1" localSheetId="5" hidden="1">{"'Sheet1'!$L$16"}</definedName>
    <definedName name="___hu1" localSheetId="13" hidden="1">{"'Sheet1'!$L$16"}</definedName>
    <definedName name="___hu1" hidden="1">{"'Sheet1'!$L$16"}</definedName>
    <definedName name="___hu2" localSheetId="18" hidden="1">{"'Sheet1'!$L$16"}</definedName>
    <definedName name="___hu2" localSheetId="11" hidden="1">{"'Sheet1'!$L$16"}</definedName>
    <definedName name="___hu2" localSheetId="1" hidden="1">{"'Sheet1'!$L$16"}</definedName>
    <definedName name="___hu2" localSheetId="2" hidden="1">{"'Sheet1'!$L$16"}</definedName>
    <definedName name="___hu2" localSheetId="12" hidden="1">{"'Sheet1'!$L$16"}</definedName>
    <definedName name="___hu2" localSheetId="4" hidden="1">{"'Sheet1'!$L$16"}</definedName>
    <definedName name="___hu2" localSheetId="19" hidden="1">{"'Sheet1'!$L$16"}</definedName>
    <definedName name="___hu2" localSheetId="10" hidden="1">{"'Sheet1'!$L$16"}</definedName>
    <definedName name="___hu2" localSheetId="9" hidden="1">{"'Sheet1'!$L$16"}</definedName>
    <definedName name="___hu2" localSheetId="8" hidden="1">{"'Sheet1'!$L$16"}</definedName>
    <definedName name="___hu2" localSheetId="3" hidden="1">{"'Sheet1'!$L$16"}</definedName>
    <definedName name="___hu2" localSheetId="6" hidden="1">{"'Sheet1'!$L$16"}</definedName>
    <definedName name="___hu2" localSheetId="7" hidden="1">{"'Sheet1'!$L$16"}</definedName>
    <definedName name="___hu2" localSheetId="5" hidden="1">{"'Sheet1'!$L$16"}</definedName>
    <definedName name="___hu2" localSheetId="13" hidden="1">{"'Sheet1'!$L$16"}</definedName>
    <definedName name="___hu2" hidden="1">{"'Sheet1'!$L$16"}</definedName>
    <definedName name="___hu5" localSheetId="18" hidden="1">{"'Sheet1'!$L$16"}</definedName>
    <definedName name="___hu5" localSheetId="11" hidden="1">{"'Sheet1'!$L$16"}</definedName>
    <definedName name="___hu5" localSheetId="1" hidden="1">{"'Sheet1'!$L$16"}</definedName>
    <definedName name="___hu5" localSheetId="2" hidden="1">{"'Sheet1'!$L$16"}</definedName>
    <definedName name="___hu5" localSheetId="12" hidden="1">{"'Sheet1'!$L$16"}</definedName>
    <definedName name="___hu5" localSheetId="4" hidden="1">{"'Sheet1'!$L$16"}</definedName>
    <definedName name="___hu5" localSheetId="19" hidden="1">{"'Sheet1'!$L$16"}</definedName>
    <definedName name="___hu5" localSheetId="10" hidden="1">{"'Sheet1'!$L$16"}</definedName>
    <definedName name="___hu5" localSheetId="9" hidden="1">{"'Sheet1'!$L$16"}</definedName>
    <definedName name="___hu5" localSheetId="8" hidden="1">{"'Sheet1'!$L$16"}</definedName>
    <definedName name="___hu5" localSheetId="3" hidden="1">{"'Sheet1'!$L$16"}</definedName>
    <definedName name="___hu5" localSheetId="6" hidden="1">{"'Sheet1'!$L$16"}</definedName>
    <definedName name="___hu5" localSheetId="7" hidden="1">{"'Sheet1'!$L$16"}</definedName>
    <definedName name="___hu5" localSheetId="5" hidden="1">{"'Sheet1'!$L$16"}</definedName>
    <definedName name="___hu5" localSheetId="13" hidden="1">{"'Sheet1'!$L$16"}</definedName>
    <definedName name="___hu5" hidden="1">{"'Sheet1'!$L$16"}</definedName>
    <definedName name="___hu6" localSheetId="18" hidden="1">{"'Sheet1'!$L$16"}</definedName>
    <definedName name="___hu6" localSheetId="11" hidden="1">{"'Sheet1'!$L$16"}</definedName>
    <definedName name="___hu6" localSheetId="1" hidden="1">{"'Sheet1'!$L$16"}</definedName>
    <definedName name="___hu6" localSheetId="2" hidden="1">{"'Sheet1'!$L$16"}</definedName>
    <definedName name="___hu6" localSheetId="12" hidden="1">{"'Sheet1'!$L$16"}</definedName>
    <definedName name="___hu6" localSheetId="4" hidden="1">{"'Sheet1'!$L$16"}</definedName>
    <definedName name="___hu6" localSheetId="19" hidden="1">{"'Sheet1'!$L$16"}</definedName>
    <definedName name="___hu6" localSheetId="10" hidden="1">{"'Sheet1'!$L$16"}</definedName>
    <definedName name="___hu6" localSheetId="9" hidden="1">{"'Sheet1'!$L$16"}</definedName>
    <definedName name="___hu6" localSheetId="8" hidden="1">{"'Sheet1'!$L$16"}</definedName>
    <definedName name="___hu6" localSheetId="3" hidden="1">{"'Sheet1'!$L$16"}</definedName>
    <definedName name="___hu6" localSheetId="6" hidden="1">{"'Sheet1'!$L$16"}</definedName>
    <definedName name="___hu6" localSheetId="7" hidden="1">{"'Sheet1'!$L$16"}</definedName>
    <definedName name="___hu6" localSheetId="5" hidden="1">{"'Sheet1'!$L$16"}</definedName>
    <definedName name="___hu6" localSheetId="13" hidden="1">{"'Sheet1'!$L$16"}</definedName>
    <definedName name="___hu6" hidden="1">{"'Sheet1'!$L$16"}</definedName>
    <definedName name="___hu7" localSheetId="18" hidden="1">{"'Sheet1'!$L$16"}</definedName>
    <definedName name="___hu7" hidden="1">{"'Sheet1'!$L$16"}</definedName>
    <definedName name="___HV1">#REF!</definedName>
    <definedName name="___key2" localSheetId="11" hidden="1">[2]BM!#REF!</definedName>
    <definedName name="___key2" localSheetId="1" hidden="1">[2]BM!#REF!</definedName>
    <definedName name="___key2" localSheetId="2" hidden="1">[2]BM!#REF!</definedName>
    <definedName name="___key2" localSheetId="4" hidden="1">[2]BM!#REF!</definedName>
    <definedName name="___key2" localSheetId="19" hidden="1">[2]BM!#REF!</definedName>
    <definedName name="___key2" localSheetId="10" hidden="1">[2]BM!#REF!</definedName>
    <definedName name="___key2" localSheetId="9" hidden="1">[2]BM!#REF!</definedName>
    <definedName name="___key2" localSheetId="8" hidden="1">[2]BM!#REF!</definedName>
    <definedName name="___key2" localSheetId="3" hidden="1">[2]BM!#REF!</definedName>
    <definedName name="___key2" localSheetId="6" hidden="1">[2]BM!#REF!</definedName>
    <definedName name="___key2" localSheetId="7" hidden="1">[2]BM!#REF!</definedName>
    <definedName name="___key2" localSheetId="5" hidden="1">[2]BM!#REF!</definedName>
    <definedName name="___key2" hidden="1">#REF!</definedName>
    <definedName name="___KWS1">#N/A</definedName>
    <definedName name="___KWS2">#N/A</definedName>
    <definedName name="___KWS3">#N/A</definedName>
    <definedName name="___Lan1" localSheetId="18" hidden="1">{"'Sheet1'!$L$16"}</definedName>
    <definedName name="___Lan1" localSheetId="11" hidden="1">{"'Sheet1'!$L$16"}</definedName>
    <definedName name="___Lan1" localSheetId="1" hidden="1">{"'Sheet1'!$L$16"}</definedName>
    <definedName name="___Lan1" localSheetId="2" hidden="1">{"'Sheet1'!$L$16"}</definedName>
    <definedName name="___Lan1" localSheetId="12" hidden="1">{"'Sheet1'!$L$16"}</definedName>
    <definedName name="___Lan1" localSheetId="4" hidden="1">{"'Sheet1'!$L$16"}</definedName>
    <definedName name="___Lan1" localSheetId="19" hidden="1">{"'Sheet1'!$L$16"}</definedName>
    <definedName name="___Lan1" localSheetId="10" hidden="1">{"'Sheet1'!$L$16"}</definedName>
    <definedName name="___Lan1" localSheetId="9" hidden="1">{"'Sheet1'!$L$16"}</definedName>
    <definedName name="___Lan1" localSheetId="8" hidden="1">{"'Sheet1'!$L$16"}</definedName>
    <definedName name="___Lan1" localSheetId="3" hidden="1">{"'Sheet1'!$L$16"}</definedName>
    <definedName name="___Lan1" localSheetId="6" hidden="1">{"'Sheet1'!$L$16"}</definedName>
    <definedName name="___Lan1" localSheetId="7" hidden="1">{"'Sheet1'!$L$16"}</definedName>
    <definedName name="___Lan1" localSheetId="5" hidden="1">{"'Sheet1'!$L$16"}</definedName>
    <definedName name="___Lan1" localSheetId="13" hidden="1">{"'Sheet1'!$L$16"}</definedName>
    <definedName name="___Lan1" hidden="1">{"'Sheet1'!$L$16"}</definedName>
    <definedName name="___LAN3" localSheetId="18" hidden="1">{"'Sheet1'!$L$16"}</definedName>
    <definedName name="___LAN3" localSheetId="11" hidden="1">{"'Sheet1'!$L$16"}</definedName>
    <definedName name="___LAN3" localSheetId="1" hidden="1">{"'Sheet1'!$L$16"}</definedName>
    <definedName name="___LAN3" localSheetId="2" hidden="1">{"'Sheet1'!$L$16"}</definedName>
    <definedName name="___LAN3" localSheetId="12" hidden="1">{"'Sheet1'!$L$16"}</definedName>
    <definedName name="___LAN3" localSheetId="4" hidden="1">{"'Sheet1'!$L$16"}</definedName>
    <definedName name="___LAN3" localSheetId="19" hidden="1">{"'Sheet1'!$L$16"}</definedName>
    <definedName name="___LAN3" localSheetId="10" hidden="1">{"'Sheet1'!$L$16"}</definedName>
    <definedName name="___LAN3" localSheetId="9" hidden="1">{"'Sheet1'!$L$16"}</definedName>
    <definedName name="___LAN3" localSheetId="8" hidden="1">{"'Sheet1'!$L$16"}</definedName>
    <definedName name="___LAN3" localSheetId="3" hidden="1">{"'Sheet1'!$L$16"}</definedName>
    <definedName name="___LAN3" localSheetId="6" hidden="1">{"'Sheet1'!$L$16"}</definedName>
    <definedName name="___LAN3" localSheetId="7" hidden="1">{"'Sheet1'!$L$16"}</definedName>
    <definedName name="___LAN3" localSheetId="5" hidden="1">{"'Sheet1'!$L$16"}</definedName>
    <definedName name="___LAN3" localSheetId="13" hidden="1">{"'Sheet1'!$L$16"}</definedName>
    <definedName name="___LAN3" hidden="1">{"'Sheet1'!$L$16"}</definedName>
    <definedName name="___mdf18">'[5]2.2 띠장의 설계'!$G$15</definedName>
    <definedName name="___NCL200">#REF!</definedName>
    <definedName name="___NCN15" localSheetId="18" hidden="1">{"'Sheet1'!$L$16"}</definedName>
    <definedName name="___NCN15" localSheetId="11" hidden="1">{"'Sheet1'!$L$16"}</definedName>
    <definedName name="___NCN15" localSheetId="1" hidden="1">{"'Sheet1'!$L$16"}</definedName>
    <definedName name="___NCN15" localSheetId="2" hidden="1">{"'Sheet1'!$L$16"}</definedName>
    <definedName name="___NCN15" localSheetId="12" hidden="1">{"'Sheet1'!$L$16"}</definedName>
    <definedName name="___NCN15" localSheetId="4" hidden="1">{"'Sheet1'!$L$16"}</definedName>
    <definedName name="___NCN15" localSheetId="19" hidden="1">{"'Sheet1'!$L$16"}</definedName>
    <definedName name="___NCN15" localSheetId="10" hidden="1">{"'Sheet1'!$L$16"}</definedName>
    <definedName name="___NCN15" localSheetId="9" hidden="1">{"'Sheet1'!$L$16"}</definedName>
    <definedName name="___NCN15" localSheetId="8" hidden="1">{"'Sheet1'!$L$16"}</definedName>
    <definedName name="___NCN15" localSheetId="3" hidden="1">{"'Sheet1'!$L$16"}</definedName>
    <definedName name="___NCN15" localSheetId="6" hidden="1">{"'Sheet1'!$L$16"}</definedName>
    <definedName name="___NCN15" localSheetId="7" hidden="1">{"'Sheet1'!$L$16"}</definedName>
    <definedName name="___NCN15" localSheetId="5" hidden="1">{"'Sheet1'!$L$16"}</definedName>
    <definedName name="___NCN15" localSheetId="13" hidden="1">{"'Sheet1'!$L$16"}</definedName>
    <definedName name="___NCN15" hidden="1">{"'Sheet1'!$L$16"}</definedName>
    <definedName name="___PA3" localSheetId="18" hidden="1">{"'Sheet1'!$L$16"}</definedName>
    <definedName name="___PA3" localSheetId="11" hidden="1">{"'Sheet1'!$L$16"}</definedName>
    <definedName name="___PA3" localSheetId="1" hidden="1">{"'Sheet1'!$L$16"}</definedName>
    <definedName name="___PA3" localSheetId="2" hidden="1">{"'Sheet1'!$L$16"}</definedName>
    <definedName name="___PA3" localSheetId="12" hidden="1">{"'Sheet1'!$L$16"}</definedName>
    <definedName name="___PA3" localSheetId="4" hidden="1">{"'Sheet1'!$L$16"}</definedName>
    <definedName name="___PA3" localSheetId="19" hidden="1">{"'Sheet1'!$L$16"}</definedName>
    <definedName name="___PA3" localSheetId="10" hidden="1">{"'Sheet1'!$L$16"}</definedName>
    <definedName name="___PA3" localSheetId="9" hidden="1">{"'Sheet1'!$L$16"}</definedName>
    <definedName name="___PA3" localSheetId="8" hidden="1">{"'Sheet1'!$L$16"}</definedName>
    <definedName name="___PA3" localSheetId="3" hidden="1">{"'Sheet1'!$L$16"}</definedName>
    <definedName name="___PA3" localSheetId="6" hidden="1">{"'Sheet1'!$L$16"}</definedName>
    <definedName name="___PA3" localSheetId="7" hidden="1">{"'Sheet1'!$L$16"}</definedName>
    <definedName name="___PA3" localSheetId="5" hidden="1">{"'Sheet1'!$L$16"}</definedName>
    <definedName name="___PA3" localSheetId="13" hidden="1">{"'Sheet1'!$L$16"}</definedName>
    <definedName name="___PA3" hidden="1">{"'Sheet1'!$L$16"}</definedName>
    <definedName name="___pag1000">#REF!</definedName>
    <definedName name="___PAG31">#REF!</definedName>
    <definedName name="___PAG51">#REF!</definedName>
    <definedName name="___PAG52">#REF!</definedName>
    <definedName name="___PCV1501" localSheetId="18" hidden="1">{"'Liquid'!$A$1:$U$57"}</definedName>
    <definedName name="___PCV1501" hidden="1">{"'Liquid'!$A$1:$U$57"}</definedName>
    <definedName name="___PCV4" localSheetId="18" hidden="1">{"'Liquid'!$A$1:$U$57"}</definedName>
    <definedName name="___PCV4" hidden="1">{"'Liquid'!$A$1:$U$57"}</definedName>
    <definedName name="___PK2" localSheetId="18" hidden="1">{"'장비'!$A$3:$M$12"}</definedName>
    <definedName name="___PK2" hidden="1">{"'장비'!$A$3:$M$12"}</definedName>
    <definedName name="___PKG3" localSheetId="18" hidden="1">{"'장비'!$A$3:$M$12"}</definedName>
    <definedName name="___PKG3" hidden="1">{"'장비'!$A$3:$M$12"}</definedName>
    <definedName name="___qqq222" localSheetId="18" hidden="1">{"'장비'!$A$3:$M$12"}</definedName>
    <definedName name="___qqq222" hidden="1">{"'장비'!$A$3:$M$12"}</definedName>
    <definedName name="___S3" localSheetId="18" hidden="1">{#N/A,#N/A,FALSE,"포장2"}</definedName>
    <definedName name="___S3" hidden="1">{#N/A,#N/A,FALSE,"포장2"}</definedName>
    <definedName name="___SCL4" localSheetId="18" hidden="1">{"'Sheet1'!$L$16"}</definedName>
    <definedName name="___SCL4" localSheetId="11" hidden="1">{"'Sheet1'!$L$16"}</definedName>
    <definedName name="___SCL4" localSheetId="1" hidden="1">{"'Sheet1'!$L$16"}</definedName>
    <definedName name="___SCL4" localSheetId="2" hidden="1">{"'Sheet1'!$L$16"}</definedName>
    <definedName name="___SCL4" localSheetId="12" hidden="1">{"'Sheet1'!$L$16"}</definedName>
    <definedName name="___SCL4" localSheetId="4" hidden="1">{"'Sheet1'!$L$16"}</definedName>
    <definedName name="___SCL4" localSheetId="19" hidden="1">{"'Sheet1'!$L$16"}</definedName>
    <definedName name="___SCL4" localSheetId="10" hidden="1">{"'Sheet1'!$L$16"}</definedName>
    <definedName name="___SCL4" localSheetId="9" hidden="1">{"'Sheet1'!$L$16"}</definedName>
    <definedName name="___SCL4" localSheetId="8" hidden="1">{"'Sheet1'!$L$16"}</definedName>
    <definedName name="___SCL4" localSheetId="3" hidden="1">{"'Sheet1'!$L$16"}</definedName>
    <definedName name="___SCL4" localSheetId="6" hidden="1">{"'Sheet1'!$L$16"}</definedName>
    <definedName name="___SCL4" localSheetId="7" hidden="1">{"'Sheet1'!$L$16"}</definedName>
    <definedName name="___SCL4" localSheetId="5" hidden="1">{"'Sheet1'!$L$16"}</definedName>
    <definedName name="___SCL4" localSheetId="13" hidden="1">{"'Sheet1'!$L$16"}</definedName>
    <definedName name="___SCL4" hidden="1">{"'Sheet1'!$L$16"}</definedName>
    <definedName name="___SEL32">#REF!</definedName>
    <definedName name="___SUN1">#N/A</definedName>
    <definedName name="___SUN2">#N/A</definedName>
    <definedName name="___T10" localSheetId="18" hidden="1">{"'Sheet1'!$L$16"}</definedName>
    <definedName name="___T10" hidden="1">{"'Sheet1'!$L$16"}</definedName>
    <definedName name="___TB2">'[6]SPT vs PHI'!$B$2:$C$65</definedName>
    <definedName name="___tem1">[3]!___tem1</definedName>
    <definedName name="___TM2" localSheetId="18" hidden="1">{"'Sheet1'!$L$16"}</definedName>
    <definedName name="___TM2" localSheetId="11" hidden="1">{"'Sheet1'!$L$16"}</definedName>
    <definedName name="___TM2" localSheetId="1" hidden="1">{"'Sheet1'!$L$16"}</definedName>
    <definedName name="___TM2" localSheetId="2" hidden="1">{"'Sheet1'!$L$16"}</definedName>
    <definedName name="___TM2" localSheetId="12" hidden="1">{"'Sheet1'!$L$16"}</definedName>
    <definedName name="___TM2" localSheetId="4" hidden="1">{"'Sheet1'!$L$16"}</definedName>
    <definedName name="___TM2" localSheetId="19" hidden="1">{"'Sheet1'!$L$16"}</definedName>
    <definedName name="___TM2" localSheetId="10" hidden="1">{"'Sheet1'!$L$16"}</definedName>
    <definedName name="___TM2" localSheetId="9" hidden="1">{"'Sheet1'!$L$16"}</definedName>
    <definedName name="___TM2" localSheetId="8" hidden="1">{"'Sheet1'!$L$16"}</definedName>
    <definedName name="___TM2" localSheetId="3" hidden="1">{"'Sheet1'!$L$16"}</definedName>
    <definedName name="___TM2" localSheetId="6" hidden="1">{"'Sheet1'!$L$16"}</definedName>
    <definedName name="___TM2" localSheetId="7" hidden="1">{"'Sheet1'!$L$16"}</definedName>
    <definedName name="___TM2" localSheetId="5" hidden="1">{"'Sheet1'!$L$16"}</definedName>
    <definedName name="___TM2" localSheetId="13" hidden="1">{"'Sheet1'!$L$16"}</definedName>
    <definedName name="___TM2" hidden="1">{"'Sheet1'!$L$16"}</definedName>
    <definedName name="___tt3" localSheetId="18" hidden="1">{"'Sheet1'!$L$16"}</definedName>
    <definedName name="___tt3" localSheetId="11" hidden="1">{"'Sheet1'!$L$16"}</definedName>
    <definedName name="___tt3" localSheetId="1" hidden="1">{"'Sheet1'!$L$16"}</definedName>
    <definedName name="___tt3" localSheetId="2" hidden="1">{"'Sheet1'!$L$16"}</definedName>
    <definedName name="___tt3" localSheetId="12" hidden="1">{"'Sheet1'!$L$16"}</definedName>
    <definedName name="___tt3" localSheetId="4" hidden="1">{"'Sheet1'!$L$16"}</definedName>
    <definedName name="___tt3" localSheetId="19" hidden="1">{"'Sheet1'!$L$16"}</definedName>
    <definedName name="___tt3" localSheetId="10" hidden="1">{"'Sheet1'!$L$16"}</definedName>
    <definedName name="___tt3" localSheetId="9" hidden="1">{"'Sheet1'!$L$16"}</definedName>
    <definedName name="___tt3" localSheetId="8" hidden="1">{"'Sheet1'!$L$16"}</definedName>
    <definedName name="___tt3" localSheetId="3" hidden="1">{"'Sheet1'!$L$16"}</definedName>
    <definedName name="___tt3" localSheetId="6" hidden="1">{"'Sheet1'!$L$16"}</definedName>
    <definedName name="___tt3" localSheetId="7" hidden="1">{"'Sheet1'!$L$16"}</definedName>
    <definedName name="___tt3" localSheetId="5" hidden="1">{"'Sheet1'!$L$16"}</definedName>
    <definedName name="___tt3" localSheetId="13" hidden="1">{"'Sheet1'!$L$16"}</definedName>
    <definedName name="___tt3" hidden="1">{"'Sheet1'!$L$16"}</definedName>
    <definedName name="___vwo1">[4]제출계산서!$I$183</definedName>
    <definedName name="___vwo2">[4]제출계산서!$I$183</definedName>
    <definedName name="__123Graph_A" localSheetId="1" hidden="1">[7]TTL!$G$31:$AU$31</definedName>
    <definedName name="__123Graph_A" localSheetId="2" hidden="1">[7]TTL!$G$31:$AU$31</definedName>
    <definedName name="__123Graph_A" localSheetId="4" hidden="1">[7]TTL!$G$31:$AU$31</definedName>
    <definedName name="__123Graph_A" localSheetId="19" hidden="1">[7]TTL!$G$31:$AU$31</definedName>
    <definedName name="__123Graph_A" localSheetId="10" hidden="1">[7]TTL!$G$31:$AU$31</definedName>
    <definedName name="__123Graph_A" localSheetId="9" hidden="1">[7]TTL!$G$31:$AU$31</definedName>
    <definedName name="__123Graph_A" localSheetId="8" hidden="1">[7]TTL!$G$31:$AU$31</definedName>
    <definedName name="__123Graph_A" localSheetId="3" hidden="1">[7]TTL!$G$31:$AU$31</definedName>
    <definedName name="__123Graph_A" localSheetId="6" hidden="1">[7]TTL!$G$31:$AU$31</definedName>
    <definedName name="__123Graph_A" localSheetId="7" hidden="1">[7]TTL!$G$31:$AU$31</definedName>
    <definedName name="__123Graph_A" localSheetId="5" hidden="1">[7]TTL!$G$31:$AU$31</definedName>
    <definedName name="__123Graph_A" hidden="1">#REF!</definedName>
    <definedName name="__123Graph_ACHART1" hidden="1">#REF!</definedName>
    <definedName name="__123Graph_ACOSTI" localSheetId="11" hidden="1">'[8]TIPO 1'!#REF!</definedName>
    <definedName name="__123Graph_ACOSTI" localSheetId="1" hidden="1">'[8]TIPO 1'!#REF!</definedName>
    <definedName name="__123Graph_ACOSTI" localSheetId="2" hidden="1">'[8]TIPO 1'!#REF!</definedName>
    <definedName name="__123Graph_ACOSTI" localSheetId="4" hidden="1">'[8]TIPO 1'!#REF!</definedName>
    <definedName name="__123Graph_ACOSTI" localSheetId="19" hidden="1">'[8]TIPO 1'!#REF!</definedName>
    <definedName name="__123Graph_ACOSTI" localSheetId="10" hidden="1">'[8]TIPO 1'!#REF!</definedName>
    <definedName name="__123Graph_ACOSTI" localSheetId="9" hidden="1">'[8]TIPO 1'!#REF!</definedName>
    <definedName name="__123Graph_ACOSTI" localSheetId="8" hidden="1">'[8]TIPO 1'!#REF!</definedName>
    <definedName name="__123Graph_ACOSTI" localSheetId="3" hidden="1">'[8]TIPO 1'!#REF!</definedName>
    <definedName name="__123Graph_ACOSTI" localSheetId="6" hidden="1">'[8]TIPO 1'!#REF!</definedName>
    <definedName name="__123Graph_ACOSTI" localSheetId="7" hidden="1">'[8]TIPO 1'!#REF!</definedName>
    <definedName name="__123Graph_ACOSTI" localSheetId="5" hidden="1">'[8]TIPO 1'!#REF!</definedName>
    <definedName name="__123Graph_ACOSTI" hidden="1">#REF!</definedName>
    <definedName name="__123Graph_ACURRENT" hidden="1">#REF!</definedName>
    <definedName name="__123Graph_ANCF" localSheetId="11" hidden="1">'[9]Cashflow Analysis'!#REF!</definedName>
    <definedName name="__123Graph_ANCF" localSheetId="1" hidden="1">'[9]Cashflow Analysis'!#REF!</definedName>
    <definedName name="__123Graph_ANCF" localSheetId="2" hidden="1">'[9]Cashflow Analysis'!#REF!</definedName>
    <definedName name="__123Graph_ANCF" localSheetId="4" hidden="1">'[9]Cashflow Analysis'!#REF!</definedName>
    <definedName name="__123Graph_ANCF" localSheetId="19" hidden="1">'[9]Cashflow Analysis'!#REF!</definedName>
    <definedName name="__123Graph_ANCF" localSheetId="10" hidden="1">'[9]Cashflow Analysis'!#REF!</definedName>
    <definedName name="__123Graph_ANCF" localSheetId="9" hidden="1">'[9]Cashflow Analysis'!#REF!</definedName>
    <definedName name="__123Graph_ANCF" localSheetId="8" hidden="1">'[9]Cashflow Analysis'!#REF!</definedName>
    <definedName name="__123Graph_ANCF" localSheetId="3" hidden="1">'[9]Cashflow Analysis'!#REF!</definedName>
    <definedName name="__123Graph_ANCF" localSheetId="6" hidden="1">'[9]Cashflow Analysis'!#REF!</definedName>
    <definedName name="__123Graph_ANCF" localSheetId="7" hidden="1">'[9]Cashflow Analysis'!#REF!</definedName>
    <definedName name="__123Graph_ANCF" localSheetId="5" hidden="1">'[9]Cashflow Analysis'!#REF!</definedName>
    <definedName name="__123Graph_ANCF" hidden="1">#REF!</definedName>
    <definedName name="__123Graph_B" localSheetId="1" hidden="1">[7]TTL!$G$32:$AU$32</definedName>
    <definedName name="__123Graph_B" localSheetId="2" hidden="1">[7]TTL!$G$32:$AU$32</definedName>
    <definedName name="__123Graph_B" localSheetId="4" hidden="1">[7]TTL!$G$32:$AU$32</definedName>
    <definedName name="__123Graph_B" localSheetId="19" hidden="1">[7]TTL!$G$32:$AU$32</definedName>
    <definedName name="__123Graph_B" localSheetId="10" hidden="1">[7]TTL!$G$32:$AU$32</definedName>
    <definedName name="__123Graph_B" localSheetId="9" hidden="1">[7]TTL!$G$32:$AU$32</definedName>
    <definedName name="__123Graph_B" localSheetId="8" hidden="1">[7]TTL!$G$32:$AU$32</definedName>
    <definedName name="__123Graph_B" localSheetId="3" hidden="1">[7]TTL!$G$32:$AU$32</definedName>
    <definedName name="__123Graph_B" localSheetId="6" hidden="1">[7]TTL!$G$32:$AU$32</definedName>
    <definedName name="__123Graph_B" localSheetId="7" hidden="1">[7]TTL!$G$32:$AU$32</definedName>
    <definedName name="__123Graph_B" localSheetId="5" hidden="1">[7]TTL!$G$32:$AU$32</definedName>
    <definedName name="__123Graph_B" hidden="1">#REF!</definedName>
    <definedName name="__123Graph_BNCF" localSheetId="11" hidden="1">'[9]Cashflow Analysis'!#REF!</definedName>
    <definedName name="__123Graph_BNCF" localSheetId="1" hidden="1">'[9]Cashflow Analysis'!#REF!</definedName>
    <definedName name="__123Graph_BNCF" localSheetId="2" hidden="1">'[9]Cashflow Analysis'!#REF!</definedName>
    <definedName name="__123Graph_BNCF" localSheetId="4" hidden="1">'[9]Cashflow Analysis'!#REF!</definedName>
    <definedName name="__123Graph_BNCF" localSheetId="19" hidden="1">'[9]Cashflow Analysis'!#REF!</definedName>
    <definedName name="__123Graph_BNCF" localSheetId="10" hidden="1">'[9]Cashflow Analysis'!#REF!</definedName>
    <definedName name="__123Graph_BNCF" localSheetId="9" hidden="1">'[9]Cashflow Analysis'!#REF!</definedName>
    <definedName name="__123Graph_BNCF" localSheetId="8" hidden="1">'[9]Cashflow Analysis'!#REF!</definedName>
    <definedName name="__123Graph_BNCF" localSheetId="3" hidden="1">'[9]Cashflow Analysis'!#REF!</definedName>
    <definedName name="__123Graph_BNCF" localSheetId="6" hidden="1">'[9]Cashflow Analysis'!#REF!</definedName>
    <definedName name="__123Graph_BNCF" localSheetId="7" hidden="1">'[9]Cashflow Analysis'!#REF!</definedName>
    <definedName name="__123Graph_BNCF" localSheetId="5" hidden="1">'[9]Cashflow Analysis'!#REF!</definedName>
    <definedName name="__123Graph_BNCF" hidden="1">#REF!</definedName>
    <definedName name="__123Graph_BPERFORMANCE" hidden="1">#REF!</definedName>
    <definedName name="__123Graph_C" localSheetId="1" hidden="1">[7]TTL!$G$37:$AU$37</definedName>
    <definedName name="__123Graph_C" localSheetId="2" hidden="1">[7]TTL!$G$37:$AU$37</definedName>
    <definedName name="__123Graph_C" localSheetId="4" hidden="1">[7]TTL!$G$37:$AU$37</definedName>
    <definedName name="__123Graph_C" localSheetId="19" hidden="1">[7]TTL!$G$37:$AU$37</definedName>
    <definedName name="__123Graph_C" localSheetId="10" hidden="1">[7]TTL!$G$37:$AU$37</definedName>
    <definedName name="__123Graph_C" localSheetId="9" hidden="1">[7]TTL!$G$37:$AU$37</definedName>
    <definedName name="__123Graph_C" localSheetId="8" hidden="1">[7]TTL!$G$37:$AU$37</definedName>
    <definedName name="__123Graph_C" localSheetId="3" hidden="1">[7]TTL!$G$37:$AU$37</definedName>
    <definedName name="__123Graph_C" localSheetId="6" hidden="1">[7]TTL!$G$37:$AU$37</definedName>
    <definedName name="__123Graph_C" localSheetId="7" hidden="1">[7]TTL!$G$37:$AU$37</definedName>
    <definedName name="__123Graph_C" localSheetId="5" hidden="1">[7]TTL!$G$37:$AU$37</definedName>
    <definedName name="__123Graph_C" hidden="1">#REF!</definedName>
    <definedName name="__123Graph_D" localSheetId="1" hidden="1">[7]TTL!$G$38:$AU$38</definedName>
    <definedName name="__123Graph_D" localSheetId="2" hidden="1">[7]TTL!$G$38:$AU$38</definedName>
    <definedName name="__123Graph_D" localSheetId="4" hidden="1">[7]TTL!$G$38:$AU$38</definedName>
    <definedName name="__123Graph_D" localSheetId="19" hidden="1">[7]TTL!$G$38:$AU$38</definedName>
    <definedName name="__123Graph_D" localSheetId="10" hidden="1">[7]TTL!$G$38:$AU$38</definedName>
    <definedName name="__123Graph_D" localSheetId="9" hidden="1">[7]TTL!$G$38:$AU$38</definedName>
    <definedName name="__123Graph_D" localSheetId="8" hidden="1">[7]TTL!$G$38:$AU$38</definedName>
    <definedName name="__123Graph_D" localSheetId="3" hidden="1">[7]TTL!$G$38:$AU$38</definedName>
    <definedName name="__123Graph_D" localSheetId="6" hidden="1">[7]TTL!$G$38:$AU$38</definedName>
    <definedName name="__123Graph_D" localSheetId="7" hidden="1">[7]TTL!$G$38:$AU$38</definedName>
    <definedName name="__123Graph_D" localSheetId="5" hidden="1">[7]TTL!$G$38:$AU$38</definedName>
    <definedName name="__123Graph_D" hidden="1">#REF!</definedName>
    <definedName name="__123Graph_E" hidden="1">#REF!</definedName>
    <definedName name="__123Graph_F" hidden="1">#REF!</definedName>
    <definedName name="__123Graph_LBL_A" localSheetId="11" hidden="1">[10]운반!#REF!</definedName>
    <definedName name="__123Graph_LBL_A" localSheetId="1" hidden="1">[10]운반!#REF!</definedName>
    <definedName name="__123Graph_LBL_A" localSheetId="2" hidden="1">[10]운반!#REF!</definedName>
    <definedName name="__123Graph_LBL_A" localSheetId="4" hidden="1">[10]운반!#REF!</definedName>
    <definedName name="__123Graph_LBL_A" localSheetId="19" hidden="1">[10]운반!#REF!</definedName>
    <definedName name="__123Graph_LBL_A" localSheetId="10" hidden="1">[10]운반!#REF!</definedName>
    <definedName name="__123Graph_LBL_A" localSheetId="9" hidden="1">[10]운반!#REF!</definedName>
    <definedName name="__123Graph_LBL_A" localSheetId="8" hidden="1">[10]운반!#REF!</definedName>
    <definedName name="__123Graph_LBL_A" localSheetId="3" hidden="1">[10]운반!#REF!</definedName>
    <definedName name="__123Graph_LBL_A" localSheetId="6" hidden="1">[10]운반!#REF!</definedName>
    <definedName name="__123Graph_LBL_A" localSheetId="7" hidden="1">[10]운반!#REF!</definedName>
    <definedName name="__123Graph_LBL_A" localSheetId="5" hidden="1">[10]운반!#REF!</definedName>
    <definedName name="__123Graph_LBL_A" hidden="1">#REF!</definedName>
    <definedName name="__123Graph_LBL_B" localSheetId="11" hidden="1">[10]운반!#REF!</definedName>
    <definedName name="__123Graph_LBL_B" localSheetId="1" hidden="1">[10]운반!#REF!</definedName>
    <definedName name="__123Graph_LBL_B" localSheetId="2" hidden="1">[10]운반!#REF!</definedName>
    <definedName name="__123Graph_LBL_B" localSheetId="4" hidden="1">[10]운반!#REF!</definedName>
    <definedName name="__123Graph_LBL_B" localSheetId="19" hidden="1">[10]운반!#REF!</definedName>
    <definedName name="__123Graph_LBL_B" localSheetId="10" hidden="1">[10]운반!#REF!</definedName>
    <definedName name="__123Graph_LBL_B" localSheetId="9" hidden="1">[10]운반!#REF!</definedName>
    <definedName name="__123Graph_LBL_B" localSheetId="8" hidden="1">[10]운반!#REF!</definedName>
    <definedName name="__123Graph_LBL_B" localSheetId="3" hidden="1">[10]운반!#REF!</definedName>
    <definedName name="__123Graph_LBL_B" localSheetId="6" hidden="1">[10]운반!#REF!</definedName>
    <definedName name="__123Graph_LBL_B" localSheetId="7" hidden="1">[10]운반!#REF!</definedName>
    <definedName name="__123Graph_LBL_B" localSheetId="5" hidden="1">[10]운반!#REF!</definedName>
    <definedName name="__123Graph_LBL_B" hidden="1">#REF!</definedName>
    <definedName name="__123Graph_LBL_C" localSheetId="11" hidden="1">[10]운반!#REF!</definedName>
    <definedName name="__123Graph_LBL_C" localSheetId="1" hidden="1">[10]운반!#REF!</definedName>
    <definedName name="__123Graph_LBL_C" localSheetId="2" hidden="1">[10]운반!#REF!</definedName>
    <definedName name="__123Graph_LBL_C" localSheetId="4" hidden="1">[10]운반!#REF!</definedName>
    <definedName name="__123Graph_LBL_C" localSheetId="19" hidden="1">[10]운반!#REF!</definedName>
    <definedName name="__123Graph_LBL_C" localSheetId="10" hidden="1">[10]운반!#REF!</definedName>
    <definedName name="__123Graph_LBL_C" localSheetId="9" hidden="1">[10]운반!#REF!</definedName>
    <definedName name="__123Graph_LBL_C" localSheetId="8" hidden="1">[10]운반!#REF!</definedName>
    <definedName name="__123Graph_LBL_C" localSheetId="3" hidden="1">[10]운반!#REF!</definedName>
    <definedName name="__123Graph_LBL_C" localSheetId="6" hidden="1">[10]운반!#REF!</definedName>
    <definedName name="__123Graph_LBL_C" localSheetId="7" hidden="1">[10]운반!#REF!</definedName>
    <definedName name="__123Graph_LBL_C" localSheetId="5" hidden="1">[10]운반!#REF!</definedName>
    <definedName name="__123Graph_LBL_C" hidden="1">#REF!</definedName>
    <definedName name="__123Graph_LBL_D" localSheetId="11" hidden="1">[10]운반!#REF!</definedName>
    <definedName name="__123Graph_LBL_D" localSheetId="1" hidden="1">[10]운반!#REF!</definedName>
    <definedName name="__123Graph_LBL_D" localSheetId="2" hidden="1">[10]운반!#REF!</definedName>
    <definedName name="__123Graph_LBL_D" localSheetId="4" hidden="1">[10]운반!#REF!</definedName>
    <definedName name="__123Graph_LBL_D" localSheetId="19" hidden="1">[10]운반!#REF!</definedName>
    <definedName name="__123Graph_LBL_D" localSheetId="10" hidden="1">[10]운반!#REF!</definedName>
    <definedName name="__123Graph_LBL_D" localSheetId="9" hidden="1">[10]운반!#REF!</definedName>
    <definedName name="__123Graph_LBL_D" localSheetId="8" hidden="1">[10]운반!#REF!</definedName>
    <definedName name="__123Graph_LBL_D" localSheetId="3" hidden="1">[10]운반!#REF!</definedName>
    <definedName name="__123Graph_LBL_D" localSheetId="6" hidden="1">[10]운반!#REF!</definedName>
    <definedName name="__123Graph_LBL_D" localSheetId="7" hidden="1">[10]운반!#REF!</definedName>
    <definedName name="__123Graph_LBL_D" localSheetId="5" hidden="1">[10]운반!#REF!</definedName>
    <definedName name="__123Graph_LBL_D" hidden="1">#REF!</definedName>
    <definedName name="__123Graph_LBL_E" localSheetId="11" hidden="1">[10]운반!#REF!</definedName>
    <definedName name="__123Graph_LBL_E" localSheetId="1" hidden="1">[10]운반!#REF!</definedName>
    <definedName name="__123Graph_LBL_E" localSheetId="2" hidden="1">[10]운반!#REF!</definedName>
    <definedName name="__123Graph_LBL_E" localSheetId="4" hidden="1">[10]운반!#REF!</definedName>
    <definedName name="__123Graph_LBL_E" localSheetId="19" hidden="1">[10]운반!#REF!</definedName>
    <definedName name="__123Graph_LBL_E" localSheetId="10" hidden="1">[10]운반!#REF!</definedName>
    <definedName name="__123Graph_LBL_E" localSheetId="9" hidden="1">[10]운반!#REF!</definedName>
    <definedName name="__123Graph_LBL_E" localSheetId="8" hidden="1">[10]운반!#REF!</definedName>
    <definedName name="__123Graph_LBL_E" localSheetId="3" hidden="1">[10]운반!#REF!</definedName>
    <definedName name="__123Graph_LBL_E" localSheetId="6" hidden="1">[10]운반!#REF!</definedName>
    <definedName name="__123Graph_LBL_E" localSheetId="7" hidden="1">[10]운반!#REF!</definedName>
    <definedName name="__123Graph_LBL_E" localSheetId="5" hidden="1">[10]운반!#REF!</definedName>
    <definedName name="__123Graph_LBL_E" hidden="1">#REF!</definedName>
    <definedName name="__123Graph_LBL_F" localSheetId="11" hidden="1">[10]운반!#REF!</definedName>
    <definedName name="__123Graph_LBL_F" localSheetId="1" hidden="1">[10]운반!#REF!</definedName>
    <definedName name="__123Graph_LBL_F" localSheetId="2" hidden="1">[10]운반!#REF!</definedName>
    <definedName name="__123Graph_LBL_F" localSheetId="4" hidden="1">[10]운반!#REF!</definedName>
    <definedName name="__123Graph_LBL_F" localSheetId="19" hidden="1">[10]운반!#REF!</definedName>
    <definedName name="__123Graph_LBL_F" localSheetId="10" hidden="1">[10]운반!#REF!</definedName>
    <definedName name="__123Graph_LBL_F" localSheetId="9" hidden="1">[10]운반!#REF!</definedName>
    <definedName name="__123Graph_LBL_F" localSheetId="8" hidden="1">[10]운반!#REF!</definedName>
    <definedName name="__123Graph_LBL_F" localSheetId="3" hidden="1">[10]운반!#REF!</definedName>
    <definedName name="__123Graph_LBL_F" localSheetId="6" hidden="1">[10]운반!#REF!</definedName>
    <definedName name="__123Graph_LBL_F" localSheetId="7" hidden="1">[10]운반!#REF!</definedName>
    <definedName name="__123Graph_LBL_F" localSheetId="5" hidden="1">[10]운반!#REF!</definedName>
    <definedName name="__123Graph_LBL_F" hidden="1">#REF!</definedName>
    <definedName name="__123Graph_X" localSheetId="1" hidden="1">[7]TTL!$G$6:$AU$6</definedName>
    <definedName name="__123Graph_X" localSheetId="2" hidden="1">[7]TTL!$G$6:$AU$6</definedName>
    <definedName name="__123Graph_X" localSheetId="4" hidden="1">[7]TTL!$G$6:$AU$6</definedName>
    <definedName name="__123Graph_X" localSheetId="19" hidden="1">[7]TTL!$G$6:$AU$6</definedName>
    <definedName name="__123Graph_X" localSheetId="10" hidden="1">[7]TTL!$G$6:$AU$6</definedName>
    <definedName name="__123Graph_X" localSheetId="9" hidden="1">[7]TTL!$G$6:$AU$6</definedName>
    <definedName name="__123Graph_X" localSheetId="8" hidden="1">[7]TTL!$G$6:$AU$6</definedName>
    <definedName name="__123Graph_X" localSheetId="3" hidden="1">[7]TTL!$G$6:$AU$6</definedName>
    <definedName name="__123Graph_X" localSheetId="6" hidden="1">[7]TTL!$G$6:$AU$6</definedName>
    <definedName name="__123Graph_X" localSheetId="7" hidden="1">[7]TTL!$G$6:$AU$6</definedName>
    <definedName name="__123Graph_X" localSheetId="5" hidden="1">[7]TTL!$G$6:$AU$6</definedName>
    <definedName name="__123Graph_X" hidden="1">#REF!</definedName>
    <definedName name="__123Graph_XCHART1" hidden="1">#REF!</definedName>
    <definedName name="__123Graph_XCOSTI" localSheetId="11" hidden="1">'[8]TIPO 1'!$I$4:$AG$4</definedName>
    <definedName name="__123Graph_XCOSTI" localSheetId="1" hidden="1">'[8]TIPO 1'!$I$4:$AG$4</definedName>
    <definedName name="__123Graph_XCOSTI" localSheetId="2" hidden="1">'[8]TIPO 1'!$I$4:$AG$4</definedName>
    <definedName name="__123Graph_XCOSTI" localSheetId="4" hidden="1">'[8]TIPO 1'!$I$4:$AG$4</definedName>
    <definedName name="__123Graph_XCOSTI" localSheetId="19" hidden="1">'[8]TIPO 1'!$I$4:$AG$4</definedName>
    <definedName name="__123Graph_XCOSTI" localSheetId="10" hidden="1">'[8]TIPO 1'!$I$4:$AG$4</definedName>
    <definedName name="__123Graph_XCOSTI" localSheetId="9" hidden="1">'[8]TIPO 1'!$I$4:$AG$4</definedName>
    <definedName name="__123Graph_XCOSTI" localSheetId="8" hidden="1">'[8]TIPO 1'!$I$4:$AG$4</definedName>
    <definedName name="__123Graph_XCOSTI" localSheetId="3" hidden="1">'[8]TIPO 1'!$I$4:$AG$4</definedName>
    <definedName name="__123Graph_XCOSTI" localSheetId="6" hidden="1">'[8]TIPO 1'!$I$4:$AG$4</definedName>
    <definedName name="__123Graph_XCOSTI" localSheetId="7" hidden="1">'[8]TIPO 1'!$I$4:$AG$4</definedName>
    <definedName name="__123Graph_XCOSTI" localSheetId="5" hidden="1">'[8]TIPO 1'!$I$4:$AG$4</definedName>
    <definedName name="__123Graph_XCOSTI" hidden="1">#REF!</definedName>
    <definedName name="__123Graph_XCURRENT" hidden="1">#REF!</definedName>
    <definedName name="__123Graph_XNCF" localSheetId="11" hidden="1">'[11]Cashflow Analysis'!$E$63:$BL$63</definedName>
    <definedName name="__123Graph_XNCF" localSheetId="1" hidden="1">'[11]Cashflow Analysis'!$E$63:$BL$63</definedName>
    <definedName name="__123Graph_XNCF" localSheetId="2" hidden="1">'[11]Cashflow Analysis'!$E$63:$BL$63</definedName>
    <definedName name="__123Graph_XNCF" localSheetId="4" hidden="1">'[11]Cashflow Analysis'!$E$63:$BL$63</definedName>
    <definedName name="__123Graph_XNCF" localSheetId="19" hidden="1">'[11]Cashflow Analysis'!$E$63:$BL$63</definedName>
    <definedName name="__123Graph_XNCF" localSheetId="10" hidden="1">'[11]Cashflow Analysis'!$E$63:$BL$63</definedName>
    <definedName name="__123Graph_XNCF" localSheetId="9" hidden="1">'[11]Cashflow Analysis'!$E$63:$BL$63</definedName>
    <definedName name="__123Graph_XNCF" localSheetId="8" hidden="1">'[11]Cashflow Analysis'!$E$63:$BL$63</definedName>
    <definedName name="__123Graph_XNCF" localSheetId="3" hidden="1">'[11]Cashflow Analysis'!$E$63:$BL$63</definedName>
    <definedName name="__123Graph_XNCF" localSheetId="6" hidden="1">'[11]Cashflow Analysis'!$E$63:$BL$63</definedName>
    <definedName name="__123Graph_XNCF" localSheetId="7" hidden="1">'[11]Cashflow Analysis'!$E$63:$BL$63</definedName>
    <definedName name="__123Graph_XNCF" localSheetId="5" hidden="1">'[11]Cashflow Analysis'!$E$63:$BL$63</definedName>
    <definedName name="__123Graph_XNCF" hidden="1">#REF!</definedName>
    <definedName name="__123lll" localSheetId="11" hidden="1">[12]Spread!#REF!</definedName>
    <definedName name="__123lll" localSheetId="1" hidden="1">[12]Spread!#REF!</definedName>
    <definedName name="__123lll" localSheetId="2" hidden="1">[12]Spread!#REF!</definedName>
    <definedName name="__123lll" localSheetId="4" hidden="1">[12]Spread!#REF!</definedName>
    <definedName name="__123lll" localSheetId="19" hidden="1">[12]Spread!#REF!</definedName>
    <definedName name="__123lll" localSheetId="10" hidden="1">[12]Spread!#REF!</definedName>
    <definedName name="__123lll" localSheetId="9" hidden="1">[12]Spread!#REF!</definedName>
    <definedName name="__123lll" localSheetId="8" hidden="1">[12]Spread!#REF!</definedName>
    <definedName name="__123lll" localSheetId="3" hidden="1">[12]Spread!#REF!</definedName>
    <definedName name="__123lll" localSheetId="6" hidden="1">[12]Spread!#REF!</definedName>
    <definedName name="__123lll" localSheetId="7" hidden="1">[12]Spread!#REF!</definedName>
    <definedName name="__123lll" localSheetId="5" hidden="1">[12]Spread!#REF!</definedName>
    <definedName name="__123lll" hidden="1">#REF!</definedName>
    <definedName name="__124sr" localSheetId="11" hidden="1">[13]DRUM!#REF!</definedName>
    <definedName name="__124sr" localSheetId="1" hidden="1">[13]DRUM!#REF!</definedName>
    <definedName name="__124sr" localSheetId="2" hidden="1">[13]DRUM!#REF!</definedName>
    <definedName name="__124sr" localSheetId="4" hidden="1">[13]DRUM!#REF!</definedName>
    <definedName name="__124sr" localSheetId="19" hidden="1">[13]DRUM!#REF!</definedName>
    <definedName name="__124sr" localSheetId="10" hidden="1">[13]DRUM!#REF!</definedName>
    <definedName name="__124sr" localSheetId="9" hidden="1">[13]DRUM!#REF!</definedName>
    <definedName name="__124sr" localSheetId="8" hidden="1">[13]DRUM!#REF!</definedName>
    <definedName name="__124sr" localSheetId="3" hidden="1">[13]DRUM!#REF!</definedName>
    <definedName name="__124sr" localSheetId="6" hidden="1">[13]DRUM!#REF!</definedName>
    <definedName name="__124sr" localSheetId="7" hidden="1">[13]DRUM!#REF!</definedName>
    <definedName name="__124sr" localSheetId="5" hidden="1">[13]DRUM!#REF!</definedName>
    <definedName name="__124sr" hidden="1">#REF!</definedName>
    <definedName name="__1F" localSheetId="11" hidden="1">[14]대비표!#REF!</definedName>
    <definedName name="__1F" localSheetId="1" hidden="1">[14]대비표!#REF!</definedName>
    <definedName name="__1F" localSheetId="2" hidden="1">[14]대비표!#REF!</definedName>
    <definedName name="__1F" localSheetId="4" hidden="1">[14]대비표!#REF!</definedName>
    <definedName name="__1F" localSheetId="19" hidden="1">[14]대비표!#REF!</definedName>
    <definedName name="__1F" localSheetId="10" hidden="1">[14]대비표!#REF!</definedName>
    <definedName name="__1F" localSheetId="9" hidden="1">[14]대비표!#REF!</definedName>
    <definedName name="__1F" localSheetId="8" hidden="1">[14]대비표!#REF!</definedName>
    <definedName name="__1F" localSheetId="3" hidden="1">[14]대비표!#REF!</definedName>
    <definedName name="__1F" localSheetId="6" hidden="1">[14]대비표!#REF!</definedName>
    <definedName name="__1F" localSheetId="7" hidden="1">[14]대비표!#REF!</definedName>
    <definedName name="__1F" localSheetId="5" hidden="1">[14]대비표!#REF!</definedName>
    <definedName name="__1F" hidden="1">#REF!</definedName>
    <definedName name="__2_0_0_F" localSheetId="11" hidden="1">[14]대비표!#REF!</definedName>
    <definedName name="__2_0_0_F" localSheetId="1" hidden="1">[14]대비표!#REF!</definedName>
    <definedName name="__2_0_0_F" localSheetId="2" hidden="1">[14]대비표!#REF!</definedName>
    <definedName name="__2_0_0_F" localSheetId="4" hidden="1">[14]대비표!#REF!</definedName>
    <definedName name="__2_0_0_F" localSheetId="19" hidden="1">[14]대비표!#REF!</definedName>
    <definedName name="__2_0_0_F" localSheetId="10" hidden="1">[14]대비표!#REF!</definedName>
    <definedName name="__2_0_0_F" localSheetId="9" hidden="1">[14]대비표!#REF!</definedName>
    <definedName name="__2_0_0_F" localSheetId="8" hidden="1">[14]대비표!#REF!</definedName>
    <definedName name="__2_0_0_F" localSheetId="3" hidden="1">[14]대비표!#REF!</definedName>
    <definedName name="__2_0_0_F" localSheetId="6" hidden="1">[14]대비표!#REF!</definedName>
    <definedName name="__2_0_0_F" localSheetId="7" hidden="1">[14]대비표!#REF!</definedName>
    <definedName name="__2_0_0_F" localSheetId="5" hidden="1">[14]대비표!#REF!</definedName>
    <definedName name="__2_0_0_F" hidden="1">#REF!</definedName>
    <definedName name="__4aa1_" localSheetId="18" hidden="1">{#N/A,#N/A,FALSE,"CCTV"}</definedName>
    <definedName name="__4aa1_" hidden="1">{#N/A,#N/A,FALSE,"CCTV"}</definedName>
    <definedName name="__A1" localSheetId="18" hidden="1">{#N/A,#N/A,FALSE,"type1";#N/A,#N/A,FALSE,"지지력";#N/A,#N/A,FALSE,"PILE계산";#N/A,#N/A,FALSE,"PILE ";#N/A,#N/A,FALSE,"철근량";#N/A,#N/A,FALSE,"균열검토";#N/A,#N/A,FALSE,"날개벽";#N/A,#N/A,FALSE,"주철근조립도";#N/A,#N/A,FALSE,"교좌"}</definedName>
    <definedName name="__A1" hidden="1">{#N/A,#N/A,FALSE,"type1";#N/A,#N/A,FALSE,"지지력";#N/A,#N/A,FALSE,"PILE계산";#N/A,#N/A,FALSE,"PILE ";#N/A,#N/A,FALSE,"철근량";#N/A,#N/A,FALSE,"균열검토";#N/A,#N/A,FALSE,"날개벽";#N/A,#N/A,FALSE,"주철근조립도";#N/A,#N/A,FALSE,"교좌"}</definedName>
    <definedName name="__A10" localSheetId="18" hidden="1">{#N/A,#N/A,FALSE,"CCTV"}</definedName>
    <definedName name="__A10" hidden="1">{#N/A,#N/A,FALSE,"CCTV"}</definedName>
    <definedName name="__a11" localSheetId="18" hidden="1">{"'장비'!$A$3:$M$12"}</definedName>
    <definedName name="__a11" hidden="1">{"'장비'!$A$3:$M$12"}</definedName>
    <definedName name="__a129" localSheetId="18"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12"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19"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8"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8"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19"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0000">#REF!</definedName>
    <definedName name="__A8" localSheetId="18" hidden="1">{"'Sheet1'!$L$16"}</definedName>
    <definedName name="__A8" localSheetId="11" hidden="1">{"'Sheet1'!$L$16"}</definedName>
    <definedName name="__A8" localSheetId="1" hidden="1">{"'Sheet1'!$L$16"}</definedName>
    <definedName name="__A8" localSheetId="2" hidden="1">{"'Sheet1'!$L$16"}</definedName>
    <definedName name="__A8" localSheetId="12" hidden="1">{"'Sheet1'!$L$16"}</definedName>
    <definedName name="__A8" localSheetId="4" hidden="1">{"'Sheet1'!$L$16"}</definedName>
    <definedName name="__A8" localSheetId="19" hidden="1">{"'Sheet1'!$L$16"}</definedName>
    <definedName name="__A8" localSheetId="10" hidden="1">{"'Sheet1'!$L$16"}</definedName>
    <definedName name="__A8" localSheetId="9" hidden="1">{"'Sheet1'!$L$16"}</definedName>
    <definedName name="__A8" localSheetId="8" hidden="1">{"'Sheet1'!$L$16"}</definedName>
    <definedName name="__A8" localSheetId="3" hidden="1">{"'Sheet1'!$L$16"}</definedName>
    <definedName name="__A8" localSheetId="6" hidden="1">{"'Sheet1'!$L$16"}</definedName>
    <definedName name="__A8" localSheetId="7" hidden="1">{"'Sheet1'!$L$16"}</definedName>
    <definedName name="__A8" localSheetId="5" hidden="1">{"'Sheet1'!$L$16"}</definedName>
    <definedName name="__A8" localSheetId="13" hidden="1">{"'Sheet1'!$L$16"}</definedName>
    <definedName name="__A8" hidden="1">{"'Sheet1'!$L$16"}</definedName>
    <definedName name="__a9" localSheetId="18" hidden="1">{"'Sheet1'!$L$16"}</definedName>
    <definedName name="__a9" localSheetId="11" hidden="1">{"'Sheet1'!$L$16"}</definedName>
    <definedName name="__a9" localSheetId="1" hidden="1">{"'Sheet1'!$L$16"}</definedName>
    <definedName name="__a9" localSheetId="2" hidden="1">{"'Sheet1'!$L$16"}</definedName>
    <definedName name="__a9" localSheetId="12" hidden="1">{"'Sheet1'!$L$16"}</definedName>
    <definedName name="__a9" localSheetId="4" hidden="1">{"'Sheet1'!$L$16"}</definedName>
    <definedName name="__a9" localSheetId="19" hidden="1">{"'Sheet1'!$L$16"}</definedName>
    <definedName name="__a9" localSheetId="10" hidden="1">{"'Sheet1'!$L$16"}</definedName>
    <definedName name="__a9" localSheetId="9" hidden="1">{"'Sheet1'!$L$16"}</definedName>
    <definedName name="__a9" localSheetId="8" hidden="1">{"'Sheet1'!$L$16"}</definedName>
    <definedName name="__a9" localSheetId="3" hidden="1">{"'Sheet1'!$L$16"}</definedName>
    <definedName name="__a9" localSheetId="6" hidden="1">{"'Sheet1'!$L$16"}</definedName>
    <definedName name="__a9" localSheetId="7" hidden="1">{"'Sheet1'!$L$16"}</definedName>
    <definedName name="__a9" localSheetId="5" hidden="1">{"'Sheet1'!$L$16"}</definedName>
    <definedName name="__a9" localSheetId="13" hidden="1">{"'Sheet1'!$L$16"}</definedName>
    <definedName name="__a9" hidden="1">{"'Sheet1'!$L$16"}</definedName>
    <definedName name="__aa1" localSheetId="18" hidden="1">{#N/A,#N/A,FALSE,"CCTV"}</definedName>
    <definedName name="__aa1" hidden="1">{#N/A,#N/A,FALSE,"CCTV"}</definedName>
    <definedName name="__AW0031" localSheetId="18" hidden="1">{#N/A,#N/A,FALSE,"CCTV"}</definedName>
    <definedName name="__AW0031" hidden="1">{#N/A,#N/A,FALSE,"CCTV"}</definedName>
    <definedName name="__BD105"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cal1">[4]제출계산서!$I$185</definedName>
    <definedName name="__cal2">[4]제출계산서!$I$185</definedName>
    <definedName name="__can430">40.73</definedName>
    <definedName name="__can435">43.3</definedName>
    <definedName name="__cf2" localSheetId="18" hidden="1">{#N/A,#N/A,FALSE,"Variables";#N/A,#N/A,FALSE,"NPV Cashflows NZ$";#N/A,#N/A,FALSE,"Cashflows NZ$"}</definedName>
    <definedName name="__cf2" hidden="1">{#N/A,#N/A,FALSE,"Variables";#N/A,#N/A,FALSE,"NPV Cashflows NZ$";#N/A,#N/A,FALSE,"Cashflows NZ$"}</definedName>
    <definedName name="__ClientName_">"Eclipse CS Pty Ltd"</definedName>
    <definedName name="__CON1">#REF!</definedName>
    <definedName name="__CON2">#REF!</definedName>
    <definedName name="__ddn400">#REF!</definedName>
    <definedName name="__doi3" localSheetId="16" hidden="1">{"'Sheet1'!$L$16"}</definedName>
    <definedName name="__doi3" localSheetId="18" hidden="1">{"'Sheet1'!$L$16"}</definedName>
    <definedName name="__doi3" localSheetId="17" hidden="1">{"'Sheet1'!$L$16"}</definedName>
    <definedName name="__doi3" hidden="1">{"'Sheet1'!$L$16"}</definedName>
    <definedName name="__doi5" localSheetId="16" hidden="1">{"'Sheet1'!$L$16"}</definedName>
    <definedName name="__doi5" localSheetId="18" hidden="1">{"'Sheet1'!$L$16"}</definedName>
    <definedName name="__doi5" localSheetId="17" hidden="1">{"'Sheet1'!$L$16"}</definedName>
    <definedName name="__doi5" hidden="1">{"'Sheet1'!$L$16"}</definedName>
    <definedName name="__EE1" localSheetId="18" hidden="1">{#N/A,#N/A,FALSE,"단가표지"}</definedName>
    <definedName name="__EE1" hidden="1">{#N/A,#N/A,FALSE,"단가표지"}</definedName>
    <definedName name="__F3">#REF!</definedName>
    <definedName name="__FF3">#REF!</definedName>
    <definedName name="__fsf2" localSheetId="18" hidden="1">{#N/A,#N/A,TRUE,"Mhr_Sum"}</definedName>
    <definedName name="__fsf2" hidden="1">{#N/A,#N/A,TRUE,"Mhr_Sum"}</definedName>
    <definedName name="__Goi8" localSheetId="18" hidden="1">{"'Sheet1'!$L$16"}</definedName>
    <definedName name="__Goi8" localSheetId="11" hidden="1">{"'Sheet1'!$L$16"}</definedName>
    <definedName name="__Goi8" localSheetId="1" hidden="1">{"'Sheet1'!$L$16"}</definedName>
    <definedName name="__Goi8" localSheetId="2" hidden="1">{"'Sheet1'!$L$16"}</definedName>
    <definedName name="__Goi8" localSheetId="12" hidden="1">{"'Sheet1'!$L$16"}</definedName>
    <definedName name="__Goi8" localSheetId="4" hidden="1">{"'Sheet1'!$L$16"}</definedName>
    <definedName name="__Goi8" localSheetId="19" hidden="1">{"'Sheet1'!$L$16"}</definedName>
    <definedName name="__Goi8" localSheetId="10" hidden="1">{"'Sheet1'!$L$16"}</definedName>
    <definedName name="__Goi8" localSheetId="9" hidden="1">{"'Sheet1'!$L$16"}</definedName>
    <definedName name="__Goi8" localSheetId="8" hidden="1">{"'Sheet1'!$L$16"}</definedName>
    <definedName name="__Goi8" localSheetId="3" hidden="1">{"'Sheet1'!$L$16"}</definedName>
    <definedName name="__Goi8" localSheetId="6" hidden="1">{"'Sheet1'!$L$16"}</definedName>
    <definedName name="__Goi8" localSheetId="7" hidden="1">{"'Sheet1'!$L$16"}</definedName>
    <definedName name="__Goi8" localSheetId="5" hidden="1">{"'Sheet1'!$L$16"}</definedName>
    <definedName name="__Goi8" localSheetId="13" hidden="1">{"'Sheet1'!$L$16"}</definedName>
    <definedName name="__Goi8" hidden="1">{"'Sheet1'!$L$16"}</definedName>
    <definedName name="__h1" localSheetId="18" hidden="1">{"'Sheet1'!$L$16"}</definedName>
    <definedName name="__h1" localSheetId="11" hidden="1">{"'Sheet1'!$L$16"}</definedName>
    <definedName name="__h1" localSheetId="1" hidden="1">{"'Sheet1'!$L$16"}</definedName>
    <definedName name="__h1" localSheetId="2" hidden="1">{"'Sheet1'!$L$16"}</definedName>
    <definedName name="__h1" localSheetId="12" hidden="1">{"'Sheet1'!$L$16"}</definedName>
    <definedName name="__h1" localSheetId="4" hidden="1">{"'Sheet1'!$L$16"}</definedName>
    <definedName name="__h1" localSheetId="19" hidden="1">{"'Sheet1'!$L$16"}</definedName>
    <definedName name="__h1" localSheetId="10" hidden="1">{"'Sheet1'!$L$16"}</definedName>
    <definedName name="__h1" localSheetId="9" hidden="1">{"'Sheet1'!$L$16"}</definedName>
    <definedName name="__h1" localSheetId="8" hidden="1">{"'Sheet1'!$L$16"}</definedName>
    <definedName name="__h1" localSheetId="3" hidden="1">{"'Sheet1'!$L$16"}</definedName>
    <definedName name="__h1" localSheetId="6" hidden="1">{"'Sheet1'!$L$16"}</definedName>
    <definedName name="__h1" localSheetId="7" hidden="1">{"'Sheet1'!$L$16"}</definedName>
    <definedName name="__h1" localSheetId="5" hidden="1">{"'Sheet1'!$L$16"}</definedName>
    <definedName name="__h1" localSheetId="13" hidden="1">{"'Sheet1'!$L$16"}</definedName>
    <definedName name="__h1" hidden="1">{"'Sheet1'!$L$16"}</definedName>
    <definedName name="__H3" localSheetId="18" hidden="1">{"'장비'!$A$3:$M$12"}</definedName>
    <definedName name="__H3" hidden="1">{"'장비'!$A$3:$M$12"}</definedName>
    <definedName name="__H4" localSheetId="18" hidden="1">{#N/A,#N/A,TRUE,"Mhr_Sum"}</definedName>
    <definedName name="__H4" hidden="1">{#N/A,#N/A,TRUE,"Mhr_Sum"}</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u1" localSheetId="18" hidden="1">{"'Sheet1'!$L$16"}</definedName>
    <definedName name="__hu1" localSheetId="11" hidden="1">{"'Sheet1'!$L$16"}</definedName>
    <definedName name="__hu1" localSheetId="1" hidden="1">{"'Sheet1'!$L$16"}</definedName>
    <definedName name="__hu1" localSheetId="2" hidden="1">{"'Sheet1'!$L$16"}</definedName>
    <definedName name="__hu1" localSheetId="12" hidden="1">{"'Sheet1'!$L$16"}</definedName>
    <definedName name="__hu1" localSheetId="4" hidden="1">{"'Sheet1'!$L$16"}</definedName>
    <definedName name="__hu1" localSheetId="19" hidden="1">{"'Sheet1'!$L$16"}</definedName>
    <definedName name="__hu1" localSheetId="10" hidden="1">{"'Sheet1'!$L$16"}</definedName>
    <definedName name="__hu1" localSheetId="9" hidden="1">{"'Sheet1'!$L$16"}</definedName>
    <definedName name="__hu1" localSheetId="8" hidden="1">{"'Sheet1'!$L$16"}</definedName>
    <definedName name="__hu1" localSheetId="3" hidden="1">{"'Sheet1'!$L$16"}</definedName>
    <definedName name="__hu1" localSheetId="6" hidden="1">{"'Sheet1'!$L$16"}</definedName>
    <definedName name="__hu1" localSheetId="7" hidden="1">{"'Sheet1'!$L$16"}</definedName>
    <definedName name="__hu1" localSheetId="5" hidden="1">{"'Sheet1'!$L$16"}</definedName>
    <definedName name="__hu1" localSheetId="13" hidden="1">{"'Sheet1'!$L$16"}</definedName>
    <definedName name="__hu1" hidden="1">{"'Sheet1'!$L$16"}</definedName>
    <definedName name="__hu2" localSheetId="18" hidden="1">{"'Sheet1'!$L$16"}</definedName>
    <definedName name="__hu2" localSheetId="11" hidden="1">{"'Sheet1'!$L$16"}</definedName>
    <definedName name="__hu2" localSheetId="1" hidden="1">{"'Sheet1'!$L$16"}</definedName>
    <definedName name="__hu2" localSheetId="2" hidden="1">{"'Sheet1'!$L$16"}</definedName>
    <definedName name="__hu2" localSheetId="12" hidden="1">{"'Sheet1'!$L$16"}</definedName>
    <definedName name="__hu2" localSheetId="4" hidden="1">{"'Sheet1'!$L$16"}</definedName>
    <definedName name="__hu2" localSheetId="19" hidden="1">{"'Sheet1'!$L$16"}</definedName>
    <definedName name="__hu2" localSheetId="10" hidden="1">{"'Sheet1'!$L$16"}</definedName>
    <definedName name="__hu2" localSheetId="9" hidden="1">{"'Sheet1'!$L$16"}</definedName>
    <definedName name="__hu2" localSheetId="8" hidden="1">{"'Sheet1'!$L$16"}</definedName>
    <definedName name="__hu2" localSheetId="3" hidden="1">{"'Sheet1'!$L$16"}</definedName>
    <definedName name="__hu2" localSheetId="6" hidden="1">{"'Sheet1'!$L$16"}</definedName>
    <definedName name="__hu2" localSheetId="7" hidden="1">{"'Sheet1'!$L$16"}</definedName>
    <definedName name="__hu2" localSheetId="5" hidden="1">{"'Sheet1'!$L$16"}</definedName>
    <definedName name="__hu2" localSheetId="13" hidden="1">{"'Sheet1'!$L$16"}</definedName>
    <definedName name="__hu2" hidden="1">{"'Sheet1'!$L$16"}</definedName>
    <definedName name="__hu5" localSheetId="18" hidden="1">{"'Sheet1'!$L$16"}</definedName>
    <definedName name="__hu5" localSheetId="11" hidden="1">{"'Sheet1'!$L$16"}</definedName>
    <definedName name="__hu5" localSheetId="1" hidden="1">{"'Sheet1'!$L$16"}</definedName>
    <definedName name="__hu5" localSheetId="2" hidden="1">{"'Sheet1'!$L$16"}</definedName>
    <definedName name="__hu5" localSheetId="12" hidden="1">{"'Sheet1'!$L$16"}</definedName>
    <definedName name="__hu5" localSheetId="4" hidden="1">{"'Sheet1'!$L$16"}</definedName>
    <definedName name="__hu5" localSheetId="19" hidden="1">{"'Sheet1'!$L$16"}</definedName>
    <definedName name="__hu5" localSheetId="10" hidden="1">{"'Sheet1'!$L$16"}</definedName>
    <definedName name="__hu5" localSheetId="9" hidden="1">{"'Sheet1'!$L$16"}</definedName>
    <definedName name="__hu5" localSheetId="8" hidden="1">{"'Sheet1'!$L$16"}</definedName>
    <definedName name="__hu5" localSheetId="3" hidden="1">{"'Sheet1'!$L$16"}</definedName>
    <definedName name="__hu5" localSheetId="6" hidden="1">{"'Sheet1'!$L$16"}</definedName>
    <definedName name="__hu5" localSheetId="7" hidden="1">{"'Sheet1'!$L$16"}</definedName>
    <definedName name="__hu5" localSheetId="5" hidden="1">{"'Sheet1'!$L$16"}</definedName>
    <definedName name="__hu5" localSheetId="13" hidden="1">{"'Sheet1'!$L$16"}</definedName>
    <definedName name="__hu5" hidden="1">{"'Sheet1'!$L$16"}</definedName>
    <definedName name="__hu6" localSheetId="18" hidden="1">{"'Sheet1'!$L$16"}</definedName>
    <definedName name="__hu6" localSheetId="11" hidden="1">{"'Sheet1'!$L$16"}</definedName>
    <definedName name="__hu6" localSheetId="1" hidden="1">{"'Sheet1'!$L$16"}</definedName>
    <definedName name="__hu6" localSheetId="2" hidden="1">{"'Sheet1'!$L$16"}</definedName>
    <definedName name="__hu6" localSheetId="12" hidden="1">{"'Sheet1'!$L$16"}</definedName>
    <definedName name="__hu6" localSheetId="4" hidden="1">{"'Sheet1'!$L$16"}</definedName>
    <definedName name="__hu6" localSheetId="19" hidden="1">{"'Sheet1'!$L$16"}</definedName>
    <definedName name="__hu6" localSheetId="10" hidden="1">{"'Sheet1'!$L$16"}</definedName>
    <definedName name="__hu6" localSheetId="9" hidden="1">{"'Sheet1'!$L$16"}</definedName>
    <definedName name="__hu6" localSheetId="8" hidden="1">{"'Sheet1'!$L$16"}</definedName>
    <definedName name="__hu6" localSheetId="3" hidden="1">{"'Sheet1'!$L$16"}</definedName>
    <definedName name="__hu6" localSheetId="6" hidden="1">{"'Sheet1'!$L$16"}</definedName>
    <definedName name="__hu6" localSheetId="7" hidden="1">{"'Sheet1'!$L$16"}</definedName>
    <definedName name="__hu6" localSheetId="5" hidden="1">{"'Sheet1'!$L$16"}</definedName>
    <definedName name="__hu6" localSheetId="13" hidden="1">{"'Sheet1'!$L$16"}</definedName>
    <definedName name="__hu6" hidden="1">{"'Sheet1'!$L$16"}</definedName>
    <definedName name="__hu7" localSheetId="18" hidden="1">{"'Sheet1'!$L$16"}</definedName>
    <definedName name="__hu7" localSheetId="11" hidden="1">{"'Sheet1'!$L$16"}</definedName>
    <definedName name="__hu7" localSheetId="1" hidden="1">{"'Sheet1'!$L$16"}</definedName>
    <definedName name="__hu7" localSheetId="2" hidden="1">{"'Sheet1'!$L$16"}</definedName>
    <definedName name="__hu7" localSheetId="12" hidden="1">{"'Sheet1'!$L$16"}</definedName>
    <definedName name="__hu7" localSheetId="4" hidden="1">{"'Sheet1'!$L$16"}</definedName>
    <definedName name="__hu7" localSheetId="19" hidden="1">{"'Sheet1'!$L$16"}</definedName>
    <definedName name="__hu7" localSheetId="10" hidden="1">{"'Sheet1'!$L$16"}</definedName>
    <definedName name="__hu7" localSheetId="9" hidden="1">{"'Sheet1'!$L$16"}</definedName>
    <definedName name="__hu7" localSheetId="8" hidden="1">{"'Sheet1'!$L$16"}</definedName>
    <definedName name="__hu7" localSheetId="3" hidden="1">{"'Sheet1'!$L$16"}</definedName>
    <definedName name="__hu7" localSheetId="6" hidden="1">{"'Sheet1'!$L$16"}</definedName>
    <definedName name="__hu7" localSheetId="7" hidden="1">{"'Sheet1'!$L$16"}</definedName>
    <definedName name="__hu7" localSheetId="5" hidden="1">{"'Sheet1'!$L$16"}</definedName>
    <definedName name="__hu7" localSheetId="13" hidden="1">{"'Sheet1'!$L$16"}</definedName>
    <definedName name="__hu7" hidden="1">{"'Sheet1'!$L$16"}</definedName>
    <definedName name="__HV1">#REF!</definedName>
    <definedName name="__IntlFixup" hidden="1">TRUE</definedName>
    <definedName name="__Key11" hidden="1">#REF!</definedName>
    <definedName name="__key2" hidden="1">#REF!</definedName>
    <definedName name="__KL3" localSheetId="18" hidden="1">{"'Sheet1'!$L$16"}</definedName>
    <definedName name="__KL3" localSheetId="11" hidden="1">{"'Sheet1'!$L$16"}</definedName>
    <definedName name="__KL3" localSheetId="1" hidden="1">{"'Sheet1'!$L$16"}</definedName>
    <definedName name="__KL3" localSheetId="2" hidden="1">{"'Sheet1'!$L$16"}</definedName>
    <definedName name="__KL3" localSheetId="12" hidden="1">{"'Sheet1'!$L$16"}</definedName>
    <definedName name="__KL3" localSheetId="4" hidden="1">{"'Sheet1'!$L$16"}</definedName>
    <definedName name="__KL3" localSheetId="19" hidden="1">{"'Sheet1'!$L$16"}</definedName>
    <definedName name="__KL3" localSheetId="10" hidden="1">{"'Sheet1'!$L$16"}</definedName>
    <definedName name="__KL3" localSheetId="9" hidden="1">{"'Sheet1'!$L$16"}</definedName>
    <definedName name="__KL3" localSheetId="8" hidden="1">{"'Sheet1'!$L$16"}</definedName>
    <definedName name="__KL3" localSheetId="3" hidden="1">{"'Sheet1'!$L$16"}</definedName>
    <definedName name="__KL3" localSheetId="6" hidden="1">{"'Sheet1'!$L$16"}</definedName>
    <definedName name="__KL3" localSheetId="7" hidden="1">{"'Sheet1'!$L$16"}</definedName>
    <definedName name="__KL3" localSheetId="5" hidden="1">{"'Sheet1'!$L$16"}</definedName>
    <definedName name="__KL3" localSheetId="13" hidden="1">{"'Sheet1'!$L$16"}</definedName>
    <definedName name="__KL3" hidden="1">{"'Sheet1'!$L$16"}</definedName>
    <definedName name="__KWS1">#N/A</definedName>
    <definedName name="__KWS2">#N/A</definedName>
    <definedName name="__KWS3">#N/A</definedName>
    <definedName name="__Lan1" localSheetId="18" hidden="1">{"'Sheet1'!$L$16"}</definedName>
    <definedName name="__Lan1" localSheetId="11" hidden="1">{"'Sheet1'!$L$16"}</definedName>
    <definedName name="__Lan1" localSheetId="1" hidden="1">{"'Sheet1'!$L$16"}</definedName>
    <definedName name="__Lan1" localSheetId="2" hidden="1">{"'Sheet1'!$L$16"}</definedName>
    <definedName name="__Lan1" localSheetId="12" hidden="1">{"'Sheet1'!$L$16"}</definedName>
    <definedName name="__Lan1" localSheetId="4" hidden="1">{"'Sheet1'!$L$16"}</definedName>
    <definedName name="__Lan1" localSheetId="19" hidden="1">{"'Sheet1'!$L$16"}</definedName>
    <definedName name="__Lan1" localSheetId="10" hidden="1">{"'Sheet1'!$L$16"}</definedName>
    <definedName name="__Lan1" localSheetId="9" hidden="1">{"'Sheet1'!$L$16"}</definedName>
    <definedName name="__Lan1" localSheetId="8" hidden="1">{"'Sheet1'!$L$16"}</definedName>
    <definedName name="__Lan1" localSheetId="3" hidden="1">{"'Sheet1'!$L$16"}</definedName>
    <definedName name="__Lan1" localSheetId="6" hidden="1">{"'Sheet1'!$L$16"}</definedName>
    <definedName name="__Lan1" localSheetId="7" hidden="1">{"'Sheet1'!$L$16"}</definedName>
    <definedName name="__Lan1" localSheetId="5" hidden="1">{"'Sheet1'!$L$16"}</definedName>
    <definedName name="__Lan1" localSheetId="13" hidden="1">{"'Sheet1'!$L$16"}</definedName>
    <definedName name="__Lan1" hidden="1">{"'Sheet1'!$L$16"}</definedName>
    <definedName name="__LAN3" localSheetId="18" hidden="1">{"'Sheet1'!$L$16"}</definedName>
    <definedName name="__LAN3" localSheetId="11" hidden="1">{"'Sheet1'!$L$16"}</definedName>
    <definedName name="__LAN3" localSheetId="1" hidden="1">{"'Sheet1'!$L$16"}</definedName>
    <definedName name="__LAN3" localSheetId="2" hidden="1">{"'Sheet1'!$L$16"}</definedName>
    <definedName name="__LAN3" localSheetId="12" hidden="1">{"'Sheet1'!$L$16"}</definedName>
    <definedName name="__LAN3" localSheetId="4" hidden="1">{"'Sheet1'!$L$16"}</definedName>
    <definedName name="__LAN3" localSheetId="19" hidden="1">{"'Sheet1'!$L$16"}</definedName>
    <definedName name="__LAN3" localSheetId="10" hidden="1">{"'Sheet1'!$L$16"}</definedName>
    <definedName name="__LAN3" localSheetId="9" hidden="1">{"'Sheet1'!$L$16"}</definedName>
    <definedName name="__LAN3" localSheetId="8" hidden="1">{"'Sheet1'!$L$16"}</definedName>
    <definedName name="__LAN3" localSheetId="3" hidden="1">{"'Sheet1'!$L$16"}</definedName>
    <definedName name="__LAN3" localSheetId="6" hidden="1">{"'Sheet1'!$L$16"}</definedName>
    <definedName name="__LAN3" localSheetId="7" hidden="1">{"'Sheet1'!$L$16"}</definedName>
    <definedName name="__LAN3" localSheetId="5" hidden="1">{"'Sheet1'!$L$16"}</definedName>
    <definedName name="__LAN3" localSheetId="13" hidden="1">{"'Sheet1'!$L$16"}</definedName>
    <definedName name="__LAN3" hidden="1">{"'Sheet1'!$L$16"}</definedName>
    <definedName name="__ld2" localSheetId="16" hidden="1">{"'Sheet1'!$L$16"}</definedName>
    <definedName name="__ld2" localSheetId="18" hidden="1">{"'Sheet1'!$L$16"}</definedName>
    <definedName name="__ld2" localSheetId="17" hidden="1">{"'Sheet1'!$L$16"}</definedName>
    <definedName name="__ld2" hidden="1">{"'Sheet1'!$L$16"}</definedName>
    <definedName name="__MCC3" localSheetId="18" hidden="1">{#N/A,#N/A,FALSE,"CCTV"}</definedName>
    <definedName name="__MCC3" hidden="1">{#N/A,#N/A,FALSE,"CCTV"}</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NCL100">#REF!</definedName>
    <definedName name="__NCL200">#REF!</definedName>
    <definedName name="__NCL250">#REF!</definedName>
    <definedName name="__NCN15" localSheetId="18" hidden="1">{"'Sheet1'!$L$16"}</definedName>
    <definedName name="__NCN15" localSheetId="11" hidden="1">{"'Sheet1'!$L$16"}</definedName>
    <definedName name="__NCN15" localSheetId="1" hidden="1">{"'Sheet1'!$L$16"}</definedName>
    <definedName name="__NCN15" localSheetId="2" hidden="1">{"'Sheet1'!$L$16"}</definedName>
    <definedName name="__NCN15" localSheetId="12" hidden="1">{"'Sheet1'!$L$16"}</definedName>
    <definedName name="__NCN15" localSheetId="4" hidden="1">{"'Sheet1'!$L$16"}</definedName>
    <definedName name="__NCN15" localSheetId="19" hidden="1">{"'Sheet1'!$L$16"}</definedName>
    <definedName name="__NCN15" localSheetId="10" hidden="1">{"'Sheet1'!$L$16"}</definedName>
    <definedName name="__NCN15" localSheetId="9" hidden="1">{"'Sheet1'!$L$16"}</definedName>
    <definedName name="__NCN15" localSheetId="8" hidden="1">{"'Sheet1'!$L$16"}</definedName>
    <definedName name="__NCN15" localSheetId="3" hidden="1">{"'Sheet1'!$L$16"}</definedName>
    <definedName name="__NCN15" localSheetId="6" hidden="1">{"'Sheet1'!$L$16"}</definedName>
    <definedName name="__NCN15" localSheetId="7" hidden="1">{"'Sheet1'!$L$16"}</definedName>
    <definedName name="__NCN15" localSheetId="5" hidden="1">{"'Sheet1'!$L$16"}</definedName>
    <definedName name="__NCN15" localSheetId="13" hidden="1">{"'Sheet1'!$L$16"}</definedName>
    <definedName name="__NCN15" hidden="1">{"'Sheet1'!$L$16"}</definedName>
    <definedName name="__nin190">#REF!</definedName>
    <definedName name="__NK5" localSheetId="18" hidden="1">{"'Sheet1'!$L$16"}</definedName>
    <definedName name="__NK5" localSheetId="11" hidden="1">{"'Sheet1'!$L$16"}</definedName>
    <definedName name="__NK5" localSheetId="1" hidden="1">{"'Sheet1'!$L$16"}</definedName>
    <definedName name="__NK5" localSheetId="2" hidden="1">{"'Sheet1'!$L$16"}</definedName>
    <definedName name="__NK5" localSheetId="12" hidden="1">{"'Sheet1'!$L$16"}</definedName>
    <definedName name="__NK5" localSheetId="4" hidden="1">{"'Sheet1'!$L$16"}</definedName>
    <definedName name="__NK5" localSheetId="19" hidden="1">{"'Sheet1'!$L$16"}</definedName>
    <definedName name="__NK5" localSheetId="10" hidden="1">{"'Sheet1'!$L$16"}</definedName>
    <definedName name="__NK5" localSheetId="9" hidden="1">{"'Sheet1'!$L$16"}</definedName>
    <definedName name="__NK5" localSheetId="8" hidden="1">{"'Sheet1'!$L$16"}</definedName>
    <definedName name="__NK5" localSheetId="3" hidden="1">{"'Sheet1'!$L$16"}</definedName>
    <definedName name="__NK5" localSheetId="6" hidden="1">{"'Sheet1'!$L$16"}</definedName>
    <definedName name="__NK5" localSheetId="7" hidden="1">{"'Sheet1'!$L$16"}</definedName>
    <definedName name="__NK5" localSheetId="5" hidden="1">{"'Sheet1'!$L$16"}</definedName>
    <definedName name="__NK5" localSheetId="13" hidden="1">{"'Sheet1'!$L$16"}</definedName>
    <definedName name="__NK5" hidden="1">{"'Sheet1'!$L$16"}</definedName>
    <definedName name="__PA3" localSheetId="18" hidden="1">{"'Sheet1'!$L$16"}</definedName>
    <definedName name="__PA3" localSheetId="11" hidden="1">{"'Sheet1'!$L$16"}</definedName>
    <definedName name="__PA3" localSheetId="1" hidden="1">{"'Sheet1'!$L$16"}</definedName>
    <definedName name="__PA3" localSheetId="2" hidden="1">{"'Sheet1'!$L$16"}</definedName>
    <definedName name="__PA3" localSheetId="12" hidden="1">{"'Sheet1'!$L$16"}</definedName>
    <definedName name="__PA3" localSheetId="4" hidden="1">{"'Sheet1'!$L$16"}</definedName>
    <definedName name="__PA3" localSheetId="19" hidden="1">{"'Sheet1'!$L$16"}</definedName>
    <definedName name="__PA3" localSheetId="10" hidden="1">{"'Sheet1'!$L$16"}</definedName>
    <definedName name="__PA3" localSheetId="9" hidden="1">{"'Sheet1'!$L$16"}</definedName>
    <definedName name="__PA3" localSheetId="8" hidden="1">{"'Sheet1'!$L$16"}</definedName>
    <definedName name="__PA3" localSheetId="3" hidden="1">{"'Sheet1'!$L$16"}</definedName>
    <definedName name="__PA3" localSheetId="6" hidden="1">{"'Sheet1'!$L$16"}</definedName>
    <definedName name="__PA3" localSheetId="7" hidden="1">{"'Sheet1'!$L$16"}</definedName>
    <definedName name="__PA3" localSheetId="5" hidden="1">{"'Sheet1'!$L$16"}</definedName>
    <definedName name="__PA3" localSheetId="13" hidden="1">{"'Sheet1'!$L$16"}</definedName>
    <definedName name="__PA3" hidden="1">{"'Sheet1'!$L$16"}</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CV1501" localSheetId="18" hidden="1">{"'Liquid'!$A$1:$U$57"}</definedName>
    <definedName name="__PCV1501" hidden="1">{"'Liquid'!$A$1:$U$57"}</definedName>
    <definedName name="__PCV4" localSheetId="18" hidden="1">{"'Liquid'!$A$1:$U$57"}</definedName>
    <definedName name="__PCV4" hidden="1">{"'Liquid'!$A$1:$U$57"}</definedName>
    <definedName name="__pGNK">#REF!</definedName>
    <definedName name="__PK2" localSheetId="18" hidden="1">{"'장비'!$A$3:$M$12"}</definedName>
    <definedName name="__PK2" hidden="1">{"'장비'!$A$3:$M$12"}</definedName>
    <definedName name="__PKG3" localSheetId="18"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pZ3">#REF!</definedName>
    <definedName name="__QLO7" localSheetId="12">#REF!</definedName>
    <definedName name="__QLO7" localSheetId="13">#REF!</definedName>
    <definedName name="__QLO7">#REF!</definedName>
    <definedName name="__qqq222" localSheetId="18" hidden="1">{"'장비'!$A$3:$M$12"}</definedName>
    <definedName name="__qqq222" hidden="1">{"'장비'!$A$3:$M$12"}</definedName>
    <definedName name="__S3" localSheetId="18" hidden="1">{#N/A,#N/A,FALSE,"포장2"}</definedName>
    <definedName name="__S3" hidden="1">{#N/A,#N/A,FALSE,"포장2"}</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N3">#REF!</definedName>
    <definedName name="__Sum1111" localSheetId="18" hidden="1">{#N/A,#N/A,TRUE,"Basic";#N/A,#N/A,TRUE,"EXT-TABLE";#N/A,#N/A,TRUE,"STEEL";#N/A,#N/A,TRUE,"INT-Table";#N/A,#N/A,TRUE,"STEEL";#N/A,#N/A,TRUE,"Door"}</definedName>
    <definedName name="__Sum1111" hidden="1">{#N/A,#N/A,TRUE,"Basic";#N/A,#N/A,TRUE,"EXT-TABLE";#N/A,#N/A,TRUE,"STEEL";#N/A,#N/A,TRUE,"INT-Table";#N/A,#N/A,TRUE,"STEEL";#N/A,#N/A,TRUE,"Door"}</definedName>
    <definedName name="__SUN1">#N/A</definedName>
    <definedName name="__SUN2">#N/A</definedName>
    <definedName name="__T10" localSheetId="18" hidden="1">{"'Sheet1'!$L$16"}</definedName>
    <definedName name="__T10" localSheetId="11" hidden="1">{"'Sheet1'!$L$16"}</definedName>
    <definedName name="__T10" localSheetId="1" hidden="1">{"'Sheet1'!$L$16"}</definedName>
    <definedName name="__T10" localSheetId="2" hidden="1">{"'Sheet1'!$L$16"}</definedName>
    <definedName name="__T10" localSheetId="12" hidden="1">{"'Sheet1'!$L$16"}</definedName>
    <definedName name="__T10" localSheetId="4" hidden="1">{"'Sheet1'!$L$16"}</definedName>
    <definedName name="__T10" localSheetId="19" hidden="1">{"'Sheet1'!$L$16"}</definedName>
    <definedName name="__T10" localSheetId="10" hidden="1">{"'Sheet1'!$L$16"}</definedName>
    <definedName name="__T10" localSheetId="9" hidden="1">{"'Sheet1'!$L$16"}</definedName>
    <definedName name="__T10" localSheetId="8" hidden="1">{"'Sheet1'!$L$16"}</definedName>
    <definedName name="__T10" localSheetId="3" hidden="1">{"'Sheet1'!$L$16"}</definedName>
    <definedName name="__T10" localSheetId="6" hidden="1">{"'Sheet1'!$L$16"}</definedName>
    <definedName name="__T10" localSheetId="7" hidden="1">{"'Sheet1'!$L$16"}</definedName>
    <definedName name="__T10" localSheetId="5" hidden="1">{"'Sheet1'!$L$16"}</definedName>
    <definedName name="__T10" localSheetId="13" hidden="1">{"'Sheet1'!$L$16"}</definedName>
    <definedName name="__T10" hidden="1">{"'Sheet1'!$L$16"}</definedName>
    <definedName name="__tb2" localSheetId="18" hidden="1">{"'Sheet1'!$L$16"}</definedName>
    <definedName name="__tb2" localSheetId="11" hidden="1">{"'Sheet1'!$L$16"}</definedName>
    <definedName name="__tb2" localSheetId="1" hidden="1">{"'Sheet1'!$L$16"}</definedName>
    <definedName name="__tb2" localSheetId="2" hidden="1">{"'Sheet1'!$L$16"}</definedName>
    <definedName name="__tb2" localSheetId="12" hidden="1">{"'Sheet1'!$L$16"}</definedName>
    <definedName name="__tb2" localSheetId="4" hidden="1">{"'Sheet1'!$L$16"}</definedName>
    <definedName name="__tb2" localSheetId="19" hidden="1">{"'Sheet1'!$L$16"}</definedName>
    <definedName name="__tb2" localSheetId="10" hidden="1">{"'Sheet1'!$L$16"}</definedName>
    <definedName name="__tb2" localSheetId="9" hidden="1">{"'Sheet1'!$L$16"}</definedName>
    <definedName name="__tb2" localSheetId="8" hidden="1">{"'Sheet1'!$L$16"}</definedName>
    <definedName name="__tb2" localSheetId="3" hidden="1">{"'Sheet1'!$L$16"}</definedName>
    <definedName name="__tb2" localSheetId="6" hidden="1">{"'Sheet1'!$L$16"}</definedName>
    <definedName name="__tb2" localSheetId="7" hidden="1">{"'Sheet1'!$L$16"}</definedName>
    <definedName name="__tb2" localSheetId="5" hidden="1">{"'Sheet1'!$L$16"}</definedName>
    <definedName name="__tb2" localSheetId="13" hidden="1">{"'Sheet1'!$L$16"}</definedName>
    <definedName name="__tb2" hidden="1">{"'Sheet1'!$L$16"}</definedName>
    <definedName name="__td1" localSheetId="18" hidden="1">{"'Sheet1'!$L$16"}</definedName>
    <definedName name="__td1" localSheetId="11" hidden="1">{"'Sheet1'!$L$16"}</definedName>
    <definedName name="__td1" localSheetId="1" hidden="1">{"'Sheet1'!$L$16"}</definedName>
    <definedName name="__td1" localSheetId="2" hidden="1">{"'Sheet1'!$L$16"}</definedName>
    <definedName name="__td1" localSheetId="12" hidden="1">{"'Sheet1'!$L$16"}</definedName>
    <definedName name="__td1" localSheetId="4" hidden="1">{"'Sheet1'!$L$16"}</definedName>
    <definedName name="__td1" localSheetId="19" hidden="1">{"'Sheet1'!$L$16"}</definedName>
    <definedName name="__td1" localSheetId="10" hidden="1">{"'Sheet1'!$L$16"}</definedName>
    <definedName name="__td1" localSheetId="9" hidden="1">{"'Sheet1'!$L$16"}</definedName>
    <definedName name="__td1" localSheetId="8" hidden="1">{"'Sheet1'!$L$16"}</definedName>
    <definedName name="__td1" localSheetId="3" hidden="1">{"'Sheet1'!$L$16"}</definedName>
    <definedName name="__td1" localSheetId="6" hidden="1">{"'Sheet1'!$L$16"}</definedName>
    <definedName name="__td1" localSheetId="7" hidden="1">{"'Sheet1'!$L$16"}</definedName>
    <definedName name="__td1" localSheetId="5" hidden="1">{"'Sheet1'!$L$16"}</definedName>
    <definedName name="__td1" localSheetId="13" hidden="1">{"'Sheet1'!$L$16"}</definedName>
    <definedName name="__td1" hidden="1">{"'Sheet1'!$L$16"}</definedName>
    <definedName name="__TL3">#REF!</definedName>
    <definedName name="__TM2" localSheetId="18" hidden="1">{"'Sheet1'!$L$16"}</definedName>
    <definedName name="__TM2" localSheetId="11" hidden="1">{"'Sheet1'!$L$16"}</definedName>
    <definedName name="__TM2" localSheetId="1" hidden="1">{"'Sheet1'!$L$16"}</definedName>
    <definedName name="__TM2" localSheetId="2" hidden="1">{"'Sheet1'!$L$16"}</definedName>
    <definedName name="__TM2" localSheetId="12" hidden="1">{"'Sheet1'!$L$16"}</definedName>
    <definedName name="__TM2" localSheetId="4" hidden="1">{"'Sheet1'!$L$16"}</definedName>
    <definedName name="__TM2" localSheetId="19" hidden="1">{"'Sheet1'!$L$16"}</definedName>
    <definedName name="__TM2" localSheetId="10" hidden="1">{"'Sheet1'!$L$16"}</definedName>
    <definedName name="__TM2" localSheetId="9" hidden="1">{"'Sheet1'!$L$16"}</definedName>
    <definedName name="__TM2" localSheetId="8" hidden="1">{"'Sheet1'!$L$16"}</definedName>
    <definedName name="__TM2" localSheetId="3" hidden="1">{"'Sheet1'!$L$16"}</definedName>
    <definedName name="__TM2" localSheetId="6" hidden="1">{"'Sheet1'!$L$16"}</definedName>
    <definedName name="__TM2" localSheetId="7" hidden="1">{"'Sheet1'!$L$16"}</definedName>
    <definedName name="__TM2" localSheetId="5" hidden="1">{"'Sheet1'!$L$16"}</definedName>
    <definedName name="__TM2" localSheetId="13" hidden="1">{"'Sheet1'!$L$16"}</definedName>
    <definedName name="__TM2" hidden="1">{"'Sheet1'!$L$16"}</definedName>
    <definedName name="__tt3" localSheetId="18" hidden="1">{"'Sheet1'!$L$16"}</definedName>
    <definedName name="__tt3" localSheetId="11" hidden="1">{"'Sheet1'!$L$16"}</definedName>
    <definedName name="__tt3" localSheetId="1" hidden="1">{"'Sheet1'!$L$16"}</definedName>
    <definedName name="__tt3" localSheetId="2" hidden="1">{"'Sheet1'!$L$16"}</definedName>
    <definedName name="__tt3" localSheetId="12" hidden="1">{"'Sheet1'!$L$16"}</definedName>
    <definedName name="__tt3" localSheetId="4" hidden="1">{"'Sheet1'!$L$16"}</definedName>
    <definedName name="__tt3" localSheetId="19" hidden="1">{"'Sheet1'!$L$16"}</definedName>
    <definedName name="__tt3" localSheetId="10" hidden="1">{"'Sheet1'!$L$16"}</definedName>
    <definedName name="__tt3" localSheetId="9" hidden="1">{"'Sheet1'!$L$16"}</definedName>
    <definedName name="__tt3" localSheetId="8" hidden="1">{"'Sheet1'!$L$16"}</definedName>
    <definedName name="__tt3" localSheetId="3" hidden="1">{"'Sheet1'!$L$16"}</definedName>
    <definedName name="__tt3" localSheetId="6" hidden="1">{"'Sheet1'!$L$16"}</definedName>
    <definedName name="__tt3" localSheetId="7" hidden="1">{"'Sheet1'!$L$16"}</definedName>
    <definedName name="__tt3" localSheetId="5" hidden="1">{"'Sheet1'!$L$16"}</definedName>
    <definedName name="__tt3" localSheetId="13" hidden="1">{"'Sheet1'!$L$16"}</definedName>
    <definedName name="__tt3" hidden="1">{"'Sheet1'!$L$16"}</definedName>
    <definedName name="__UserName_">"skoh"</definedName>
    <definedName name="__version">"01192016"</definedName>
    <definedName name="__VL100">#REF!</definedName>
    <definedName name="__VL200">#REF!</definedName>
    <definedName name="__VL250">#REF!</definedName>
    <definedName name="__vwo1">[4]제출계산서!$I$183</definedName>
    <definedName name="__vwo2">[4]제출계산서!$I$183</definedName>
    <definedName name="__xlfn.BAHTTEXT" hidden="1">#NAME?</definedName>
    <definedName name="_00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localSheetId="11" hidden="1">[12]Spread!$J$10:$BQ$10</definedName>
    <definedName name="_1__123Graph_ACHART_2" localSheetId="1" hidden="1">[12]Spread!$J$10:$BQ$10</definedName>
    <definedName name="_1__123Graph_ACHART_2" localSheetId="2" hidden="1">[12]Spread!$J$10:$BQ$10</definedName>
    <definedName name="_1__123Graph_ACHART_2" localSheetId="4" hidden="1">[12]Spread!$J$10:$BQ$10</definedName>
    <definedName name="_1__123Graph_ACHART_2" localSheetId="19" hidden="1">[12]Spread!$J$10:$BQ$10</definedName>
    <definedName name="_1__123Graph_ACHART_2" localSheetId="10" hidden="1">[12]Spread!$J$10:$BQ$10</definedName>
    <definedName name="_1__123Graph_ACHART_2" localSheetId="9" hidden="1">[12]Spread!$J$10:$BQ$10</definedName>
    <definedName name="_1__123Graph_ACHART_2" localSheetId="8" hidden="1">[12]Spread!$J$10:$BQ$10</definedName>
    <definedName name="_1__123Graph_ACHART_2" localSheetId="3" hidden="1">[12]Spread!$J$10:$BQ$10</definedName>
    <definedName name="_1__123Graph_ACHART_2" localSheetId="6" hidden="1">[12]Spread!$J$10:$BQ$10</definedName>
    <definedName name="_1__123Graph_ACHART_2" localSheetId="7" hidden="1">[12]Spread!$J$10:$BQ$10</definedName>
    <definedName name="_1__123Graph_ACHART_2" localSheetId="5" hidden="1">[12]Spread!$J$10:$BQ$10</definedName>
    <definedName name="_1__123Graph_ACHART_2" hidden="1">#REF!</definedName>
    <definedName name="_1_0_F" hidden="1">#REF!</definedName>
    <definedName name="_10__123Graph_BChart_1A" localSheetId="11" hidden="1">'[15]Eq. Mobilization'!#REF!</definedName>
    <definedName name="_10__123Graph_BChart_1A" localSheetId="1" hidden="1">'[15]Eq. Mobilization'!#REF!</definedName>
    <definedName name="_10__123Graph_BChart_1A" localSheetId="2" hidden="1">'[15]Eq. Mobilization'!#REF!</definedName>
    <definedName name="_10__123Graph_BChart_1A" localSheetId="4" hidden="1">'[15]Eq. Mobilization'!#REF!</definedName>
    <definedName name="_10__123Graph_BChart_1A" localSheetId="19" hidden="1">'[15]Eq. Mobilization'!#REF!</definedName>
    <definedName name="_10__123Graph_BChart_1A" localSheetId="10" hidden="1">'[15]Eq. Mobilization'!#REF!</definedName>
    <definedName name="_10__123Graph_BChart_1A" localSheetId="9" hidden="1">'[15]Eq. Mobilization'!#REF!</definedName>
    <definedName name="_10__123Graph_BChart_1A" localSheetId="8" hidden="1">'[15]Eq. Mobilization'!#REF!</definedName>
    <definedName name="_10__123Graph_BChart_1A" localSheetId="3" hidden="1">'[15]Eq. Mobilization'!#REF!</definedName>
    <definedName name="_10__123Graph_BChart_1A" localSheetId="6" hidden="1">'[15]Eq. Mobilization'!#REF!</definedName>
    <definedName name="_10__123Graph_BChart_1A" localSheetId="7" hidden="1">'[15]Eq. Mobilization'!#REF!</definedName>
    <definedName name="_10__123Graph_BChart_1A" localSheetId="5" hidden="1">'[15]Eq. Mobilization'!#REF!</definedName>
    <definedName name="_10__123Graph_BChart_1A" hidden="1">#REF!</definedName>
    <definedName name="_10__123Graph_BCHART_3" hidden="1">#REF!</definedName>
    <definedName name="_10__123Graph_CCHART_4" localSheetId="11" hidden="1">[16]Productivity!$G$33:$AC$33</definedName>
    <definedName name="_10__123Graph_CCHART_4" localSheetId="1" hidden="1">[16]Productivity!$G$33:$AC$33</definedName>
    <definedName name="_10__123Graph_CCHART_4" localSheetId="2" hidden="1">[16]Productivity!$G$33:$AC$33</definedName>
    <definedName name="_10__123Graph_CCHART_4" localSheetId="4" hidden="1">[16]Productivity!$G$33:$AC$33</definedName>
    <definedName name="_10__123Graph_CCHART_4" localSheetId="19" hidden="1">[16]Productivity!$G$33:$AC$33</definedName>
    <definedName name="_10__123Graph_CCHART_4" localSheetId="10" hidden="1">[16]Productivity!$G$33:$AC$33</definedName>
    <definedName name="_10__123Graph_CCHART_4" localSheetId="9" hidden="1">[16]Productivity!$G$33:$AC$33</definedName>
    <definedName name="_10__123Graph_CCHART_4" localSheetId="8" hidden="1">[16]Productivity!$G$33:$AC$33</definedName>
    <definedName name="_10__123Graph_CCHART_4" localSheetId="3" hidden="1">[16]Productivity!$G$33:$AC$33</definedName>
    <definedName name="_10__123Graph_CCHART_4" localSheetId="6" hidden="1">[16]Productivity!$G$33:$AC$33</definedName>
    <definedName name="_10__123Graph_CCHART_4" localSheetId="7" hidden="1">[16]Productivity!$G$33:$AC$33</definedName>
    <definedName name="_10__123Graph_CCHART_4" localSheetId="5" hidden="1">[16]Productivity!$G$33:$AC$33</definedName>
    <definedName name="_10__123Graph_CCHART_4" hidden="1">#REF!</definedName>
    <definedName name="_10_0" localSheetId="11" hidden="1">[17]백분율!#REF!</definedName>
    <definedName name="_10_0" localSheetId="1" hidden="1">[17]백분율!#REF!</definedName>
    <definedName name="_10_0" localSheetId="2" hidden="1">[17]백분율!#REF!</definedName>
    <definedName name="_10_0" localSheetId="4" hidden="1">[17]백분율!#REF!</definedName>
    <definedName name="_10_0" localSheetId="19" hidden="1">[17]백분율!#REF!</definedName>
    <definedName name="_10_0" localSheetId="10" hidden="1">[17]백분율!#REF!</definedName>
    <definedName name="_10_0" localSheetId="9" hidden="1">[17]백분율!#REF!</definedName>
    <definedName name="_10_0" localSheetId="8" hidden="1">[17]백분율!#REF!</definedName>
    <definedName name="_10_0" localSheetId="3" hidden="1">[17]백분율!#REF!</definedName>
    <definedName name="_10_0" localSheetId="6" hidden="1">[17]백분율!#REF!</definedName>
    <definedName name="_10_0" localSheetId="7" hidden="1">[17]백분율!#REF!</definedName>
    <definedName name="_10_0" localSheetId="5" hidden="1">[17]백분율!#REF!</definedName>
    <definedName name="_10_0" hidden="1">#REF!</definedName>
    <definedName name="_10_0_0_F" hidden="1">#REF!</definedName>
    <definedName name="_10¤§¤_¤¡" localSheetId="18" hidden="1">{#N/A,#N/A,FALSE,"Sheet1"}</definedName>
    <definedName name="_10¤§¤_¤¡" hidden="1">{#N/A,#N/A,FALSE,"Sheet1"}</definedName>
    <definedName name="_1000A01">#N/A</definedName>
    <definedName name="_11">#N/A</definedName>
    <definedName name="_11__123Graph_BCHART_4" hidden="1">#REF!</definedName>
    <definedName name="_11__123Graph_BMOB_01" hidden="1">#REF!</definedName>
    <definedName name="_11__123Graph_DCHART_1" hidden="1">#REF!</definedName>
    <definedName name="_11__123Graph_DCHART_4" localSheetId="11" hidden="1">[16]Productivity!$G$35:$AC$35</definedName>
    <definedName name="_11__123Graph_DCHART_4" localSheetId="1" hidden="1">[16]Productivity!$G$35:$AC$35</definedName>
    <definedName name="_11__123Graph_DCHART_4" localSheetId="2" hidden="1">[16]Productivity!$G$35:$AC$35</definedName>
    <definedName name="_11__123Graph_DCHART_4" localSheetId="4" hidden="1">[16]Productivity!$G$35:$AC$35</definedName>
    <definedName name="_11__123Graph_DCHART_4" localSheetId="19" hidden="1">[16]Productivity!$G$35:$AC$35</definedName>
    <definedName name="_11__123Graph_DCHART_4" localSheetId="10" hidden="1">[16]Productivity!$G$35:$AC$35</definedName>
    <definedName name="_11__123Graph_DCHART_4" localSheetId="9" hidden="1">[16]Productivity!$G$35:$AC$35</definedName>
    <definedName name="_11__123Graph_DCHART_4" localSheetId="8" hidden="1">[16]Productivity!$G$35:$AC$35</definedName>
    <definedName name="_11__123Graph_DCHART_4" localSheetId="3" hidden="1">[16]Productivity!$G$35:$AC$35</definedName>
    <definedName name="_11__123Graph_DCHART_4" localSheetId="6" hidden="1">[16]Productivity!$G$35:$AC$35</definedName>
    <definedName name="_11__123Graph_DCHART_4" localSheetId="7" hidden="1">[16]Productivity!$G$35:$AC$35</definedName>
    <definedName name="_11__123Graph_DCHART_4" localSheetId="5" hidden="1">[16]Productivity!$G$35:$AC$35</definedName>
    <definedName name="_11__123Graph_DCHART_4" hidden="1">#REF!</definedName>
    <definedName name="_11_0_0_F" hidden="1">#REF!</definedName>
    <definedName name="_11A1_" localSheetId="18" hidden="1">{#N/A,#N/A,TRUE,"Basic";#N/A,#N/A,TRUE,"EXT-TABLE";#N/A,#N/A,TRUE,"STEEL";#N/A,#N/A,TRUE,"INT-Table";#N/A,#N/A,TRUE,"STEEL";#N/A,#N/A,TRUE,"Door"}</definedName>
    <definedName name="_11A1_" hidden="1">{#N/A,#N/A,TRUE,"Basic";#N/A,#N/A,TRUE,"EXT-TABLE";#N/A,#N/A,TRUE,"STEEL";#N/A,#N/A,TRUE,"INT-Table";#N/A,#N/A,TRUE,"STEEL";#N/A,#N/A,TRUE,"Door"}</definedName>
    <definedName name="_11A1__1" localSheetId="18" hidden="1">{#N/A,#N/A,TRUE,"Basic";#N/A,#N/A,TRUE,"EXT-TABLE";#N/A,#N/A,TRUE,"STEEL";#N/A,#N/A,TRUE,"INT-Table";#N/A,#N/A,TRUE,"STEEL";#N/A,#N/A,TRUE,"Door"}</definedName>
    <definedName name="_11A1__1" hidden="1">{#N/A,#N/A,TRUE,"Basic";#N/A,#N/A,TRUE,"EXT-TABLE";#N/A,#N/A,TRUE,"STEEL";#N/A,#N/A,TRUE,"INT-Table";#N/A,#N/A,TRUE,"STEEL";#N/A,#N/A,TRUE,"Door"}</definedName>
    <definedName name="_11A1__1_1" localSheetId="18" hidden="1">{#N/A,#N/A,TRUE,"Basic";#N/A,#N/A,TRUE,"EXT-TABLE";#N/A,#N/A,TRUE,"STEEL";#N/A,#N/A,TRUE,"INT-Table";#N/A,#N/A,TRUE,"STEEL";#N/A,#N/A,TRUE,"Door"}</definedName>
    <definedName name="_11A1__1_1" hidden="1">{#N/A,#N/A,TRUE,"Basic";#N/A,#N/A,TRUE,"EXT-TABLE";#N/A,#N/A,TRUE,"STEEL";#N/A,#N/A,TRUE,"INT-Table";#N/A,#N/A,TRUE,"STEEL";#N/A,#N/A,TRUE,"Door"}</definedName>
    <definedName name="_11A1__1_2" localSheetId="18" hidden="1">{#N/A,#N/A,TRUE,"Basic";#N/A,#N/A,TRUE,"EXT-TABLE";#N/A,#N/A,TRUE,"STEEL";#N/A,#N/A,TRUE,"INT-Table";#N/A,#N/A,TRUE,"STEEL";#N/A,#N/A,TRUE,"Door"}</definedName>
    <definedName name="_11A1__1_2" hidden="1">{#N/A,#N/A,TRUE,"Basic";#N/A,#N/A,TRUE,"EXT-TABLE";#N/A,#N/A,TRUE,"STEEL";#N/A,#N/A,TRUE,"INT-Table";#N/A,#N/A,TRUE,"STEEL";#N/A,#N/A,TRUE,"Door"}</definedName>
    <definedName name="_11A1__2" localSheetId="18" hidden="1">{#N/A,#N/A,TRUE,"Basic";#N/A,#N/A,TRUE,"EXT-TABLE";#N/A,#N/A,TRUE,"STEEL";#N/A,#N/A,TRUE,"INT-Table";#N/A,#N/A,TRUE,"STEEL";#N/A,#N/A,TRUE,"Door"}</definedName>
    <definedName name="_11A1__2" hidden="1">{#N/A,#N/A,TRUE,"Basic";#N/A,#N/A,TRUE,"EXT-TABLE";#N/A,#N/A,TRUE,"STEEL";#N/A,#N/A,TRUE,"INT-Table";#N/A,#N/A,TRUE,"STEEL";#N/A,#N/A,TRUE,"Door"}</definedName>
    <definedName name="_11A1__2_1" localSheetId="18" hidden="1">{#N/A,#N/A,TRUE,"Basic";#N/A,#N/A,TRUE,"EXT-TABLE";#N/A,#N/A,TRUE,"STEEL";#N/A,#N/A,TRUE,"INT-Table";#N/A,#N/A,TRUE,"STEEL";#N/A,#N/A,TRUE,"Door"}</definedName>
    <definedName name="_11A1__2_1" hidden="1">{#N/A,#N/A,TRUE,"Basic";#N/A,#N/A,TRUE,"EXT-TABLE";#N/A,#N/A,TRUE,"STEEL";#N/A,#N/A,TRUE,"INT-Table";#N/A,#N/A,TRUE,"STEEL";#N/A,#N/A,TRUE,"Door"}</definedName>
    <definedName name="_11A1__2_2" localSheetId="18" hidden="1">{#N/A,#N/A,TRUE,"Basic";#N/A,#N/A,TRUE,"EXT-TABLE";#N/A,#N/A,TRUE,"STEEL";#N/A,#N/A,TRUE,"INT-Table";#N/A,#N/A,TRUE,"STEEL";#N/A,#N/A,TRUE,"Door"}</definedName>
    <definedName name="_11A1__2_2" hidden="1">{#N/A,#N/A,TRUE,"Basic";#N/A,#N/A,TRUE,"EXT-TABLE";#N/A,#N/A,TRUE,"STEEL";#N/A,#N/A,TRUE,"INT-Table";#N/A,#N/A,TRUE,"STEEL";#N/A,#N/A,TRUE,"Door"}</definedName>
    <definedName name="_11A1__3" localSheetId="18" hidden="1">{#N/A,#N/A,TRUE,"Basic";#N/A,#N/A,TRUE,"EXT-TABLE";#N/A,#N/A,TRUE,"STEEL";#N/A,#N/A,TRUE,"INT-Table";#N/A,#N/A,TRUE,"STEEL";#N/A,#N/A,TRUE,"Door"}</definedName>
    <definedName name="_11A1__3" hidden="1">{#N/A,#N/A,TRUE,"Basic";#N/A,#N/A,TRUE,"EXT-TABLE";#N/A,#N/A,TRUE,"STEEL";#N/A,#N/A,TRUE,"INT-Table";#N/A,#N/A,TRUE,"STEEL";#N/A,#N/A,TRUE,"Door"}</definedName>
    <definedName name="_11A1__3_1" localSheetId="18" hidden="1">{#N/A,#N/A,TRUE,"Basic";#N/A,#N/A,TRUE,"EXT-TABLE";#N/A,#N/A,TRUE,"STEEL";#N/A,#N/A,TRUE,"INT-Table";#N/A,#N/A,TRUE,"STEEL";#N/A,#N/A,TRUE,"Door"}</definedName>
    <definedName name="_11A1__3_1" hidden="1">{#N/A,#N/A,TRUE,"Basic";#N/A,#N/A,TRUE,"EXT-TABLE";#N/A,#N/A,TRUE,"STEEL";#N/A,#N/A,TRUE,"INT-Table";#N/A,#N/A,TRUE,"STEEL";#N/A,#N/A,TRUE,"Door"}</definedName>
    <definedName name="_11A1__3_2" localSheetId="18" hidden="1">{#N/A,#N/A,TRUE,"Basic";#N/A,#N/A,TRUE,"EXT-TABLE";#N/A,#N/A,TRUE,"STEEL";#N/A,#N/A,TRUE,"INT-Table";#N/A,#N/A,TRUE,"STEEL";#N/A,#N/A,TRUE,"Door"}</definedName>
    <definedName name="_11A1__3_2" hidden="1">{#N/A,#N/A,TRUE,"Basic";#N/A,#N/A,TRUE,"EXT-TABLE";#N/A,#N/A,TRUE,"STEEL";#N/A,#N/A,TRUE,"INT-Table";#N/A,#N/A,TRUE,"STEEL";#N/A,#N/A,TRUE,"Door"}</definedName>
    <definedName name="_11A1__4" localSheetId="18" hidden="1">{#N/A,#N/A,TRUE,"Basic";#N/A,#N/A,TRUE,"EXT-TABLE";#N/A,#N/A,TRUE,"STEEL";#N/A,#N/A,TRUE,"INT-Table";#N/A,#N/A,TRUE,"STEEL";#N/A,#N/A,TRUE,"Door"}</definedName>
    <definedName name="_11A1__4" hidden="1">{#N/A,#N/A,TRUE,"Basic";#N/A,#N/A,TRUE,"EXT-TABLE";#N/A,#N/A,TRUE,"STEEL";#N/A,#N/A,TRUE,"INT-Table";#N/A,#N/A,TRUE,"STEEL";#N/A,#N/A,TRUE,"Door"}</definedName>
    <definedName name="_11A1__4_1" localSheetId="18" hidden="1">{#N/A,#N/A,TRUE,"Basic";#N/A,#N/A,TRUE,"EXT-TABLE";#N/A,#N/A,TRUE,"STEEL";#N/A,#N/A,TRUE,"INT-Table";#N/A,#N/A,TRUE,"STEEL";#N/A,#N/A,TRUE,"Door"}</definedName>
    <definedName name="_11A1__4_1" hidden="1">{#N/A,#N/A,TRUE,"Basic";#N/A,#N/A,TRUE,"EXT-TABLE";#N/A,#N/A,TRUE,"STEEL";#N/A,#N/A,TRUE,"INT-Table";#N/A,#N/A,TRUE,"STEEL";#N/A,#N/A,TRUE,"Door"}</definedName>
    <definedName name="_11A1__4_2" localSheetId="18" hidden="1">{#N/A,#N/A,TRUE,"Basic";#N/A,#N/A,TRUE,"EXT-TABLE";#N/A,#N/A,TRUE,"STEEL";#N/A,#N/A,TRUE,"INT-Table";#N/A,#N/A,TRUE,"STEEL";#N/A,#N/A,TRUE,"Door"}</definedName>
    <definedName name="_11A1__4_2" hidden="1">{#N/A,#N/A,TRUE,"Basic";#N/A,#N/A,TRUE,"EXT-TABLE";#N/A,#N/A,TRUE,"STEEL";#N/A,#N/A,TRUE,"INT-Table";#N/A,#N/A,TRUE,"STEEL";#N/A,#N/A,TRUE,"Door"}</definedName>
    <definedName name="_11A1__5" localSheetId="18" hidden="1">{#N/A,#N/A,TRUE,"Basic";#N/A,#N/A,TRUE,"EXT-TABLE";#N/A,#N/A,TRUE,"STEEL";#N/A,#N/A,TRUE,"INT-Table";#N/A,#N/A,TRUE,"STEEL";#N/A,#N/A,TRUE,"Door"}</definedName>
    <definedName name="_11A1__5" hidden="1">{#N/A,#N/A,TRUE,"Basic";#N/A,#N/A,TRUE,"EXT-TABLE";#N/A,#N/A,TRUE,"STEEL";#N/A,#N/A,TRUE,"INT-Table";#N/A,#N/A,TRUE,"STEEL";#N/A,#N/A,TRUE,"Door"}</definedName>
    <definedName name="_11A1__5_1" localSheetId="18" hidden="1">{#N/A,#N/A,TRUE,"Basic";#N/A,#N/A,TRUE,"EXT-TABLE";#N/A,#N/A,TRUE,"STEEL";#N/A,#N/A,TRUE,"INT-Table";#N/A,#N/A,TRUE,"STEEL";#N/A,#N/A,TRUE,"Door"}</definedName>
    <definedName name="_11A1__5_1" hidden="1">{#N/A,#N/A,TRUE,"Basic";#N/A,#N/A,TRUE,"EXT-TABLE";#N/A,#N/A,TRUE,"STEEL";#N/A,#N/A,TRUE,"INT-Table";#N/A,#N/A,TRUE,"STEEL";#N/A,#N/A,TRUE,"Door"}</definedName>
    <definedName name="_11A1__5_2" localSheetId="18"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localSheetId="11" hidden="1">'[9]Cashflow Analysis'!#REF!</definedName>
    <definedName name="_12__123Graph_DCONTRAC._OIL" localSheetId="1" hidden="1">'[9]Cashflow Analysis'!#REF!</definedName>
    <definedName name="_12__123Graph_DCONTRAC._OIL" localSheetId="2" hidden="1">'[9]Cashflow Analysis'!#REF!</definedName>
    <definedName name="_12__123Graph_DCONTRAC._OIL" localSheetId="4" hidden="1">'[9]Cashflow Analysis'!#REF!</definedName>
    <definedName name="_12__123Graph_DCONTRAC._OIL" localSheetId="19" hidden="1">'[9]Cashflow Analysis'!#REF!</definedName>
    <definedName name="_12__123Graph_DCONTRAC._OIL" localSheetId="10" hidden="1">'[9]Cashflow Analysis'!#REF!</definedName>
    <definedName name="_12__123Graph_DCONTRAC._OIL" localSheetId="9" hidden="1">'[9]Cashflow Analysis'!#REF!</definedName>
    <definedName name="_12__123Graph_DCONTRAC._OIL" localSheetId="8" hidden="1">'[9]Cashflow Analysis'!#REF!</definedName>
    <definedName name="_12__123Graph_DCONTRAC._OIL" localSheetId="3" hidden="1">'[9]Cashflow Analysis'!#REF!</definedName>
    <definedName name="_12__123Graph_DCONTRAC._OIL" localSheetId="6" hidden="1">'[9]Cashflow Analysis'!#REF!</definedName>
    <definedName name="_12__123Graph_DCONTRAC._OIL" localSheetId="7" hidden="1">'[9]Cashflow Analysis'!#REF!</definedName>
    <definedName name="_12__123Graph_DCONTRAC._OIL" localSheetId="5" hidden="1">'[9]Cashflow Analysis'!#REF!</definedName>
    <definedName name="_12__123Graph_DCONTRAC._OIL" hidden="1">#REF!</definedName>
    <definedName name="_12__123Graph_XCHART_1" localSheetId="11" hidden="1">[16]Productivity!$H$3:$AB$3</definedName>
    <definedName name="_12__123Graph_XCHART_1" localSheetId="1" hidden="1">[16]Productivity!$H$3:$AB$3</definedName>
    <definedName name="_12__123Graph_XCHART_1" localSheetId="2" hidden="1">[16]Productivity!$H$3:$AB$3</definedName>
    <definedName name="_12__123Graph_XCHART_1" localSheetId="4" hidden="1">[16]Productivity!$H$3:$AB$3</definedName>
    <definedName name="_12__123Graph_XCHART_1" localSheetId="19" hidden="1">[16]Productivity!$H$3:$AB$3</definedName>
    <definedName name="_12__123Graph_XCHART_1" localSheetId="10" hidden="1">[16]Productivity!$H$3:$AB$3</definedName>
    <definedName name="_12__123Graph_XCHART_1" localSheetId="9" hidden="1">[16]Productivity!$H$3:$AB$3</definedName>
    <definedName name="_12__123Graph_XCHART_1" localSheetId="8" hidden="1">[16]Productivity!$H$3:$AB$3</definedName>
    <definedName name="_12__123Graph_XCHART_1" localSheetId="3" hidden="1">[16]Productivity!$H$3:$AB$3</definedName>
    <definedName name="_12__123Graph_XCHART_1" localSheetId="6" hidden="1">[16]Productivity!$H$3:$AB$3</definedName>
    <definedName name="_12__123Graph_XCHART_1" localSheetId="7" hidden="1">[16]Productivity!$H$3:$AB$3</definedName>
    <definedName name="_12__123Graph_XCHART_1" localSheetId="5" hidden="1">[16]Productivity!$H$3:$AB$3</definedName>
    <definedName name="_12__123Graph_XCHART_1" hidden="1">#REF!</definedName>
    <definedName name="_123Graph_X" localSheetId="11" hidden="1">[18]PSV2701F!$Q$57:$BT$57</definedName>
    <definedName name="_123Graph_X" localSheetId="1" hidden="1">[18]PSV2701F!$Q$57:$BT$57</definedName>
    <definedName name="_123Graph_X" localSheetId="2" hidden="1">[18]PSV2701F!$Q$57:$BT$57</definedName>
    <definedName name="_123Graph_X" localSheetId="4" hidden="1">[18]PSV2701F!$Q$57:$BT$57</definedName>
    <definedName name="_123Graph_X" localSheetId="19" hidden="1">[18]PSV2701F!$Q$57:$BT$57</definedName>
    <definedName name="_123Graph_X" localSheetId="10" hidden="1">[18]PSV2701F!$Q$57:$BT$57</definedName>
    <definedName name="_123Graph_X" localSheetId="9" hidden="1">[18]PSV2701F!$Q$57:$BT$57</definedName>
    <definedName name="_123Graph_X" localSheetId="8" hidden="1">[18]PSV2701F!$Q$57:$BT$57</definedName>
    <definedName name="_123Graph_X" localSheetId="3" hidden="1">[18]PSV2701F!$Q$57:$BT$57</definedName>
    <definedName name="_123Graph_X" localSheetId="6" hidden="1">[18]PSV2701F!$Q$57:$BT$57</definedName>
    <definedName name="_123Graph_X" localSheetId="7" hidden="1">[18]PSV2701F!$Q$57:$BT$57</definedName>
    <definedName name="_123Graph_X" localSheetId="5" hidden="1">[18]PSV2701F!$Q$57:$BT$57</definedName>
    <definedName name="_123Graph_X" hidden="1">#REF!</definedName>
    <definedName name="_125wrn.Ã¶°ñÁý°èÇ_._.5Ä­." localSheetId="18" hidden="1">{#N/A,#N/A,FALSE,"Sheet1"}</definedName>
    <definedName name="_125wrn.Ã¶°ñÁý°èÇ_._.5Ä­." hidden="1">{#N/A,#N/A,FALSE,"Sheet1"}</definedName>
    <definedName name="_13__123Graph_BCHART_6" hidden="1">#REF!</definedName>
    <definedName name="_13__123Graph_CCHART_2" localSheetId="11" hidden="1">[12]Spread!#REF!</definedName>
    <definedName name="_13__123Graph_CCHART_2" localSheetId="1" hidden="1">[12]Spread!#REF!</definedName>
    <definedName name="_13__123Graph_CCHART_2" localSheetId="2" hidden="1">[12]Spread!#REF!</definedName>
    <definedName name="_13__123Graph_CCHART_2" localSheetId="4" hidden="1">[12]Spread!#REF!</definedName>
    <definedName name="_13__123Graph_CCHART_2" localSheetId="19" hidden="1">[12]Spread!#REF!</definedName>
    <definedName name="_13__123Graph_CCHART_2" localSheetId="10" hidden="1">[12]Spread!#REF!</definedName>
    <definedName name="_13__123Graph_CCHART_2" localSheetId="9" hidden="1">[12]Spread!#REF!</definedName>
    <definedName name="_13__123Graph_CCHART_2" localSheetId="8" hidden="1">[12]Spread!#REF!</definedName>
    <definedName name="_13__123Graph_CCHART_2" localSheetId="3" hidden="1">[12]Spread!#REF!</definedName>
    <definedName name="_13__123Graph_CCHART_2" localSheetId="6" hidden="1">[12]Spread!#REF!</definedName>
    <definedName name="_13__123Graph_CCHART_2" localSheetId="7" hidden="1">[12]Spread!#REF!</definedName>
    <definedName name="_13__123Graph_CCHART_2" localSheetId="5" hidden="1">[12]Spread!#REF!</definedName>
    <definedName name="_13__123Graph_CCHART_2" hidden="1">#REF!</definedName>
    <definedName name="_13__123Graph_CMOB_01" hidden="1">#REF!</definedName>
    <definedName name="_13__123Graph_XCHART_2" localSheetId="11" hidden="1">[16]Productivity!$H$9:$AC$9</definedName>
    <definedName name="_13__123Graph_XCHART_2" localSheetId="1" hidden="1">[16]Productivity!$H$9:$AC$9</definedName>
    <definedName name="_13__123Graph_XCHART_2" localSheetId="2" hidden="1">[16]Productivity!$H$9:$AC$9</definedName>
    <definedName name="_13__123Graph_XCHART_2" localSheetId="4" hidden="1">[16]Productivity!$H$9:$AC$9</definedName>
    <definedName name="_13__123Graph_XCHART_2" localSheetId="19" hidden="1">[16]Productivity!$H$9:$AC$9</definedName>
    <definedName name="_13__123Graph_XCHART_2" localSheetId="10" hidden="1">[16]Productivity!$H$9:$AC$9</definedName>
    <definedName name="_13__123Graph_XCHART_2" localSheetId="9" hidden="1">[16]Productivity!$H$9:$AC$9</definedName>
    <definedName name="_13__123Graph_XCHART_2" localSheetId="8" hidden="1">[16]Productivity!$H$9:$AC$9</definedName>
    <definedName name="_13__123Graph_XCHART_2" localSheetId="3" hidden="1">[16]Productivity!$H$9:$AC$9</definedName>
    <definedName name="_13__123Graph_XCHART_2" localSheetId="6" hidden="1">[16]Productivity!$H$9:$AC$9</definedName>
    <definedName name="_13__123Graph_XCHART_2" localSheetId="7" hidden="1">[16]Productivity!$H$9:$AC$9</definedName>
    <definedName name="_13__123Graph_XCHART_2" localSheetId="5" hidden="1">[16]Productivity!$H$9:$AC$9</definedName>
    <definedName name="_13__123Graph_XCHART_2" hidden="1">#REF!</definedName>
    <definedName name="_13__123Graph_XCONTRAC._OIL" localSheetId="11" hidden="1">'[11]Cashflow Analysis'!$E$63:$BL$63</definedName>
    <definedName name="_13__123Graph_XCONTRAC._OIL" localSheetId="1" hidden="1">'[11]Cashflow Analysis'!$E$63:$BL$63</definedName>
    <definedName name="_13__123Graph_XCONTRAC._OIL" localSheetId="2" hidden="1">'[11]Cashflow Analysis'!$E$63:$BL$63</definedName>
    <definedName name="_13__123Graph_XCONTRAC._OIL" localSheetId="4" hidden="1">'[11]Cashflow Analysis'!$E$63:$BL$63</definedName>
    <definedName name="_13__123Graph_XCONTRAC._OIL" localSheetId="19" hidden="1">'[11]Cashflow Analysis'!$E$63:$BL$63</definedName>
    <definedName name="_13__123Graph_XCONTRAC._OIL" localSheetId="10" hidden="1">'[11]Cashflow Analysis'!$E$63:$BL$63</definedName>
    <definedName name="_13__123Graph_XCONTRAC._OIL" localSheetId="9" hidden="1">'[11]Cashflow Analysis'!$E$63:$BL$63</definedName>
    <definedName name="_13__123Graph_XCONTRAC._OIL" localSheetId="8" hidden="1">'[11]Cashflow Analysis'!$E$63:$BL$63</definedName>
    <definedName name="_13__123Graph_XCONTRAC._OIL" localSheetId="3" hidden="1">'[11]Cashflow Analysis'!$E$63:$BL$63</definedName>
    <definedName name="_13__123Graph_XCONTRAC._OIL" localSheetId="6" hidden="1">'[11]Cashflow Analysis'!$E$63:$BL$63</definedName>
    <definedName name="_13__123Graph_XCONTRAC._OIL" localSheetId="7" hidden="1">'[11]Cashflow Analysis'!$E$63:$BL$63</definedName>
    <definedName name="_13__123Graph_XCONTRAC._OIL" localSheetId="5" hidden="1">'[11]Cashflow Analysis'!$E$63:$BL$63</definedName>
    <definedName name="_13__123Graph_XCONTRAC._OIL" hidden="1">#REF!</definedName>
    <definedName name="_13F" hidden="1">#REF!</definedName>
    <definedName name="_14__123Graph_CMOB_02" hidden="1">#REF!</definedName>
    <definedName name="_14__123Graph_XCHART_1" hidden="1">#REF!</definedName>
    <definedName name="_14__123Graph_XCHART_3" localSheetId="11" hidden="1">[16]Productivity!$H$15:$AC$15</definedName>
    <definedName name="_14__123Graph_XCHART_3" localSheetId="1" hidden="1">[16]Productivity!$H$15:$AC$15</definedName>
    <definedName name="_14__123Graph_XCHART_3" localSheetId="2" hidden="1">[16]Productivity!$H$15:$AC$15</definedName>
    <definedName name="_14__123Graph_XCHART_3" localSheetId="4" hidden="1">[16]Productivity!$H$15:$AC$15</definedName>
    <definedName name="_14__123Graph_XCHART_3" localSheetId="19" hidden="1">[16]Productivity!$H$15:$AC$15</definedName>
    <definedName name="_14__123Graph_XCHART_3" localSheetId="10" hidden="1">[16]Productivity!$H$15:$AC$15</definedName>
    <definedName name="_14__123Graph_XCHART_3" localSheetId="9" hidden="1">[16]Productivity!$H$15:$AC$15</definedName>
    <definedName name="_14__123Graph_XCHART_3" localSheetId="8" hidden="1">[16]Productivity!$H$15:$AC$15</definedName>
    <definedName name="_14__123Graph_XCHART_3" localSheetId="3" hidden="1">[16]Productivity!$H$15:$AC$15</definedName>
    <definedName name="_14__123Graph_XCHART_3" localSheetId="6" hidden="1">[16]Productivity!$H$15:$AC$15</definedName>
    <definedName name="_14__123Graph_XCHART_3" localSheetId="7" hidden="1">[16]Productivity!$H$15:$AC$15</definedName>
    <definedName name="_14__123Graph_XCHART_3" localSheetId="5" hidden="1">[16]Productivity!$H$15:$AC$15</definedName>
    <definedName name="_14__123Graph_XCHART_3" hidden="1">#REF!</definedName>
    <definedName name="_14__OUTER_CASING">#REF!</definedName>
    <definedName name="_14_0_F" localSheetId="11" hidden="1">[17]백분율!#REF!</definedName>
    <definedName name="_14_0_F" localSheetId="1" hidden="1">[17]백분율!#REF!</definedName>
    <definedName name="_14_0_F" localSheetId="2" hidden="1">[17]백분율!#REF!</definedName>
    <definedName name="_14_0_F" localSheetId="4" hidden="1">[17]백분율!#REF!</definedName>
    <definedName name="_14_0_F" localSheetId="19" hidden="1">[17]백분율!#REF!</definedName>
    <definedName name="_14_0_F" localSheetId="10" hidden="1">[17]백분율!#REF!</definedName>
    <definedName name="_14_0_F" localSheetId="9" hidden="1">[17]백분율!#REF!</definedName>
    <definedName name="_14_0_F" localSheetId="8" hidden="1">[17]백분율!#REF!</definedName>
    <definedName name="_14_0_F" localSheetId="3" hidden="1">[17]백분율!#REF!</definedName>
    <definedName name="_14_0_F" localSheetId="6" hidden="1">[17]백분율!#REF!</definedName>
    <definedName name="_14_0_F" localSheetId="7" hidden="1">[17]백분율!#REF!</definedName>
    <definedName name="_14_0_F" localSheetId="5" hidden="1">[17]백분율!#REF!</definedName>
    <definedName name="_14_0_F" hidden="1">#REF!</definedName>
    <definedName name="_15__123Graph_DMOB_01" hidden="1">#REF!</definedName>
    <definedName name="_15__123Graph_XCHART_2" hidden="1">#REF!</definedName>
    <definedName name="_15__123Graph_XCHART_4" localSheetId="11" hidden="1">[16]Productivity!$H$25:$AC$25</definedName>
    <definedName name="_15__123Graph_XCHART_4" localSheetId="1" hidden="1">[16]Productivity!$H$25:$AC$25</definedName>
    <definedName name="_15__123Graph_XCHART_4" localSheetId="2" hidden="1">[16]Productivity!$H$25:$AC$25</definedName>
    <definedName name="_15__123Graph_XCHART_4" localSheetId="4" hidden="1">[16]Productivity!$H$25:$AC$25</definedName>
    <definedName name="_15__123Graph_XCHART_4" localSheetId="19" hidden="1">[16]Productivity!$H$25:$AC$25</definedName>
    <definedName name="_15__123Graph_XCHART_4" localSheetId="10" hidden="1">[16]Productivity!$H$25:$AC$25</definedName>
    <definedName name="_15__123Graph_XCHART_4" localSheetId="9" hidden="1">[16]Productivity!$H$25:$AC$25</definedName>
    <definedName name="_15__123Graph_XCHART_4" localSheetId="8" hidden="1">[16]Productivity!$H$25:$AC$25</definedName>
    <definedName name="_15__123Graph_XCHART_4" localSheetId="3" hidden="1">[16]Productivity!$H$25:$AC$25</definedName>
    <definedName name="_15__123Graph_XCHART_4" localSheetId="6" hidden="1">[16]Productivity!$H$25:$AC$25</definedName>
    <definedName name="_15__123Graph_XCHART_4" localSheetId="7" hidden="1">[16]Productivity!$H$25:$AC$25</definedName>
    <definedName name="_15__123Graph_XCHART_4" localSheetId="5" hidden="1">[16]Productivity!$H$25:$AC$25</definedName>
    <definedName name="_15__123Graph_XCHART_4" hidden="1">#REF!</definedName>
    <definedName name="_15_0_0_F" hidden="1">#REF!</definedName>
    <definedName name="_15A">[19]금액내역서!$D$3:$D$10</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localSheetId="18" hidden="1">{#N/A,#N/A,FALSE,"HO Rates";#N/A,#N/A,FALSE,"HO Sum"}</definedName>
    <definedName name="_17n1_" hidden="1">{#N/A,#N/A,FALSE,"HO Rates";#N/A,#N/A,FALSE,"HO Sum"}</definedName>
    <definedName name="_18__123Graph_FMOB_02" hidden="1">#REF!</definedName>
    <definedName name="_18__123Graph_XCHART_5" hidden="1">#REF!</definedName>
    <definedName name="_19__123Graph_DCHART_2" localSheetId="11" hidden="1">[12]Spread!#REF!</definedName>
    <definedName name="_19__123Graph_DCHART_2" localSheetId="1" hidden="1">[12]Spread!#REF!</definedName>
    <definedName name="_19__123Graph_DCHART_2" localSheetId="2" hidden="1">[12]Spread!#REF!</definedName>
    <definedName name="_19__123Graph_DCHART_2" localSheetId="4" hidden="1">[12]Spread!#REF!</definedName>
    <definedName name="_19__123Graph_DCHART_2" localSheetId="19" hidden="1">[12]Spread!#REF!</definedName>
    <definedName name="_19__123Graph_DCHART_2" localSheetId="10" hidden="1">[12]Spread!#REF!</definedName>
    <definedName name="_19__123Graph_DCHART_2" localSheetId="9" hidden="1">[12]Spread!#REF!</definedName>
    <definedName name="_19__123Graph_DCHART_2" localSheetId="8" hidden="1">[12]Spread!#REF!</definedName>
    <definedName name="_19__123Graph_DCHART_2" localSheetId="3" hidden="1">[12]Spread!#REF!</definedName>
    <definedName name="_19__123Graph_DCHART_2" localSheetId="6" hidden="1">[12]Spread!#REF!</definedName>
    <definedName name="_19__123Graph_DCHART_2" localSheetId="7" hidden="1">[12]Spread!#REF!</definedName>
    <definedName name="_19__123Graph_DCHART_2" localSheetId="5" hidden="1">[12]Spread!#REF!</definedName>
    <definedName name="_19__123Graph_DCHART_2" hidden="1">#REF!</definedName>
    <definedName name="_19__123Graph_LBL_AMOB_01" hidden="1">#REF!</definedName>
    <definedName name="_19__123Graph_XCHART_6" hidden="1">#REF!</definedName>
    <definedName name="_1F" hidden="1">#REF!</definedName>
    <definedName name="_2">#REF!</definedName>
    <definedName name="_2__123Graph_ACHART_1" hidden="1">#REF!</definedName>
    <definedName name="_2__123Graph_ACHART_1A" localSheetId="11" hidden="1">'[20]입찰내역 발주처 양식'!#REF!</definedName>
    <definedName name="_2__123Graph_ACHART_1A" localSheetId="1" hidden="1">'[20]입찰내역 발주처 양식'!#REF!</definedName>
    <definedName name="_2__123Graph_ACHART_1A" localSheetId="2" hidden="1">'[20]입찰내역 발주처 양식'!#REF!</definedName>
    <definedName name="_2__123Graph_ACHART_1A" localSheetId="4" hidden="1">'[20]입찰내역 발주처 양식'!#REF!</definedName>
    <definedName name="_2__123Graph_ACHART_1A" localSheetId="19" hidden="1">'[20]입찰내역 발주처 양식'!#REF!</definedName>
    <definedName name="_2__123Graph_ACHART_1A" localSheetId="10" hidden="1">'[20]입찰내역 발주처 양식'!#REF!</definedName>
    <definedName name="_2__123Graph_ACHART_1A" localSheetId="9" hidden="1">'[20]입찰내역 발주처 양식'!#REF!</definedName>
    <definedName name="_2__123Graph_ACHART_1A" localSheetId="8" hidden="1">'[20]입찰내역 발주처 양식'!#REF!</definedName>
    <definedName name="_2__123Graph_ACHART_1A" localSheetId="3" hidden="1">'[20]입찰내역 발주처 양식'!#REF!</definedName>
    <definedName name="_2__123Graph_ACHART_1A" localSheetId="6" hidden="1">'[20]입찰내역 발주처 양식'!#REF!</definedName>
    <definedName name="_2__123Graph_ACHART_1A" localSheetId="7" hidden="1">'[20]입찰내역 발주처 양식'!#REF!</definedName>
    <definedName name="_2__123Graph_ACHART_1A" localSheetId="5" hidden="1">'[20]입찰내역 발주처 양식'!#REF!</definedName>
    <definedName name="_2__123Graph_ACHART_1A" hidden="1">#REF!</definedName>
    <definedName name="_2__123Graph_ACHART_2" hidden="1">#REF!</definedName>
    <definedName name="_2__123Graph_ACONTRAC._OIL" localSheetId="11" hidden="1">'[9]Cashflow Analysis'!#REF!</definedName>
    <definedName name="_2__123Graph_ACONTRAC._OIL" localSheetId="1" hidden="1">'[9]Cashflow Analysis'!#REF!</definedName>
    <definedName name="_2__123Graph_ACONTRAC._OIL" localSheetId="2" hidden="1">'[9]Cashflow Analysis'!#REF!</definedName>
    <definedName name="_2__123Graph_ACONTRAC._OIL" localSheetId="4" hidden="1">'[9]Cashflow Analysis'!#REF!</definedName>
    <definedName name="_2__123Graph_ACONTRAC._OIL" localSheetId="19" hidden="1">'[9]Cashflow Analysis'!#REF!</definedName>
    <definedName name="_2__123Graph_ACONTRAC._OIL" localSheetId="10" hidden="1">'[9]Cashflow Analysis'!#REF!</definedName>
    <definedName name="_2__123Graph_ACONTRAC._OIL" localSheetId="9" hidden="1">'[9]Cashflow Analysis'!#REF!</definedName>
    <definedName name="_2__123Graph_ACONTRAC._OIL" localSheetId="8" hidden="1">'[9]Cashflow Analysis'!#REF!</definedName>
    <definedName name="_2__123Graph_ACONTRAC._OIL" localSheetId="3" hidden="1">'[9]Cashflow Analysis'!#REF!</definedName>
    <definedName name="_2__123Graph_ACONTRAC._OIL" localSheetId="6" hidden="1">'[9]Cashflow Analysis'!#REF!</definedName>
    <definedName name="_2__123Graph_ACONTRAC._OIL" localSheetId="7" hidden="1">'[9]Cashflow Analysis'!#REF!</definedName>
    <definedName name="_2__123Graph_ACONTRAC._OIL" localSheetId="5" hidden="1">'[9]Cashflow Analysis'!#REF!</definedName>
    <definedName name="_2__123Graph_ACONTRAC._OIL" hidden="1">#REF!</definedName>
    <definedName name="_2__123Graph_BCHART_2" localSheetId="11" hidden="1">[12]Spread!#REF!</definedName>
    <definedName name="_2__123Graph_BCHART_2" localSheetId="1" hidden="1">[12]Spread!#REF!</definedName>
    <definedName name="_2__123Graph_BCHART_2" localSheetId="2" hidden="1">[12]Spread!#REF!</definedName>
    <definedName name="_2__123Graph_BCHART_2" localSheetId="4" hidden="1">[12]Spread!#REF!</definedName>
    <definedName name="_2__123Graph_BCHART_2" localSheetId="19" hidden="1">[12]Spread!#REF!</definedName>
    <definedName name="_2__123Graph_BCHART_2" localSheetId="10" hidden="1">[12]Spread!#REF!</definedName>
    <definedName name="_2__123Graph_BCHART_2" localSheetId="9" hidden="1">[12]Spread!#REF!</definedName>
    <definedName name="_2__123Graph_BCHART_2" localSheetId="8" hidden="1">[12]Spread!#REF!</definedName>
    <definedName name="_2__123Graph_BCHART_2" localSheetId="3" hidden="1">[12]Spread!#REF!</definedName>
    <definedName name="_2__123Graph_BCHART_2" localSheetId="6" hidden="1">[12]Spread!#REF!</definedName>
    <definedName name="_2__123Graph_BCHART_2" localSheetId="7" hidden="1">[12]Spread!#REF!</definedName>
    <definedName name="_2__123Graph_BCHART_2" localSheetId="5" hidden="1">[12]Spread!#REF!</definedName>
    <definedName name="_2__123Graph_BCHART_2" hidden="1">#REF!</definedName>
    <definedName name="_2_0_0_F" localSheetId="11" hidden="1">[14]대비표!#REF!</definedName>
    <definedName name="_2_0_0_F" localSheetId="1" hidden="1">[14]대비표!#REF!</definedName>
    <definedName name="_2_0_0_F" localSheetId="2" hidden="1">[14]대비표!#REF!</definedName>
    <definedName name="_2_0_0_F" localSheetId="4" hidden="1">[14]대비표!#REF!</definedName>
    <definedName name="_2_0_0_F" localSheetId="19" hidden="1">[14]대비표!#REF!</definedName>
    <definedName name="_2_0_0_F" localSheetId="10" hidden="1">[14]대비표!#REF!</definedName>
    <definedName name="_2_0_0_F" localSheetId="9" hidden="1">[14]대비표!#REF!</definedName>
    <definedName name="_2_0_0_F" localSheetId="8" hidden="1">[14]대비표!#REF!</definedName>
    <definedName name="_2_0_0_F" localSheetId="3" hidden="1">[14]대비표!#REF!</definedName>
    <definedName name="_2_0_0_F" localSheetId="6" hidden="1">[14]대비표!#REF!</definedName>
    <definedName name="_2_0_0_F" localSheetId="7" hidden="1">[14]대비표!#REF!</definedName>
    <definedName name="_2_0_0_F" localSheetId="5" hidden="1">[14]대비표!#REF!</definedName>
    <definedName name="_2_0_0_F" hidden="1">#REF!</definedName>
    <definedName name="_20__123Graph_LBL_AMOB_02" hidden="1">#REF!</definedName>
    <definedName name="_21__123Graph_LBL_BMOB_01" hidden="1">#REF!</definedName>
    <definedName name="_22">#N/A</definedName>
    <definedName name="_22__123Graph_LBL_BMOB_02" hidden="1">#REF!</definedName>
    <definedName name="_23__123Graph_LBL_CMOB_01" hidden="1">#REF!</definedName>
    <definedName name="_23_0_0_F" localSheetId="11" hidden="1">[14]대비표!#REF!</definedName>
    <definedName name="_23_0_0_F" localSheetId="1" hidden="1">[14]대비표!#REF!</definedName>
    <definedName name="_23_0_0_F" localSheetId="2" hidden="1">[14]대비표!#REF!</definedName>
    <definedName name="_23_0_0_F" localSheetId="4" hidden="1">[14]대비표!#REF!</definedName>
    <definedName name="_23_0_0_F" localSheetId="19" hidden="1">[14]대비표!#REF!</definedName>
    <definedName name="_23_0_0_F" localSheetId="10" hidden="1">[14]대비표!#REF!</definedName>
    <definedName name="_23_0_0_F" localSheetId="9" hidden="1">[14]대비표!#REF!</definedName>
    <definedName name="_23_0_0_F" localSheetId="8" hidden="1">[14]대비표!#REF!</definedName>
    <definedName name="_23_0_0_F" localSheetId="3" hidden="1">[14]대비표!#REF!</definedName>
    <definedName name="_23_0_0_F" localSheetId="6" hidden="1">[14]대비표!#REF!</definedName>
    <definedName name="_23_0_0_F" localSheetId="7" hidden="1">[14]대비표!#REF!</definedName>
    <definedName name="_23_0_0_F" localSheetId="5" hidden="1">[14]대비표!#REF!</definedName>
    <definedName name="_23_0_0_F" hidden="1">#REF!</definedName>
    <definedName name="_2354"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localSheetId="11" hidden="1">[14]대비표!#REF!</definedName>
    <definedName name="_24_0_0_F" localSheetId="1" hidden="1">[14]대비표!#REF!</definedName>
    <definedName name="_24_0_0_F" localSheetId="2" hidden="1">[14]대비표!#REF!</definedName>
    <definedName name="_24_0_0_F" localSheetId="4" hidden="1">[14]대비표!#REF!</definedName>
    <definedName name="_24_0_0_F" localSheetId="19" hidden="1">[14]대비표!#REF!</definedName>
    <definedName name="_24_0_0_F" localSheetId="10" hidden="1">[14]대비표!#REF!</definedName>
    <definedName name="_24_0_0_F" localSheetId="9" hidden="1">[14]대비표!#REF!</definedName>
    <definedName name="_24_0_0_F" localSheetId="8" hidden="1">[14]대비표!#REF!</definedName>
    <definedName name="_24_0_0_F" localSheetId="3" hidden="1">[14]대비표!#REF!</definedName>
    <definedName name="_24_0_0_F" localSheetId="6" hidden="1">[14]대비표!#REF!</definedName>
    <definedName name="_24_0_0_F" localSheetId="7" hidden="1">[14]대비표!#REF!</definedName>
    <definedName name="_24_0_0_F" localSheetId="5" hidden="1">[14]대비표!#REF!</definedName>
    <definedName name="_24_0_0_F" hidden="1">#REF!</definedName>
    <definedName name="_24n2_" localSheetId="18" hidden="1">{#N/A,#N/A,FALSE,"HO Sum";#N/A,#N/A,FALSE,"HO Rates";#N/A,#N/A,FALSE,"Co Sum";#N/A,#N/A,FALSE,"Clients Office";#N/A,#N/A,FALSE,"Field Sum";#N/A,#N/A,FALSE,"Field Rates"}</definedName>
    <definedName name="_24n2_" hidden="1">{#N/A,#N/A,FALSE,"HO Sum";#N/A,#N/A,FALSE,"HO Rates";#N/A,#N/A,FALSE,"Co Sum";#N/A,#N/A,FALSE,"Clients Office";#N/A,#N/A,FALSE,"Field Sum";#N/A,#N/A,FALSE,"Field Rates"}</definedName>
    <definedName name="_25__123Graph_ECHART_2" localSheetId="11" hidden="1">[12]Spread!#REF!</definedName>
    <definedName name="_25__123Graph_ECHART_2" localSheetId="1" hidden="1">[12]Spread!#REF!</definedName>
    <definedName name="_25__123Graph_ECHART_2" localSheetId="2" hidden="1">[12]Spread!#REF!</definedName>
    <definedName name="_25__123Graph_ECHART_2" localSheetId="4" hidden="1">[12]Spread!#REF!</definedName>
    <definedName name="_25__123Graph_ECHART_2" localSheetId="19" hidden="1">[12]Spread!#REF!</definedName>
    <definedName name="_25__123Graph_ECHART_2" localSheetId="10" hidden="1">[12]Spread!#REF!</definedName>
    <definedName name="_25__123Graph_ECHART_2" localSheetId="9" hidden="1">[12]Spread!#REF!</definedName>
    <definedName name="_25__123Graph_ECHART_2" localSheetId="8" hidden="1">[12]Spread!#REF!</definedName>
    <definedName name="_25__123Graph_ECHART_2" localSheetId="3" hidden="1">[12]Spread!#REF!</definedName>
    <definedName name="_25__123Graph_ECHART_2" localSheetId="6" hidden="1">[12]Spread!#REF!</definedName>
    <definedName name="_25__123Graph_ECHART_2" localSheetId="7" hidden="1">[12]Spread!#REF!</definedName>
    <definedName name="_25__123Graph_ECHART_2" localSheetId="5" hidden="1">[12]Spread!#REF!</definedName>
    <definedName name="_25__123Graph_ECHART_2" hidden="1">#REF!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#REF!</definedName>
    <definedName name="_2a" hidden="1">#REF!</definedName>
    <definedName name="_3">#REF!</definedName>
    <definedName name="_3__123Graph_ACHART_1" hidden="1">#REF!</definedName>
    <definedName name="_3__123Graph_ACHART_2" hidden="1">#REF!</definedName>
    <definedName name="_3__123Graph_ACHART_3" localSheetId="11" hidden="1">[16]Productivity!$H$16:$AC$16</definedName>
    <definedName name="_3__123Graph_ACHART_3" localSheetId="1" hidden="1">[16]Productivity!$H$16:$AC$16</definedName>
    <definedName name="_3__123Graph_ACHART_3" localSheetId="2" hidden="1">[16]Productivity!$H$16:$AC$16</definedName>
    <definedName name="_3__123Graph_ACHART_3" localSheetId="4" hidden="1">[16]Productivity!$H$16:$AC$16</definedName>
    <definedName name="_3__123Graph_ACHART_3" localSheetId="19" hidden="1">[16]Productivity!$H$16:$AC$16</definedName>
    <definedName name="_3__123Graph_ACHART_3" localSheetId="10" hidden="1">[16]Productivity!$H$16:$AC$16</definedName>
    <definedName name="_3__123Graph_ACHART_3" localSheetId="9" hidden="1">[16]Productivity!$H$16:$AC$16</definedName>
    <definedName name="_3__123Graph_ACHART_3" localSheetId="8" hidden="1">[16]Productivity!$H$16:$AC$16</definedName>
    <definedName name="_3__123Graph_ACHART_3" localSheetId="3" hidden="1">[16]Productivity!$H$16:$AC$16</definedName>
    <definedName name="_3__123Graph_ACHART_3" localSheetId="6" hidden="1">[16]Productivity!$H$16:$AC$16</definedName>
    <definedName name="_3__123Graph_ACHART_3" localSheetId="7" hidden="1">[16]Productivity!$H$16:$AC$16</definedName>
    <definedName name="_3__123Graph_ACHART_3" localSheetId="5" hidden="1">[16]Productivity!$H$16:$AC$16</definedName>
    <definedName name="_3__123Graph_ACHART_3" hidden="1">#REF!</definedName>
    <definedName name="_3__123Graph_ACONTRAC._OIL" localSheetId="11" hidden="1">'[9]Cashflow Analysis'!#REF!</definedName>
    <definedName name="_3__123Graph_ACONTRAC._OIL" localSheetId="1" hidden="1">'[9]Cashflow Analysis'!#REF!</definedName>
    <definedName name="_3__123Graph_ACONTRAC._OIL" localSheetId="2" hidden="1">'[9]Cashflow Analysis'!#REF!</definedName>
    <definedName name="_3__123Graph_ACONTRAC._OIL" localSheetId="4" hidden="1">'[9]Cashflow Analysis'!#REF!</definedName>
    <definedName name="_3__123Graph_ACONTRAC._OIL" localSheetId="19" hidden="1">'[9]Cashflow Analysis'!#REF!</definedName>
    <definedName name="_3__123Graph_ACONTRAC._OIL" localSheetId="10" hidden="1">'[9]Cashflow Analysis'!#REF!</definedName>
    <definedName name="_3__123Graph_ACONTRAC._OIL" localSheetId="9" hidden="1">'[9]Cashflow Analysis'!#REF!</definedName>
    <definedName name="_3__123Graph_ACONTRAC._OIL" localSheetId="8" hidden="1">'[9]Cashflow Analysis'!#REF!</definedName>
    <definedName name="_3__123Graph_ACONTRAC._OIL" localSheetId="3" hidden="1">'[9]Cashflow Analysis'!#REF!</definedName>
    <definedName name="_3__123Graph_ACONTRAC._OIL" localSheetId="6" hidden="1">'[9]Cashflow Analysis'!#REF!</definedName>
    <definedName name="_3__123Graph_ACONTRAC._OIL" localSheetId="7" hidden="1">'[9]Cashflow Analysis'!#REF!</definedName>
    <definedName name="_3__123Graph_ACONTRAC._OIL" localSheetId="5" hidden="1">'[9]Cashflow Analysis'!#REF!</definedName>
    <definedName name="_3__123Graph_ACONTRAC._OIL" hidden="1">#REF!</definedName>
    <definedName name="_3__123Graph_BCHART_2" hidden="1">#REF!</definedName>
    <definedName name="_3__123Graph_CCHART_2" localSheetId="11" hidden="1">[12]Spread!#REF!</definedName>
    <definedName name="_3__123Graph_CCHART_2" localSheetId="1" hidden="1">[12]Spread!#REF!</definedName>
    <definedName name="_3__123Graph_CCHART_2" localSheetId="2" hidden="1">[12]Spread!#REF!</definedName>
    <definedName name="_3__123Graph_CCHART_2" localSheetId="4" hidden="1">[12]Spread!#REF!</definedName>
    <definedName name="_3__123Graph_CCHART_2" localSheetId="19" hidden="1">[12]Spread!#REF!</definedName>
    <definedName name="_3__123Graph_CCHART_2" localSheetId="10" hidden="1">[12]Spread!#REF!</definedName>
    <definedName name="_3__123Graph_CCHART_2" localSheetId="9" hidden="1">[12]Spread!#REF!</definedName>
    <definedName name="_3__123Graph_CCHART_2" localSheetId="8" hidden="1">[12]Spread!#REF!</definedName>
    <definedName name="_3__123Graph_CCHART_2" localSheetId="3" hidden="1">[12]Spread!#REF!</definedName>
    <definedName name="_3__123Graph_CCHART_2" localSheetId="6" hidden="1">[12]Spread!#REF!</definedName>
    <definedName name="_3__123Graph_CCHART_2" localSheetId="7" hidden="1">[12]Spread!#REF!</definedName>
    <definedName name="_3__123Graph_CCHART_2" localSheetId="5" hidden="1">[12]Spread!#REF!</definedName>
    <definedName name="_3__123Graph_CCHART_2" hidden="1">#REF!</definedName>
    <definedName name="_30__123Graph_XMOB_01" hidden="1">#REF!</definedName>
    <definedName name="_31__123Graph_FCHART_2" localSheetId="11" hidden="1">[12]Spread!#REF!</definedName>
    <definedName name="_31__123Graph_FCHART_2" localSheetId="1" hidden="1">[12]Spread!#REF!</definedName>
    <definedName name="_31__123Graph_FCHART_2" localSheetId="2" hidden="1">[12]Spread!#REF!</definedName>
    <definedName name="_31__123Graph_FCHART_2" localSheetId="4" hidden="1">[12]Spread!#REF!</definedName>
    <definedName name="_31__123Graph_FCHART_2" localSheetId="19" hidden="1">[12]Spread!#REF!</definedName>
    <definedName name="_31__123Graph_FCHART_2" localSheetId="10" hidden="1">[12]Spread!#REF!</definedName>
    <definedName name="_31__123Graph_FCHART_2" localSheetId="9" hidden="1">[12]Spread!#REF!</definedName>
    <definedName name="_31__123Graph_FCHART_2" localSheetId="8" hidden="1">[12]Spread!#REF!</definedName>
    <definedName name="_31__123Graph_FCHART_2" localSheetId="3" hidden="1">[12]Spread!#REF!</definedName>
    <definedName name="_31__123Graph_FCHART_2" localSheetId="6" hidden="1">[12]Spread!#REF!</definedName>
    <definedName name="_31__123Graph_FCHART_2" localSheetId="7" hidden="1">[12]Spread!#REF!</definedName>
    <definedName name="_31__123Graph_FCHART_2" localSheetId="5" hidden="1">[12]Spread!#REF!</definedName>
    <definedName name="_31__123Graph_FCHART_2" hidden="1">#REF!</definedName>
    <definedName name="_31__123Graph_XMOB_02" hidden="1">#REF!</definedName>
    <definedName name="_31n3_" localSheetId="18" hidden="1">{#N/A,#N/A,FALSE,"HO Rates";#N/A,#N/A,FALSE,"HO Sum"}</definedName>
    <definedName name="_31n3_" hidden="1">{#N/A,#N/A,FALSE,"HO Rates";#N/A,#N/A,FALSE,"HO Sum"}</definedName>
    <definedName name="_32__123Graph_XCHART_2" localSheetId="11" hidden="1">[12]Spread!$J$11:$BQ$11</definedName>
    <definedName name="_32__123Graph_XCHART_2" localSheetId="1" hidden="1">[12]Spread!$J$11:$BQ$11</definedName>
    <definedName name="_32__123Graph_XCHART_2" localSheetId="2" hidden="1">[12]Spread!$J$11:$BQ$11</definedName>
    <definedName name="_32__123Graph_XCHART_2" localSheetId="4" hidden="1">[12]Spread!$J$11:$BQ$11</definedName>
    <definedName name="_32__123Graph_XCHART_2" localSheetId="19" hidden="1">[12]Spread!$J$11:$BQ$11</definedName>
    <definedName name="_32__123Graph_XCHART_2" localSheetId="10" hidden="1">[12]Spread!$J$11:$BQ$11</definedName>
    <definedName name="_32__123Graph_XCHART_2" localSheetId="9" hidden="1">[12]Spread!$J$11:$BQ$11</definedName>
    <definedName name="_32__123Graph_XCHART_2" localSheetId="8" hidden="1">[12]Spread!$J$11:$BQ$11</definedName>
    <definedName name="_32__123Graph_XCHART_2" localSheetId="3" hidden="1">[12]Spread!$J$11:$BQ$11</definedName>
    <definedName name="_32__123Graph_XCHART_2" localSheetId="6" hidden="1">[12]Spread!$J$11:$BQ$11</definedName>
    <definedName name="_32__123Graph_XCHART_2" localSheetId="7" hidden="1">[12]Spread!$J$11:$BQ$11</definedName>
    <definedName name="_32__123Graph_XCHART_2" localSheetId="5" hidden="1">[12]Spread!$J$11:$BQ$11</definedName>
    <definedName name="_32__123Graph_XCHART_2" hidden="1">#REF!</definedName>
    <definedName name="_36_0_0_F" hidden="1">#REF!</definedName>
    <definedName name="_38n4_" localSheetId="18" hidden="1">{#N/A,#N/A,FALSE,"Clients Office";#N/A,#N/A,FALSE,"Co Sum"}</definedName>
    <definedName name="_38n4_" hidden="1">{#N/A,#N/A,FALSE,"Clients Office";#N/A,#N/A,FALSE,"Co Sum"}</definedName>
    <definedName name="_3EE1_" localSheetId="18" hidden="1">{#N/A,#N/A,FALSE,"단가표지"}</definedName>
    <definedName name="_3EE1_" hidden="1">{#N/A,#N/A,FALSE,"단가표지"}</definedName>
    <definedName name="_3F" hidden="1">#N/A</definedName>
    <definedName name="_4">#REF!</definedName>
    <definedName name="_4_" localSheetId="11" hidden="1">[17]DHEQSUPT!#REF!</definedName>
    <definedName name="_4_" localSheetId="1" hidden="1">[17]DHEQSUPT!#REF!</definedName>
    <definedName name="_4_" localSheetId="2" hidden="1">[17]DHEQSUPT!#REF!</definedName>
    <definedName name="_4_" localSheetId="4" hidden="1">[17]DHEQSUPT!#REF!</definedName>
    <definedName name="_4_" localSheetId="19" hidden="1">[17]DHEQSUPT!#REF!</definedName>
    <definedName name="_4_" localSheetId="10" hidden="1">[17]DHEQSUPT!#REF!</definedName>
    <definedName name="_4_" localSheetId="9" hidden="1">[17]DHEQSUPT!#REF!</definedName>
    <definedName name="_4_" localSheetId="8" hidden="1">[17]DHEQSUPT!#REF!</definedName>
    <definedName name="_4_" localSheetId="3" hidden="1">[17]DHEQSUPT!#REF!</definedName>
    <definedName name="_4_" localSheetId="6" hidden="1">[17]DHEQSUPT!#REF!</definedName>
    <definedName name="_4_" localSheetId="7" hidden="1">[17]DHEQSUPT!#REF!</definedName>
    <definedName name="_4_" localSheetId="5" hidden="1">[17]DHEQSUPT!#REF!</definedName>
    <definedName name="_4_" hidden="1">#REF!</definedName>
    <definedName name="_4__123Graph_ACHART_2" hidden="1">#REF!</definedName>
    <definedName name="_4__123Graph_ACHART_3" hidden="1">#REF!</definedName>
    <definedName name="_4__123Graph_ACHART_4" localSheetId="11" hidden="1">[16]Productivity!$G$26:$AA$26</definedName>
    <definedName name="_4__123Graph_ACHART_4" localSheetId="1" hidden="1">[16]Productivity!$G$26:$AA$26</definedName>
    <definedName name="_4__123Graph_ACHART_4" localSheetId="2" hidden="1">[16]Productivity!$G$26:$AA$26</definedName>
    <definedName name="_4__123Graph_ACHART_4" localSheetId="4" hidden="1">[16]Productivity!$G$26:$AA$26</definedName>
    <definedName name="_4__123Graph_ACHART_4" localSheetId="19" hidden="1">[16]Productivity!$G$26:$AA$26</definedName>
    <definedName name="_4__123Graph_ACHART_4" localSheetId="10" hidden="1">[16]Productivity!$G$26:$AA$26</definedName>
    <definedName name="_4__123Graph_ACHART_4" localSheetId="9" hidden="1">[16]Productivity!$G$26:$AA$26</definedName>
    <definedName name="_4__123Graph_ACHART_4" localSheetId="8" hidden="1">[16]Productivity!$G$26:$AA$26</definedName>
    <definedName name="_4__123Graph_ACHART_4" localSheetId="3" hidden="1">[16]Productivity!$G$26:$AA$26</definedName>
    <definedName name="_4__123Graph_ACHART_4" localSheetId="6" hidden="1">[16]Productivity!$G$26:$AA$26</definedName>
    <definedName name="_4__123Graph_ACHART_4" localSheetId="7" hidden="1">[16]Productivity!$G$26:$AA$26</definedName>
    <definedName name="_4__123Graph_ACHART_4" localSheetId="5" hidden="1">[16]Productivity!$G$26:$AA$26</definedName>
    <definedName name="_4__123Graph_ACHART_4" hidden="1">#REF!</definedName>
    <definedName name="_4__123Graph_BCHART_2" localSheetId="11" hidden="1">[21]Z!$T$180:$AH$180</definedName>
    <definedName name="_4__123Graph_BCHART_2" localSheetId="1" hidden="1">[21]Z!$T$180:$AH$180</definedName>
    <definedName name="_4__123Graph_BCHART_2" localSheetId="2" hidden="1">[21]Z!$T$180:$AH$180</definedName>
    <definedName name="_4__123Graph_BCHART_2" localSheetId="4" hidden="1">[21]Z!$T$180:$AH$180</definedName>
    <definedName name="_4__123Graph_BCHART_2" localSheetId="19" hidden="1">[21]Z!$T$180:$AH$180</definedName>
    <definedName name="_4__123Graph_BCHART_2" localSheetId="10" hidden="1">[21]Z!$T$180:$AH$180</definedName>
    <definedName name="_4__123Graph_BCHART_2" localSheetId="9" hidden="1">[21]Z!$T$180:$AH$180</definedName>
    <definedName name="_4__123Graph_BCHART_2" localSheetId="8" hidden="1">[21]Z!$T$180:$AH$180</definedName>
    <definedName name="_4__123Graph_BCHART_2" localSheetId="3" hidden="1">[21]Z!$T$180:$AH$180</definedName>
    <definedName name="_4__123Graph_BCHART_2" localSheetId="6" hidden="1">[21]Z!$T$180:$AH$180</definedName>
    <definedName name="_4__123Graph_BCHART_2" localSheetId="7" hidden="1">[21]Z!$T$180:$AH$180</definedName>
    <definedName name="_4__123Graph_BCHART_2" localSheetId="5" hidden="1">[21]Z!$T$180:$AH$180</definedName>
    <definedName name="_4__123Graph_BCHART_2" hidden="1">#REF!</definedName>
    <definedName name="_4__123Graph_BCONTRAC._OIL" localSheetId="11" hidden="1">'[9]Cashflow Analysis'!#REF!</definedName>
    <definedName name="_4__123Graph_BCONTRAC._OIL" localSheetId="1" hidden="1">'[9]Cashflow Analysis'!#REF!</definedName>
    <definedName name="_4__123Graph_BCONTRAC._OIL" localSheetId="2" hidden="1">'[9]Cashflow Analysis'!#REF!</definedName>
    <definedName name="_4__123Graph_BCONTRAC._OIL" localSheetId="4" hidden="1">'[9]Cashflow Analysis'!#REF!</definedName>
    <definedName name="_4__123Graph_BCONTRAC._OIL" localSheetId="19" hidden="1">'[9]Cashflow Analysis'!#REF!</definedName>
    <definedName name="_4__123Graph_BCONTRAC._OIL" localSheetId="10" hidden="1">'[9]Cashflow Analysis'!#REF!</definedName>
    <definedName name="_4__123Graph_BCONTRAC._OIL" localSheetId="9" hidden="1">'[9]Cashflow Analysis'!#REF!</definedName>
    <definedName name="_4__123Graph_BCONTRAC._OIL" localSheetId="8" hidden="1">'[9]Cashflow Analysis'!#REF!</definedName>
    <definedName name="_4__123Graph_BCONTRAC._OIL" localSheetId="3" hidden="1">'[9]Cashflow Analysis'!#REF!</definedName>
    <definedName name="_4__123Graph_BCONTRAC._OIL" localSheetId="6" hidden="1">'[9]Cashflow Analysis'!#REF!</definedName>
    <definedName name="_4__123Graph_BCONTRAC._OIL" localSheetId="7" hidden="1">'[9]Cashflow Analysis'!#REF!</definedName>
    <definedName name="_4__123Graph_BCONTRAC._OIL" localSheetId="5" hidden="1">'[9]Cashflow Analysis'!#REF!</definedName>
    <definedName name="_4__123Graph_BCONTRAC._OIL" hidden="1">#REF!</definedName>
    <definedName name="_4__123Graph_CCHART_1" hidden="1">#REF!</definedName>
    <definedName name="_4__123Graph_DCHART_2" localSheetId="11" hidden="1">[12]Spread!#REF!</definedName>
    <definedName name="_4__123Graph_DCHART_2" localSheetId="1" hidden="1">[12]Spread!#REF!</definedName>
    <definedName name="_4__123Graph_DCHART_2" localSheetId="2" hidden="1">[12]Spread!#REF!</definedName>
    <definedName name="_4__123Graph_DCHART_2" localSheetId="4" hidden="1">[12]Spread!#REF!</definedName>
    <definedName name="_4__123Graph_DCHART_2" localSheetId="19" hidden="1">[12]Spread!#REF!</definedName>
    <definedName name="_4__123Graph_DCHART_2" localSheetId="10" hidden="1">[12]Spread!#REF!</definedName>
    <definedName name="_4__123Graph_DCHART_2" localSheetId="9" hidden="1">[12]Spread!#REF!</definedName>
    <definedName name="_4__123Graph_DCHART_2" localSheetId="8" hidden="1">[12]Spread!#REF!</definedName>
    <definedName name="_4__123Graph_DCHART_2" localSheetId="3" hidden="1">[12]Spread!#REF!</definedName>
    <definedName name="_4__123Graph_DCHART_2" localSheetId="6" hidden="1">[12]Spread!#REF!</definedName>
    <definedName name="_4__123Graph_DCHART_2" localSheetId="7" hidden="1">[12]Spread!#REF!</definedName>
    <definedName name="_4__123Graph_DCHART_2" localSheetId="5" hidden="1">[12]Spread!#REF!</definedName>
    <definedName name="_4__123Graph_DCHART_2" hidden="1">#REF!</definedName>
    <definedName name="_4__123Graph_XCHART_1A" localSheetId="11" hidden="1">'[20]입찰내역 발주처 양식'!#REF!</definedName>
    <definedName name="_4__123Graph_XCHART_1A" localSheetId="1" hidden="1">'[20]입찰내역 발주처 양식'!#REF!</definedName>
    <definedName name="_4__123Graph_XCHART_1A" localSheetId="2" hidden="1">'[20]입찰내역 발주처 양식'!#REF!</definedName>
    <definedName name="_4__123Graph_XCHART_1A" localSheetId="4" hidden="1">'[20]입찰내역 발주처 양식'!#REF!</definedName>
    <definedName name="_4__123Graph_XCHART_1A" localSheetId="19" hidden="1">'[20]입찰내역 발주처 양식'!#REF!</definedName>
    <definedName name="_4__123Graph_XCHART_1A" localSheetId="10" hidden="1">'[20]입찰내역 발주처 양식'!#REF!</definedName>
    <definedName name="_4__123Graph_XCHART_1A" localSheetId="9" hidden="1">'[20]입찰내역 발주처 양식'!#REF!</definedName>
    <definedName name="_4__123Graph_XCHART_1A" localSheetId="8" hidden="1">'[20]입찰내역 발주처 양식'!#REF!</definedName>
    <definedName name="_4__123Graph_XCHART_1A" localSheetId="3" hidden="1">'[20]입찰내역 발주처 양식'!#REF!</definedName>
    <definedName name="_4__123Graph_XCHART_1A" localSheetId="6" hidden="1">'[20]입찰내역 발주처 양식'!#REF!</definedName>
    <definedName name="_4__123Graph_XCHART_1A" localSheetId="7" hidden="1">'[20]입찰내역 발주처 양식'!#REF!</definedName>
    <definedName name="_4__123Graph_XCHART_1A" localSheetId="5" hidden="1">'[20]입찰내역 발주처 양식'!#REF!</definedName>
    <definedName name="_4__123Graph_XCHART_1A" hidden="1">#REF!</definedName>
    <definedName name="_4_0_0_F" hidden="1">#N/A</definedName>
    <definedName name="_41aa1_" localSheetId="18" hidden="1">{#N/A,#N/A,FALSE,"CCTV"}</definedName>
    <definedName name="_41aa1_" hidden="1">{#N/A,#N/A,FALSE,"CCTV"}</definedName>
    <definedName name="_42BD105_"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localSheetId="18" hidden="1">{#N/A,#N/A,FALSE,"Clients Office";#N/A,#N/A,FALSE,"Co Sum"}</definedName>
    <definedName name="_45n5_" hidden="1">{#N/A,#N/A,FALSE,"Clients Office";#N/A,#N/A,FALSE,"Co Sum"}</definedName>
    <definedName name="_4aa1_" localSheetId="18" hidden="1">{#N/A,#N/A,FALSE,"CCTV"}</definedName>
    <definedName name="_4aa1_" hidden="1">{#N/A,#N/A,FALSE,"CCTV"}</definedName>
    <definedName name="_4F3_">#REF!</definedName>
    <definedName name="_4S3_" localSheetId="18" hidden="1">{#N/A,#N/A,FALSE,"포장2"}</definedName>
    <definedName name="_4S3_" hidden="1">{#N/A,#N/A,FALSE,"포장2"}</definedName>
    <definedName name="_5" localSheetId="1">[22]당초!#REF!</definedName>
    <definedName name="_5" localSheetId="2">[22]당초!#REF!</definedName>
    <definedName name="_5" localSheetId="4">[22]당초!#REF!</definedName>
    <definedName name="_5" localSheetId="19">[22]당초!#REF!</definedName>
    <definedName name="_5" localSheetId="10">[22]당초!#REF!</definedName>
    <definedName name="_5" localSheetId="9">[22]당초!#REF!</definedName>
    <definedName name="_5" localSheetId="8">[22]당초!#REF!</definedName>
    <definedName name="_5" localSheetId="3">[22]당초!#REF!</definedName>
    <definedName name="_5" localSheetId="6">[22]당초!#REF!</definedName>
    <definedName name="_5" localSheetId="7">[22]당초!#REF!</definedName>
    <definedName name="_5" localSheetId="5">[22]당초!#REF!</definedName>
    <definedName name="_5" hidden="1">#REF!</definedName>
    <definedName name="_5__123Graph_ACHART_2" hidden="1">#REF!</definedName>
    <definedName name="_5__123Graph_ACHART_4" hidden="1">#REF!</definedName>
    <definedName name="_5__123Graph_BCHART_1" localSheetId="11" hidden="1">[16]Productivity!$H$5:$AB$5</definedName>
    <definedName name="_5__123Graph_BCHART_1" localSheetId="1" hidden="1">[16]Productivity!$H$5:$AB$5</definedName>
    <definedName name="_5__123Graph_BCHART_1" localSheetId="2" hidden="1">[16]Productivity!$H$5:$AB$5</definedName>
    <definedName name="_5__123Graph_BCHART_1" localSheetId="4" hidden="1">[16]Productivity!$H$5:$AB$5</definedName>
    <definedName name="_5__123Graph_BCHART_1" localSheetId="19" hidden="1">[16]Productivity!$H$5:$AB$5</definedName>
    <definedName name="_5__123Graph_BCHART_1" localSheetId="10" hidden="1">[16]Productivity!$H$5:$AB$5</definedName>
    <definedName name="_5__123Graph_BCHART_1" localSheetId="9" hidden="1">[16]Productivity!$H$5:$AB$5</definedName>
    <definedName name="_5__123Graph_BCHART_1" localSheetId="8" hidden="1">[16]Productivity!$H$5:$AB$5</definedName>
    <definedName name="_5__123Graph_BCHART_1" localSheetId="3" hidden="1">[16]Productivity!$H$5:$AB$5</definedName>
    <definedName name="_5__123Graph_BCHART_1" localSheetId="6" hidden="1">[16]Productivity!$H$5:$AB$5</definedName>
    <definedName name="_5__123Graph_BCHART_1" localSheetId="7" hidden="1">[16]Productivity!$H$5:$AB$5</definedName>
    <definedName name="_5__123Graph_BCHART_1" localSheetId="5" hidden="1">[16]Productivity!$H$5:$AB$5</definedName>
    <definedName name="_5__123Graph_BCHART_1" hidden="1">#REF!</definedName>
    <definedName name="_5__123Graph_BCHART_2" hidden="1">#REF!</definedName>
    <definedName name="_5__123Graph_CCHART_1" localSheetId="11" hidden="1">[21]Cash2!$J$16:$J$36</definedName>
    <definedName name="_5__123Graph_CCHART_1" localSheetId="1" hidden="1">[21]Cash2!$J$16:$J$36</definedName>
    <definedName name="_5__123Graph_CCHART_1" localSheetId="2" hidden="1">[21]Cash2!$J$16:$J$36</definedName>
    <definedName name="_5__123Graph_CCHART_1" localSheetId="4" hidden="1">[21]Cash2!$J$16:$J$36</definedName>
    <definedName name="_5__123Graph_CCHART_1" localSheetId="19" hidden="1">[21]Cash2!$J$16:$J$36</definedName>
    <definedName name="_5__123Graph_CCHART_1" localSheetId="10" hidden="1">[21]Cash2!$J$16:$J$36</definedName>
    <definedName name="_5__123Graph_CCHART_1" localSheetId="9" hidden="1">[21]Cash2!$J$16:$J$36</definedName>
    <definedName name="_5__123Graph_CCHART_1" localSheetId="8" hidden="1">[21]Cash2!$J$16:$J$36</definedName>
    <definedName name="_5__123Graph_CCHART_1" localSheetId="3" hidden="1">[21]Cash2!$J$16:$J$36</definedName>
    <definedName name="_5__123Graph_CCHART_1" localSheetId="6" hidden="1">[21]Cash2!$J$16:$J$36</definedName>
    <definedName name="_5__123Graph_CCHART_1" localSheetId="7" hidden="1">[21]Cash2!$J$16:$J$36</definedName>
    <definedName name="_5__123Graph_CCHART_1" localSheetId="5" hidden="1">[21]Cash2!$J$16:$J$36</definedName>
    <definedName name="_5__123Graph_CCHART_1" hidden="1">#REF!</definedName>
    <definedName name="_5__123Graph_DCHART_1" hidden="1">#REF!</definedName>
    <definedName name="_5__123Graph_ECHART_2" localSheetId="11" hidden="1">[12]Spread!#REF!</definedName>
    <definedName name="_5__123Graph_ECHART_2" localSheetId="1" hidden="1">[12]Spread!#REF!</definedName>
    <definedName name="_5__123Graph_ECHART_2" localSheetId="2" hidden="1">[12]Spread!#REF!</definedName>
    <definedName name="_5__123Graph_ECHART_2" localSheetId="4" hidden="1">[12]Spread!#REF!</definedName>
    <definedName name="_5__123Graph_ECHART_2" localSheetId="19" hidden="1">[12]Spread!#REF!</definedName>
    <definedName name="_5__123Graph_ECHART_2" localSheetId="10" hidden="1">[12]Spread!#REF!</definedName>
    <definedName name="_5__123Graph_ECHART_2" localSheetId="9" hidden="1">[12]Spread!#REF!</definedName>
    <definedName name="_5__123Graph_ECHART_2" localSheetId="8" hidden="1">[12]Spread!#REF!</definedName>
    <definedName name="_5__123Graph_ECHART_2" localSheetId="3" hidden="1">[12]Spread!#REF!</definedName>
    <definedName name="_5__123Graph_ECHART_2" localSheetId="6" hidden="1">[12]Spread!#REF!</definedName>
    <definedName name="_5__123Graph_ECHART_2" localSheetId="7" hidden="1">[12]Spread!#REF!</definedName>
    <definedName name="_5__123Graph_ECHART_2" localSheetId="5" hidden="1">[12]Spread!#REF!</definedName>
    <definedName name="_5__123Graph_ECHART_2" hidden="1">#REF!</definedName>
    <definedName name="_52n6_" localSheetId="18" hidden="1">{#N/A,#N/A,FALSE,"Field Rates";#N/A,#N/A,FALSE,"Field Sum"}</definedName>
    <definedName name="_52n6_" hidden="1">{#N/A,#N/A,FALSE,"Field Rates";#N/A,#N/A,FALSE,"Field Sum"}</definedName>
    <definedName name="_59n7_" localSheetId="18" hidden="1">{#N/A,#N/A,FALSE,"HO Sum";#N/A,#N/A,FALSE,"HO Rates";#N/A,#N/A,FALSE,"Co Sum";#N/A,#N/A,FALSE,"Clients Office";#N/A,#N/A,FALSE,"Field Sum";#N/A,#N/A,FALSE,"Field Rates"}</definedName>
    <definedName name="_59n7_" hidden="1">{#N/A,#N/A,FALSE,"HO Sum";#N/A,#N/A,FALSE,"HO Rates";#N/A,#N/A,FALSE,"Co Sum";#N/A,#N/A,FALSE,"Clients Office";#N/A,#N/A,FALSE,"Field Sum";#N/A,#N/A,FALSE,"Field Rates"}</definedName>
    <definedName name="_6__123Graph_ACHART_5" hidden="1">#REF!</definedName>
    <definedName name="_6__123Graph_BCHART_2" localSheetId="11" hidden="1">[16]Productivity!$H$11:$AC$11</definedName>
    <definedName name="_6__123Graph_BCHART_2" localSheetId="1" hidden="1">[16]Productivity!$H$11:$AC$11</definedName>
    <definedName name="_6__123Graph_BCHART_2" localSheetId="2" hidden="1">[16]Productivity!$H$11:$AC$11</definedName>
    <definedName name="_6__123Graph_BCHART_2" localSheetId="4" hidden="1">[16]Productivity!$H$11:$AC$11</definedName>
    <definedName name="_6__123Graph_BCHART_2" localSheetId="19" hidden="1">[16]Productivity!$H$11:$AC$11</definedName>
    <definedName name="_6__123Graph_BCHART_2" localSheetId="10" hidden="1">[16]Productivity!$H$11:$AC$11</definedName>
    <definedName name="_6__123Graph_BCHART_2" localSheetId="9" hidden="1">[16]Productivity!$H$11:$AC$11</definedName>
    <definedName name="_6__123Graph_BCHART_2" localSheetId="8" hidden="1">[16]Productivity!$H$11:$AC$11</definedName>
    <definedName name="_6__123Graph_BCHART_2" localSheetId="3" hidden="1">[16]Productivity!$H$11:$AC$11</definedName>
    <definedName name="_6__123Graph_BCHART_2" localSheetId="6" hidden="1">[16]Productivity!$H$11:$AC$11</definedName>
    <definedName name="_6__123Graph_BCHART_2" localSheetId="7" hidden="1">[16]Productivity!$H$11:$AC$11</definedName>
    <definedName name="_6__123Graph_BCHART_2" localSheetId="5" hidden="1">[16]Productivity!$H$11:$AC$11</definedName>
    <definedName name="_6__123Graph_BCHART_2" hidden="1">#REF!</definedName>
    <definedName name="_6__123Graph_BCONTRAC._OIL" localSheetId="11" hidden="1">'[9]Cashflow Analysis'!#REF!</definedName>
    <definedName name="_6__123Graph_BCONTRAC._OIL" localSheetId="1" hidden="1">'[9]Cashflow Analysis'!#REF!</definedName>
    <definedName name="_6__123Graph_BCONTRAC._OIL" localSheetId="2" hidden="1">'[9]Cashflow Analysis'!#REF!</definedName>
    <definedName name="_6__123Graph_BCONTRAC._OIL" localSheetId="4" hidden="1">'[9]Cashflow Analysis'!#REF!</definedName>
    <definedName name="_6__123Graph_BCONTRAC._OIL" localSheetId="19" hidden="1">'[9]Cashflow Analysis'!#REF!</definedName>
    <definedName name="_6__123Graph_BCONTRAC._OIL" localSheetId="10" hidden="1">'[9]Cashflow Analysis'!#REF!</definedName>
    <definedName name="_6__123Graph_BCONTRAC._OIL" localSheetId="9" hidden="1">'[9]Cashflow Analysis'!#REF!</definedName>
    <definedName name="_6__123Graph_BCONTRAC._OIL" localSheetId="8" hidden="1">'[9]Cashflow Analysis'!#REF!</definedName>
    <definedName name="_6__123Graph_BCONTRAC._OIL" localSheetId="3" hidden="1">'[9]Cashflow Analysis'!#REF!</definedName>
    <definedName name="_6__123Graph_BCONTRAC._OIL" localSheetId="6" hidden="1">'[9]Cashflow Analysis'!#REF!</definedName>
    <definedName name="_6__123Graph_BCONTRAC._OIL" localSheetId="7" hidden="1">'[9]Cashflow Analysis'!#REF!</definedName>
    <definedName name="_6__123Graph_BCONTRAC._OIL" localSheetId="5" hidden="1">'[9]Cashflow Analysis'!#REF!</definedName>
    <definedName name="_6__123Graph_BCONTRAC._OIL" hidden="1">#REF!</definedName>
    <definedName name="_6__123Graph_CCHART_1" hidden="1">#REF!</definedName>
    <definedName name="_6__123Graph_CCONTRAC._OIL" localSheetId="11" hidden="1">'[9]Cashflow Analysis'!#REF!</definedName>
    <definedName name="_6__123Graph_CCONTRAC._OIL" localSheetId="1" hidden="1">'[9]Cashflow Analysis'!#REF!</definedName>
    <definedName name="_6__123Graph_CCONTRAC._OIL" localSheetId="2" hidden="1">'[9]Cashflow Analysis'!#REF!</definedName>
    <definedName name="_6__123Graph_CCONTRAC._OIL" localSheetId="4" hidden="1">'[9]Cashflow Analysis'!#REF!</definedName>
    <definedName name="_6__123Graph_CCONTRAC._OIL" localSheetId="19" hidden="1">'[9]Cashflow Analysis'!#REF!</definedName>
    <definedName name="_6__123Graph_CCONTRAC._OIL" localSheetId="10" hidden="1">'[9]Cashflow Analysis'!#REF!</definedName>
    <definedName name="_6__123Graph_CCONTRAC._OIL" localSheetId="9" hidden="1">'[9]Cashflow Analysis'!#REF!</definedName>
    <definedName name="_6__123Graph_CCONTRAC._OIL" localSheetId="8" hidden="1">'[9]Cashflow Analysis'!#REF!</definedName>
    <definedName name="_6__123Graph_CCONTRAC._OIL" localSheetId="3" hidden="1">'[9]Cashflow Analysis'!#REF!</definedName>
    <definedName name="_6__123Graph_CCONTRAC._OIL" localSheetId="6" hidden="1">'[9]Cashflow Analysis'!#REF!</definedName>
    <definedName name="_6__123Graph_CCONTRAC._OIL" localSheetId="7" hidden="1">'[9]Cashflow Analysis'!#REF!</definedName>
    <definedName name="_6__123Graph_CCONTRAC._OIL" localSheetId="5" hidden="1">'[9]Cashflow Analysis'!#REF!</definedName>
    <definedName name="_6__123Graph_CCONTRAC._OIL" hidden="1">#REF!</definedName>
    <definedName name="_6__123Graph_DCHART_1" localSheetId="11" hidden="1">[21]Cash2!$K$16:$K$36</definedName>
    <definedName name="_6__123Graph_DCHART_1" localSheetId="1" hidden="1">[21]Cash2!$K$16:$K$36</definedName>
    <definedName name="_6__123Graph_DCHART_1" localSheetId="2" hidden="1">[21]Cash2!$K$16:$K$36</definedName>
    <definedName name="_6__123Graph_DCHART_1" localSheetId="4" hidden="1">[21]Cash2!$K$16:$K$36</definedName>
    <definedName name="_6__123Graph_DCHART_1" localSheetId="19" hidden="1">[21]Cash2!$K$16:$K$36</definedName>
    <definedName name="_6__123Graph_DCHART_1" localSheetId="10" hidden="1">[21]Cash2!$K$16:$K$36</definedName>
    <definedName name="_6__123Graph_DCHART_1" localSheetId="9" hidden="1">[21]Cash2!$K$16:$K$36</definedName>
    <definedName name="_6__123Graph_DCHART_1" localSheetId="8" hidden="1">[21]Cash2!$K$16:$K$36</definedName>
    <definedName name="_6__123Graph_DCHART_1" localSheetId="3" hidden="1">[21]Cash2!$K$16:$K$36</definedName>
    <definedName name="_6__123Graph_DCHART_1" localSheetId="6" hidden="1">[21]Cash2!$K$16:$K$36</definedName>
    <definedName name="_6__123Graph_DCHART_1" localSheetId="7" hidden="1">[21]Cash2!$K$16:$K$36</definedName>
    <definedName name="_6__123Graph_DCHART_1" localSheetId="5" hidden="1">[21]Cash2!$K$16:$K$36</definedName>
    <definedName name="_6__123Graph_DCHART_1" hidden="1">#REF!</definedName>
    <definedName name="_6__123Graph_FCHART_2" localSheetId="11" hidden="1">[12]Spread!#REF!</definedName>
    <definedName name="_6__123Graph_FCHART_2" localSheetId="1" hidden="1">[12]Spread!#REF!</definedName>
    <definedName name="_6__123Graph_FCHART_2" localSheetId="2" hidden="1">[12]Spread!#REF!</definedName>
    <definedName name="_6__123Graph_FCHART_2" localSheetId="4" hidden="1">[12]Spread!#REF!</definedName>
    <definedName name="_6__123Graph_FCHART_2" localSheetId="19" hidden="1">[12]Spread!#REF!</definedName>
    <definedName name="_6__123Graph_FCHART_2" localSheetId="10" hidden="1">[12]Spread!#REF!</definedName>
    <definedName name="_6__123Graph_FCHART_2" localSheetId="9" hidden="1">[12]Spread!#REF!</definedName>
    <definedName name="_6__123Graph_FCHART_2" localSheetId="8" hidden="1">[12]Spread!#REF!</definedName>
    <definedName name="_6__123Graph_FCHART_2" localSheetId="3" hidden="1">[12]Spread!#REF!</definedName>
    <definedName name="_6__123Graph_FCHART_2" localSheetId="6" hidden="1">[12]Spread!#REF!</definedName>
    <definedName name="_6__123Graph_FCHART_2" localSheetId="7" hidden="1">[12]Spread!#REF!</definedName>
    <definedName name="_6__123Graph_FCHART_2" localSheetId="5" hidden="1">[12]Spread!#REF!</definedName>
    <definedName name="_6__123Graph_FCHART_2" hidden="1">#REF!</definedName>
    <definedName name="_6_123Grap" hidden="1">#REF!</definedName>
    <definedName name="_66n8_" localSheetId="18" hidden="1">{#N/A,#N/A,FALSE,"HO Rates";#N/A,#N/A,FALSE,"HO Sum"}</definedName>
    <definedName name="_66n8_" hidden="1">{#N/A,#N/A,FALSE,"HO Rates";#N/A,#N/A,FALSE,"HO Sum"}</definedName>
    <definedName name="_6cf2_" localSheetId="18" hidden="1">{#N/A,#N/A,FALSE,"Variables";#N/A,#N/A,FALSE,"NPV Cashflows NZ$";#N/A,#N/A,FALSE,"Cashflows NZ$"}</definedName>
    <definedName name="_6cf2_" hidden="1">{#N/A,#N/A,FALSE,"Variables";#N/A,#N/A,FALSE,"NPV Cashflows NZ$";#N/A,#N/A,FALSE,"Cashflows NZ$"}</definedName>
    <definedName name="_7__123Graph_AChart_1A" localSheetId="11" hidden="1">'[15]Eq. Mobilization'!#REF!</definedName>
    <definedName name="_7__123Graph_AChart_1A" localSheetId="1" hidden="1">'[15]Eq. Mobilization'!#REF!</definedName>
    <definedName name="_7__123Graph_AChart_1A" localSheetId="2" hidden="1">'[15]Eq. Mobilization'!#REF!</definedName>
    <definedName name="_7__123Graph_AChart_1A" localSheetId="4" hidden="1">'[15]Eq. Mobilization'!#REF!</definedName>
    <definedName name="_7__123Graph_AChart_1A" localSheetId="19" hidden="1">'[15]Eq. Mobilization'!#REF!</definedName>
    <definedName name="_7__123Graph_AChart_1A" localSheetId="10" hidden="1">'[15]Eq. Mobilization'!#REF!</definedName>
    <definedName name="_7__123Graph_AChart_1A" localSheetId="9" hidden="1">'[15]Eq. Mobilization'!#REF!</definedName>
    <definedName name="_7__123Graph_AChart_1A" localSheetId="8" hidden="1">'[15]Eq. Mobilization'!#REF!</definedName>
    <definedName name="_7__123Graph_AChart_1A" localSheetId="3" hidden="1">'[15]Eq. Mobilization'!#REF!</definedName>
    <definedName name="_7__123Graph_AChart_1A" localSheetId="6" hidden="1">'[15]Eq. Mobilization'!#REF!</definedName>
    <definedName name="_7__123Graph_AChart_1A" localSheetId="7" hidden="1">'[15]Eq. Mobilization'!#REF!</definedName>
    <definedName name="_7__123Graph_AChart_1A" localSheetId="5" hidden="1">'[15]Eq. Mobilization'!#REF!</definedName>
    <definedName name="_7__123Graph_AChart_1A" hidden="1">#REF!</definedName>
    <definedName name="_7__123Graph_ACHART_6" hidden="1">#REF!</definedName>
    <definedName name="_7__123Graph_BCHART_2" hidden="1">#REF!</definedName>
    <definedName name="_7__123Graph_BCHART_3" localSheetId="11" hidden="1">[16]Productivity!$H$17:$AC$17</definedName>
    <definedName name="_7__123Graph_BCHART_3" localSheetId="1" hidden="1">[16]Productivity!$H$17:$AC$17</definedName>
    <definedName name="_7__123Graph_BCHART_3" localSheetId="2" hidden="1">[16]Productivity!$H$17:$AC$17</definedName>
    <definedName name="_7__123Graph_BCHART_3" localSheetId="4" hidden="1">[16]Productivity!$H$17:$AC$17</definedName>
    <definedName name="_7__123Graph_BCHART_3" localSheetId="19" hidden="1">[16]Productivity!$H$17:$AC$17</definedName>
    <definedName name="_7__123Graph_BCHART_3" localSheetId="10" hidden="1">[16]Productivity!$H$17:$AC$17</definedName>
    <definedName name="_7__123Graph_BCHART_3" localSheetId="9" hidden="1">[16]Productivity!$H$17:$AC$17</definedName>
    <definedName name="_7__123Graph_BCHART_3" localSheetId="8" hidden="1">[16]Productivity!$H$17:$AC$17</definedName>
    <definedName name="_7__123Graph_BCHART_3" localSheetId="3" hidden="1">[16]Productivity!$H$17:$AC$17</definedName>
    <definedName name="_7__123Graph_BCHART_3" localSheetId="6" hidden="1">[16]Productivity!$H$17:$AC$17</definedName>
    <definedName name="_7__123Graph_BCHART_3" localSheetId="7" hidden="1">[16]Productivity!$H$17:$AC$17</definedName>
    <definedName name="_7__123Graph_BCHART_3" localSheetId="5" hidden="1">[16]Productivity!$H$17:$AC$17</definedName>
    <definedName name="_7__123Graph_BCHART_3" hidden="1">#REF!</definedName>
    <definedName name="_7__123Graph_DCHART_1" hidden="1">#REF!</definedName>
    <definedName name="_7__123Graph_XCHART_2" localSheetId="11" hidden="1">[12]Spread!$J$11:$BQ$11</definedName>
    <definedName name="_7__123Graph_XCHART_2" localSheetId="1" hidden="1">[12]Spread!$J$11:$BQ$11</definedName>
    <definedName name="_7__123Graph_XCHART_2" localSheetId="2" hidden="1">[12]Spread!$J$11:$BQ$11</definedName>
    <definedName name="_7__123Graph_XCHART_2" localSheetId="4" hidden="1">[12]Spread!$J$11:$BQ$11</definedName>
    <definedName name="_7__123Graph_XCHART_2" localSheetId="19" hidden="1">[12]Spread!$J$11:$BQ$11</definedName>
    <definedName name="_7__123Graph_XCHART_2" localSheetId="10" hidden="1">[12]Spread!$J$11:$BQ$11</definedName>
    <definedName name="_7__123Graph_XCHART_2" localSheetId="9" hidden="1">[12]Spread!$J$11:$BQ$11</definedName>
    <definedName name="_7__123Graph_XCHART_2" localSheetId="8" hidden="1">[12]Spread!$J$11:$BQ$11</definedName>
    <definedName name="_7__123Graph_XCHART_2" localSheetId="3" hidden="1">[12]Spread!$J$11:$BQ$11</definedName>
    <definedName name="_7__123Graph_XCHART_2" localSheetId="6" hidden="1">[12]Spread!$J$11:$BQ$11</definedName>
    <definedName name="_7__123Graph_XCHART_2" localSheetId="7" hidden="1">[12]Spread!$J$11:$BQ$11</definedName>
    <definedName name="_7__123Graph_XCHART_2" localSheetId="5" hidden="1">[12]Spread!$J$11:$BQ$11</definedName>
    <definedName name="_7__123Graph_XCHART_2" hidden="1">#REF!</definedName>
    <definedName name="_7_0_0_F" hidden="1">#REF!</definedName>
    <definedName name="_73n9_" localSheetId="18" hidden="1">{#N/A,#N/A,FALSE,"HO Sum";#N/A,#N/A,FALSE,"HO Rates";#N/A,#N/A,FALSE,"Co Sum";#N/A,#N/A,FALSE,"Clients Office";#N/A,#N/A,FALSE,"Field Sum";#N/A,#N/A,FALSE,"Field Rates"}</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localSheetId="11" hidden="1">[16]Productivity!$G$27:$AC$27</definedName>
    <definedName name="_8__123Graph_BCHART_4" localSheetId="1" hidden="1">[16]Productivity!$G$27:$AC$27</definedName>
    <definedName name="_8__123Graph_BCHART_4" localSheetId="2" hidden="1">[16]Productivity!$G$27:$AC$27</definedName>
    <definedName name="_8__123Graph_BCHART_4" localSheetId="4" hidden="1">[16]Productivity!$G$27:$AC$27</definedName>
    <definedName name="_8__123Graph_BCHART_4" localSheetId="19" hidden="1">[16]Productivity!$G$27:$AC$27</definedName>
    <definedName name="_8__123Graph_BCHART_4" localSheetId="10" hidden="1">[16]Productivity!$G$27:$AC$27</definedName>
    <definedName name="_8__123Graph_BCHART_4" localSheetId="9" hidden="1">[16]Productivity!$G$27:$AC$27</definedName>
    <definedName name="_8__123Graph_BCHART_4" localSheetId="8" hidden="1">[16]Productivity!$G$27:$AC$27</definedName>
    <definedName name="_8__123Graph_BCHART_4" localSheetId="3" hidden="1">[16]Productivity!$G$27:$AC$27</definedName>
    <definedName name="_8__123Graph_BCHART_4" localSheetId="6" hidden="1">[16]Productivity!$G$27:$AC$27</definedName>
    <definedName name="_8__123Graph_BCHART_4" localSheetId="7" hidden="1">[16]Productivity!$G$27:$AC$27</definedName>
    <definedName name="_8__123Graph_BCHART_4" localSheetId="5" hidden="1">[16]Productivity!$G$27:$AC$27</definedName>
    <definedName name="_8__123Graph_BCHART_4" hidden="1">#REF!</definedName>
    <definedName name="_8__123Graph_DCONTRAC._OIL" localSheetId="11" hidden="1">'[9]Cashflow Analysis'!#REF!</definedName>
    <definedName name="_8__123Graph_DCONTRAC._OIL" localSheetId="1" hidden="1">'[9]Cashflow Analysis'!#REF!</definedName>
    <definedName name="_8__123Graph_DCONTRAC._OIL" localSheetId="2" hidden="1">'[9]Cashflow Analysis'!#REF!</definedName>
    <definedName name="_8__123Graph_DCONTRAC._OIL" localSheetId="4" hidden="1">'[9]Cashflow Analysis'!#REF!</definedName>
    <definedName name="_8__123Graph_DCONTRAC._OIL" localSheetId="19" hidden="1">'[9]Cashflow Analysis'!#REF!</definedName>
    <definedName name="_8__123Graph_DCONTRAC._OIL" localSheetId="10" hidden="1">'[9]Cashflow Analysis'!#REF!</definedName>
    <definedName name="_8__123Graph_DCONTRAC._OIL" localSheetId="9" hidden="1">'[9]Cashflow Analysis'!#REF!</definedName>
    <definedName name="_8__123Graph_DCONTRAC._OIL" localSheetId="8" hidden="1">'[9]Cashflow Analysis'!#REF!</definedName>
    <definedName name="_8__123Graph_DCONTRAC._OIL" localSheetId="3" hidden="1">'[9]Cashflow Analysis'!#REF!</definedName>
    <definedName name="_8__123Graph_DCONTRAC._OIL" localSheetId="6" hidden="1">'[9]Cashflow Analysis'!#REF!</definedName>
    <definedName name="_8__123Graph_DCONTRAC._OIL" localSheetId="7" hidden="1">'[9]Cashflow Analysis'!#REF!</definedName>
    <definedName name="_8__123Graph_DCONTRAC._OIL" localSheetId="5" hidden="1">'[9]Cashflow Analysis'!#REF!</definedName>
    <definedName name="_8__123Graph_DCONTRAC._OIL" hidden="1">#REF!</definedName>
    <definedName name="_8_0_0_F" hidden="1">#REF!</definedName>
    <definedName name="_8F" hidden="1">#REF!</definedName>
    <definedName name="_9__123Graph_AMOB_02" hidden="1">#REF!</definedName>
    <definedName name="_9__123Graph_BCHART_2" hidden="1">#REF!</definedName>
    <definedName name="_9__123Graph_CCHART_1" hidden="1">#REF!</definedName>
    <definedName name="_9__123Graph_CCHART_3" localSheetId="11" hidden="1">[16]Productivity!$H$18:$AC$18</definedName>
    <definedName name="_9__123Graph_CCHART_3" localSheetId="1" hidden="1">[16]Productivity!$H$18:$AC$18</definedName>
    <definedName name="_9__123Graph_CCHART_3" localSheetId="2" hidden="1">[16]Productivity!$H$18:$AC$18</definedName>
    <definedName name="_9__123Graph_CCHART_3" localSheetId="4" hidden="1">[16]Productivity!$H$18:$AC$18</definedName>
    <definedName name="_9__123Graph_CCHART_3" localSheetId="19" hidden="1">[16]Productivity!$H$18:$AC$18</definedName>
    <definedName name="_9__123Graph_CCHART_3" localSheetId="10" hidden="1">[16]Productivity!$H$18:$AC$18</definedName>
    <definedName name="_9__123Graph_CCHART_3" localSheetId="9" hidden="1">[16]Productivity!$H$18:$AC$18</definedName>
    <definedName name="_9__123Graph_CCHART_3" localSheetId="8" hidden="1">[16]Productivity!$H$18:$AC$18</definedName>
    <definedName name="_9__123Graph_CCHART_3" localSheetId="3" hidden="1">[16]Productivity!$H$18:$AC$18</definedName>
    <definedName name="_9__123Graph_CCHART_3" localSheetId="6" hidden="1">[16]Productivity!$H$18:$AC$18</definedName>
    <definedName name="_9__123Graph_CCHART_3" localSheetId="7" hidden="1">[16]Productivity!$H$18:$AC$18</definedName>
    <definedName name="_9__123Graph_CCHART_3" localSheetId="5" hidden="1">[16]Productivity!$H$18:$AC$18</definedName>
    <definedName name="_9__123Graph_CCHART_3" hidden="1">#REF!</definedName>
    <definedName name="_9__123Graph_CCONTRAC._OIL" localSheetId="11" hidden="1">'[9]Cashflow Analysis'!#REF!</definedName>
    <definedName name="_9__123Graph_CCONTRAC._OIL" localSheetId="1" hidden="1">'[9]Cashflow Analysis'!#REF!</definedName>
    <definedName name="_9__123Graph_CCONTRAC._OIL" localSheetId="2" hidden="1">'[9]Cashflow Analysis'!#REF!</definedName>
    <definedName name="_9__123Graph_CCONTRAC._OIL" localSheetId="4" hidden="1">'[9]Cashflow Analysis'!#REF!</definedName>
    <definedName name="_9__123Graph_CCONTRAC._OIL" localSheetId="19" hidden="1">'[9]Cashflow Analysis'!#REF!</definedName>
    <definedName name="_9__123Graph_CCONTRAC._OIL" localSheetId="10" hidden="1">'[9]Cashflow Analysis'!#REF!</definedName>
    <definedName name="_9__123Graph_CCONTRAC._OIL" localSheetId="9" hidden="1">'[9]Cashflow Analysis'!#REF!</definedName>
    <definedName name="_9__123Graph_CCONTRAC._OIL" localSheetId="8" hidden="1">'[9]Cashflow Analysis'!#REF!</definedName>
    <definedName name="_9__123Graph_CCONTRAC._OIL" localSheetId="3" hidden="1">'[9]Cashflow Analysis'!#REF!</definedName>
    <definedName name="_9__123Graph_CCONTRAC._OIL" localSheetId="6" hidden="1">'[9]Cashflow Analysis'!#REF!</definedName>
    <definedName name="_9__123Graph_CCONTRAC._OIL" localSheetId="7" hidden="1">'[9]Cashflow Analysis'!#REF!</definedName>
    <definedName name="_9__123Graph_CCONTRAC._OIL" localSheetId="5" hidden="1">'[9]Cashflow Analysis'!#REF!</definedName>
    <definedName name="_9__123Graph_CCONTRAC._OIL" hidden="1">#REF!</definedName>
    <definedName name="_9__123Graph_XCONTRAC._OIL" localSheetId="11" hidden="1">'[11]Cashflow Analysis'!$E$63:$BL$63</definedName>
    <definedName name="_9__123Graph_XCONTRAC._OIL" localSheetId="1" hidden="1">'[11]Cashflow Analysis'!$E$63:$BL$63</definedName>
    <definedName name="_9__123Graph_XCONTRAC._OIL" localSheetId="2" hidden="1">'[11]Cashflow Analysis'!$E$63:$BL$63</definedName>
    <definedName name="_9__123Graph_XCONTRAC._OIL" localSheetId="4" hidden="1">'[11]Cashflow Analysis'!$E$63:$BL$63</definedName>
    <definedName name="_9__123Graph_XCONTRAC._OIL" localSheetId="19" hidden="1">'[11]Cashflow Analysis'!$E$63:$BL$63</definedName>
    <definedName name="_9__123Graph_XCONTRAC._OIL" localSheetId="10" hidden="1">'[11]Cashflow Analysis'!$E$63:$BL$63</definedName>
    <definedName name="_9__123Graph_XCONTRAC._OIL" localSheetId="9" hidden="1">'[11]Cashflow Analysis'!$E$63:$BL$63</definedName>
    <definedName name="_9__123Graph_XCONTRAC._OIL" localSheetId="8" hidden="1">'[11]Cashflow Analysis'!$E$63:$BL$63</definedName>
    <definedName name="_9__123Graph_XCONTRAC._OIL" localSheetId="3" hidden="1">'[11]Cashflow Analysis'!$E$63:$BL$63</definedName>
    <definedName name="_9__123Graph_XCONTRAC._OIL" localSheetId="6" hidden="1">'[11]Cashflow Analysis'!$E$63:$BL$63</definedName>
    <definedName name="_9__123Graph_XCONTRAC._OIL" localSheetId="7" hidden="1">'[11]Cashflow Analysis'!$E$63:$BL$63</definedName>
    <definedName name="_9__123Graph_XCONTRAC._OIL" localSheetId="5" hidden="1">'[11]Cashflow Analysis'!$E$63:$BL$63</definedName>
    <definedName name="_9__123Graph_XCONTRAC._OIL" hidden="1">#REF!</definedName>
    <definedName name="_9_0_0_F" hidden="1">#REF!</definedName>
    <definedName name="_a1" localSheetId="18" hidden="1">{"'Sheet1'!$L$16"}</definedName>
    <definedName name="_a1" localSheetId="11" hidden="1">{"'Sheet1'!$L$16"}</definedName>
    <definedName name="_a1" localSheetId="1" hidden="1">{"'Sheet1'!$L$16"}</definedName>
    <definedName name="_a1" localSheetId="2" hidden="1">{"'Sheet1'!$L$16"}</definedName>
    <definedName name="_a1" localSheetId="12" hidden="1">{"'Sheet1'!$L$16"}</definedName>
    <definedName name="_a1" localSheetId="4" hidden="1">{"'Sheet1'!$L$16"}</definedName>
    <definedName name="_a1" localSheetId="19" hidden="1">{"'Sheet1'!$L$16"}</definedName>
    <definedName name="_a1" localSheetId="10" hidden="1">{"'Sheet1'!$L$16"}</definedName>
    <definedName name="_a1" localSheetId="9" hidden="1">{"'Sheet1'!$L$16"}</definedName>
    <definedName name="_a1" localSheetId="8" hidden="1">{"'Sheet1'!$L$16"}</definedName>
    <definedName name="_a1" localSheetId="3" hidden="1">{"'Sheet1'!$L$16"}</definedName>
    <definedName name="_a1" localSheetId="6" hidden="1">{"'Sheet1'!$L$16"}</definedName>
    <definedName name="_a1" localSheetId="7" hidden="1">{"'Sheet1'!$L$16"}</definedName>
    <definedName name="_a1" localSheetId="5" hidden="1">{"'Sheet1'!$L$16"}</definedName>
    <definedName name="_a1" localSheetId="13" hidden="1">{"'Sheet1'!$L$16"}</definedName>
    <definedName name="_a1" hidden="1">{"'Sheet1'!$L$16"}</definedName>
    <definedName name="_A10" localSheetId="18" hidden="1">{#N/A,#N/A,FALSE,"CCTV"}</definedName>
    <definedName name="_A10" hidden="1">{#N/A,#N/A,FALSE,"CCTV"}</definedName>
    <definedName name="_a129" localSheetId="18"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19"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8"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8"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19"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8" hidden="1">{"'Sheet1'!$L$16"}</definedName>
    <definedName name="_a2" localSheetId="11" hidden="1">{"'Sheet1'!$L$16"}</definedName>
    <definedName name="_a2" localSheetId="1" hidden="1">{"'Sheet1'!$L$16"}</definedName>
    <definedName name="_a2" localSheetId="2" hidden="1">{"'Sheet1'!$L$16"}</definedName>
    <definedName name="_a2" localSheetId="12" hidden="1">{"'Sheet1'!$L$16"}</definedName>
    <definedName name="_a2" localSheetId="4" hidden="1">{"'Sheet1'!$L$16"}</definedName>
    <definedName name="_a2" localSheetId="19" hidden="1">{"'Sheet1'!$L$16"}</definedName>
    <definedName name="_a2" localSheetId="10" hidden="1">{"'Sheet1'!$L$16"}</definedName>
    <definedName name="_a2" localSheetId="9" hidden="1">{"'Sheet1'!$L$16"}</definedName>
    <definedName name="_a2" localSheetId="8" hidden="1">{"'Sheet1'!$L$16"}</definedName>
    <definedName name="_a2" localSheetId="3" hidden="1">{"'Sheet1'!$L$16"}</definedName>
    <definedName name="_a2" localSheetId="6" hidden="1">{"'Sheet1'!$L$16"}</definedName>
    <definedName name="_a2" localSheetId="7" hidden="1">{"'Sheet1'!$L$16"}</definedName>
    <definedName name="_a2" localSheetId="5" hidden="1">{"'Sheet1'!$L$16"}</definedName>
    <definedName name="_a2" localSheetId="13" hidden="1">{"'Sheet1'!$L$16"}</definedName>
    <definedName name="_a2" hidden="1">{"'Sheet1'!$L$16"}</definedName>
    <definedName name="_A20000">#REF!</definedName>
    <definedName name="_a3">[3]!_a3</definedName>
    <definedName name="_A8" localSheetId="18" hidden="1">{"'Sheet1'!$L$16"}</definedName>
    <definedName name="_A8" localSheetId="11" hidden="1">{"'Sheet1'!$L$16"}</definedName>
    <definedName name="_A8" localSheetId="1" hidden="1">{"'Sheet1'!$L$16"}</definedName>
    <definedName name="_A8" localSheetId="2" hidden="1">{"'Sheet1'!$L$16"}</definedName>
    <definedName name="_A8" localSheetId="12" hidden="1">{"'Sheet1'!$L$16"}</definedName>
    <definedName name="_A8" localSheetId="4" hidden="1">{"'Sheet1'!$L$16"}</definedName>
    <definedName name="_A8" localSheetId="19" hidden="1">{"'Sheet1'!$L$16"}</definedName>
    <definedName name="_A8" localSheetId="10" hidden="1">{"'Sheet1'!$L$16"}</definedName>
    <definedName name="_A8" localSheetId="9" hidden="1">{"'Sheet1'!$L$16"}</definedName>
    <definedName name="_A8" localSheetId="8" hidden="1">{"'Sheet1'!$L$16"}</definedName>
    <definedName name="_A8" localSheetId="3" hidden="1">{"'Sheet1'!$L$16"}</definedName>
    <definedName name="_A8" localSheetId="6" hidden="1">{"'Sheet1'!$L$16"}</definedName>
    <definedName name="_A8" localSheetId="7" hidden="1">{"'Sheet1'!$L$16"}</definedName>
    <definedName name="_A8" localSheetId="5" hidden="1">{"'Sheet1'!$L$16"}</definedName>
    <definedName name="_A8" localSheetId="13" hidden="1">{"'Sheet1'!$L$16"}</definedName>
    <definedName name="_A8" hidden="1">{"'Sheet1'!$L$16"}</definedName>
    <definedName name="_a9" localSheetId="18" hidden="1">{"'Sheet1'!$L$16"}</definedName>
    <definedName name="_a9" localSheetId="11" hidden="1">{"'Sheet1'!$L$16"}</definedName>
    <definedName name="_a9" localSheetId="1" hidden="1">{"'Sheet1'!$L$16"}</definedName>
    <definedName name="_a9" localSheetId="2" hidden="1">{"'Sheet1'!$L$16"}</definedName>
    <definedName name="_a9" localSheetId="12" hidden="1">{"'Sheet1'!$L$16"}</definedName>
    <definedName name="_a9" localSheetId="4" hidden="1">{"'Sheet1'!$L$16"}</definedName>
    <definedName name="_a9" localSheetId="19" hidden="1">{"'Sheet1'!$L$16"}</definedName>
    <definedName name="_a9" localSheetId="10" hidden="1">{"'Sheet1'!$L$16"}</definedName>
    <definedName name="_a9" localSheetId="9" hidden="1">{"'Sheet1'!$L$16"}</definedName>
    <definedName name="_a9" localSheetId="8" hidden="1">{"'Sheet1'!$L$16"}</definedName>
    <definedName name="_a9" localSheetId="3" hidden="1">{"'Sheet1'!$L$16"}</definedName>
    <definedName name="_a9" localSheetId="6" hidden="1">{"'Sheet1'!$L$16"}</definedName>
    <definedName name="_a9" localSheetId="7" hidden="1">{"'Sheet1'!$L$16"}</definedName>
    <definedName name="_a9" localSheetId="5" hidden="1">{"'Sheet1'!$L$16"}</definedName>
    <definedName name="_a9" localSheetId="13" hidden="1">{"'Sheet1'!$L$16"}</definedName>
    <definedName name="_a9" hidden="1">{"'Sheet1'!$L$16"}</definedName>
    <definedName name="_aa1" localSheetId="18" hidden="1">{#N/A,#N/A,FALSE,"CCTV"}</definedName>
    <definedName name="_aa1" hidden="1">{#N/A,#N/A,FALSE,"CCTV"}</definedName>
    <definedName name="_AAA1" localSheetId="18" hidden="1">{#N/A,#N/A,FALSE,"JACKETS (1100 t) (1)"}</definedName>
    <definedName name="_AAA1" hidden="1">{#N/A,#N/A,FALSE,"JACKETS (1100 t) (1)"}</definedName>
    <definedName name="_ars1" localSheetId="18" hidden="1">{#N/A,#N/A,TRUE,"Mhr_Sum"}</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[3]!_att2</definedName>
    <definedName name="_AW0031" localSheetId="18" hidden="1">{#N/A,#N/A,FALSE,"CCTV"}</definedName>
    <definedName name="_AW0031" hidden="1">{#N/A,#N/A,FALSE,"CCTV"}</definedName>
    <definedName name="_BD105"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localSheetId="18" hidden="1">#N/A</definedName>
    <definedName name="_Builtin155" localSheetId="11" hidden="1">#N/A</definedName>
    <definedName name="_Builtin155" localSheetId="12">#REF!</definedName>
    <definedName name="_Builtin155" localSheetId="13">#REF!</definedName>
    <definedName name="_Builtin155">#REF!</definedName>
    <definedName name="_cal1">[4]제출계산서!$I$185</definedName>
    <definedName name="_cal2">[4]제출계산서!$I$185</definedName>
    <definedName name="_can430">40.73</definedName>
    <definedName name="_can435">43.3</definedName>
    <definedName name="_cf2" localSheetId="18" hidden="1">{#N/A,#N/A,FALSE,"Variables";#N/A,#N/A,FALSE,"NPV Cashflows NZ$";#N/A,#N/A,FALSE,"Cashflows NZ$"}</definedName>
    <definedName name="_cf2" hidden="1">{#N/A,#N/A,FALSE,"Variables";#N/A,#N/A,FALSE,"NPV Cashflows NZ$";#N/A,#N/A,FALSE,"Cashflows NZ$"}</definedName>
    <definedName name="_Coc39" localSheetId="18" hidden="1">{"'Sheet1'!$L$16"}</definedName>
    <definedName name="_Coc39" localSheetId="11" hidden="1">{"'Sheet1'!$L$16"}</definedName>
    <definedName name="_Coc39" localSheetId="1" hidden="1">{"'Sheet1'!$L$16"}</definedName>
    <definedName name="_Coc39" localSheetId="2" hidden="1">{"'Sheet1'!$L$16"}</definedName>
    <definedName name="_Coc39" localSheetId="12" hidden="1">{"'Sheet1'!$L$16"}</definedName>
    <definedName name="_Coc39" localSheetId="4" hidden="1">{"'Sheet1'!$L$16"}</definedName>
    <definedName name="_Coc39" localSheetId="19" hidden="1">{"'Sheet1'!$L$16"}</definedName>
    <definedName name="_Coc39" localSheetId="10" hidden="1">{"'Sheet1'!$L$16"}</definedName>
    <definedName name="_Coc39" localSheetId="9" hidden="1">{"'Sheet1'!$L$16"}</definedName>
    <definedName name="_Coc39" localSheetId="8" hidden="1">{"'Sheet1'!$L$16"}</definedName>
    <definedName name="_Coc39" localSheetId="3" hidden="1">{"'Sheet1'!$L$16"}</definedName>
    <definedName name="_Coc39" localSheetId="6" hidden="1">{"'Sheet1'!$L$16"}</definedName>
    <definedName name="_Coc39" localSheetId="7" hidden="1">{"'Sheet1'!$L$16"}</definedName>
    <definedName name="_Coc39" localSheetId="5" hidden="1">{"'Sheet1'!$L$16"}</definedName>
    <definedName name="_Coc39" localSheetId="13" hidden="1">{"'Sheet1'!$L$16"}</definedName>
    <definedName name="_Coc39" hidden="1">{"'Sheet1'!$L$16"}</definedName>
    <definedName name="_CPBFECA">"4680"</definedName>
    <definedName name="_CTubeDS" hidden="1">"trs"</definedName>
    <definedName name="_cTubeVer" hidden="1">#REF!</definedName>
    <definedName name="_d1500" localSheetId="18" hidden="1">{"'Sheet1'!$L$16"}</definedName>
    <definedName name="_d1500" localSheetId="11" hidden="1">{"'Sheet1'!$L$16"}</definedName>
    <definedName name="_d1500" localSheetId="1" hidden="1">{"'Sheet1'!$L$16"}</definedName>
    <definedName name="_d1500" localSheetId="2" hidden="1">{"'Sheet1'!$L$16"}</definedName>
    <definedName name="_d1500" localSheetId="12" hidden="1">{"'Sheet1'!$L$16"}</definedName>
    <definedName name="_d1500" localSheetId="4" hidden="1">{"'Sheet1'!$L$16"}</definedName>
    <definedName name="_d1500" localSheetId="19" hidden="1">{"'Sheet1'!$L$16"}</definedName>
    <definedName name="_d1500" localSheetId="10" hidden="1">{"'Sheet1'!$L$16"}</definedName>
    <definedName name="_d1500" localSheetId="9" hidden="1">{"'Sheet1'!$L$16"}</definedName>
    <definedName name="_d1500" localSheetId="8" hidden="1">{"'Sheet1'!$L$16"}</definedName>
    <definedName name="_d1500" localSheetId="3" hidden="1">{"'Sheet1'!$L$16"}</definedName>
    <definedName name="_d1500" localSheetId="6" hidden="1">{"'Sheet1'!$L$16"}</definedName>
    <definedName name="_d1500" localSheetId="7" hidden="1">{"'Sheet1'!$L$16"}</definedName>
    <definedName name="_d1500" localSheetId="5" hidden="1">{"'Sheet1'!$L$16"}</definedName>
    <definedName name="_d1500" localSheetId="13" hidden="1">{"'Sheet1'!$L$16"}</definedName>
    <definedName name="_d1500" hidden="1">{"'Sheet1'!$L$16"}</definedName>
    <definedName name="_ddn400">#REF!</definedName>
    <definedName name="_Dist_Bin" localSheetId="11" hidden="1">[23]찍기!#REF!</definedName>
    <definedName name="_Dist_Bin" localSheetId="1" hidden="1">[23]찍기!#REF!</definedName>
    <definedName name="_Dist_Bin" localSheetId="2" hidden="1">[23]찍기!#REF!</definedName>
    <definedName name="_Dist_Bin" localSheetId="4" hidden="1">[23]찍기!#REF!</definedName>
    <definedName name="_Dist_Bin" localSheetId="19" hidden="1">[23]찍기!#REF!</definedName>
    <definedName name="_Dist_Bin" localSheetId="10" hidden="1">[23]찍기!#REF!</definedName>
    <definedName name="_Dist_Bin" localSheetId="9" hidden="1">[23]찍기!#REF!</definedName>
    <definedName name="_Dist_Bin" localSheetId="8" hidden="1">[23]찍기!#REF!</definedName>
    <definedName name="_Dist_Bin" localSheetId="3" hidden="1">[23]찍기!#REF!</definedName>
    <definedName name="_Dist_Bin" localSheetId="6" hidden="1">[23]찍기!#REF!</definedName>
    <definedName name="_Dist_Bin" localSheetId="7" hidden="1">[23]찍기!#REF!</definedName>
    <definedName name="_Dist_Bin" localSheetId="5" hidden="1">[23]찍기!#REF!</definedName>
    <definedName name="_Dist_Bin" hidden="1">#REF!</definedName>
    <definedName name="_doi3" localSheetId="16" hidden="1">{"'Sheet1'!$L$16"}</definedName>
    <definedName name="_doi3" localSheetId="18" hidden="1">{"'Sheet1'!$L$16"}</definedName>
    <definedName name="_doi3" localSheetId="17" hidden="1">{"'Sheet1'!$L$16"}</definedName>
    <definedName name="_doi3" hidden="1">{"'Sheet1'!$L$16"}</definedName>
    <definedName name="_doi5" localSheetId="16" hidden="1">{"'Sheet1'!$L$16"}</definedName>
    <definedName name="_doi5" localSheetId="18" hidden="1">{"'Sheet1'!$L$16"}</definedName>
    <definedName name="_doi5" localSheetId="17" hidden="1">{"'Sheet1'!$L$16"}</definedName>
    <definedName name="_doi5" hidden="1">{"'Sheet1'!$L$16"}</definedName>
    <definedName name="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localSheetId="18" hidden="1">{#N/A,#N/A,FALSE,"단가표지"}</definedName>
    <definedName name="_EE1" hidden="1">{#N/A,#N/A,FALSE,"단가표지"}</definedName>
    <definedName name="_ENS235">#REF!</definedName>
    <definedName name="_F3">#REF!</definedName>
    <definedName name="_FECA">"4680"</definedName>
    <definedName name="_FF3">#REF!</definedName>
    <definedName name="_Fill" localSheetId="12">#REF!</definedName>
    <definedName name="_Fill" localSheetId="13">#REF!</definedName>
    <definedName name="_Fill">#REF!</definedName>
    <definedName name="_FillQU" hidden="1">#REF!</definedName>
    <definedName name="_xlnm._FilterDatabase" localSheetId="14" hidden="1">'25-BRA-I-090'!$A$6:$EZ$676</definedName>
    <definedName name="_xlnm._FilterDatabase" localSheetId="22" hidden="1">'Báo giá của GNEE'!$A$27:$J$54</definedName>
    <definedName name="_xlnm._FilterDatabase" localSheetId="21" hidden="1">'BG Gnee 2'!$A$27:$J$54</definedName>
    <definedName name="_xlnm._FilterDatabase" localSheetId="16" hidden="1">'ChiTiet Dự Toán'!$A$6:$AK$582</definedName>
    <definedName name="_xlnm._FilterDatabase" localSheetId="18" hidden="1">'DT03 (TM)'!$A$5:$L$35</definedName>
    <definedName name="_xlnm._FilterDatabase" localSheetId="11" hidden="1">'DT04 (TM) 1 '!$A$4:$L$4</definedName>
    <definedName name="_xlnm._FilterDatabase" localSheetId="20" hidden="1">'Hoàng hà'!$A$19:$N$76</definedName>
    <definedName name="_xlnm._FilterDatabase" localSheetId="17" hidden="1">TongHop!$A$6:$F$6</definedName>
    <definedName name="_xlnm._FilterDatabase" localSheetId="12" hidden="1">'Vat lieu han -BRA090'!$A$6:$AT$32</definedName>
    <definedName name="_xlnm._FilterDatabase" localSheetId="13" hidden="1">'Vật tư sơn BRA090'!$A$6:$AP$33</definedName>
    <definedName name="_xlnm._FilterDatabase" hidden="1">#REF!</definedName>
    <definedName name="_fll" localSheetId="11" hidden="1">[24]HX!$A$4:$A$65</definedName>
    <definedName name="_fll" localSheetId="1" hidden="1">[24]HX!$A$4:$A$65</definedName>
    <definedName name="_fll" localSheetId="2" hidden="1">[24]HX!$A$4:$A$65</definedName>
    <definedName name="_fll" localSheetId="4" hidden="1">[24]HX!$A$4:$A$65</definedName>
    <definedName name="_fll" localSheetId="19" hidden="1">[24]HX!$A$4:$A$65</definedName>
    <definedName name="_fll" localSheetId="10" hidden="1">[24]HX!$A$4:$A$65</definedName>
    <definedName name="_fll" localSheetId="9" hidden="1">[24]HX!$A$4:$A$65</definedName>
    <definedName name="_fll" localSheetId="8" hidden="1">[24]HX!$A$4:$A$65</definedName>
    <definedName name="_fll" localSheetId="3" hidden="1">[24]HX!$A$4:$A$65</definedName>
    <definedName name="_fll" localSheetId="6" hidden="1">[24]HX!$A$4:$A$65</definedName>
    <definedName name="_fll" localSheetId="7" hidden="1">[24]HX!$A$4:$A$65</definedName>
    <definedName name="_fll" localSheetId="5" hidden="1">[24]HX!$A$4:$A$65</definedName>
    <definedName name="_fll" hidden="1">#REF!</definedName>
    <definedName name="_FLL2" hidden="1">#REF!</definedName>
    <definedName name="_fsf2" localSheetId="18" hidden="1">{#N/A,#N/A,TRUE,"Mhr_Sum"}</definedName>
    <definedName name="_fsf2" hidden="1">{#N/A,#N/A,TRUE,"Mhr_Sum"}</definedName>
    <definedName name="_Goi8" localSheetId="18" hidden="1">{"'Sheet1'!$L$16"}</definedName>
    <definedName name="_Goi8" localSheetId="11" hidden="1">{"'Sheet1'!$L$16"}</definedName>
    <definedName name="_Goi8" localSheetId="1" hidden="1">{"'Sheet1'!$L$16"}</definedName>
    <definedName name="_Goi8" localSheetId="2" hidden="1">{"'Sheet1'!$L$16"}</definedName>
    <definedName name="_Goi8" localSheetId="12" hidden="1">{"'Sheet1'!$L$16"}</definedName>
    <definedName name="_Goi8" localSheetId="4" hidden="1">{"'Sheet1'!$L$16"}</definedName>
    <definedName name="_Goi8" localSheetId="19" hidden="1">{"'Sheet1'!$L$16"}</definedName>
    <definedName name="_Goi8" localSheetId="10" hidden="1">{"'Sheet1'!$L$16"}</definedName>
    <definedName name="_Goi8" localSheetId="9" hidden="1">{"'Sheet1'!$L$16"}</definedName>
    <definedName name="_Goi8" localSheetId="8" hidden="1">{"'Sheet1'!$L$16"}</definedName>
    <definedName name="_Goi8" localSheetId="3" hidden="1">{"'Sheet1'!$L$16"}</definedName>
    <definedName name="_Goi8" localSheetId="6" hidden="1">{"'Sheet1'!$L$16"}</definedName>
    <definedName name="_Goi8" localSheetId="7" hidden="1">{"'Sheet1'!$L$16"}</definedName>
    <definedName name="_Goi8" localSheetId="5" hidden="1">{"'Sheet1'!$L$16"}</definedName>
    <definedName name="_Goi8" localSheetId="13" hidden="1">{"'Sheet1'!$L$16"}</definedName>
    <definedName name="_Goi8" hidden="1">{"'Sheet1'!$L$16"}</definedName>
    <definedName name="_h1" localSheetId="18" hidden="1">{"'Sheet1'!$L$16"}</definedName>
    <definedName name="_h1" localSheetId="11" hidden="1">{"'Sheet1'!$L$16"}</definedName>
    <definedName name="_h1" localSheetId="1" hidden="1">{"'Sheet1'!$L$16"}</definedName>
    <definedName name="_h1" localSheetId="2" hidden="1">{"'Sheet1'!$L$16"}</definedName>
    <definedName name="_h1" localSheetId="12" hidden="1">{"'Sheet1'!$L$16"}</definedName>
    <definedName name="_h1" localSheetId="4" hidden="1">{"'Sheet1'!$L$16"}</definedName>
    <definedName name="_h1" localSheetId="19" hidden="1">{"'Sheet1'!$L$16"}</definedName>
    <definedName name="_h1" localSheetId="10" hidden="1">{"'Sheet1'!$L$16"}</definedName>
    <definedName name="_h1" localSheetId="9" hidden="1">{"'Sheet1'!$L$16"}</definedName>
    <definedName name="_h1" localSheetId="8" hidden="1">{"'Sheet1'!$L$16"}</definedName>
    <definedName name="_h1" localSheetId="3" hidden="1">{"'Sheet1'!$L$16"}</definedName>
    <definedName name="_h1" localSheetId="6" hidden="1">{"'Sheet1'!$L$16"}</definedName>
    <definedName name="_h1" localSheetId="7" hidden="1">{"'Sheet1'!$L$16"}</definedName>
    <definedName name="_h1" localSheetId="5" hidden="1">{"'Sheet1'!$L$16"}</definedName>
    <definedName name="_h1" localSheetId="13" hidden="1">{"'Sheet1'!$L$16"}</definedName>
    <definedName name="_h1" hidden="1">{"'Sheet1'!$L$16"}</definedName>
    <definedName name="_H4" localSheetId="18" hidden="1">{#N/A,#N/A,TRUE,"Mhr_Sum"}</definedName>
    <definedName name="_H4" hidden="1">{#N/A,#N/A,TRUE,"Mhr_Sum"}</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u1" localSheetId="18" hidden="1">{"'Sheet1'!$L$16"}</definedName>
    <definedName name="_hu1" localSheetId="11" hidden="1">{"'Sheet1'!$L$16"}</definedName>
    <definedName name="_hu1" localSheetId="1" hidden="1">{"'Sheet1'!$L$16"}</definedName>
    <definedName name="_hu1" localSheetId="2" hidden="1">{"'Sheet1'!$L$16"}</definedName>
    <definedName name="_hu1" localSheetId="12" hidden="1">{"'Sheet1'!$L$16"}</definedName>
    <definedName name="_hu1" localSheetId="4" hidden="1">{"'Sheet1'!$L$16"}</definedName>
    <definedName name="_hu1" localSheetId="19" hidden="1">{"'Sheet1'!$L$16"}</definedName>
    <definedName name="_hu1" localSheetId="10" hidden="1">{"'Sheet1'!$L$16"}</definedName>
    <definedName name="_hu1" localSheetId="9" hidden="1">{"'Sheet1'!$L$16"}</definedName>
    <definedName name="_hu1" localSheetId="8" hidden="1">{"'Sheet1'!$L$16"}</definedName>
    <definedName name="_hu1" localSheetId="3" hidden="1">{"'Sheet1'!$L$16"}</definedName>
    <definedName name="_hu1" localSheetId="6" hidden="1">{"'Sheet1'!$L$16"}</definedName>
    <definedName name="_hu1" localSheetId="7" hidden="1">{"'Sheet1'!$L$16"}</definedName>
    <definedName name="_hu1" localSheetId="5" hidden="1">{"'Sheet1'!$L$16"}</definedName>
    <definedName name="_hu1" localSheetId="13" hidden="1">{"'Sheet1'!$L$16"}</definedName>
    <definedName name="_hu1" hidden="1">{"'Sheet1'!$L$16"}</definedName>
    <definedName name="_hu2" localSheetId="18" hidden="1">{"'Sheet1'!$L$16"}</definedName>
    <definedName name="_hu2" localSheetId="11" hidden="1">{"'Sheet1'!$L$16"}</definedName>
    <definedName name="_hu2" localSheetId="1" hidden="1">{"'Sheet1'!$L$16"}</definedName>
    <definedName name="_hu2" localSheetId="2" hidden="1">{"'Sheet1'!$L$16"}</definedName>
    <definedName name="_hu2" localSheetId="12" hidden="1">{"'Sheet1'!$L$16"}</definedName>
    <definedName name="_hu2" localSheetId="4" hidden="1">{"'Sheet1'!$L$16"}</definedName>
    <definedName name="_hu2" localSheetId="19" hidden="1">{"'Sheet1'!$L$16"}</definedName>
    <definedName name="_hu2" localSheetId="10" hidden="1">{"'Sheet1'!$L$16"}</definedName>
    <definedName name="_hu2" localSheetId="9" hidden="1">{"'Sheet1'!$L$16"}</definedName>
    <definedName name="_hu2" localSheetId="8" hidden="1">{"'Sheet1'!$L$16"}</definedName>
    <definedName name="_hu2" localSheetId="3" hidden="1">{"'Sheet1'!$L$16"}</definedName>
    <definedName name="_hu2" localSheetId="6" hidden="1">{"'Sheet1'!$L$16"}</definedName>
    <definedName name="_hu2" localSheetId="7" hidden="1">{"'Sheet1'!$L$16"}</definedName>
    <definedName name="_hu2" localSheetId="5" hidden="1">{"'Sheet1'!$L$16"}</definedName>
    <definedName name="_hu2" localSheetId="13" hidden="1">{"'Sheet1'!$L$16"}</definedName>
    <definedName name="_hu2" hidden="1">{"'Sheet1'!$L$16"}</definedName>
    <definedName name="_hu5" localSheetId="18" hidden="1">{"'Sheet1'!$L$16"}</definedName>
    <definedName name="_hu5" localSheetId="11" hidden="1">{"'Sheet1'!$L$16"}</definedName>
    <definedName name="_hu5" localSheetId="1" hidden="1">{"'Sheet1'!$L$16"}</definedName>
    <definedName name="_hu5" localSheetId="2" hidden="1">{"'Sheet1'!$L$16"}</definedName>
    <definedName name="_hu5" localSheetId="12" hidden="1">{"'Sheet1'!$L$16"}</definedName>
    <definedName name="_hu5" localSheetId="4" hidden="1">{"'Sheet1'!$L$16"}</definedName>
    <definedName name="_hu5" localSheetId="19" hidden="1">{"'Sheet1'!$L$16"}</definedName>
    <definedName name="_hu5" localSheetId="10" hidden="1">{"'Sheet1'!$L$16"}</definedName>
    <definedName name="_hu5" localSheetId="9" hidden="1">{"'Sheet1'!$L$16"}</definedName>
    <definedName name="_hu5" localSheetId="8" hidden="1">{"'Sheet1'!$L$16"}</definedName>
    <definedName name="_hu5" localSheetId="3" hidden="1">{"'Sheet1'!$L$16"}</definedName>
    <definedName name="_hu5" localSheetId="6" hidden="1">{"'Sheet1'!$L$16"}</definedName>
    <definedName name="_hu5" localSheetId="7" hidden="1">{"'Sheet1'!$L$16"}</definedName>
    <definedName name="_hu5" localSheetId="5" hidden="1">{"'Sheet1'!$L$16"}</definedName>
    <definedName name="_hu5" localSheetId="13" hidden="1">{"'Sheet1'!$L$16"}</definedName>
    <definedName name="_hu5" hidden="1">{"'Sheet1'!$L$16"}</definedName>
    <definedName name="_hu6" localSheetId="18" hidden="1">{"'Sheet1'!$L$16"}</definedName>
    <definedName name="_hu6" localSheetId="11" hidden="1">{"'Sheet1'!$L$16"}</definedName>
    <definedName name="_hu6" localSheetId="1" hidden="1">{"'Sheet1'!$L$16"}</definedName>
    <definedName name="_hu6" localSheetId="2" hidden="1">{"'Sheet1'!$L$16"}</definedName>
    <definedName name="_hu6" localSheetId="12" hidden="1">{"'Sheet1'!$L$16"}</definedName>
    <definedName name="_hu6" localSheetId="4" hidden="1">{"'Sheet1'!$L$16"}</definedName>
    <definedName name="_hu6" localSheetId="19" hidden="1">{"'Sheet1'!$L$16"}</definedName>
    <definedName name="_hu6" localSheetId="10" hidden="1">{"'Sheet1'!$L$16"}</definedName>
    <definedName name="_hu6" localSheetId="9" hidden="1">{"'Sheet1'!$L$16"}</definedName>
    <definedName name="_hu6" localSheetId="8" hidden="1">{"'Sheet1'!$L$16"}</definedName>
    <definedName name="_hu6" localSheetId="3" hidden="1">{"'Sheet1'!$L$16"}</definedName>
    <definedName name="_hu6" localSheetId="6" hidden="1">{"'Sheet1'!$L$16"}</definedName>
    <definedName name="_hu6" localSheetId="7" hidden="1">{"'Sheet1'!$L$16"}</definedName>
    <definedName name="_hu6" localSheetId="5" hidden="1">{"'Sheet1'!$L$16"}</definedName>
    <definedName name="_hu6" localSheetId="13" hidden="1">{"'Sheet1'!$L$16"}</definedName>
    <definedName name="_hu6" hidden="1">{"'Sheet1'!$L$16"}</definedName>
    <definedName name="_hu7" localSheetId="18" hidden="1">{"'Sheet1'!$L$16"}</definedName>
    <definedName name="_hu7" localSheetId="11" hidden="1">{"'Sheet1'!$L$16"}</definedName>
    <definedName name="_hu7" localSheetId="1" hidden="1">{"'Sheet1'!$L$16"}</definedName>
    <definedName name="_hu7" localSheetId="2" hidden="1">{"'Sheet1'!$L$16"}</definedName>
    <definedName name="_hu7" localSheetId="12" hidden="1">{"'Sheet1'!$L$16"}</definedName>
    <definedName name="_hu7" localSheetId="4" hidden="1">{"'Sheet1'!$L$16"}</definedName>
    <definedName name="_hu7" localSheetId="19" hidden="1">{"'Sheet1'!$L$16"}</definedName>
    <definedName name="_hu7" localSheetId="10" hidden="1">{"'Sheet1'!$L$16"}</definedName>
    <definedName name="_hu7" localSheetId="9" hidden="1">{"'Sheet1'!$L$16"}</definedName>
    <definedName name="_hu7" localSheetId="8" hidden="1">{"'Sheet1'!$L$16"}</definedName>
    <definedName name="_hu7" localSheetId="3" hidden="1">{"'Sheet1'!$L$16"}</definedName>
    <definedName name="_hu7" localSheetId="6" hidden="1">{"'Sheet1'!$L$16"}</definedName>
    <definedName name="_hu7" localSheetId="7" hidden="1">{"'Sheet1'!$L$16"}</definedName>
    <definedName name="_hu7" localSheetId="5" hidden="1">{"'Sheet1'!$L$16"}</definedName>
    <definedName name="_hu7" localSheetId="13" hidden="1">{"'Sheet1'!$L$16"}</definedName>
    <definedName name="_hu7" hidden="1">{"'Sheet1'!$L$16"}</definedName>
    <definedName name="_HV1">#REF!</definedName>
    <definedName name="_II1" localSheetId="18" hidden="1">{#N/A,#N/A,FALSE,"JACKETS (1100 t) (1)"}</definedName>
    <definedName name="_II1" hidden="1">{#N/A,#N/A,FALSE,"JACKETS (1100 t) (1)"}</definedName>
    <definedName name="_Key1" localSheetId="12">#REF!</definedName>
    <definedName name="_Key1" localSheetId="13">#REF!</definedName>
    <definedName name="_Key1">#REF!</definedName>
    <definedName name="_Key11" hidden="1">#REF!</definedName>
    <definedName name="_Key2" localSheetId="12">#REF!</definedName>
    <definedName name="_Key2" localSheetId="13">#REF!</definedName>
    <definedName name="_Key2">#REF!</definedName>
    <definedName name="_kfkf" localSheetId="11" hidden="1">#N/A</definedName>
    <definedName name="_kfkf" localSheetId="1" hidden="1">#N/A</definedName>
    <definedName name="_kfkf" localSheetId="2" hidden="1">#N/A</definedName>
    <definedName name="_kfkf" localSheetId="4" hidden="1">#N/A</definedName>
    <definedName name="_kfkf" localSheetId="19" hidden="1">#N/A</definedName>
    <definedName name="_kfkf" localSheetId="10" hidden="1">#N/A</definedName>
    <definedName name="_kfkf" localSheetId="9" hidden="1">#N/A</definedName>
    <definedName name="_kfkf" localSheetId="8" hidden="1">#N/A</definedName>
    <definedName name="_kfkf" localSheetId="3" hidden="1">#N/A</definedName>
    <definedName name="_kfkf" localSheetId="6" hidden="1">#N/A</definedName>
    <definedName name="_kfkf" localSheetId="7" hidden="1">#N/A</definedName>
    <definedName name="_kfkf" localSheetId="5" hidden="1">#N/A</definedName>
    <definedName name="_kfkf" hidden="1">#REF!</definedName>
    <definedName name="_KM130" localSheetId="18" hidden="1">{"'Sheet1'!$L$16"}</definedName>
    <definedName name="_KM130" localSheetId="11" hidden="1">{"'Sheet1'!$L$16"}</definedName>
    <definedName name="_KM130" localSheetId="1" hidden="1">{"'Sheet1'!$L$16"}</definedName>
    <definedName name="_KM130" localSheetId="2" hidden="1">{"'Sheet1'!$L$16"}</definedName>
    <definedName name="_KM130" localSheetId="12" hidden="1">{"'Sheet1'!$L$16"}</definedName>
    <definedName name="_KM130" localSheetId="4" hidden="1">{"'Sheet1'!$L$16"}</definedName>
    <definedName name="_KM130" localSheetId="19" hidden="1">{"'Sheet1'!$L$16"}</definedName>
    <definedName name="_KM130" localSheetId="10" hidden="1">{"'Sheet1'!$L$16"}</definedName>
    <definedName name="_KM130" localSheetId="9" hidden="1">{"'Sheet1'!$L$16"}</definedName>
    <definedName name="_KM130" localSheetId="8" hidden="1">{"'Sheet1'!$L$16"}</definedName>
    <definedName name="_KM130" localSheetId="3" hidden="1">{"'Sheet1'!$L$16"}</definedName>
    <definedName name="_KM130" localSheetId="6" hidden="1">{"'Sheet1'!$L$16"}</definedName>
    <definedName name="_KM130" localSheetId="7" hidden="1">{"'Sheet1'!$L$16"}</definedName>
    <definedName name="_KM130" localSheetId="5" hidden="1">{"'Sheet1'!$L$16"}</definedName>
    <definedName name="_KM130" localSheetId="13" hidden="1">{"'Sheet1'!$L$16"}</definedName>
    <definedName name="_KM130" hidden="1">{"'Sheet1'!$L$16"}</definedName>
    <definedName name="_KWS1">#N/A</definedName>
    <definedName name="_KWS2">#N/A</definedName>
    <definedName name="_KWS3">#N/A</definedName>
    <definedName name="_Lan1" localSheetId="18" hidden="1">{"'Sheet1'!$L$16"}</definedName>
    <definedName name="_Lan1" localSheetId="11" hidden="1">{"'Sheet1'!$L$16"}</definedName>
    <definedName name="_Lan1" localSheetId="1" hidden="1">{"'Sheet1'!$L$16"}</definedName>
    <definedName name="_Lan1" localSheetId="2" hidden="1">{"'Sheet1'!$L$16"}</definedName>
    <definedName name="_Lan1" localSheetId="12" hidden="1">{"'Sheet1'!$L$16"}</definedName>
    <definedName name="_Lan1" localSheetId="4" hidden="1">{"'Sheet1'!$L$16"}</definedName>
    <definedName name="_Lan1" localSheetId="19" hidden="1">{"'Sheet1'!$L$16"}</definedName>
    <definedName name="_Lan1" localSheetId="10" hidden="1">{"'Sheet1'!$L$16"}</definedName>
    <definedName name="_Lan1" localSheetId="9" hidden="1">{"'Sheet1'!$L$16"}</definedName>
    <definedName name="_Lan1" localSheetId="8" hidden="1">{"'Sheet1'!$L$16"}</definedName>
    <definedName name="_Lan1" localSheetId="3" hidden="1">{"'Sheet1'!$L$16"}</definedName>
    <definedName name="_Lan1" localSheetId="6" hidden="1">{"'Sheet1'!$L$16"}</definedName>
    <definedName name="_Lan1" localSheetId="7" hidden="1">{"'Sheet1'!$L$16"}</definedName>
    <definedName name="_Lan1" localSheetId="5" hidden="1">{"'Sheet1'!$L$16"}</definedName>
    <definedName name="_Lan1" localSheetId="13" hidden="1">{"'Sheet1'!$L$16"}</definedName>
    <definedName name="_Lan1" hidden="1">{"'Sheet1'!$L$16"}</definedName>
    <definedName name="_LAN3" localSheetId="18" hidden="1">{"'Sheet1'!$L$16"}</definedName>
    <definedName name="_LAN3" localSheetId="11" hidden="1">{"'Sheet1'!$L$16"}</definedName>
    <definedName name="_LAN3" localSheetId="1" hidden="1">{"'Sheet1'!$L$16"}</definedName>
    <definedName name="_LAN3" localSheetId="2" hidden="1">{"'Sheet1'!$L$16"}</definedName>
    <definedName name="_LAN3" localSheetId="12" hidden="1">{"'Sheet1'!$L$16"}</definedName>
    <definedName name="_LAN3" localSheetId="4" hidden="1">{"'Sheet1'!$L$16"}</definedName>
    <definedName name="_LAN3" localSheetId="19" hidden="1">{"'Sheet1'!$L$16"}</definedName>
    <definedName name="_LAN3" localSheetId="10" hidden="1">{"'Sheet1'!$L$16"}</definedName>
    <definedName name="_LAN3" localSheetId="9" hidden="1">{"'Sheet1'!$L$16"}</definedName>
    <definedName name="_LAN3" localSheetId="8" hidden="1">{"'Sheet1'!$L$16"}</definedName>
    <definedName name="_LAN3" localSheetId="3" hidden="1">{"'Sheet1'!$L$16"}</definedName>
    <definedName name="_LAN3" localSheetId="6" hidden="1">{"'Sheet1'!$L$16"}</definedName>
    <definedName name="_LAN3" localSheetId="7" hidden="1">{"'Sheet1'!$L$16"}</definedName>
    <definedName name="_LAN3" localSheetId="5" hidden="1">{"'Sheet1'!$L$16"}</definedName>
    <definedName name="_LAN3" localSheetId="13" hidden="1">{"'Sheet1'!$L$16"}</definedName>
    <definedName name="_LAN3" hidden="1">{"'Sheet1'!$L$16"}</definedName>
    <definedName name="_ld2" localSheetId="16" hidden="1">{"'Sheet1'!$L$16"}</definedName>
    <definedName name="_ld2" localSheetId="18" hidden="1">{"'Sheet1'!$L$16"}</definedName>
    <definedName name="_ld2" localSheetId="11" hidden="1">{"'Sheet1'!$L$16"}</definedName>
    <definedName name="_ld2" localSheetId="1" hidden="1">{"'Sheet1'!$L$16"}</definedName>
    <definedName name="_ld2" localSheetId="2" hidden="1">{"'Sheet1'!$L$16"}</definedName>
    <definedName name="_ld2" localSheetId="17" hidden="1">{"'Sheet1'!$L$16"}</definedName>
    <definedName name="_ld2" localSheetId="12" hidden="1">{"'Sheet1'!$L$16"}</definedName>
    <definedName name="_ld2" localSheetId="4" hidden="1">{"'Sheet1'!$L$16"}</definedName>
    <definedName name="_ld2" localSheetId="19" hidden="1">{"'Sheet1'!$L$16"}</definedName>
    <definedName name="_ld2" localSheetId="10" hidden="1">{"'Sheet1'!$L$16"}</definedName>
    <definedName name="_ld2" localSheetId="9" hidden="1">{"'Sheet1'!$L$16"}</definedName>
    <definedName name="_ld2" localSheetId="8" hidden="1">{"'Sheet1'!$L$16"}</definedName>
    <definedName name="_ld2" localSheetId="3" hidden="1">{"'Sheet1'!$L$16"}</definedName>
    <definedName name="_ld2" localSheetId="6" hidden="1">{"'Sheet1'!$L$16"}</definedName>
    <definedName name="_ld2" localSheetId="7" hidden="1">{"'Sheet1'!$L$16"}</definedName>
    <definedName name="_ld2" localSheetId="5" hidden="1">{"'Sheet1'!$L$16"}</definedName>
    <definedName name="_ld2" localSheetId="13" hidden="1">{"'Sheet1'!$L$16"}</definedName>
    <definedName name="_ld2" hidden="1">{"'Sheet1'!$L$16"}</definedName>
    <definedName name="_lk2" localSheetId="18" hidden="1">{"'Sheet1'!$L$16"}</definedName>
    <definedName name="_lk2" localSheetId="11" hidden="1">{"'Sheet1'!$L$16"}</definedName>
    <definedName name="_lk2" localSheetId="1" hidden="1">{"'Sheet1'!$L$16"}</definedName>
    <definedName name="_lk2" localSheetId="2" hidden="1">{"'Sheet1'!$L$16"}</definedName>
    <definedName name="_lk2" localSheetId="12" hidden="1">{"'Sheet1'!$L$16"}</definedName>
    <definedName name="_lk2" localSheetId="4" hidden="1">{"'Sheet1'!$L$16"}</definedName>
    <definedName name="_lk2" localSheetId="19" hidden="1">{"'Sheet1'!$L$16"}</definedName>
    <definedName name="_lk2" localSheetId="10" hidden="1">{"'Sheet1'!$L$16"}</definedName>
    <definedName name="_lk2" localSheetId="9" hidden="1">{"'Sheet1'!$L$16"}</definedName>
    <definedName name="_lk2" localSheetId="8" hidden="1">{"'Sheet1'!$L$16"}</definedName>
    <definedName name="_lk2" localSheetId="3" hidden="1">{"'Sheet1'!$L$16"}</definedName>
    <definedName name="_lk2" localSheetId="6" hidden="1">{"'Sheet1'!$L$16"}</definedName>
    <definedName name="_lk2" localSheetId="7" hidden="1">{"'Sheet1'!$L$16"}</definedName>
    <definedName name="_lk2" localSheetId="5" hidden="1">{"'Sheet1'!$L$16"}</definedName>
    <definedName name="_lk2" localSheetId="13" hidden="1">{"'Sheet1'!$L$16"}</definedName>
    <definedName name="_lk2" hidden="1">{"'Sheet1'!$L$16"}</definedName>
    <definedName name="_MatInverse_In" hidden="1">#REF!</definedName>
    <definedName name="_MatInverse_Out" hidden="1">#REF!</definedName>
    <definedName name="_MatMult_A" localSheetId="11" hidden="1">[25]재료비!#REF!</definedName>
    <definedName name="_MatMult_A" localSheetId="1" hidden="1">[25]재료비!#REF!</definedName>
    <definedName name="_MatMult_A" localSheetId="2" hidden="1">[25]재료비!#REF!</definedName>
    <definedName name="_MatMult_A" localSheetId="4" hidden="1">[25]재료비!#REF!</definedName>
    <definedName name="_MatMult_A" localSheetId="19" hidden="1">[25]재료비!#REF!</definedName>
    <definedName name="_MatMult_A" localSheetId="10" hidden="1">[25]재료비!#REF!</definedName>
    <definedName name="_MatMult_A" localSheetId="9" hidden="1">[25]재료비!#REF!</definedName>
    <definedName name="_MatMult_A" localSheetId="8" hidden="1">[25]재료비!#REF!</definedName>
    <definedName name="_MatMult_A" localSheetId="3" hidden="1">[25]재료비!#REF!</definedName>
    <definedName name="_MatMult_A" localSheetId="6" hidden="1">[25]재료비!#REF!</definedName>
    <definedName name="_MatMult_A" localSheetId="7" hidden="1">[25]재료비!#REF!</definedName>
    <definedName name="_MatMult_A" localSheetId="5" hidden="1">[25]재료비!#REF!</definedName>
    <definedName name="_MatMult_A" hidden="1">#REF!</definedName>
    <definedName name="_MatMult_AxB" hidden="1">#REF!</definedName>
    <definedName name="_MatMult_B" hidden="1">#REF!</definedName>
    <definedName name="_MCC3" localSheetId="18" hidden="1">{#N/A,#N/A,FALSE,"CCTV"}</definedName>
    <definedName name="_MCC3" hidden="1">{#N/A,#N/A,FALSE,"CCTV"}</definedName>
    <definedName name="_MES10">#REF!</definedName>
    <definedName name="_MES11">#REF!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NCL200">#REF!</definedName>
    <definedName name="_NCN15" localSheetId="18" hidden="1">{"'Sheet1'!$L$16"}</definedName>
    <definedName name="_NCN15" localSheetId="11" hidden="1">{"'Sheet1'!$L$16"}</definedName>
    <definedName name="_NCN15" localSheetId="1" hidden="1">{"'Sheet1'!$L$16"}</definedName>
    <definedName name="_NCN15" localSheetId="2" hidden="1">{"'Sheet1'!$L$16"}</definedName>
    <definedName name="_NCN15" localSheetId="12" hidden="1">{"'Sheet1'!$L$16"}</definedName>
    <definedName name="_NCN15" localSheetId="4" hidden="1">{"'Sheet1'!$L$16"}</definedName>
    <definedName name="_NCN15" localSheetId="19" hidden="1">{"'Sheet1'!$L$16"}</definedName>
    <definedName name="_NCN15" localSheetId="10" hidden="1">{"'Sheet1'!$L$16"}</definedName>
    <definedName name="_NCN15" localSheetId="9" hidden="1">{"'Sheet1'!$L$16"}</definedName>
    <definedName name="_NCN15" localSheetId="8" hidden="1">{"'Sheet1'!$L$16"}</definedName>
    <definedName name="_NCN15" localSheetId="3" hidden="1">{"'Sheet1'!$L$16"}</definedName>
    <definedName name="_NCN15" localSheetId="6" hidden="1">{"'Sheet1'!$L$16"}</definedName>
    <definedName name="_NCN15" localSheetId="7" hidden="1">{"'Sheet1'!$L$16"}</definedName>
    <definedName name="_NCN15" localSheetId="5" hidden="1">{"'Sheet1'!$L$16"}</definedName>
    <definedName name="_NCN15" localSheetId="13" hidden="1">{"'Sheet1'!$L$16"}</definedName>
    <definedName name="_NCN15" hidden="1">{"'Sheet1'!$L$16"}</definedName>
    <definedName name="_new2" localSheetId="18" hidden="1">{#N/A,#N/A,FALSE,"Field Rates";#N/A,#N/A,FALSE,"Field Sum"}</definedName>
    <definedName name="_new2" hidden="1">{#N/A,#N/A,FALSE,"Field Rates";#N/A,#N/A,FALSE,"Field Sum"}</definedName>
    <definedName name="_new3" localSheetId="18" hidden="1">{#N/A,#N/A,FALSE,"HO Sum";#N/A,#N/A,FALSE,"HO Rates";#N/A,#N/A,FALSE,"Co Sum";#N/A,#N/A,FALSE,"Clients Office";#N/A,#N/A,FALSE,"Field Sum";#N/A,#N/A,FALSE,"Field Rates"}</definedName>
    <definedName name="_new3" hidden="1">{#N/A,#N/A,FALSE,"HO Sum";#N/A,#N/A,FALSE,"HO Rates";#N/A,#N/A,FALSE,"Co Sum";#N/A,#N/A,FALSE,"Clients Office";#N/A,#N/A,FALSE,"Field Sum";#N/A,#N/A,FALSE,"Field Rates"}</definedName>
    <definedName name="_new4" localSheetId="18" hidden="1">{#N/A,#N/A,FALSE,"HO Rates";#N/A,#N/A,FALSE,"HO Sum"}</definedName>
    <definedName name="_new4" hidden="1">{#N/A,#N/A,FALSE,"HO Rates";#N/A,#N/A,FALSE,"HO Sum"}</definedName>
    <definedName name="_NK5" localSheetId="18" hidden="1">{"'Sheet1'!$L$16"}</definedName>
    <definedName name="_NK5" localSheetId="11" hidden="1">{"'Sheet1'!$L$16"}</definedName>
    <definedName name="_NK5" localSheetId="1" hidden="1">{"'Sheet1'!$L$16"}</definedName>
    <definedName name="_NK5" localSheetId="2" hidden="1">{"'Sheet1'!$L$16"}</definedName>
    <definedName name="_NK5" localSheetId="12" hidden="1">{"'Sheet1'!$L$16"}</definedName>
    <definedName name="_NK5" localSheetId="4" hidden="1">{"'Sheet1'!$L$16"}</definedName>
    <definedName name="_NK5" localSheetId="19" hidden="1">{"'Sheet1'!$L$16"}</definedName>
    <definedName name="_NK5" localSheetId="10" hidden="1">{"'Sheet1'!$L$16"}</definedName>
    <definedName name="_NK5" localSheetId="9" hidden="1">{"'Sheet1'!$L$16"}</definedName>
    <definedName name="_NK5" localSheetId="8" hidden="1">{"'Sheet1'!$L$16"}</definedName>
    <definedName name="_NK5" localSheetId="3" hidden="1">{"'Sheet1'!$L$16"}</definedName>
    <definedName name="_NK5" localSheetId="6" hidden="1">{"'Sheet1'!$L$16"}</definedName>
    <definedName name="_NK5" localSheetId="7" hidden="1">{"'Sheet1'!$L$16"}</definedName>
    <definedName name="_NK5" localSheetId="5" hidden="1">{"'Sheet1'!$L$16"}</definedName>
    <definedName name="_NK5" localSheetId="13" hidden="1">{"'Sheet1'!$L$16"}</definedName>
    <definedName name="_NK5" hidden="1">{"'Sheet1'!$L$16"}</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PA3" localSheetId="18" hidden="1">{"'Sheet1'!$L$16"}</definedName>
    <definedName name="_PA3" localSheetId="11" hidden="1">{"'Sheet1'!$L$16"}</definedName>
    <definedName name="_PA3" localSheetId="1" hidden="1">{"'Sheet1'!$L$16"}</definedName>
    <definedName name="_PA3" localSheetId="2" hidden="1">{"'Sheet1'!$L$16"}</definedName>
    <definedName name="_PA3" localSheetId="12" hidden="1">{"'Sheet1'!$L$16"}</definedName>
    <definedName name="_PA3" localSheetId="4" hidden="1">{"'Sheet1'!$L$16"}</definedName>
    <definedName name="_PA3" localSheetId="19" hidden="1">{"'Sheet1'!$L$16"}</definedName>
    <definedName name="_PA3" localSheetId="10" hidden="1">{"'Sheet1'!$L$16"}</definedName>
    <definedName name="_PA3" localSheetId="9" hidden="1">{"'Sheet1'!$L$16"}</definedName>
    <definedName name="_PA3" localSheetId="8" hidden="1">{"'Sheet1'!$L$16"}</definedName>
    <definedName name="_PA3" localSheetId="3" hidden="1">{"'Sheet1'!$L$16"}</definedName>
    <definedName name="_PA3" localSheetId="6" hidden="1">{"'Sheet1'!$L$16"}</definedName>
    <definedName name="_PA3" localSheetId="7" hidden="1">{"'Sheet1'!$L$16"}</definedName>
    <definedName name="_PA3" localSheetId="5" hidden="1">{"'Sheet1'!$L$16"}</definedName>
    <definedName name="_PA3" localSheetId="13" hidden="1">{"'Sheet1'!$L$16"}</definedName>
    <definedName name="_PA3" hidden="1">{"'Sheet1'!$L$16"}</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localSheetId="16" hidden="1">[26]Quantity!#REF!</definedName>
    <definedName name="_Parse_Out" localSheetId="18" hidden="1">#REF!</definedName>
    <definedName name="_Parse_Out" localSheetId="11" hidden="1">[27]Quantity!#REF!</definedName>
    <definedName name="_Parse_Out" localSheetId="17" hidden="1">[26]Quantity!#REF!</definedName>
    <definedName name="_Parse_Out" localSheetId="12" hidden="1">[28]Quantity!#REF!</definedName>
    <definedName name="_Parse_Out" localSheetId="13" hidden="1">[28]Quantity!#REF!</definedName>
    <definedName name="_Parse_Out" hidden="1">[28]Quantity!#REF!</definedName>
    <definedName name="_pidCSE">#REF!</definedName>
    <definedName name="_pidSelect">#REF!</definedName>
    <definedName name="_PK2" localSheetId="18" hidden="1">{"'장비'!$A$3:$M$12"}</definedName>
    <definedName name="_PK2" hidden="1">{"'장비'!$A$3:$M$12"}</definedName>
    <definedName name="_PKG3" localSheetId="18" hidden="1">{"'장비'!$A$3:$M$12"}</definedName>
    <definedName name="_PKG3" hidden="1">{"'장비'!$A$3:$M$12"}</definedName>
    <definedName name="_PT100">#REF!</definedName>
    <definedName name="_pZ3">#REF!</definedName>
    <definedName name="_QLO7" localSheetId="12">#REF!</definedName>
    <definedName name="_QLO7" localSheetId="13">#REF!</definedName>
    <definedName name="_QLO7">#REF!</definedName>
    <definedName name="_qqq222" localSheetId="18" hidden="1">{"'장비'!$A$3:$M$12"}</definedName>
    <definedName name="_qqq222" hidden="1">{"'장비'!$A$3:$M$12"}</definedName>
    <definedName name="_R" localSheetId="11">[29]Breech_Duct!$B$65</definedName>
    <definedName name="_R" localSheetId="1">[29]Breech_Duct!$B$65</definedName>
    <definedName name="_R" localSheetId="2">[29]Breech_Duct!$B$65</definedName>
    <definedName name="_R" localSheetId="4">[29]Breech_Duct!$B$65</definedName>
    <definedName name="_R" localSheetId="19">[29]Breech_Duct!$B$65</definedName>
    <definedName name="_R" localSheetId="10">[29]Breech_Duct!$B$65</definedName>
    <definedName name="_R" localSheetId="9">[29]Breech_Duct!$B$65</definedName>
    <definedName name="_R" localSheetId="8">[29]Breech_Duct!$B$65</definedName>
    <definedName name="_R" localSheetId="3">[29]Breech_Duct!$B$65</definedName>
    <definedName name="_R" localSheetId="6">[29]Breech_Duct!$B$65</definedName>
    <definedName name="_R" localSheetId="7">[29]Breech_Duct!$B$65</definedName>
    <definedName name="_R" localSheetId="5">[29]Breech_Duct!$B$65</definedName>
    <definedName name="_R">#REF!</definedName>
    <definedName name="_RAP2">#REF!</definedName>
    <definedName name="_RE100">#REF!</definedName>
    <definedName name="_ref2" localSheetId="11" hidden="1">[30]산근!#REF!</definedName>
    <definedName name="_ref2" localSheetId="1" hidden="1">[30]산근!#REF!</definedName>
    <definedName name="_ref2" localSheetId="2" hidden="1">[30]산근!#REF!</definedName>
    <definedName name="_ref2" localSheetId="4" hidden="1">[30]산근!#REF!</definedName>
    <definedName name="_ref2" localSheetId="19" hidden="1">[30]산근!#REF!</definedName>
    <definedName name="_ref2" localSheetId="10" hidden="1">[30]산근!#REF!</definedName>
    <definedName name="_ref2" localSheetId="9" hidden="1">[30]산근!#REF!</definedName>
    <definedName name="_ref2" localSheetId="8" hidden="1">[30]산근!#REF!</definedName>
    <definedName name="_ref2" localSheetId="3" hidden="1">[30]산근!#REF!</definedName>
    <definedName name="_ref2" localSheetId="6" hidden="1">[30]산근!#REF!</definedName>
    <definedName name="_ref2" localSheetId="7" hidden="1">[30]산근!#REF!</definedName>
    <definedName name="_ref2" localSheetId="5" hidden="1">[30]산근!#REF!</definedName>
    <definedName name="_ref2" hidden="1">#REF!</definedName>
    <definedName name="_Regression_Int" hidden="1">1</definedName>
    <definedName name="_Regression_Out" hidden="1">#REF!</definedName>
    <definedName name="_Regression_X" hidden="1">#REF!</definedName>
    <definedName name="_Regression_Y" hidden="1">#REF!</definedName>
    <definedName name="_reo1" localSheetId="18" hidden="1">{"VISTA_1",#N/A,FALSE,"GRAFO"}</definedName>
    <definedName name="_reo1" hidden="1">{"VISTA_1",#N/A,FALSE,"GRAFO"}</definedName>
    <definedName name="_reo2" localSheetId="18" hidden="1">{#N/A,#N/A,FALSE,"COPERTINA"}</definedName>
    <definedName name="_reo2" hidden="1">{#N/A,#N/A,FALSE,"COPERTINA"}</definedName>
    <definedName name="_REO3" localSheetId="18" hidden="1">{"VISTA_1",#N/A,FALSE,"GRAFO"}</definedName>
    <definedName name="_REO3" hidden="1">{"VISTA_1",#N/A,FALSE,"GRAFO"}</definedName>
    <definedName name="_REO4" localSheetId="18" hidden="1">{#N/A,#N/A,FALSE,"COPERTINA"}</definedName>
    <definedName name="_REO4" hidden="1">{#N/A,#N/A,FALSE,"COPERTINA"}</definedName>
    <definedName name="_S3" localSheetId="18" hidden="1">{#N/A,#N/A,FALSE,"포장2"}</definedName>
    <definedName name="_S3" hidden="1">{#N/A,#N/A,FALSE,"포장2"}</definedName>
    <definedName name="_SCL4" localSheetId="18" hidden="1">{"'Sheet1'!$L$16"}</definedName>
    <definedName name="_SCL4" localSheetId="11" hidden="1">{"'Sheet1'!$L$16"}</definedName>
    <definedName name="_SCL4" localSheetId="1" hidden="1">{"'Sheet1'!$L$16"}</definedName>
    <definedName name="_SCL4" localSheetId="2" hidden="1">{"'Sheet1'!$L$16"}</definedName>
    <definedName name="_SCL4" localSheetId="12" hidden="1">{"'Sheet1'!$L$16"}</definedName>
    <definedName name="_SCL4" localSheetId="4" hidden="1">{"'Sheet1'!$L$16"}</definedName>
    <definedName name="_SCL4" localSheetId="19" hidden="1">{"'Sheet1'!$L$16"}</definedName>
    <definedName name="_SCL4" localSheetId="10" hidden="1">{"'Sheet1'!$L$16"}</definedName>
    <definedName name="_SCL4" localSheetId="9" hidden="1">{"'Sheet1'!$L$16"}</definedName>
    <definedName name="_SCL4" localSheetId="8" hidden="1">{"'Sheet1'!$L$16"}</definedName>
    <definedName name="_SCL4" localSheetId="3" hidden="1">{"'Sheet1'!$L$16"}</definedName>
    <definedName name="_SCL4" localSheetId="6" hidden="1">{"'Sheet1'!$L$16"}</definedName>
    <definedName name="_SCL4" localSheetId="7" hidden="1">{"'Sheet1'!$L$16"}</definedName>
    <definedName name="_SCL4" localSheetId="5" hidden="1">{"'Sheet1'!$L$16"}</definedName>
    <definedName name="_SCL4" localSheetId="13" hidden="1">{"'Sheet1'!$L$16"}</definedName>
    <definedName name="_SCL4" hidden="1">{"'Sheet1'!$L$16"}</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h7" localSheetId="18"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ort" localSheetId="12">#REF!</definedName>
    <definedName name="_Sort" localSheetId="13">#REF!</definedName>
    <definedName name="_Sort">#REF!</definedName>
    <definedName name="_Sortmoi" localSheetId="12">#REF!</definedName>
    <definedName name="_Sortmoi" localSheetId="13">#REF!</definedName>
    <definedName name="_Sortmoi">#REF!</definedName>
    <definedName name="_SUN1">#N/A</definedName>
    <definedName name="_SUN2">#N/A</definedName>
    <definedName name="_T04" localSheetId="18" hidden="1">{#N/A,#N/A,FALSE,"CCTV"}</definedName>
    <definedName name="_T04" hidden="1">{#N/A,#N/A,FALSE,"CCTV"}</definedName>
    <definedName name="_t1" hidden="1">#REF!</definedName>
    <definedName name="_T10" localSheetId="18" hidden="1">{"'Sheet1'!$L$16"}</definedName>
    <definedName name="_T10" localSheetId="11" hidden="1">{"'Sheet1'!$L$16"}</definedName>
    <definedName name="_T10" localSheetId="1" hidden="1">{"'Sheet1'!$L$16"}</definedName>
    <definedName name="_T10" localSheetId="2" hidden="1">{"'Sheet1'!$L$16"}</definedName>
    <definedName name="_T10" localSheetId="12" hidden="1">{"'Sheet1'!$L$16"}</definedName>
    <definedName name="_T10" localSheetId="4" hidden="1">{"'Sheet1'!$L$16"}</definedName>
    <definedName name="_T10" localSheetId="19" hidden="1">{"'Sheet1'!$L$16"}</definedName>
    <definedName name="_T10" localSheetId="10" hidden="1">{"'Sheet1'!$L$16"}</definedName>
    <definedName name="_T10" localSheetId="9" hidden="1">{"'Sheet1'!$L$16"}</definedName>
    <definedName name="_T10" localSheetId="8" hidden="1">{"'Sheet1'!$L$16"}</definedName>
    <definedName name="_T10" localSheetId="3" hidden="1">{"'Sheet1'!$L$16"}</definedName>
    <definedName name="_T10" localSheetId="6" hidden="1">{"'Sheet1'!$L$16"}</definedName>
    <definedName name="_T10" localSheetId="7" hidden="1">{"'Sheet1'!$L$16"}</definedName>
    <definedName name="_T10" localSheetId="5" hidden="1">{"'Sheet1'!$L$16"}</definedName>
    <definedName name="_T10" localSheetId="13" hidden="1">{"'Sheet1'!$L$16"}</definedName>
    <definedName name="_T10" hidden="1">{"'Sheet1'!$L$16"}</definedName>
    <definedName name="_t2" hidden="1">#REF!</definedName>
    <definedName name="_Table1_In1" localSheetId="11" hidden="1">#N/A</definedName>
    <definedName name="_Table1_In1" localSheetId="1" hidden="1">#N/A</definedName>
    <definedName name="_Table1_In1" localSheetId="2" hidden="1">#N/A</definedName>
    <definedName name="_Table1_In1" localSheetId="4" hidden="1">#N/A</definedName>
    <definedName name="_Table1_In1" localSheetId="19" hidden="1">#N/A</definedName>
    <definedName name="_Table1_In1" localSheetId="10" hidden="1">#N/A</definedName>
    <definedName name="_Table1_In1" localSheetId="9" hidden="1">#N/A</definedName>
    <definedName name="_Table1_In1" localSheetId="8" hidden="1">#N/A</definedName>
    <definedName name="_Table1_In1" localSheetId="3" hidden="1">#N/A</definedName>
    <definedName name="_Table1_In1" localSheetId="6" hidden="1">#N/A</definedName>
    <definedName name="_Table1_In1" localSheetId="7" hidden="1">#N/A</definedName>
    <definedName name="_Table1_In1" localSheetId="5" hidden="1">#N/A</definedName>
    <definedName name="_Table1_In1" hidden="1">#REF!</definedName>
    <definedName name="_Table1_Out" localSheetId="11" hidden="1">#N/A</definedName>
    <definedName name="_Table1_Out" localSheetId="1" hidden="1">#N/A</definedName>
    <definedName name="_Table1_Out" localSheetId="2" hidden="1">#N/A</definedName>
    <definedName name="_Table1_Out" localSheetId="4" hidden="1">#N/A</definedName>
    <definedName name="_Table1_Out" localSheetId="19" hidden="1">#N/A</definedName>
    <definedName name="_Table1_Out" localSheetId="10" hidden="1">#N/A</definedName>
    <definedName name="_Table1_Out" localSheetId="9" hidden="1">#N/A</definedName>
    <definedName name="_Table1_Out" localSheetId="8" hidden="1">#N/A</definedName>
    <definedName name="_Table1_Out" localSheetId="3" hidden="1">#N/A</definedName>
    <definedName name="_Table1_Out" localSheetId="6" hidden="1">#N/A</definedName>
    <definedName name="_Table1_Out" localSheetId="7" hidden="1">#N/A</definedName>
    <definedName name="_Table1_Out" localSheetId="5" hidden="1">#N/A</definedName>
    <definedName name="_Table1_Out" hidden="1">#REF!</definedName>
    <definedName name="_Table2_In1" hidden="1">#REF!</definedName>
    <definedName name="_tb2" localSheetId="18" hidden="1">{"'Sheet1'!$L$16"}</definedName>
    <definedName name="_tb2" localSheetId="11" hidden="1">{"'Sheet1'!$L$16"}</definedName>
    <definedName name="_tb2" localSheetId="1" hidden="1">{"'Sheet1'!$L$16"}</definedName>
    <definedName name="_tb2" localSheetId="2" hidden="1">{"'Sheet1'!$L$16"}</definedName>
    <definedName name="_tb2" localSheetId="12" hidden="1">{"'Sheet1'!$L$16"}</definedName>
    <definedName name="_tb2" localSheetId="4" hidden="1">{"'Sheet1'!$L$16"}</definedName>
    <definedName name="_tb2" localSheetId="19" hidden="1">{"'Sheet1'!$L$16"}</definedName>
    <definedName name="_tb2" localSheetId="10" hidden="1">{"'Sheet1'!$L$16"}</definedName>
    <definedName name="_tb2" localSheetId="9" hidden="1">{"'Sheet1'!$L$16"}</definedName>
    <definedName name="_tb2" localSheetId="8" hidden="1">{"'Sheet1'!$L$16"}</definedName>
    <definedName name="_tb2" localSheetId="3" hidden="1">{"'Sheet1'!$L$16"}</definedName>
    <definedName name="_tb2" localSheetId="6" hidden="1">{"'Sheet1'!$L$16"}</definedName>
    <definedName name="_tb2" localSheetId="7" hidden="1">{"'Sheet1'!$L$16"}</definedName>
    <definedName name="_tb2" localSheetId="5" hidden="1">{"'Sheet1'!$L$16"}</definedName>
    <definedName name="_tb2" localSheetId="13" hidden="1">{"'Sheet1'!$L$16"}</definedName>
    <definedName name="_tb2" hidden="1">{"'Sheet1'!$L$16"}</definedName>
    <definedName name="_td1" localSheetId="18" hidden="1">{"'Sheet1'!$L$16"}</definedName>
    <definedName name="_td1" localSheetId="11" hidden="1">{"'Sheet1'!$L$16"}</definedName>
    <definedName name="_td1" localSheetId="1" hidden="1">{"'Sheet1'!$L$16"}</definedName>
    <definedName name="_td1" localSheetId="2" hidden="1">{"'Sheet1'!$L$16"}</definedName>
    <definedName name="_td1" localSheetId="12" hidden="1">{"'Sheet1'!$L$16"}</definedName>
    <definedName name="_td1" localSheetId="4" hidden="1">{"'Sheet1'!$L$16"}</definedName>
    <definedName name="_td1" localSheetId="19" hidden="1">{"'Sheet1'!$L$16"}</definedName>
    <definedName name="_td1" localSheetId="10" hidden="1">{"'Sheet1'!$L$16"}</definedName>
    <definedName name="_td1" localSheetId="9" hidden="1">{"'Sheet1'!$L$16"}</definedName>
    <definedName name="_td1" localSheetId="8" hidden="1">{"'Sheet1'!$L$16"}</definedName>
    <definedName name="_td1" localSheetId="3" hidden="1">{"'Sheet1'!$L$16"}</definedName>
    <definedName name="_td1" localSheetId="6" hidden="1">{"'Sheet1'!$L$16"}</definedName>
    <definedName name="_td1" localSheetId="7" hidden="1">{"'Sheet1'!$L$16"}</definedName>
    <definedName name="_td1" localSheetId="5" hidden="1">{"'Sheet1'!$L$16"}</definedName>
    <definedName name="_td1" localSheetId="13" hidden="1">{"'Sheet1'!$L$16"}</definedName>
    <definedName name="_td1" hidden="1">{"'Sheet1'!$L$16"}</definedName>
    <definedName name="_tem1">[3]!_tem1</definedName>
    <definedName name="_TM2" localSheetId="18" hidden="1">{"'Sheet1'!$L$16"}</definedName>
    <definedName name="_TM2" localSheetId="11" hidden="1">{"'Sheet1'!$L$16"}</definedName>
    <definedName name="_TM2" localSheetId="1" hidden="1">{"'Sheet1'!$L$16"}</definedName>
    <definedName name="_TM2" localSheetId="2" hidden="1">{"'Sheet1'!$L$16"}</definedName>
    <definedName name="_TM2" localSheetId="12" hidden="1">{"'Sheet1'!$L$16"}</definedName>
    <definedName name="_TM2" localSheetId="4" hidden="1">{"'Sheet1'!$L$16"}</definedName>
    <definedName name="_TM2" localSheetId="19" hidden="1">{"'Sheet1'!$L$16"}</definedName>
    <definedName name="_TM2" localSheetId="10" hidden="1">{"'Sheet1'!$L$16"}</definedName>
    <definedName name="_TM2" localSheetId="9" hidden="1">{"'Sheet1'!$L$16"}</definedName>
    <definedName name="_TM2" localSheetId="8" hidden="1">{"'Sheet1'!$L$16"}</definedName>
    <definedName name="_TM2" localSheetId="3" hidden="1">{"'Sheet1'!$L$16"}</definedName>
    <definedName name="_TM2" localSheetId="6" hidden="1">{"'Sheet1'!$L$16"}</definedName>
    <definedName name="_TM2" localSheetId="7" hidden="1">{"'Sheet1'!$L$16"}</definedName>
    <definedName name="_TM2" localSheetId="5" hidden="1">{"'Sheet1'!$L$16"}</definedName>
    <definedName name="_TM2" localSheetId="13" hidden="1">{"'Sheet1'!$L$16"}</definedName>
    <definedName name="_TM2" hidden="1">{"'Sheet1'!$L$16"}</definedName>
    <definedName name="_tot776">#REF!</definedName>
    <definedName name="_tt3" localSheetId="18" hidden="1">{"'Sheet1'!$L$16"}</definedName>
    <definedName name="_tt3" localSheetId="11" hidden="1">{"'Sheet1'!$L$16"}</definedName>
    <definedName name="_tt3" localSheetId="1" hidden="1">{"'Sheet1'!$L$16"}</definedName>
    <definedName name="_tt3" localSheetId="2" hidden="1">{"'Sheet1'!$L$16"}</definedName>
    <definedName name="_tt3" localSheetId="12" hidden="1">{"'Sheet1'!$L$16"}</definedName>
    <definedName name="_tt3" localSheetId="4" hidden="1">{"'Sheet1'!$L$16"}</definedName>
    <definedName name="_tt3" localSheetId="19" hidden="1">{"'Sheet1'!$L$16"}</definedName>
    <definedName name="_tt3" localSheetId="10" hidden="1">{"'Sheet1'!$L$16"}</definedName>
    <definedName name="_tt3" localSheetId="9" hidden="1">{"'Sheet1'!$L$16"}</definedName>
    <definedName name="_tt3" localSheetId="8" hidden="1">{"'Sheet1'!$L$16"}</definedName>
    <definedName name="_tt3" localSheetId="3" hidden="1">{"'Sheet1'!$L$16"}</definedName>
    <definedName name="_tt3" localSheetId="6" hidden="1">{"'Sheet1'!$L$16"}</definedName>
    <definedName name="_tt3" localSheetId="7" hidden="1">{"'Sheet1'!$L$16"}</definedName>
    <definedName name="_tt3" localSheetId="5" hidden="1">{"'Sheet1'!$L$16"}</definedName>
    <definedName name="_tt3" localSheetId="13" hidden="1">{"'Sheet1'!$L$16"}</definedName>
    <definedName name="_tt3" hidden="1">{"'Sheet1'!$L$16"}</definedName>
    <definedName name="_UU1" localSheetId="18" hidden="1">{#N/A,#N/A,FALSE,"JACKETS (1100 t) (1)"}</definedName>
    <definedName name="_UU1" hidden="1">{#N/A,#N/A,FALSE,"JACKETS (1100 t) (1)"}</definedName>
    <definedName name="_vwo1">[4]제출계산서!$I$183</definedName>
    <definedName name="_vwo2">[4]제출계산서!$I$183</definedName>
    <definedName name="_WFD">"0.2"</definedName>
    <definedName name="_WGR">"0.08"</definedName>
    <definedName name="_woogi" localSheetId="11" hidden="1">#N/A</definedName>
    <definedName name="_woogi" localSheetId="1" hidden="1">#N/A</definedName>
    <definedName name="_woogi" localSheetId="2" hidden="1">#N/A</definedName>
    <definedName name="_woogi" localSheetId="4" hidden="1">#N/A</definedName>
    <definedName name="_woogi" localSheetId="19" hidden="1">#N/A</definedName>
    <definedName name="_woogi" localSheetId="10" hidden="1">#N/A</definedName>
    <definedName name="_woogi" localSheetId="9" hidden="1">#N/A</definedName>
    <definedName name="_woogi" localSheetId="8" hidden="1">#N/A</definedName>
    <definedName name="_woogi" localSheetId="3" hidden="1">#N/A</definedName>
    <definedName name="_woogi" localSheetId="6" hidden="1">#N/A</definedName>
    <definedName name="_woogi" localSheetId="7" hidden="1">#N/A</definedName>
    <definedName name="_woogi" localSheetId="5" hidden="1">#N/A</definedName>
    <definedName name="_woogi" hidden="1">#REF!</definedName>
    <definedName name="_woogi2" localSheetId="11" hidden="1">#N/A</definedName>
    <definedName name="_woogi2" localSheetId="1" hidden="1">#N/A</definedName>
    <definedName name="_woogi2" localSheetId="2" hidden="1">#N/A</definedName>
    <definedName name="_woogi2" localSheetId="4" hidden="1">#N/A</definedName>
    <definedName name="_woogi2" localSheetId="19" hidden="1">#N/A</definedName>
    <definedName name="_woogi2" localSheetId="10" hidden="1">#N/A</definedName>
    <definedName name="_woogi2" localSheetId="9" hidden="1">#N/A</definedName>
    <definedName name="_woogi2" localSheetId="8" hidden="1">#N/A</definedName>
    <definedName name="_woogi2" localSheetId="3" hidden="1">#N/A</definedName>
    <definedName name="_woogi2" localSheetId="6" hidden="1">#N/A</definedName>
    <definedName name="_woogi2" localSheetId="7" hidden="1">#N/A</definedName>
    <definedName name="_woogi2" localSheetId="5" hidden="1">#N/A</definedName>
    <definedName name="_woogi2" hidden="1">#REF!</definedName>
    <definedName name="_woogi24" localSheetId="11" hidden="1">#N/A</definedName>
    <definedName name="_woogi24" localSheetId="1" hidden="1">#N/A</definedName>
    <definedName name="_woogi24" localSheetId="2" hidden="1">#N/A</definedName>
    <definedName name="_woogi24" localSheetId="4" hidden="1">#N/A</definedName>
    <definedName name="_woogi24" localSheetId="19" hidden="1">#N/A</definedName>
    <definedName name="_woogi24" localSheetId="10" hidden="1">#N/A</definedName>
    <definedName name="_woogi24" localSheetId="9" hidden="1">#N/A</definedName>
    <definedName name="_woogi24" localSheetId="8" hidden="1">#N/A</definedName>
    <definedName name="_woogi24" localSheetId="3" hidden="1">#N/A</definedName>
    <definedName name="_woogi24" localSheetId="6" hidden="1">#N/A</definedName>
    <definedName name="_woogi24" localSheetId="7" hidden="1">#N/A</definedName>
    <definedName name="_woogi24" localSheetId="5" hidden="1">#N/A</definedName>
    <definedName name="_woogi24" hidden="1">#REF!</definedName>
    <definedName name="_woogi3" localSheetId="11" hidden="1">#N/A</definedName>
    <definedName name="_woogi3" localSheetId="1" hidden="1">#N/A</definedName>
    <definedName name="_woogi3" localSheetId="2" hidden="1">#N/A</definedName>
    <definedName name="_woogi3" localSheetId="4" hidden="1">#N/A</definedName>
    <definedName name="_woogi3" localSheetId="19" hidden="1">#N/A</definedName>
    <definedName name="_woogi3" localSheetId="10" hidden="1">#N/A</definedName>
    <definedName name="_woogi3" localSheetId="9" hidden="1">#N/A</definedName>
    <definedName name="_woogi3" localSheetId="8" hidden="1">#N/A</definedName>
    <definedName name="_woogi3" localSheetId="3" hidden="1">#N/A</definedName>
    <definedName name="_woogi3" localSheetId="6" hidden="1">#N/A</definedName>
    <definedName name="_woogi3" localSheetId="7" hidden="1">#N/A</definedName>
    <definedName name="_woogi3" localSheetId="5" hidden="1">#N/A</definedName>
    <definedName name="_woogi3" hidden="1">#REF!</definedName>
    <definedName name="_재ㅐ햐" localSheetId="11" hidden="1">#N/A</definedName>
    <definedName name="_재ㅐ햐" localSheetId="1" hidden="1">#N/A</definedName>
    <definedName name="_재ㅐ햐" localSheetId="2" hidden="1">#N/A</definedName>
    <definedName name="_재ㅐ햐" localSheetId="4" hidden="1">#N/A</definedName>
    <definedName name="_재ㅐ햐" localSheetId="19" hidden="1">#N/A</definedName>
    <definedName name="_재ㅐ햐" localSheetId="10" hidden="1">#N/A</definedName>
    <definedName name="_재ㅐ햐" localSheetId="9" hidden="1">#N/A</definedName>
    <definedName name="_재ㅐ햐" localSheetId="8" hidden="1">#N/A</definedName>
    <definedName name="_재ㅐ햐" localSheetId="3" hidden="1">#N/A</definedName>
    <definedName name="_재ㅐ햐" localSheetId="6" hidden="1">#N/A</definedName>
    <definedName name="_재ㅐ햐" localSheetId="7" hidden="1">#N/A</definedName>
    <definedName name="_재ㅐ햐" localSheetId="5" hidden="1">#N/A</definedName>
    <definedName name="_재ㅐ햐" hidden="1">#REF!</definedName>
    <definedName name="´cAE°eE¹" hidden="1">#REF!</definedName>
    <definedName name="￠´￠￢￠´¡×￠´￠￢￠´¡×">#N/A</definedName>
    <definedName name="￠￥cAE¡ÆeEⓒo" hidden="1">#REF!</definedName>
    <definedName name="√">"SQRT"</definedName>
    <definedName name="◈002MONO현황">#REF!</definedName>
    <definedName name="A" localSheetId="11">[29]Breech_Duct!$B$64</definedName>
    <definedName name="A" localSheetId="1">#REF!</definedName>
    <definedName name="A" localSheetId="2">#REF!</definedName>
    <definedName name="A" localSheetId="4">#REF!</definedName>
    <definedName name="A" localSheetId="19">#REF!</definedName>
    <definedName name="A" localSheetId="10">#REF!</definedName>
    <definedName name="A" localSheetId="9">#REF!</definedName>
    <definedName name="A" localSheetId="8">#REF!</definedName>
    <definedName name="A" localSheetId="3">#REF!</definedName>
    <definedName name="A" localSheetId="6">#REF!</definedName>
    <definedName name="A" localSheetId="7">#REF!</definedName>
    <definedName name="A" localSheetId="5">#REF!</definedName>
    <definedName name="A">#REF!</definedName>
    <definedName name="â" localSheetId="18" hidden="1">{"'Sheet1'!$L$16"}</definedName>
    <definedName name="â" localSheetId="11" hidden="1">{"'Sheet1'!$L$16"}</definedName>
    <definedName name="â" localSheetId="1" hidden="1">{"'Sheet1'!$L$16"}</definedName>
    <definedName name="â" localSheetId="2" hidden="1">{"'Sheet1'!$L$16"}</definedName>
    <definedName name="â" localSheetId="12" hidden="1">{"'Sheet1'!$L$16"}</definedName>
    <definedName name="â" localSheetId="4" hidden="1">{"'Sheet1'!$L$16"}</definedName>
    <definedName name="â" localSheetId="19" hidden="1">{"'Sheet1'!$L$16"}</definedName>
    <definedName name="â" localSheetId="10" hidden="1">{"'Sheet1'!$L$16"}</definedName>
    <definedName name="â" localSheetId="9" hidden="1">{"'Sheet1'!$L$16"}</definedName>
    <definedName name="â" localSheetId="8" hidden="1">{"'Sheet1'!$L$16"}</definedName>
    <definedName name="â" localSheetId="3" hidden="1">{"'Sheet1'!$L$16"}</definedName>
    <definedName name="â" localSheetId="6" hidden="1">{"'Sheet1'!$L$16"}</definedName>
    <definedName name="â" localSheetId="7" hidden="1">{"'Sheet1'!$L$16"}</definedName>
    <definedName name="â" localSheetId="5" hidden="1">{"'Sheet1'!$L$16"}</definedName>
    <definedName name="â" localSheetId="13" hidden="1">{"'Sheet1'!$L$16"}</definedName>
    <definedName name="â" hidden="1">{"'Sheet1'!$L$16"}</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C1" hidden="1">#REF!</definedName>
    <definedName name="a1moi" localSheetId="18" hidden="1">{"'Sheet1'!$L$16"}</definedName>
    <definedName name="a1moi" localSheetId="11" hidden="1">{"'Sheet1'!$L$16"}</definedName>
    <definedName name="a1moi" localSheetId="1" hidden="1">{"'Sheet1'!$L$16"}</definedName>
    <definedName name="a1moi" localSheetId="2" hidden="1">{"'Sheet1'!$L$16"}</definedName>
    <definedName name="a1moi" localSheetId="12" hidden="1">{"'Sheet1'!$L$16"}</definedName>
    <definedName name="a1moi" localSheetId="4" hidden="1">{"'Sheet1'!$L$16"}</definedName>
    <definedName name="a1moi" localSheetId="19" hidden="1">{"'Sheet1'!$L$16"}</definedName>
    <definedName name="a1moi" localSheetId="10" hidden="1">{"'Sheet1'!$L$16"}</definedName>
    <definedName name="a1moi" localSheetId="9" hidden="1">{"'Sheet1'!$L$16"}</definedName>
    <definedName name="a1moi" localSheetId="8" hidden="1">{"'Sheet1'!$L$16"}</definedName>
    <definedName name="a1moi" localSheetId="3" hidden="1">{"'Sheet1'!$L$16"}</definedName>
    <definedName name="a1moi" localSheetId="6" hidden="1">{"'Sheet1'!$L$16"}</definedName>
    <definedName name="a1moi" localSheetId="7" hidden="1">{"'Sheet1'!$L$16"}</definedName>
    <definedName name="a1moi" localSheetId="5" hidden="1">{"'Sheet1'!$L$16"}</definedName>
    <definedName name="a1moi" localSheetId="13" hidden="1">{"'Sheet1'!$L$16"}</definedName>
    <definedName name="a1moi" hidden="1">{"'Sheet1'!$L$16"}</definedName>
    <definedName name="A35_">#REF!</definedName>
    <definedName name="A50_">#REF!</definedName>
    <definedName name="A70_">#REF!</definedName>
    <definedName name="A8b" hidden="1">#REF!</definedName>
    <definedName name="A95_">#REF!</definedName>
    <definedName name="AA" localSheetId="11" hidden="1">[12]Spread!$J$10:$BQ$10</definedName>
    <definedName name="AA" localSheetId="1" hidden="1">[12]Spread!$J$10:$BQ$10</definedName>
    <definedName name="AA" localSheetId="2" hidden="1">[12]Spread!$J$10:$BQ$10</definedName>
    <definedName name="AA" localSheetId="4" hidden="1">[12]Spread!$J$10:$BQ$10</definedName>
    <definedName name="AA" localSheetId="19" hidden="1">[12]Spread!$J$10:$BQ$10</definedName>
    <definedName name="AA" localSheetId="10" hidden="1">[12]Spread!$J$10:$BQ$10</definedName>
    <definedName name="AA" localSheetId="9" hidden="1">[12]Spread!$J$10:$BQ$10</definedName>
    <definedName name="AA" localSheetId="8" hidden="1">[12]Spread!$J$10:$BQ$10</definedName>
    <definedName name="AA" localSheetId="3" hidden="1">[12]Spread!$J$10:$BQ$10</definedName>
    <definedName name="AA" localSheetId="6" hidden="1">[12]Spread!$J$10:$BQ$10</definedName>
    <definedName name="AA" localSheetId="7" hidden="1">[12]Spread!$J$10:$BQ$10</definedName>
    <definedName name="AA" localSheetId="5" hidden="1">[12]Spread!$J$10:$BQ$10</definedName>
    <definedName name="AA" hidden="1">#REF!</definedName>
    <definedName name="AAA" localSheetId="18" hidden="1">{#N/A,#N/A,FALSE,"JACKETS (1100 t) (1)"}</definedName>
    <definedName name="aaa" localSheetId="11">#REF!</definedName>
    <definedName name="aaa" localSheetId="1">[31]Categories!$A$1:$A$11</definedName>
    <definedName name="aaa" localSheetId="2">[31]Categories!$A$1:$A$11</definedName>
    <definedName name="aaa" localSheetId="4">[31]Categories!$A$1:$A$11</definedName>
    <definedName name="aaa" localSheetId="19">[31]Categories!$A$1:$A$11</definedName>
    <definedName name="aaa" localSheetId="10">[31]Categories!$A$1:$A$11</definedName>
    <definedName name="aaa" localSheetId="9">[31]Categories!$A$1:$A$11</definedName>
    <definedName name="aaa" localSheetId="8">[31]Categories!$A$1:$A$11</definedName>
    <definedName name="aaa" localSheetId="3">[31]Categories!$A$1:$A$11</definedName>
    <definedName name="aaa" localSheetId="6">[31]Categories!$A$1:$A$11</definedName>
    <definedName name="aaa" localSheetId="7">[31]Categories!$A$1:$A$11</definedName>
    <definedName name="aaa" localSheetId="5">[31]Categories!$A$1:$A$11</definedName>
    <definedName name="AAA" hidden="1">{#N/A,#N/A,FALSE,"JACKETS (1100 t) (1)"}</definedName>
    <definedName name="aaaa" localSheetId="18" hidden="1">{#N/A,#N/A,FALSE,"CCTV"}</definedName>
    <definedName name="aaaa" localSheetId="11" hidden="1">{#N/A,#N/A,FALSE,"Project Cost Summary";#N/A,#N/A,FALSE,"Man Hour Summary"}</definedName>
    <definedName name="aaaa" localSheetId="1" hidden="1">{"'Sheet1'!$A$3:$I$11"}</definedName>
    <definedName name="aaaa" localSheetId="2" hidden="1">{"'Sheet1'!$A$3:$I$11"}</definedName>
    <definedName name="aaaa" localSheetId="4" hidden="1">{"'Sheet1'!$A$3:$I$11"}</definedName>
    <definedName name="aaaa" localSheetId="19" hidden="1">{"'Sheet1'!$A$3:$I$11"}</definedName>
    <definedName name="aaaa" localSheetId="10" hidden="1">{"'Sheet1'!$A$3:$I$11"}</definedName>
    <definedName name="aaaa" localSheetId="9" hidden="1">{"'Sheet1'!$A$3:$I$11"}</definedName>
    <definedName name="aaaa" localSheetId="8" hidden="1">{"'Sheet1'!$A$3:$I$11"}</definedName>
    <definedName name="aaaa" localSheetId="3" hidden="1">{"'Sheet1'!$A$3:$I$11"}</definedName>
    <definedName name="aaaa" localSheetId="6" hidden="1">{"'Sheet1'!$A$3:$I$11"}</definedName>
    <definedName name="aaaa" localSheetId="7" hidden="1">{"'Sheet1'!$A$3:$I$11"}</definedName>
    <definedName name="aaaa" localSheetId="5" hidden="1">{"'Sheet1'!$A$3:$I$11"}</definedName>
    <definedName name="aaaa" hidden="1">{#N/A,#N/A,FALSE,"CCTV"}</definedName>
    <definedName name="aaaa1" localSheetId="18" hidden="1">{#N/A,#N/A,TRUE,"Basic";#N/A,#N/A,TRUE,"EXT-TABLE";#N/A,#N/A,TRUE,"STEEL";#N/A,#N/A,TRUE,"INT-Table";#N/A,#N/A,TRUE,"STEEL";#N/A,#N/A,TRUE,"Door"}</definedName>
    <definedName name="aaaa1" hidden="1">{#N/A,#N/A,TRUE,"Basic";#N/A,#N/A,TRUE,"EXT-TABLE";#N/A,#N/A,TRUE,"STEEL";#N/A,#N/A,TRUE,"INT-Table";#N/A,#N/A,TRUE,"STEEL";#N/A,#N/A,TRUE,"Door"}</definedName>
    <definedName name="aaaaa" localSheetId="18" hidden="1">{#N/A,#N/A,TRUE,"Mhr_Sum"}</definedName>
    <definedName name="aaaaa" localSheetId="11" hidden="1">{#N/A,#N/A,FALSE,"CCTV"}</definedName>
    <definedName name="aaaaa" localSheetId="1" hidden="1">{"'Sheet1'!$A$3:$I$11"}</definedName>
    <definedName name="aaaaa" localSheetId="2" hidden="1">{"'Sheet1'!$A$3:$I$11"}</definedName>
    <definedName name="aaaaa" localSheetId="4" hidden="1">{"'Sheet1'!$A$3:$I$11"}</definedName>
    <definedName name="aaaaa" localSheetId="19" hidden="1">{"'Sheet1'!$A$3:$I$11"}</definedName>
    <definedName name="aaaaa" localSheetId="10" hidden="1">{"'Sheet1'!$A$3:$I$11"}</definedName>
    <definedName name="aaaaa" localSheetId="9" hidden="1">{"'Sheet1'!$A$3:$I$11"}</definedName>
    <definedName name="aaaaa" localSheetId="8" hidden="1">{"'Sheet1'!$A$3:$I$11"}</definedName>
    <definedName name="aaaaa" localSheetId="3" hidden="1">{"'Sheet1'!$A$3:$I$11"}</definedName>
    <definedName name="aaaaa" localSheetId="6" hidden="1">{"'Sheet1'!$A$3:$I$11"}</definedName>
    <definedName name="aaaaa" localSheetId="7" hidden="1">{"'Sheet1'!$A$3:$I$11"}</definedName>
    <definedName name="aaaaa" localSheetId="5" hidden="1">{"'Sheet1'!$A$3:$I$11"}</definedName>
    <definedName name="aaaaa" hidden="1">{#N/A,#N/A,TRUE,"Mhr_Sum"}</definedName>
    <definedName name="aaaaa_1" localSheetId="18" hidden="1">{#N/A,#N/A,TRUE,"Basic";#N/A,#N/A,TRUE,"EXT-TABLE";#N/A,#N/A,TRUE,"STEEL";#N/A,#N/A,TRUE,"INT-Table";#N/A,#N/A,TRUE,"STEEL";#N/A,#N/A,TRUE,"Door"}</definedName>
    <definedName name="aaaaa_1" hidden="1">{#N/A,#N/A,TRUE,"Basic";#N/A,#N/A,TRUE,"EXT-TABLE";#N/A,#N/A,TRUE,"STEEL";#N/A,#N/A,TRUE,"INT-Table";#N/A,#N/A,TRUE,"STEEL";#N/A,#N/A,TRUE,"Door"}</definedName>
    <definedName name="aaaaa_1_1" localSheetId="18" hidden="1">{#N/A,#N/A,TRUE,"Basic";#N/A,#N/A,TRUE,"EXT-TABLE";#N/A,#N/A,TRUE,"STEEL";#N/A,#N/A,TRUE,"INT-Table";#N/A,#N/A,TRUE,"STEEL";#N/A,#N/A,TRUE,"Door"}</definedName>
    <definedName name="aaaaa_1_1" hidden="1">{#N/A,#N/A,TRUE,"Basic";#N/A,#N/A,TRUE,"EXT-TABLE";#N/A,#N/A,TRUE,"STEEL";#N/A,#N/A,TRUE,"INT-Table";#N/A,#N/A,TRUE,"STEEL";#N/A,#N/A,TRUE,"Door"}</definedName>
    <definedName name="aaaaa_1_2" localSheetId="18" hidden="1">{#N/A,#N/A,TRUE,"Basic";#N/A,#N/A,TRUE,"EXT-TABLE";#N/A,#N/A,TRUE,"STEEL";#N/A,#N/A,TRUE,"INT-Table";#N/A,#N/A,TRUE,"STEEL";#N/A,#N/A,TRUE,"Door"}</definedName>
    <definedName name="aaaaa_1_2" hidden="1">{#N/A,#N/A,TRUE,"Basic";#N/A,#N/A,TRUE,"EXT-TABLE";#N/A,#N/A,TRUE,"STEEL";#N/A,#N/A,TRUE,"INT-Table";#N/A,#N/A,TRUE,"STEEL";#N/A,#N/A,TRUE,"Door"}</definedName>
    <definedName name="aaaaa_2" localSheetId="18" hidden="1">{#N/A,#N/A,TRUE,"Basic";#N/A,#N/A,TRUE,"EXT-TABLE";#N/A,#N/A,TRUE,"STEEL";#N/A,#N/A,TRUE,"INT-Table";#N/A,#N/A,TRUE,"STEEL";#N/A,#N/A,TRUE,"Door"}</definedName>
    <definedName name="aaaaa_2" hidden="1">{#N/A,#N/A,TRUE,"Basic";#N/A,#N/A,TRUE,"EXT-TABLE";#N/A,#N/A,TRUE,"STEEL";#N/A,#N/A,TRUE,"INT-Table";#N/A,#N/A,TRUE,"STEEL";#N/A,#N/A,TRUE,"Door"}</definedName>
    <definedName name="aaaaa_2_1" localSheetId="18" hidden="1">{#N/A,#N/A,TRUE,"Basic";#N/A,#N/A,TRUE,"EXT-TABLE";#N/A,#N/A,TRUE,"STEEL";#N/A,#N/A,TRUE,"INT-Table";#N/A,#N/A,TRUE,"STEEL";#N/A,#N/A,TRUE,"Door"}</definedName>
    <definedName name="aaaaa_2_1" hidden="1">{#N/A,#N/A,TRUE,"Basic";#N/A,#N/A,TRUE,"EXT-TABLE";#N/A,#N/A,TRUE,"STEEL";#N/A,#N/A,TRUE,"INT-Table";#N/A,#N/A,TRUE,"STEEL";#N/A,#N/A,TRUE,"Door"}</definedName>
    <definedName name="aaaaa_2_2" localSheetId="18" hidden="1">{#N/A,#N/A,TRUE,"Basic";#N/A,#N/A,TRUE,"EXT-TABLE";#N/A,#N/A,TRUE,"STEEL";#N/A,#N/A,TRUE,"INT-Table";#N/A,#N/A,TRUE,"STEEL";#N/A,#N/A,TRUE,"Door"}</definedName>
    <definedName name="aaaaa_2_2" hidden="1">{#N/A,#N/A,TRUE,"Basic";#N/A,#N/A,TRUE,"EXT-TABLE";#N/A,#N/A,TRUE,"STEEL";#N/A,#N/A,TRUE,"INT-Table";#N/A,#N/A,TRUE,"STEEL";#N/A,#N/A,TRUE,"Door"}</definedName>
    <definedName name="aaaaa_3" localSheetId="18" hidden="1">{#N/A,#N/A,TRUE,"Basic";#N/A,#N/A,TRUE,"EXT-TABLE";#N/A,#N/A,TRUE,"STEEL";#N/A,#N/A,TRUE,"INT-Table";#N/A,#N/A,TRUE,"STEEL";#N/A,#N/A,TRUE,"Door"}</definedName>
    <definedName name="aaaaa_3" hidden="1">{#N/A,#N/A,TRUE,"Basic";#N/A,#N/A,TRUE,"EXT-TABLE";#N/A,#N/A,TRUE,"STEEL";#N/A,#N/A,TRUE,"INT-Table";#N/A,#N/A,TRUE,"STEEL";#N/A,#N/A,TRUE,"Door"}</definedName>
    <definedName name="aaaaa_3_1" localSheetId="18" hidden="1">{#N/A,#N/A,TRUE,"Basic";#N/A,#N/A,TRUE,"EXT-TABLE";#N/A,#N/A,TRUE,"STEEL";#N/A,#N/A,TRUE,"INT-Table";#N/A,#N/A,TRUE,"STEEL";#N/A,#N/A,TRUE,"Door"}</definedName>
    <definedName name="aaaaa_3_1" hidden="1">{#N/A,#N/A,TRUE,"Basic";#N/A,#N/A,TRUE,"EXT-TABLE";#N/A,#N/A,TRUE,"STEEL";#N/A,#N/A,TRUE,"INT-Table";#N/A,#N/A,TRUE,"STEEL";#N/A,#N/A,TRUE,"Door"}</definedName>
    <definedName name="aaaaa_3_2" localSheetId="18" hidden="1">{#N/A,#N/A,TRUE,"Basic";#N/A,#N/A,TRUE,"EXT-TABLE";#N/A,#N/A,TRUE,"STEEL";#N/A,#N/A,TRUE,"INT-Table";#N/A,#N/A,TRUE,"STEEL";#N/A,#N/A,TRUE,"Door"}</definedName>
    <definedName name="aaaaa_3_2" hidden="1">{#N/A,#N/A,TRUE,"Basic";#N/A,#N/A,TRUE,"EXT-TABLE";#N/A,#N/A,TRUE,"STEEL";#N/A,#N/A,TRUE,"INT-Table";#N/A,#N/A,TRUE,"STEEL";#N/A,#N/A,TRUE,"Door"}</definedName>
    <definedName name="aaaaa_4" localSheetId="18" hidden="1">{#N/A,#N/A,TRUE,"Basic";#N/A,#N/A,TRUE,"EXT-TABLE";#N/A,#N/A,TRUE,"STEEL";#N/A,#N/A,TRUE,"INT-Table";#N/A,#N/A,TRUE,"STEEL";#N/A,#N/A,TRUE,"Door"}</definedName>
    <definedName name="aaaaa_4" hidden="1">{#N/A,#N/A,TRUE,"Basic";#N/A,#N/A,TRUE,"EXT-TABLE";#N/A,#N/A,TRUE,"STEEL";#N/A,#N/A,TRUE,"INT-Table";#N/A,#N/A,TRUE,"STEEL";#N/A,#N/A,TRUE,"Door"}</definedName>
    <definedName name="aaaaa_4_1" localSheetId="18" hidden="1">{#N/A,#N/A,TRUE,"Basic";#N/A,#N/A,TRUE,"EXT-TABLE";#N/A,#N/A,TRUE,"STEEL";#N/A,#N/A,TRUE,"INT-Table";#N/A,#N/A,TRUE,"STEEL";#N/A,#N/A,TRUE,"Door"}</definedName>
    <definedName name="aaaaa_4_1" hidden="1">{#N/A,#N/A,TRUE,"Basic";#N/A,#N/A,TRUE,"EXT-TABLE";#N/A,#N/A,TRUE,"STEEL";#N/A,#N/A,TRUE,"INT-Table";#N/A,#N/A,TRUE,"STEEL";#N/A,#N/A,TRUE,"Door"}</definedName>
    <definedName name="aaaaa_4_2" localSheetId="18" hidden="1">{#N/A,#N/A,TRUE,"Basic";#N/A,#N/A,TRUE,"EXT-TABLE";#N/A,#N/A,TRUE,"STEEL";#N/A,#N/A,TRUE,"INT-Table";#N/A,#N/A,TRUE,"STEEL";#N/A,#N/A,TRUE,"Door"}</definedName>
    <definedName name="aaaaa_4_2" hidden="1">{#N/A,#N/A,TRUE,"Basic";#N/A,#N/A,TRUE,"EXT-TABLE";#N/A,#N/A,TRUE,"STEEL";#N/A,#N/A,TRUE,"INT-Table";#N/A,#N/A,TRUE,"STEEL";#N/A,#N/A,TRUE,"Door"}</definedName>
    <definedName name="aaaaa_5" localSheetId="18" hidden="1">{#N/A,#N/A,TRUE,"Basic";#N/A,#N/A,TRUE,"EXT-TABLE";#N/A,#N/A,TRUE,"STEEL";#N/A,#N/A,TRUE,"INT-Table";#N/A,#N/A,TRUE,"STEEL";#N/A,#N/A,TRUE,"Door"}</definedName>
    <definedName name="aaaaa_5" hidden="1">{#N/A,#N/A,TRUE,"Basic";#N/A,#N/A,TRUE,"EXT-TABLE";#N/A,#N/A,TRUE,"STEEL";#N/A,#N/A,TRUE,"INT-Table";#N/A,#N/A,TRUE,"STEEL";#N/A,#N/A,TRUE,"Door"}</definedName>
    <definedName name="aaaaa_5_1" localSheetId="18" hidden="1">{#N/A,#N/A,TRUE,"Basic";#N/A,#N/A,TRUE,"EXT-TABLE";#N/A,#N/A,TRUE,"STEEL";#N/A,#N/A,TRUE,"INT-Table";#N/A,#N/A,TRUE,"STEEL";#N/A,#N/A,TRUE,"Door"}</definedName>
    <definedName name="aaaaa_5_1" hidden="1">{#N/A,#N/A,TRUE,"Basic";#N/A,#N/A,TRUE,"EXT-TABLE";#N/A,#N/A,TRUE,"STEEL";#N/A,#N/A,TRUE,"INT-Table";#N/A,#N/A,TRUE,"STEEL";#N/A,#N/A,TRUE,"Door"}</definedName>
    <definedName name="aaaaa_5_2" localSheetId="18" hidden="1">{#N/A,#N/A,TRUE,"Basic";#N/A,#N/A,TRUE,"EXT-TABLE";#N/A,#N/A,TRUE,"STEEL";#N/A,#N/A,TRUE,"INT-Table";#N/A,#N/A,TRUE,"STEEL";#N/A,#N/A,TRUE,"Door"}</definedName>
    <definedName name="aaaaa_5_2" hidden="1">{#N/A,#N/A,TRUE,"Basic";#N/A,#N/A,TRUE,"EXT-TABLE";#N/A,#N/A,TRUE,"STEEL";#N/A,#N/A,TRUE,"INT-Table";#N/A,#N/A,TRUE,"STEEL";#N/A,#N/A,TRUE,"Door"}</definedName>
    <definedName name="AAAAA1" localSheetId="18" hidden="1">{#N/A,#N/A,TRUE,"Basic";#N/A,#N/A,TRUE,"EXT-TABLE";#N/A,#N/A,TRUE,"STEEL";#N/A,#N/A,TRUE,"INT-Table";#N/A,#N/A,TRUE,"STEEL";#N/A,#N/A,TRUE,"Door"}</definedName>
    <definedName name="AAAAA1" hidden="1">{#N/A,#N/A,TRUE,"Basic";#N/A,#N/A,TRUE,"EXT-TABLE";#N/A,#N/A,TRUE,"STEEL";#N/A,#N/A,TRUE,"INT-Table";#N/A,#N/A,TRUE,"STEEL";#N/A,#N/A,TRUE,"Door"}</definedName>
    <definedName name="AAAAA1_1" localSheetId="18" hidden="1">{#N/A,#N/A,TRUE,"Basic";#N/A,#N/A,TRUE,"EXT-TABLE";#N/A,#N/A,TRUE,"STEEL";#N/A,#N/A,TRUE,"INT-Table";#N/A,#N/A,TRUE,"STEEL";#N/A,#N/A,TRUE,"Door"}</definedName>
    <definedName name="AAAAA1_1" hidden="1">{#N/A,#N/A,TRUE,"Basic";#N/A,#N/A,TRUE,"EXT-TABLE";#N/A,#N/A,TRUE,"STEEL";#N/A,#N/A,TRUE,"INT-Table";#N/A,#N/A,TRUE,"STEEL";#N/A,#N/A,TRUE,"Door"}</definedName>
    <definedName name="AAAAA1_1_1" localSheetId="18" hidden="1">{#N/A,#N/A,TRUE,"Basic";#N/A,#N/A,TRUE,"EXT-TABLE";#N/A,#N/A,TRUE,"STEEL";#N/A,#N/A,TRUE,"INT-Table";#N/A,#N/A,TRUE,"STEEL";#N/A,#N/A,TRUE,"Door"}</definedName>
    <definedName name="AAAAA1_1_1" hidden="1">{#N/A,#N/A,TRUE,"Basic";#N/A,#N/A,TRUE,"EXT-TABLE";#N/A,#N/A,TRUE,"STEEL";#N/A,#N/A,TRUE,"INT-Table";#N/A,#N/A,TRUE,"STEEL";#N/A,#N/A,TRUE,"Door"}</definedName>
    <definedName name="AAAAA1_1_2" localSheetId="18" hidden="1">{#N/A,#N/A,TRUE,"Basic";#N/A,#N/A,TRUE,"EXT-TABLE";#N/A,#N/A,TRUE,"STEEL";#N/A,#N/A,TRUE,"INT-Table";#N/A,#N/A,TRUE,"STEEL";#N/A,#N/A,TRUE,"Door"}</definedName>
    <definedName name="AAAAA1_1_2" hidden="1">{#N/A,#N/A,TRUE,"Basic";#N/A,#N/A,TRUE,"EXT-TABLE";#N/A,#N/A,TRUE,"STEEL";#N/A,#N/A,TRUE,"INT-Table";#N/A,#N/A,TRUE,"STEEL";#N/A,#N/A,TRUE,"Door"}</definedName>
    <definedName name="AAAAA1_2" localSheetId="18" hidden="1">{#N/A,#N/A,TRUE,"Basic";#N/A,#N/A,TRUE,"EXT-TABLE";#N/A,#N/A,TRUE,"STEEL";#N/A,#N/A,TRUE,"INT-Table";#N/A,#N/A,TRUE,"STEEL";#N/A,#N/A,TRUE,"Door"}</definedName>
    <definedName name="AAAAA1_2" hidden="1">{#N/A,#N/A,TRUE,"Basic";#N/A,#N/A,TRUE,"EXT-TABLE";#N/A,#N/A,TRUE,"STEEL";#N/A,#N/A,TRUE,"INT-Table";#N/A,#N/A,TRUE,"STEEL";#N/A,#N/A,TRUE,"Door"}</definedName>
    <definedName name="AAAAA1_2_1" localSheetId="18" hidden="1">{#N/A,#N/A,TRUE,"Basic";#N/A,#N/A,TRUE,"EXT-TABLE";#N/A,#N/A,TRUE,"STEEL";#N/A,#N/A,TRUE,"INT-Table";#N/A,#N/A,TRUE,"STEEL";#N/A,#N/A,TRUE,"Door"}</definedName>
    <definedName name="AAAAA1_2_1" hidden="1">{#N/A,#N/A,TRUE,"Basic";#N/A,#N/A,TRUE,"EXT-TABLE";#N/A,#N/A,TRUE,"STEEL";#N/A,#N/A,TRUE,"INT-Table";#N/A,#N/A,TRUE,"STEEL";#N/A,#N/A,TRUE,"Door"}</definedName>
    <definedName name="AAAAA1_2_2" localSheetId="18" hidden="1">{#N/A,#N/A,TRUE,"Basic";#N/A,#N/A,TRUE,"EXT-TABLE";#N/A,#N/A,TRUE,"STEEL";#N/A,#N/A,TRUE,"INT-Table";#N/A,#N/A,TRUE,"STEEL";#N/A,#N/A,TRUE,"Door"}</definedName>
    <definedName name="AAAAA1_2_2" hidden="1">{#N/A,#N/A,TRUE,"Basic";#N/A,#N/A,TRUE,"EXT-TABLE";#N/A,#N/A,TRUE,"STEEL";#N/A,#N/A,TRUE,"INT-Table";#N/A,#N/A,TRUE,"STEEL";#N/A,#N/A,TRUE,"Door"}</definedName>
    <definedName name="AAAAA1_3" localSheetId="18" hidden="1">{#N/A,#N/A,TRUE,"Basic";#N/A,#N/A,TRUE,"EXT-TABLE";#N/A,#N/A,TRUE,"STEEL";#N/A,#N/A,TRUE,"INT-Table";#N/A,#N/A,TRUE,"STEEL";#N/A,#N/A,TRUE,"Door"}</definedName>
    <definedName name="AAAAA1_3" hidden="1">{#N/A,#N/A,TRUE,"Basic";#N/A,#N/A,TRUE,"EXT-TABLE";#N/A,#N/A,TRUE,"STEEL";#N/A,#N/A,TRUE,"INT-Table";#N/A,#N/A,TRUE,"STEEL";#N/A,#N/A,TRUE,"Door"}</definedName>
    <definedName name="AAAAA1_3_1" localSheetId="18" hidden="1">{#N/A,#N/A,TRUE,"Basic";#N/A,#N/A,TRUE,"EXT-TABLE";#N/A,#N/A,TRUE,"STEEL";#N/A,#N/A,TRUE,"INT-Table";#N/A,#N/A,TRUE,"STEEL";#N/A,#N/A,TRUE,"Door"}</definedName>
    <definedName name="AAAAA1_3_1" hidden="1">{#N/A,#N/A,TRUE,"Basic";#N/A,#N/A,TRUE,"EXT-TABLE";#N/A,#N/A,TRUE,"STEEL";#N/A,#N/A,TRUE,"INT-Table";#N/A,#N/A,TRUE,"STEEL";#N/A,#N/A,TRUE,"Door"}</definedName>
    <definedName name="AAAAA1_3_2" localSheetId="18" hidden="1">{#N/A,#N/A,TRUE,"Basic";#N/A,#N/A,TRUE,"EXT-TABLE";#N/A,#N/A,TRUE,"STEEL";#N/A,#N/A,TRUE,"INT-Table";#N/A,#N/A,TRUE,"STEEL";#N/A,#N/A,TRUE,"Door"}</definedName>
    <definedName name="AAAAA1_3_2" hidden="1">{#N/A,#N/A,TRUE,"Basic";#N/A,#N/A,TRUE,"EXT-TABLE";#N/A,#N/A,TRUE,"STEEL";#N/A,#N/A,TRUE,"INT-Table";#N/A,#N/A,TRUE,"STEEL";#N/A,#N/A,TRUE,"Door"}</definedName>
    <definedName name="AAAAA1_4" localSheetId="18" hidden="1">{#N/A,#N/A,TRUE,"Basic";#N/A,#N/A,TRUE,"EXT-TABLE";#N/A,#N/A,TRUE,"STEEL";#N/A,#N/A,TRUE,"INT-Table";#N/A,#N/A,TRUE,"STEEL";#N/A,#N/A,TRUE,"Door"}</definedName>
    <definedName name="AAAAA1_4" hidden="1">{#N/A,#N/A,TRUE,"Basic";#N/A,#N/A,TRUE,"EXT-TABLE";#N/A,#N/A,TRUE,"STEEL";#N/A,#N/A,TRUE,"INT-Table";#N/A,#N/A,TRUE,"STEEL";#N/A,#N/A,TRUE,"Door"}</definedName>
    <definedName name="AAAAA1_4_1" localSheetId="18" hidden="1">{#N/A,#N/A,TRUE,"Basic";#N/A,#N/A,TRUE,"EXT-TABLE";#N/A,#N/A,TRUE,"STEEL";#N/A,#N/A,TRUE,"INT-Table";#N/A,#N/A,TRUE,"STEEL";#N/A,#N/A,TRUE,"Door"}</definedName>
    <definedName name="AAAAA1_4_1" hidden="1">{#N/A,#N/A,TRUE,"Basic";#N/A,#N/A,TRUE,"EXT-TABLE";#N/A,#N/A,TRUE,"STEEL";#N/A,#N/A,TRUE,"INT-Table";#N/A,#N/A,TRUE,"STEEL";#N/A,#N/A,TRUE,"Door"}</definedName>
    <definedName name="AAAAA1_4_2" localSheetId="18" hidden="1">{#N/A,#N/A,TRUE,"Basic";#N/A,#N/A,TRUE,"EXT-TABLE";#N/A,#N/A,TRUE,"STEEL";#N/A,#N/A,TRUE,"INT-Table";#N/A,#N/A,TRUE,"STEEL";#N/A,#N/A,TRUE,"Door"}</definedName>
    <definedName name="AAAAA1_4_2" hidden="1">{#N/A,#N/A,TRUE,"Basic";#N/A,#N/A,TRUE,"EXT-TABLE";#N/A,#N/A,TRUE,"STEEL";#N/A,#N/A,TRUE,"INT-Table";#N/A,#N/A,TRUE,"STEEL";#N/A,#N/A,TRUE,"Door"}</definedName>
    <definedName name="AAAAA1_5" localSheetId="18" hidden="1">{#N/A,#N/A,TRUE,"Basic";#N/A,#N/A,TRUE,"EXT-TABLE";#N/A,#N/A,TRUE,"STEEL";#N/A,#N/A,TRUE,"INT-Table";#N/A,#N/A,TRUE,"STEEL";#N/A,#N/A,TRUE,"Door"}</definedName>
    <definedName name="AAAAA1_5" hidden="1">{#N/A,#N/A,TRUE,"Basic";#N/A,#N/A,TRUE,"EXT-TABLE";#N/A,#N/A,TRUE,"STEEL";#N/A,#N/A,TRUE,"INT-Table";#N/A,#N/A,TRUE,"STEEL";#N/A,#N/A,TRUE,"Door"}</definedName>
    <definedName name="AAAAA1_5_1" localSheetId="18" hidden="1">{#N/A,#N/A,TRUE,"Basic";#N/A,#N/A,TRUE,"EXT-TABLE";#N/A,#N/A,TRUE,"STEEL";#N/A,#N/A,TRUE,"INT-Table";#N/A,#N/A,TRUE,"STEEL";#N/A,#N/A,TRUE,"Door"}</definedName>
    <definedName name="AAAAA1_5_1" hidden="1">{#N/A,#N/A,TRUE,"Basic";#N/A,#N/A,TRUE,"EXT-TABLE";#N/A,#N/A,TRUE,"STEEL";#N/A,#N/A,TRUE,"INT-Table";#N/A,#N/A,TRUE,"STEEL";#N/A,#N/A,TRUE,"Door"}</definedName>
    <definedName name="AAAAA1_5_2" localSheetId="18"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localSheetId="18" hidden="1">{#N/A,#N/A,FALSE,"type1";#N/A,#N/A,FALSE,"지지력";#N/A,#N/A,FALSE,"PILE계산";#N/A,#N/A,FALSE,"PILE ";#N/A,#N/A,FALSE,"철근량";#N/A,#N/A,FALSE,"균열검토";#N/A,#N/A,FALSE,"날개벽";#N/A,#N/A,FALSE,"주철근조립도";#N/A,#N/A,FALSE,"교좌"}</definedName>
    <definedName name="AAAAAA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{#N/A,#N/A,FALSE,"type1";#N/A,#N/A,FALSE,"지지력";#N/A,#N/A,FALSE,"PILE계산";#N/A,#N/A,FALSE,"PILE ";#N/A,#N/A,FALSE,"철근량";#N/A,#N/A,FALSE,"균열검토";#N/A,#N/A,FALSE,"날개벽";#N/A,#N/A,FALSE,"주철근조립도";#N/A,#N/A,FALSE,"교좌"}</definedName>
    <definedName name="aaaaaaaa" localSheetId="18" hidden="1">{#N/A,#N/A,TRUE,"Mhr_Sum"}</definedName>
    <definedName name="aaaaaaaa" hidden="1">{#N/A,#N/A,TRUE,"Mhr_Sum"}</definedName>
    <definedName name="aaaaaaaaa" localSheetId="18" hidden="1">{#N/A,#N/A,FALSE,"CCTV"}</definedName>
    <definedName name="aaaaaaaaa" hidden="1">{#N/A,#N/A,FALSE,"CCTV"}</definedName>
    <definedName name="aaaaaaaaaa" localSheetId="18" hidden="1">{#N/A,#N/A,FALSE,"Project Cost Summary";#N/A,#N/A,FALSE,"Man Hour Summary"}</definedName>
    <definedName name="aaaaaaaaaa" localSheetId="1" hidden="1">{#N/A,#N/A,FALSE,"Project Cost Summary";#N/A,#N/A,FALSE,"Man Hour Summary"}</definedName>
    <definedName name="aaaaaaaaaa" localSheetId="2" hidden="1">{#N/A,#N/A,FALSE,"Project Cost Summary";#N/A,#N/A,FALSE,"Man Hour Summary"}</definedName>
    <definedName name="aaaaaaaaaa" localSheetId="4" hidden="1">{#N/A,#N/A,FALSE,"Project Cost Summary";#N/A,#N/A,FALSE,"Man Hour Summary"}</definedName>
    <definedName name="aaaaaaaaaa" localSheetId="19" hidden="1">{#N/A,#N/A,FALSE,"Project Cost Summary";#N/A,#N/A,FALSE,"Man Hour Summary"}</definedName>
    <definedName name="aaaaaaaaaa" localSheetId="10" hidden="1">{#N/A,#N/A,FALSE,"Project Cost Summary";#N/A,#N/A,FALSE,"Man Hour Summary"}</definedName>
    <definedName name="aaaaaaaaaa" localSheetId="9" hidden="1">{#N/A,#N/A,FALSE,"Project Cost Summary";#N/A,#N/A,FALSE,"Man Hour Summary"}</definedName>
    <definedName name="aaaaaaaaaa" localSheetId="8" hidden="1">{#N/A,#N/A,FALSE,"Project Cost Summary";#N/A,#N/A,FALSE,"Man Hour Summary"}</definedName>
    <definedName name="aaaaaaaaaa" localSheetId="3" hidden="1">{#N/A,#N/A,FALSE,"Project Cost Summary";#N/A,#N/A,FALSE,"Man Hour Summary"}</definedName>
    <definedName name="aaaaaaaaaa" localSheetId="6" hidden="1">{#N/A,#N/A,FALSE,"Project Cost Summary";#N/A,#N/A,FALSE,"Man Hour Summary"}</definedName>
    <definedName name="aaaaaaaaaa" localSheetId="7" hidden="1">{#N/A,#N/A,FALSE,"Project Cost Summary";#N/A,#N/A,FALSE,"Man Hour Summary"}</definedName>
    <definedName name="aaaaaaaaaa" localSheetId="5" hidden="1">{#N/A,#N/A,FALSE,"Project Cost Summary";#N/A,#N/A,FALSE,"Man Hour Summary"}</definedName>
    <definedName name="aaaaaaaaaa" hidden="1">{#N/A,#N/A,FALSE,"Project Cost Summary";#N/A,#N/A,FALSE,"Man Hour Summary"}</definedName>
    <definedName name="AAAAAAAAAAAAAAAAA" localSheetId="18" hidden="1">{#N/A,#N/A,FALSE,"배수2"}</definedName>
    <definedName name="AAAAAAAAAAAAAAAAA" hidden="1">{#N/A,#N/A,FALSE,"배수2"}</definedName>
    <definedName name="aaafff" localSheetId="18" hidden="1">{"'장비'!$A$3:$M$12"}</definedName>
    <definedName name="aaafff" hidden="1">{"'장비'!$A$3:$M$12"}</definedName>
    <definedName name="aaag" localSheetId="18" hidden="1">{#N/A,#N/A,TRUE,"SUM";#N/A,#N/A,TRUE,"EE";#N/A,#N/A,TRUE,"AC";#N/A,#N/A,TRUE,"SN"}</definedName>
    <definedName name="aaag" hidden="1">{#N/A,#N/A,TRUE,"SUM";#N/A,#N/A,TRUE,"EE";#N/A,#N/A,TRUE,"AC";#N/A,#N/A,TRUE,"SN"}</definedName>
    <definedName name="ab" localSheetId="18" hidden="1">{#N/A,#N/A,TRUE,"Mhr_Sum"}</definedName>
    <definedName name="ab" hidden="1">{#N/A,#N/A,TRUE,"Mhr_Sum"}</definedName>
    <definedName name="ab_1" localSheetId="18" hidden="1">{#N/A,#N/A,TRUE,"Basic";#N/A,#N/A,TRUE,"EXT-TABLE";#N/A,#N/A,TRUE,"STEEL";#N/A,#N/A,TRUE,"INT-Table";#N/A,#N/A,TRUE,"STEEL";#N/A,#N/A,TRUE,"Door"}</definedName>
    <definedName name="ab_1" hidden="1">{#N/A,#N/A,TRUE,"Basic";#N/A,#N/A,TRUE,"EXT-TABLE";#N/A,#N/A,TRUE,"STEEL";#N/A,#N/A,TRUE,"INT-Table";#N/A,#N/A,TRUE,"STEEL";#N/A,#N/A,TRUE,"Door"}</definedName>
    <definedName name="ab_1_1" localSheetId="18" hidden="1">{#N/A,#N/A,TRUE,"Basic";#N/A,#N/A,TRUE,"EXT-TABLE";#N/A,#N/A,TRUE,"STEEL";#N/A,#N/A,TRUE,"INT-Table";#N/A,#N/A,TRUE,"STEEL";#N/A,#N/A,TRUE,"Door"}</definedName>
    <definedName name="ab_1_1" hidden="1">{#N/A,#N/A,TRUE,"Basic";#N/A,#N/A,TRUE,"EXT-TABLE";#N/A,#N/A,TRUE,"STEEL";#N/A,#N/A,TRUE,"INT-Table";#N/A,#N/A,TRUE,"STEEL";#N/A,#N/A,TRUE,"Door"}</definedName>
    <definedName name="ab_1_2" localSheetId="18" hidden="1">{#N/A,#N/A,TRUE,"Basic";#N/A,#N/A,TRUE,"EXT-TABLE";#N/A,#N/A,TRUE,"STEEL";#N/A,#N/A,TRUE,"INT-Table";#N/A,#N/A,TRUE,"STEEL";#N/A,#N/A,TRUE,"Door"}</definedName>
    <definedName name="ab_1_2" hidden="1">{#N/A,#N/A,TRUE,"Basic";#N/A,#N/A,TRUE,"EXT-TABLE";#N/A,#N/A,TRUE,"STEEL";#N/A,#N/A,TRUE,"INT-Table";#N/A,#N/A,TRUE,"STEEL";#N/A,#N/A,TRUE,"Door"}</definedName>
    <definedName name="ab_2" localSheetId="18" hidden="1">{#N/A,#N/A,TRUE,"Basic";#N/A,#N/A,TRUE,"EXT-TABLE";#N/A,#N/A,TRUE,"STEEL";#N/A,#N/A,TRUE,"INT-Table";#N/A,#N/A,TRUE,"STEEL";#N/A,#N/A,TRUE,"Door"}</definedName>
    <definedName name="ab_2" hidden="1">{#N/A,#N/A,TRUE,"Basic";#N/A,#N/A,TRUE,"EXT-TABLE";#N/A,#N/A,TRUE,"STEEL";#N/A,#N/A,TRUE,"INT-Table";#N/A,#N/A,TRUE,"STEEL";#N/A,#N/A,TRUE,"Door"}</definedName>
    <definedName name="ab_2_1" localSheetId="18" hidden="1">{#N/A,#N/A,TRUE,"Basic";#N/A,#N/A,TRUE,"EXT-TABLE";#N/A,#N/A,TRUE,"STEEL";#N/A,#N/A,TRUE,"INT-Table";#N/A,#N/A,TRUE,"STEEL";#N/A,#N/A,TRUE,"Door"}</definedName>
    <definedName name="ab_2_1" hidden="1">{#N/A,#N/A,TRUE,"Basic";#N/A,#N/A,TRUE,"EXT-TABLE";#N/A,#N/A,TRUE,"STEEL";#N/A,#N/A,TRUE,"INT-Table";#N/A,#N/A,TRUE,"STEEL";#N/A,#N/A,TRUE,"Door"}</definedName>
    <definedName name="ab_2_2" localSheetId="18" hidden="1">{#N/A,#N/A,TRUE,"Basic";#N/A,#N/A,TRUE,"EXT-TABLE";#N/A,#N/A,TRUE,"STEEL";#N/A,#N/A,TRUE,"INT-Table";#N/A,#N/A,TRUE,"STEEL";#N/A,#N/A,TRUE,"Door"}</definedName>
    <definedName name="ab_2_2" hidden="1">{#N/A,#N/A,TRUE,"Basic";#N/A,#N/A,TRUE,"EXT-TABLE";#N/A,#N/A,TRUE,"STEEL";#N/A,#N/A,TRUE,"INT-Table";#N/A,#N/A,TRUE,"STEEL";#N/A,#N/A,TRUE,"Door"}</definedName>
    <definedName name="ab_3" localSheetId="18" hidden="1">{#N/A,#N/A,TRUE,"Basic";#N/A,#N/A,TRUE,"EXT-TABLE";#N/A,#N/A,TRUE,"STEEL";#N/A,#N/A,TRUE,"INT-Table";#N/A,#N/A,TRUE,"STEEL";#N/A,#N/A,TRUE,"Door"}</definedName>
    <definedName name="ab_3" hidden="1">{#N/A,#N/A,TRUE,"Basic";#N/A,#N/A,TRUE,"EXT-TABLE";#N/A,#N/A,TRUE,"STEEL";#N/A,#N/A,TRUE,"INT-Table";#N/A,#N/A,TRUE,"STEEL";#N/A,#N/A,TRUE,"Door"}</definedName>
    <definedName name="ab_3_1" localSheetId="18" hidden="1">{#N/A,#N/A,TRUE,"Basic";#N/A,#N/A,TRUE,"EXT-TABLE";#N/A,#N/A,TRUE,"STEEL";#N/A,#N/A,TRUE,"INT-Table";#N/A,#N/A,TRUE,"STEEL";#N/A,#N/A,TRUE,"Door"}</definedName>
    <definedName name="ab_3_1" hidden="1">{#N/A,#N/A,TRUE,"Basic";#N/A,#N/A,TRUE,"EXT-TABLE";#N/A,#N/A,TRUE,"STEEL";#N/A,#N/A,TRUE,"INT-Table";#N/A,#N/A,TRUE,"STEEL";#N/A,#N/A,TRUE,"Door"}</definedName>
    <definedName name="ab_3_2" localSheetId="18" hidden="1">{#N/A,#N/A,TRUE,"Basic";#N/A,#N/A,TRUE,"EXT-TABLE";#N/A,#N/A,TRUE,"STEEL";#N/A,#N/A,TRUE,"INT-Table";#N/A,#N/A,TRUE,"STEEL";#N/A,#N/A,TRUE,"Door"}</definedName>
    <definedName name="ab_3_2" hidden="1">{#N/A,#N/A,TRUE,"Basic";#N/A,#N/A,TRUE,"EXT-TABLE";#N/A,#N/A,TRUE,"STEEL";#N/A,#N/A,TRUE,"INT-Table";#N/A,#N/A,TRUE,"STEEL";#N/A,#N/A,TRUE,"Door"}</definedName>
    <definedName name="ab_4" localSheetId="18" hidden="1">{#N/A,#N/A,TRUE,"Basic";#N/A,#N/A,TRUE,"EXT-TABLE";#N/A,#N/A,TRUE,"STEEL";#N/A,#N/A,TRUE,"INT-Table";#N/A,#N/A,TRUE,"STEEL";#N/A,#N/A,TRUE,"Door"}</definedName>
    <definedName name="ab_4" hidden="1">{#N/A,#N/A,TRUE,"Basic";#N/A,#N/A,TRUE,"EXT-TABLE";#N/A,#N/A,TRUE,"STEEL";#N/A,#N/A,TRUE,"INT-Table";#N/A,#N/A,TRUE,"STEEL";#N/A,#N/A,TRUE,"Door"}</definedName>
    <definedName name="ab_4_1" localSheetId="18" hidden="1">{#N/A,#N/A,TRUE,"Basic";#N/A,#N/A,TRUE,"EXT-TABLE";#N/A,#N/A,TRUE,"STEEL";#N/A,#N/A,TRUE,"INT-Table";#N/A,#N/A,TRUE,"STEEL";#N/A,#N/A,TRUE,"Door"}</definedName>
    <definedName name="ab_4_1" hidden="1">{#N/A,#N/A,TRUE,"Basic";#N/A,#N/A,TRUE,"EXT-TABLE";#N/A,#N/A,TRUE,"STEEL";#N/A,#N/A,TRUE,"INT-Table";#N/A,#N/A,TRUE,"STEEL";#N/A,#N/A,TRUE,"Door"}</definedName>
    <definedName name="ab_4_2" localSheetId="18" hidden="1">{#N/A,#N/A,TRUE,"Basic";#N/A,#N/A,TRUE,"EXT-TABLE";#N/A,#N/A,TRUE,"STEEL";#N/A,#N/A,TRUE,"INT-Table";#N/A,#N/A,TRUE,"STEEL";#N/A,#N/A,TRUE,"Door"}</definedName>
    <definedName name="ab_4_2" hidden="1">{#N/A,#N/A,TRUE,"Basic";#N/A,#N/A,TRUE,"EXT-TABLE";#N/A,#N/A,TRUE,"STEEL";#N/A,#N/A,TRUE,"INT-Table";#N/A,#N/A,TRUE,"STEEL";#N/A,#N/A,TRUE,"Door"}</definedName>
    <definedName name="ab_5" localSheetId="18" hidden="1">{#N/A,#N/A,TRUE,"Basic";#N/A,#N/A,TRUE,"EXT-TABLE";#N/A,#N/A,TRUE,"STEEL";#N/A,#N/A,TRUE,"INT-Table";#N/A,#N/A,TRUE,"STEEL";#N/A,#N/A,TRUE,"Door"}</definedName>
    <definedName name="ab_5" hidden="1">{#N/A,#N/A,TRUE,"Basic";#N/A,#N/A,TRUE,"EXT-TABLE";#N/A,#N/A,TRUE,"STEEL";#N/A,#N/A,TRUE,"INT-Table";#N/A,#N/A,TRUE,"STEEL";#N/A,#N/A,TRUE,"Door"}</definedName>
    <definedName name="ab_5_1" localSheetId="18" hidden="1">{#N/A,#N/A,TRUE,"Basic";#N/A,#N/A,TRUE,"EXT-TABLE";#N/A,#N/A,TRUE,"STEEL";#N/A,#N/A,TRUE,"INT-Table";#N/A,#N/A,TRUE,"STEEL";#N/A,#N/A,TRUE,"Door"}</definedName>
    <definedName name="ab_5_1" hidden="1">{#N/A,#N/A,TRUE,"Basic";#N/A,#N/A,TRUE,"EXT-TABLE";#N/A,#N/A,TRUE,"STEEL";#N/A,#N/A,TRUE,"INT-Table";#N/A,#N/A,TRUE,"STEEL";#N/A,#N/A,TRUE,"Door"}</definedName>
    <definedName name="ab_5_2" localSheetId="18" hidden="1">{#N/A,#N/A,TRUE,"Basic";#N/A,#N/A,TRUE,"EXT-TABLE";#N/A,#N/A,TRUE,"STEEL";#N/A,#N/A,TRUE,"INT-Table";#N/A,#N/A,TRUE,"STEEL";#N/A,#N/A,TRUE,"Door"}</definedName>
    <definedName name="ab_5_2" hidden="1">{#N/A,#N/A,TRUE,"Basic";#N/A,#N/A,TRUE,"EXT-TABLE";#N/A,#N/A,TRUE,"STEEL";#N/A,#N/A,TRUE,"INT-Table";#N/A,#N/A,TRUE,"STEEL";#N/A,#N/A,TRUE,"Door"}</definedName>
    <definedName name="abc" localSheetId="18" hidden="1">{#N/A,#N/A,TRUE,"Basic";#N/A,#N/A,TRUE,"EXT-TABLE";#N/A,#N/A,TRUE,"STEEL";#N/A,#N/A,TRUE,"INT-Table";#N/A,#N/A,TRUE,"STEEL";#N/A,#N/A,TRUE,"Door"}</definedName>
    <definedName name="abc" localSheetId="1" hidden="1">{"'ｺｽﾄ予算ﾍｯﾀﾞ'!$I$5:$K$6","'ｺｽﾄ予算ﾍｯﾀﾞ'!$A$1:$K$44"}</definedName>
    <definedName name="abc" localSheetId="2" hidden="1">{"'ｺｽﾄ予算ﾍｯﾀﾞ'!$I$5:$K$6","'ｺｽﾄ予算ﾍｯﾀﾞ'!$A$1:$K$44"}</definedName>
    <definedName name="abc" localSheetId="4" hidden="1">{"'ｺｽﾄ予算ﾍｯﾀﾞ'!$I$5:$K$6","'ｺｽﾄ予算ﾍｯﾀﾞ'!$A$1:$K$44"}</definedName>
    <definedName name="abc" localSheetId="19" hidden="1">{"'ｺｽﾄ予算ﾍｯﾀﾞ'!$I$5:$K$6","'ｺｽﾄ予算ﾍｯﾀﾞ'!$A$1:$K$44"}</definedName>
    <definedName name="abc" localSheetId="10" hidden="1">{"'ｺｽﾄ予算ﾍｯﾀﾞ'!$I$5:$K$6","'ｺｽﾄ予算ﾍｯﾀﾞ'!$A$1:$K$44"}</definedName>
    <definedName name="abc" localSheetId="9" hidden="1">{"'ｺｽﾄ予算ﾍｯﾀﾞ'!$I$5:$K$6","'ｺｽﾄ予算ﾍｯﾀﾞ'!$A$1:$K$44"}</definedName>
    <definedName name="abc" localSheetId="8" hidden="1">{"'ｺｽﾄ予算ﾍｯﾀﾞ'!$I$5:$K$6","'ｺｽﾄ予算ﾍｯﾀﾞ'!$A$1:$K$44"}</definedName>
    <definedName name="abc" localSheetId="3" hidden="1">{"'ｺｽﾄ予算ﾍｯﾀﾞ'!$I$5:$K$6","'ｺｽﾄ予算ﾍｯﾀﾞ'!$A$1:$K$44"}</definedName>
    <definedName name="abc" localSheetId="6" hidden="1">{"'ｺｽﾄ予算ﾍｯﾀﾞ'!$I$5:$K$6","'ｺｽﾄ予算ﾍｯﾀﾞ'!$A$1:$K$44"}</definedName>
    <definedName name="abc" localSheetId="7" hidden="1">{"'ｺｽﾄ予算ﾍｯﾀﾞ'!$I$5:$K$6","'ｺｽﾄ予算ﾍｯﾀﾞ'!$A$1:$K$44"}</definedName>
    <definedName name="abc" localSheetId="5" hidden="1">{"'ｺｽﾄ予算ﾍｯﾀﾞ'!$I$5:$K$6","'ｺｽﾄ予算ﾍｯﾀﾞ'!$A$1:$K$44"}</definedName>
    <definedName name="abc" hidden="1">{#N/A,#N/A,TRUE,"Basic";#N/A,#N/A,TRUE,"EXT-TABLE";#N/A,#N/A,TRUE,"STEEL";#N/A,#N/A,TRUE,"INT-Table";#N/A,#N/A,TRUE,"STEEL";#N/A,#N/A,TRUE,"Door"}</definedName>
    <definedName name="abc_1" localSheetId="18" hidden="1">{#N/A,#N/A,TRUE,"Basic";#N/A,#N/A,TRUE,"EXT-TABLE";#N/A,#N/A,TRUE,"STEEL";#N/A,#N/A,TRUE,"INT-Table";#N/A,#N/A,TRUE,"STEEL";#N/A,#N/A,TRUE,"Door"}</definedName>
    <definedName name="abc_1" hidden="1">{#N/A,#N/A,TRUE,"Basic";#N/A,#N/A,TRUE,"EXT-TABLE";#N/A,#N/A,TRUE,"STEEL";#N/A,#N/A,TRUE,"INT-Table";#N/A,#N/A,TRUE,"STEEL";#N/A,#N/A,TRUE,"Door"}</definedName>
    <definedName name="abc_1_1" localSheetId="18" hidden="1">{#N/A,#N/A,TRUE,"Basic";#N/A,#N/A,TRUE,"EXT-TABLE";#N/A,#N/A,TRUE,"STEEL";#N/A,#N/A,TRUE,"INT-Table";#N/A,#N/A,TRUE,"STEEL";#N/A,#N/A,TRUE,"Door"}</definedName>
    <definedName name="abc_1_1" hidden="1">{#N/A,#N/A,TRUE,"Basic";#N/A,#N/A,TRUE,"EXT-TABLE";#N/A,#N/A,TRUE,"STEEL";#N/A,#N/A,TRUE,"INT-Table";#N/A,#N/A,TRUE,"STEEL";#N/A,#N/A,TRUE,"Door"}</definedName>
    <definedName name="abc_1_2" localSheetId="18" hidden="1">{#N/A,#N/A,TRUE,"Basic";#N/A,#N/A,TRUE,"EXT-TABLE";#N/A,#N/A,TRUE,"STEEL";#N/A,#N/A,TRUE,"INT-Table";#N/A,#N/A,TRUE,"STEEL";#N/A,#N/A,TRUE,"Door"}</definedName>
    <definedName name="abc_1_2" hidden="1">{#N/A,#N/A,TRUE,"Basic";#N/A,#N/A,TRUE,"EXT-TABLE";#N/A,#N/A,TRUE,"STEEL";#N/A,#N/A,TRUE,"INT-Table";#N/A,#N/A,TRUE,"STEEL";#N/A,#N/A,TRUE,"Door"}</definedName>
    <definedName name="abc_2" localSheetId="18" hidden="1">{#N/A,#N/A,TRUE,"Basic";#N/A,#N/A,TRUE,"EXT-TABLE";#N/A,#N/A,TRUE,"STEEL";#N/A,#N/A,TRUE,"INT-Table";#N/A,#N/A,TRUE,"STEEL";#N/A,#N/A,TRUE,"Door"}</definedName>
    <definedName name="abc_2" hidden="1">{#N/A,#N/A,TRUE,"Basic";#N/A,#N/A,TRUE,"EXT-TABLE";#N/A,#N/A,TRUE,"STEEL";#N/A,#N/A,TRUE,"INT-Table";#N/A,#N/A,TRUE,"STEEL";#N/A,#N/A,TRUE,"Door"}</definedName>
    <definedName name="abc_2_1" localSheetId="18" hidden="1">{#N/A,#N/A,TRUE,"Basic";#N/A,#N/A,TRUE,"EXT-TABLE";#N/A,#N/A,TRUE,"STEEL";#N/A,#N/A,TRUE,"INT-Table";#N/A,#N/A,TRUE,"STEEL";#N/A,#N/A,TRUE,"Door"}</definedName>
    <definedName name="abc_2_1" hidden="1">{#N/A,#N/A,TRUE,"Basic";#N/A,#N/A,TRUE,"EXT-TABLE";#N/A,#N/A,TRUE,"STEEL";#N/A,#N/A,TRUE,"INT-Table";#N/A,#N/A,TRUE,"STEEL";#N/A,#N/A,TRUE,"Door"}</definedName>
    <definedName name="abc_2_2" localSheetId="18" hidden="1">{#N/A,#N/A,TRUE,"Basic";#N/A,#N/A,TRUE,"EXT-TABLE";#N/A,#N/A,TRUE,"STEEL";#N/A,#N/A,TRUE,"INT-Table";#N/A,#N/A,TRUE,"STEEL";#N/A,#N/A,TRUE,"Door"}</definedName>
    <definedName name="abc_2_2" hidden="1">{#N/A,#N/A,TRUE,"Basic";#N/A,#N/A,TRUE,"EXT-TABLE";#N/A,#N/A,TRUE,"STEEL";#N/A,#N/A,TRUE,"INT-Table";#N/A,#N/A,TRUE,"STEEL";#N/A,#N/A,TRUE,"Door"}</definedName>
    <definedName name="abc_3" localSheetId="18" hidden="1">{#N/A,#N/A,TRUE,"Basic";#N/A,#N/A,TRUE,"EXT-TABLE";#N/A,#N/A,TRUE,"STEEL";#N/A,#N/A,TRUE,"INT-Table";#N/A,#N/A,TRUE,"STEEL";#N/A,#N/A,TRUE,"Door"}</definedName>
    <definedName name="abc_3" hidden="1">{#N/A,#N/A,TRUE,"Basic";#N/A,#N/A,TRUE,"EXT-TABLE";#N/A,#N/A,TRUE,"STEEL";#N/A,#N/A,TRUE,"INT-Table";#N/A,#N/A,TRUE,"STEEL";#N/A,#N/A,TRUE,"Door"}</definedName>
    <definedName name="abc_3_1" localSheetId="18" hidden="1">{#N/A,#N/A,TRUE,"Basic";#N/A,#N/A,TRUE,"EXT-TABLE";#N/A,#N/A,TRUE,"STEEL";#N/A,#N/A,TRUE,"INT-Table";#N/A,#N/A,TRUE,"STEEL";#N/A,#N/A,TRUE,"Door"}</definedName>
    <definedName name="abc_3_1" hidden="1">{#N/A,#N/A,TRUE,"Basic";#N/A,#N/A,TRUE,"EXT-TABLE";#N/A,#N/A,TRUE,"STEEL";#N/A,#N/A,TRUE,"INT-Table";#N/A,#N/A,TRUE,"STEEL";#N/A,#N/A,TRUE,"Door"}</definedName>
    <definedName name="abc_3_2" localSheetId="18" hidden="1">{#N/A,#N/A,TRUE,"Basic";#N/A,#N/A,TRUE,"EXT-TABLE";#N/A,#N/A,TRUE,"STEEL";#N/A,#N/A,TRUE,"INT-Table";#N/A,#N/A,TRUE,"STEEL";#N/A,#N/A,TRUE,"Door"}</definedName>
    <definedName name="abc_3_2" hidden="1">{#N/A,#N/A,TRUE,"Basic";#N/A,#N/A,TRUE,"EXT-TABLE";#N/A,#N/A,TRUE,"STEEL";#N/A,#N/A,TRUE,"INT-Table";#N/A,#N/A,TRUE,"STEEL";#N/A,#N/A,TRUE,"Door"}</definedName>
    <definedName name="abc_4" localSheetId="18" hidden="1">{#N/A,#N/A,TRUE,"Basic";#N/A,#N/A,TRUE,"EXT-TABLE";#N/A,#N/A,TRUE,"STEEL";#N/A,#N/A,TRUE,"INT-Table";#N/A,#N/A,TRUE,"STEEL";#N/A,#N/A,TRUE,"Door"}</definedName>
    <definedName name="abc_4" hidden="1">{#N/A,#N/A,TRUE,"Basic";#N/A,#N/A,TRUE,"EXT-TABLE";#N/A,#N/A,TRUE,"STEEL";#N/A,#N/A,TRUE,"INT-Table";#N/A,#N/A,TRUE,"STEEL";#N/A,#N/A,TRUE,"Door"}</definedName>
    <definedName name="abc_4_1" localSheetId="18" hidden="1">{#N/A,#N/A,TRUE,"Basic";#N/A,#N/A,TRUE,"EXT-TABLE";#N/A,#N/A,TRUE,"STEEL";#N/A,#N/A,TRUE,"INT-Table";#N/A,#N/A,TRUE,"STEEL";#N/A,#N/A,TRUE,"Door"}</definedName>
    <definedName name="abc_4_1" hidden="1">{#N/A,#N/A,TRUE,"Basic";#N/A,#N/A,TRUE,"EXT-TABLE";#N/A,#N/A,TRUE,"STEEL";#N/A,#N/A,TRUE,"INT-Table";#N/A,#N/A,TRUE,"STEEL";#N/A,#N/A,TRUE,"Door"}</definedName>
    <definedName name="abc_4_2" localSheetId="18" hidden="1">{#N/A,#N/A,TRUE,"Basic";#N/A,#N/A,TRUE,"EXT-TABLE";#N/A,#N/A,TRUE,"STEEL";#N/A,#N/A,TRUE,"INT-Table";#N/A,#N/A,TRUE,"STEEL";#N/A,#N/A,TRUE,"Door"}</definedName>
    <definedName name="abc_4_2" hidden="1">{#N/A,#N/A,TRUE,"Basic";#N/A,#N/A,TRUE,"EXT-TABLE";#N/A,#N/A,TRUE,"STEEL";#N/A,#N/A,TRUE,"INT-Table";#N/A,#N/A,TRUE,"STEEL";#N/A,#N/A,TRUE,"Door"}</definedName>
    <definedName name="abc_5" localSheetId="18" hidden="1">{#N/A,#N/A,TRUE,"Basic";#N/A,#N/A,TRUE,"EXT-TABLE";#N/A,#N/A,TRUE,"STEEL";#N/A,#N/A,TRUE,"INT-Table";#N/A,#N/A,TRUE,"STEEL";#N/A,#N/A,TRUE,"Door"}</definedName>
    <definedName name="abc_5" hidden="1">{#N/A,#N/A,TRUE,"Basic";#N/A,#N/A,TRUE,"EXT-TABLE";#N/A,#N/A,TRUE,"STEEL";#N/A,#N/A,TRUE,"INT-Table";#N/A,#N/A,TRUE,"STEEL";#N/A,#N/A,TRUE,"Door"}</definedName>
    <definedName name="abc_5_1" localSheetId="18" hidden="1">{#N/A,#N/A,TRUE,"Basic";#N/A,#N/A,TRUE,"EXT-TABLE";#N/A,#N/A,TRUE,"STEEL";#N/A,#N/A,TRUE,"INT-Table";#N/A,#N/A,TRUE,"STEEL";#N/A,#N/A,TRUE,"Door"}</definedName>
    <definedName name="abc_5_1" hidden="1">{#N/A,#N/A,TRUE,"Basic";#N/A,#N/A,TRUE,"EXT-TABLE";#N/A,#N/A,TRUE,"STEEL";#N/A,#N/A,TRUE,"INT-Table";#N/A,#N/A,TRUE,"STEEL";#N/A,#N/A,TRUE,"Door"}</definedName>
    <definedName name="abc_5_2" localSheetId="18" hidden="1">{#N/A,#N/A,TRUE,"Basic";#N/A,#N/A,TRUE,"EXT-TABLE";#N/A,#N/A,TRUE,"STEEL";#N/A,#N/A,TRUE,"INT-Table";#N/A,#N/A,TRUE,"STEEL";#N/A,#N/A,TRUE,"Door"}</definedName>
    <definedName name="abc_5_2" hidden="1">{#N/A,#N/A,TRUE,"Basic";#N/A,#N/A,TRUE,"EXT-TABLE";#N/A,#N/A,TRUE,"STEEL";#N/A,#N/A,TRUE,"INT-Table";#N/A,#N/A,TRUE,"STEEL";#N/A,#N/A,TRUE,"Door"}</definedName>
    <definedName name="abcd" localSheetId="18" hidden="1">{#N/A,#N/A,FALSE,"CCTV"}</definedName>
    <definedName name="abcd" hidden="1">{#N/A,#N/A,FALSE,"CCTV"}</definedName>
    <definedName name="ABCVAL_09">[32]Curves!$E$112:$L$123</definedName>
    <definedName name="ABCVAL_11">[33]Curves!$B$166:$J$177</definedName>
    <definedName name="ABIII" hidden="1">#REF!</definedName>
    <definedName name="ac" hidden="1">#REF!</definedName>
    <definedName name="AC120_">#REF!</definedName>
    <definedName name="AC35_">#REF!</definedName>
    <definedName name="AC50_">#REF!</definedName>
    <definedName name="AC70_">#REF!</definedName>
    <definedName name="AC95_">#REF!</definedName>
    <definedName name="Access_Button" hidden="1">"PJTFINAL_F02F11_List"</definedName>
    <definedName name="AccessDatabase" localSheetId="16" hidden="1">"C:\My Documents\tippaporn\MAT PRICE.mdb"</definedName>
    <definedName name="AccessDatabase" localSheetId="11" hidden="1">"A:\My Documents\見積比較鏡.mdb"</definedName>
    <definedName name="AccessDatabase" localSheetId="1" hidden="1">"A:\My Documents\見積比較鏡.mdb"</definedName>
    <definedName name="AccessDatabase" localSheetId="2" hidden="1">"A:\My Documents\見積比較鏡.mdb"</definedName>
    <definedName name="AccessDatabase" localSheetId="17" hidden="1">"C:\My Documents\tippaporn\MAT PRICE.mdb"</definedName>
    <definedName name="AccessDatabase" localSheetId="4" hidden="1">"A:\My Documents\見積比較鏡.mdb"</definedName>
    <definedName name="AccessDatabase" localSheetId="19" hidden="1">"A:\My Documents\見積比較鏡.mdb"</definedName>
    <definedName name="AccessDatabase" localSheetId="10" hidden="1">"A:\My Documents\見積比較鏡.mdb"</definedName>
    <definedName name="AccessDatabase" localSheetId="9" hidden="1">"A:\My Documents\見積比較鏡.mdb"</definedName>
    <definedName name="AccessDatabase" localSheetId="8" hidden="1">"A:\My Documents\見積比較鏡.mdb"</definedName>
    <definedName name="AccessDatabase" localSheetId="3" hidden="1">"A:\My Documents\見積比較鏡.mdb"</definedName>
    <definedName name="AccessDatabase" localSheetId="6" hidden="1">"A:\My Documents\見積比較鏡.mdb"</definedName>
    <definedName name="AccessDatabase" localSheetId="7" hidden="1">"A:\My Documents\見積比較鏡.mdb"</definedName>
    <definedName name="AccessDatabase" localSheetId="5" hidden="1">"A:\My Documents\見積比較鏡.mdb"</definedName>
    <definedName name="AccessDatabase" hidden="1">"D:\D4914_~5.mdb"</definedName>
    <definedName name="AccessDoorSize" localSheetId="11">[34]DATA_LIST!$D$15:$D$20</definedName>
    <definedName name="AccessDoorSize" localSheetId="1">[34]DATA_LIST!$D$15:$D$20</definedName>
    <definedName name="AccessDoorSize" localSheetId="2">[34]DATA_LIST!$D$15:$D$20</definedName>
    <definedName name="AccessDoorSize" localSheetId="4">[34]DATA_LIST!$D$15:$D$20</definedName>
    <definedName name="AccessDoorSize" localSheetId="19">[34]DATA_LIST!$D$15:$D$20</definedName>
    <definedName name="AccessDoorSize" localSheetId="10">[34]DATA_LIST!$D$15:$D$20</definedName>
    <definedName name="AccessDoorSize" localSheetId="9">[34]DATA_LIST!$D$15:$D$20</definedName>
    <definedName name="AccessDoorSize" localSheetId="8">[34]DATA_LIST!$D$15:$D$20</definedName>
    <definedName name="AccessDoorSize" localSheetId="3">[34]DATA_LIST!$D$15:$D$20</definedName>
    <definedName name="AccessDoorSize" localSheetId="6">[34]DATA_LIST!$D$15:$D$20</definedName>
    <definedName name="AccessDoorSize" localSheetId="7">[34]DATA_LIST!$D$15:$D$20</definedName>
    <definedName name="AccessDoorSize" localSheetId="5">[34]DATA_LIST!$D$15:$D$20</definedName>
    <definedName name="AccessDoorSize">#REF!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#REF!</definedName>
    <definedName name="ActualBreachingRatio">#REF!</definedName>
    <definedName name="ACwvu.DETT.._.COSTI." hidden="1">#REF!</definedName>
    <definedName name="ACwvu.RIEPIL.." hidden="1">#REF!</definedName>
    <definedName name="adaptation" localSheetId="18" hidden="1">{#N/A,#N/A,FALSE,"CCTV"}</definedName>
    <definedName name="adaptation" localSheetId="1" hidden="1">{#N/A,#N/A,FALSE,"CCTV"}</definedName>
    <definedName name="adaptation" localSheetId="2" hidden="1">{#N/A,#N/A,FALSE,"CCTV"}</definedName>
    <definedName name="adaptation" localSheetId="4" hidden="1">{#N/A,#N/A,FALSE,"CCTV"}</definedName>
    <definedName name="adaptation" localSheetId="19" hidden="1">{#N/A,#N/A,FALSE,"CCTV"}</definedName>
    <definedName name="adaptation" localSheetId="10" hidden="1">{#N/A,#N/A,FALSE,"CCTV"}</definedName>
    <definedName name="adaptation" localSheetId="9" hidden="1">{#N/A,#N/A,FALSE,"CCTV"}</definedName>
    <definedName name="adaptation" localSheetId="8" hidden="1">{#N/A,#N/A,FALSE,"CCTV"}</definedName>
    <definedName name="adaptation" localSheetId="3" hidden="1">{#N/A,#N/A,FALSE,"CCTV"}</definedName>
    <definedName name="adaptation" localSheetId="6" hidden="1">{#N/A,#N/A,FALSE,"CCTV"}</definedName>
    <definedName name="adaptation" localSheetId="7" hidden="1">{#N/A,#N/A,FALSE,"CCTV"}</definedName>
    <definedName name="adaptation" localSheetId="5" hidden="1">{#N/A,#N/A,FALSE,"CCTV"}</definedName>
    <definedName name="adaptation" hidden="1">{#N/A,#N/A,FALSE,"CCTV"}</definedName>
    <definedName name="ADC" hidden="1">#REF!</definedName>
    <definedName name="ADD_IN_VERSION">#REF!</definedName>
    <definedName name="addd" localSheetId="18" hidden="1">{#N/A,#N/A,TRUE,"Mhr_Sum"}</definedName>
    <definedName name="addd" hidden="1">{#N/A,#N/A,TRUE,"Mhr_Sum"}</definedName>
    <definedName name="ADG" localSheetId="11" hidden="1">[35]기계내역서!#REF!</definedName>
    <definedName name="ADG" localSheetId="1" hidden="1">[35]기계내역서!#REF!</definedName>
    <definedName name="ADG" localSheetId="2" hidden="1">[35]기계내역서!#REF!</definedName>
    <definedName name="ADG" localSheetId="4" hidden="1">[35]기계내역서!#REF!</definedName>
    <definedName name="ADG" localSheetId="19" hidden="1">[35]기계내역서!#REF!</definedName>
    <definedName name="ADG" localSheetId="10" hidden="1">[35]기계내역서!#REF!</definedName>
    <definedName name="ADG" localSheetId="9" hidden="1">[35]기계내역서!#REF!</definedName>
    <definedName name="ADG" localSheetId="8" hidden="1">[35]기계내역서!#REF!</definedName>
    <definedName name="ADG" localSheetId="3" hidden="1">[35]기계내역서!#REF!</definedName>
    <definedName name="ADG" localSheetId="6" hidden="1">[35]기계내역서!#REF!</definedName>
    <definedName name="ADG" localSheetId="7" hidden="1">[35]기계내역서!#REF!</definedName>
    <definedName name="ADG" localSheetId="5" hidden="1">[35]기계내역서!#REF!</definedName>
    <definedName name="ADG" hidden="1">#REF!</definedName>
    <definedName name="ADITION" localSheetId="18" hidden="1">{"'장비'!$A$3:$M$12"}</definedName>
    <definedName name="ADITION" hidden="1">{"'장비'!$A$3:$M$12"}</definedName>
    <definedName name="Admin_exp">#REF!</definedName>
    <definedName name="admint" localSheetId="11" hidden="1">'[36]Schedule(overall)'!#REF!</definedName>
    <definedName name="admint" localSheetId="1" hidden="1">'[36]Schedule(overall)'!#REF!</definedName>
    <definedName name="admint" localSheetId="2" hidden="1">'[36]Schedule(overall)'!#REF!</definedName>
    <definedName name="admint" localSheetId="4" hidden="1">'[36]Schedule(overall)'!#REF!</definedName>
    <definedName name="admint" localSheetId="19" hidden="1">'[36]Schedule(overall)'!#REF!</definedName>
    <definedName name="admint" localSheetId="10" hidden="1">'[36]Schedule(overall)'!#REF!</definedName>
    <definedName name="admint" localSheetId="9" hidden="1">'[36]Schedule(overall)'!#REF!</definedName>
    <definedName name="admint" localSheetId="8" hidden="1">'[36]Schedule(overall)'!#REF!</definedName>
    <definedName name="admint" localSheetId="3" hidden="1">'[36]Schedule(overall)'!#REF!</definedName>
    <definedName name="admint" localSheetId="6" hidden="1">'[36]Schedule(overall)'!#REF!</definedName>
    <definedName name="admint" localSheetId="7" hidden="1">'[36]Schedule(overall)'!#REF!</definedName>
    <definedName name="admint" localSheetId="5" hidden="1">'[36]Schedule(overall)'!#REF!</definedName>
    <definedName name="admint" hidden="1">#REF!</definedName>
    <definedName name="ADV_FC">#REF!</definedName>
    <definedName name="ADV_LC">#REF!</definedName>
    <definedName name="ADV_SUP">#REF!</definedName>
    <definedName name="ADVANCE">#REF!</definedName>
    <definedName name="ae">#REF!</definedName>
    <definedName name="AEFWTWRWE" localSheetId="18" hidden="1">{#N/A,#N/A,FALSE,"배수1"}</definedName>
    <definedName name="AEFWTWRWE" hidden="1">{#N/A,#N/A,FALSE,"배수1"}</definedName>
    <definedName name="AF" localSheetId="18" hidden="1">{#N/A,#N/A,FALSE,"포장2"}</definedName>
    <definedName name="AF" hidden="1">{#N/A,#N/A,FALSE,"포장2"}</definedName>
    <definedName name="AFAFA" localSheetId="18" hidden="1">{#N/A,#N/A,FALSE,"부대1"}</definedName>
    <definedName name="AFAFA" hidden="1">{#N/A,#N/A,FALSE,"부대1"}</definedName>
    <definedName name="afasd" localSheetId="18" hidden="1">{#N/A,#N/A,FALSE,"단가표지"}</definedName>
    <definedName name="afasd" hidden="1">{#N/A,#N/A,FALSE,"단가표지"}</definedName>
    <definedName name="AFASFAS" localSheetId="18" hidden="1">{#N/A,#N/A,FALSE,"조골재"}</definedName>
    <definedName name="AFASFAS" hidden="1">{#N/A,#N/A,FALSE,"조골재"}</definedName>
    <definedName name="afasfsagfas" localSheetId="18" hidden="1">{#N/A,#N/A,FALSE,"Chi tiÆt"}</definedName>
    <definedName name="afasfsagfas" localSheetId="11" hidden="1">{#N/A,#N/A,FALSE,"Chi tiÆt"}</definedName>
    <definedName name="afasfsagfas" localSheetId="1" hidden="1">{#N/A,#N/A,FALSE,"Chi tiÆt"}</definedName>
    <definedName name="afasfsagfas" localSheetId="2" hidden="1">{#N/A,#N/A,FALSE,"Chi tiÆt"}</definedName>
    <definedName name="afasfsagfas" localSheetId="12" hidden="1">{#N/A,#N/A,FALSE,"Chi tiÆt"}</definedName>
    <definedName name="afasfsagfas" localSheetId="4" hidden="1">{#N/A,#N/A,FALSE,"Chi tiÆt"}</definedName>
    <definedName name="afasfsagfas" localSheetId="19" hidden="1">{#N/A,#N/A,FALSE,"Chi tiÆt"}</definedName>
    <definedName name="afasfsagfas" localSheetId="10" hidden="1">{#N/A,#N/A,FALSE,"Chi tiÆt"}</definedName>
    <definedName name="afasfsagfas" localSheetId="9" hidden="1">{#N/A,#N/A,FALSE,"Chi tiÆt"}</definedName>
    <definedName name="afasfsagfas" localSheetId="8" hidden="1">{#N/A,#N/A,FALSE,"Chi tiÆt"}</definedName>
    <definedName name="afasfsagfas" localSheetId="3" hidden="1">{#N/A,#N/A,FALSE,"Chi tiÆt"}</definedName>
    <definedName name="afasfsagfas" localSheetId="6" hidden="1">{#N/A,#N/A,FALSE,"Chi tiÆt"}</definedName>
    <definedName name="afasfsagfas" localSheetId="7" hidden="1">{#N/A,#N/A,FALSE,"Chi tiÆt"}</definedName>
    <definedName name="afasfsagfas" localSheetId="5" hidden="1">{#N/A,#N/A,FALSE,"Chi tiÆt"}</definedName>
    <definedName name="afasfsagfas" localSheetId="13" hidden="1">{#N/A,#N/A,FALSE,"Chi tiÆt"}</definedName>
    <definedName name="afasfsagfas" hidden="1">{#N/A,#N/A,FALSE,"Chi tiÆt"}</definedName>
    <definedName name="afd" localSheetId="18" hidden="1">{#N/A,#N/A,FALSE,"운반시간"}</definedName>
    <definedName name="afd" hidden="1">{#N/A,#N/A,FALSE,"운반시간"}</definedName>
    <definedName name="afdasgh" localSheetId="18" hidden="1">{#N/A,#N/A,FALSE,"CCTV"}</definedName>
    <definedName name="afdasgh" localSheetId="11" hidden="1">{#N/A,#N/A,FALSE,"CCTV"}</definedName>
    <definedName name="afdasgh" localSheetId="1" hidden="1">{#N/A,#N/A,FALSE,"CCTV"}</definedName>
    <definedName name="afdasgh" localSheetId="2" hidden="1">{#N/A,#N/A,FALSE,"CCTV"}</definedName>
    <definedName name="afdasgh" localSheetId="4" hidden="1">{#N/A,#N/A,FALSE,"CCTV"}</definedName>
    <definedName name="afdasgh" localSheetId="19" hidden="1">{#N/A,#N/A,FALSE,"CCTV"}</definedName>
    <definedName name="afdasgh" localSheetId="10" hidden="1">{#N/A,#N/A,FALSE,"CCTV"}</definedName>
    <definedName name="afdasgh" localSheetId="9" hidden="1">{#N/A,#N/A,FALSE,"CCTV"}</definedName>
    <definedName name="afdasgh" localSheetId="8" hidden="1">{#N/A,#N/A,FALSE,"CCTV"}</definedName>
    <definedName name="afdasgh" localSheetId="3" hidden="1">{#N/A,#N/A,FALSE,"CCTV"}</definedName>
    <definedName name="afdasgh" localSheetId="6" hidden="1">{#N/A,#N/A,FALSE,"CCTV"}</definedName>
    <definedName name="afdasgh" localSheetId="7" hidden="1">{#N/A,#N/A,FALSE,"CCTV"}</definedName>
    <definedName name="afdasgh" localSheetId="5" hidden="1">{#N/A,#N/A,FALSE,"CCTV"}</definedName>
    <definedName name="afdasgh" hidden="1">{#N/A,#N/A,FALSE,"CCTV"}</definedName>
    <definedName name="afdsfdg" localSheetId="18" hidden="1">{#N/A,#N/A,FALSE,"CCTV"}</definedName>
    <definedName name="afdsfdg" localSheetId="11" hidden="1">{#N/A,#N/A,FALSE,"CCTV"}</definedName>
    <definedName name="afdsfdg" localSheetId="1" hidden="1">{#N/A,#N/A,FALSE,"CCTV"}</definedName>
    <definedName name="afdsfdg" localSheetId="2" hidden="1">{#N/A,#N/A,FALSE,"CCTV"}</definedName>
    <definedName name="afdsfdg" localSheetId="4" hidden="1">{#N/A,#N/A,FALSE,"CCTV"}</definedName>
    <definedName name="afdsfdg" localSheetId="19" hidden="1">{#N/A,#N/A,FALSE,"CCTV"}</definedName>
    <definedName name="afdsfdg" localSheetId="10" hidden="1">{#N/A,#N/A,FALSE,"CCTV"}</definedName>
    <definedName name="afdsfdg" localSheetId="9" hidden="1">{#N/A,#N/A,FALSE,"CCTV"}</definedName>
    <definedName name="afdsfdg" localSheetId="8" hidden="1">{#N/A,#N/A,FALSE,"CCTV"}</definedName>
    <definedName name="afdsfdg" localSheetId="3" hidden="1">{#N/A,#N/A,FALSE,"CCTV"}</definedName>
    <definedName name="afdsfdg" localSheetId="6" hidden="1">{#N/A,#N/A,FALSE,"CCTV"}</definedName>
    <definedName name="afdsfdg" localSheetId="7" hidden="1">{#N/A,#N/A,FALSE,"CCTV"}</definedName>
    <definedName name="afdsfdg" localSheetId="5" hidden="1">{#N/A,#N/A,FALSE,"CCTV"}</definedName>
    <definedName name="afdsfdg" hidden="1">{#N/A,#N/A,FALSE,"CCTV"}</definedName>
    <definedName name="AFDSFDSFDSAF" localSheetId="18" hidden="1">{#N/A,#N/A,FALSE,"혼합골재"}</definedName>
    <definedName name="AFDSFDSFDSAF" hidden="1">{#N/A,#N/A,FALSE,"혼합골재"}</definedName>
    <definedName name="AFDSFSADFSA" localSheetId="18" hidden="1">{#N/A,#N/A,FALSE,"토공2"}</definedName>
    <definedName name="AFDSFSADFSA" hidden="1">{#N/A,#N/A,FALSE,"토공2"}</definedName>
    <definedName name="AFFFFFFFFFFFFFFF" localSheetId="18" hidden="1">{#N/A,#N/A,FALSE,"단가표지"}</definedName>
    <definedName name="AFFFFFFFFFFFFFFF" hidden="1">{#N/A,#N/A,FALSE,"단가표지"}</definedName>
    <definedName name="afffgff" localSheetId="18" hidden="1">{#N/A,#N/A,FALSE,"CCTV"}</definedName>
    <definedName name="afffgff" localSheetId="11" hidden="1">{#N/A,#N/A,FALSE,"CCTV"}</definedName>
    <definedName name="afffgff" localSheetId="1" hidden="1">{#N/A,#N/A,FALSE,"CCTV"}</definedName>
    <definedName name="afffgff" localSheetId="2" hidden="1">{#N/A,#N/A,FALSE,"CCTV"}</definedName>
    <definedName name="afffgff" localSheetId="4" hidden="1">{#N/A,#N/A,FALSE,"CCTV"}</definedName>
    <definedName name="afffgff" localSheetId="19" hidden="1">{#N/A,#N/A,FALSE,"CCTV"}</definedName>
    <definedName name="afffgff" localSheetId="10" hidden="1">{#N/A,#N/A,FALSE,"CCTV"}</definedName>
    <definedName name="afffgff" localSheetId="9" hidden="1">{#N/A,#N/A,FALSE,"CCTV"}</definedName>
    <definedName name="afffgff" localSheetId="8" hidden="1">{#N/A,#N/A,FALSE,"CCTV"}</definedName>
    <definedName name="afffgff" localSheetId="3" hidden="1">{#N/A,#N/A,FALSE,"CCTV"}</definedName>
    <definedName name="afffgff" localSheetId="6" hidden="1">{#N/A,#N/A,FALSE,"CCTV"}</definedName>
    <definedName name="afffgff" localSheetId="7" hidden="1">{#N/A,#N/A,FALSE,"CCTV"}</definedName>
    <definedName name="afffgff" localSheetId="5" hidden="1">{#N/A,#N/A,FALSE,"CCTV"}</definedName>
    <definedName name="afffgff" hidden="1">{#N/A,#N/A,FALSE,"CCTV"}</definedName>
    <definedName name="AFSAFS" localSheetId="18" hidden="1">{#N/A,#N/A,FALSE,"표지목차"}</definedName>
    <definedName name="AFSAFS" hidden="1">{#N/A,#N/A,FALSE,"표지목차"}</definedName>
    <definedName name="AFSAFSA" localSheetId="18" hidden="1">{#N/A,#N/A,FALSE,"이정표"}</definedName>
    <definedName name="AFSAFSA" hidden="1">{#N/A,#N/A,FALSE,"이정표"}</definedName>
    <definedName name="AFSAFSAF" localSheetId="18" hidden="1">{#N/A,#N/A,FALSE,"운반시간"}</definedName>
    <definedName name="AFSAFSAF" hidden="1">{#N/A,#N/A,FALSE,"운반시간"}</definedName>
    <definedName name="AFSDAFSA" localSheetId="18" hidden="1">{#N/A,#N/A,FALSE,"속도"}</definedName>
    <definedName name="AFSDAFSA" hidden="1">{#N/A,#N/A,FALSE,"속도"}</definedName>
    <definedName name="AFSSAFSAFSAFSAFSAD" localSheetId="18" hidden="1">{#N/A,#N/A,FALSE,"배수1"}</definedName>
    <definedName name="AFSSAFSAFSAFSAFSAD" hidden="1">{#N/A,#N/A,FALSE,"배수1"}</definedName>
    <definedName name="agfg" localSheetId="18" hidden="1">{"'장비'!$A$3:$M$12"}</definedName>
    <definedName name="agfg" hidden="1">{"'장비'!$A$3:$M$12"}</definedName>
    <definedName name="AH" localSheetId="18" hidden="1">{#N/A,#N/A,FALSE,"CCTV"}</definedName>
    <definedName name="AH" hidden="1">{#N/A,#N/A,FALSE,"CCTV"}</definedName>
    <definedName name="ahole">#REF!</definedName>
    <definedName name="air_trap">#REF!</definedName>
    <definedName name="ajartjr">#REF!</definedName>
    <definedName name="AL">[37]작성기준!$C$21</definedName>
    <definedName name="aLKFJFH" localSheetId="18" hidden="1">{#N/A,#N/A,FALSE,"CCTV"}</definedName>
    <definedName name="aLKFJFH" hidden="1">{#N/A,#N/A,FALSE,"CCTV"}</definedName>
    <definedName name="All_Item">#REF!</definedName>
    <definedName name="ALPIN">#N/A</definedName>
    <definedName name="ALPJYOU">#N/A</definedName>
    <definedName name="ALPTOI">#N/A</definedName>
    <definedName name="Alto_coducto">#REF!</definedName>
    <definedName name="Alto_nominal_coducto">#REF!</definedName>
    <definedName name="AmbP">#REF!</definedName>
    <definedName name="amit" localSheetId="18" hidden="1">{"Cost Summary",#N/A,FALSE,"B";"Cost Detail 1",#N/A,FALSE,"C";"Cost Detail 2",#N/A,FALSE,"C"}</definedName>
    <definedName name="amit" hidden="1">{"Cost Summary",#N/A,FALSE,"B";"Cost Detail 1",#N/A,FALSE,"C";"Cost Detail 2",#N/A,FALSE,"C"}</definedName>
    <definedName name="amoi" localSheetId="18" hidden="1">{"'Sheet1'!$L$16"}</definedName>
    <definedName name="amoi" localSheetId="11" hidden="1">{"'Sheet1'!$L$16"}</definedName>
    <definedName name="amoi" localSheetId="1" hidden="1">{"'Sheet1'!$L$16"}</definedName>
    <definedName name="amoi" localSheetId="2" hidden="1">{"'Sheet1'!$L$16"}</definedName>
    <definedName name="amoi" localSheetId="12" hidden="1">{"'Sheet1'!$L$16"}</definedName>
    <definedName name="amoi" localSheetId="4" hidden="1">{"'Sheet1'!$L$16"}</definedName>
    <definedName name="amoi" localSheetId="19" hidden="1">{"'Sheet1'!$L$16"}</definedName>
    <definedName name="amoi" localSheetId="10" hidden="1">{"'Sheet1'!$L$16"}</definedName>
    <definedName name="amoi" localSheetId="9" hidden="1">{"'Sheet1'!$L$16"}</definedName>
    <definedName name="amoi" localSheetId="8" hidden="1">{"'Sheet1'!$L$16"}</definedName>
    <definedName name="amoi" localSheetId="3" hidden="1">{"'Sheet1'!$L$16"}</definedName>
    <definedName name="amoi" localSheetId="6" hidden="1">{"'Sheet1'!$L$16"}</definedName>
    <definedName name="amoi" localSheetId="7" hidden="1">{"'Sheet1'!$L$16"}</definedName>
    <definedName name="amoi" localSheetId="5" hidden="1">{"'Sheet1'!$L$16"}</definedName>
    <definedName name="amoi" localSheetId="13" hidden="1">{"'Sheet1'!$L$16"}</definedName>
    <definedName name="amoi" hidden="1">{"'Sheet1'!$L$16"}</definedName>
    <definedName name="an">#REF!</definedName>
    <definedName name="Ancho_conducto">#REF!</definedName>
    <definedName name="Ancho_nominal_conducto">#REF!</definedName>
    <definedName name="AnchoConducto">#REF!</definedName>
    <definedName name="Anhängelast">#REF!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LC">#REF!</definedName>
    <definedName name="ANTLC_1">#REF!</definedName>
    <definedName name="ANTLC_2">#REF!</definedName>
    <definedName name="Antoan" localSheetId="18" hidden="1">{"'Sheet1'!$L$16"}</definedName>
    <definedName name="Antoan" localSheetId="11" hidden="1">{"'Sheet1'!$L$16"}</definedName>
    <definedName name="Antoan" localSheetId="1" hidden="1">{"'Sheet1'!$L$16"}</definedName>
    <definedName name="Antoan" localSheetId="2" hidden="1">{"'Sheet1'!$L$16"}</definedName>
    <definedName name="Antoan" localSheetId="12" hidden="1">{"'Sheet1'!$L$16"}</definedName>
    <definedName name="Antoan" localSheetId="4" hidden="1">{"'Sheet1'!$L$16"}</definedName>
    <definedName name="Antoan" localSheetId="19" hidden="1">{"'Sheet1'!$L$16"}</definedName>
    <definedName name="Antoan" localSheetId="10" hidden="1">{"'Sheet1'!$L$16"}</definedName>
    <definedName name="Antoan" localSheetId="9" hidden="1">{"'Sheet1'!$L$16"}</definedName>
    <definedName name="Antoan" localSheetId="8" hidden="1">{"'Sheet1'!$L$16"}</definedName>
    <definedName name="Antoan" localSheetId="3" hidden="1">{"'Sheet1'!$L$16"}</definedName>
    <definedName name="Antoan" localSheetId="6" hidden="1">{"'Sheet1'!$L$16"}</definedName>
    <definedName name="Antoan" localSheetId="7" hidden="1">{"'Sheet1'!$L$16"}</definedName>
    <definedName name="Antoan" localSheetId="5" hidden="1">{"'Sheet1'!$L$16"}</definedName>
    <definedName name="Antoan" localSheetId="13" hidden="1">{"'Sheet1'!$L$16"}</definedName>
    <definedName name="Antoan" hidden="1">{"'Sheet1'!$L$16"}</definedName>
    <definedName name="ANTS">#REF!</definedName>
    <definedName name="ANTS_1">#REF!</definedName>
    <definedName name="ANTS_2">#REF!</definedName>
    <definedName name="AppType">#REF!</definedName>
    <definedName name="aq" localSheetId="1">#REF!</definedName>
    <definedName name="aq" localSheetId="2">#REF!</definedName>
    <definedName name="aq" localSheetId="4">#REF!</definedName>
    <definedName name="aq" localSheetId="19">#REF!</definedName>
    <definedName name="aq" localSheetId="10">#REF!</definedName>
    <definedName name="aq" localSheetId="9">#REF!</definedName>
    <definedName name="aq" localSheetId="8">#REF!</definedName>
    <definedName name="aq" localSheetId="3">#REF!</definedName>
    <definedName name="aq" localSheetId="6">#REF!</definedName>
    <definedName name="aq" localSheetId="7">#REF!</definedName>
    <definedName name="aq" localSheetId="5">#REF!</definedName>
    <definedName name="aq" hidden="1">1</definedName>
    <definedName name="AQE" localSheetId="18" hidden="1">{"'장비'!$A$3:$M$12"}</definedName>
    <definedName name="AQE" hidden="1">{"'장비'!$A$3:$M$12"}</definedName>
    <definedName name="AQW" localSheetId="18" hidden="1">{#N/A,#N/A,FALSE,"CCTV"}</definedName>
    <definedName name="AQW" hidden="1">{#N/A,#N/A,FALSE,"CCTV"}</definedName>
    <definedName name="AQ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18" hidden="1">{#N/A,#N/A,FALSE,"Mhr_Sum"}</definedName>
    <definedName name="ar" hidden="1">{#N/A,#N/A,FALSE,"Mhr_Sum"}</definedName>
    <definedName name="AREA_SORT">#REF!</definedName>
    <definedName name="area1" localSheetId="18" hidden="1">{#N/A,#N/A,TRUE,"Basic";#N/A,#N/A,TRUE,"EXT-TABLE";#N/A,#N/A,TRUE,"STEEL";#N/A,#N/A,TRUE,"INT-Table";#N/A,#N/A,TRUE,"STEEL";#N/A,#N/A,TRUE,"Door"}</definedName>
    <definedName name="area1" hidden="1">{#N/A,#N/A,TRUE,"Basic";#N/A,#N/A,TRUE,"EXT-TABLE";#N/A,#N/A,TRUE,"STEEL";#N/A,#N/A,TRUE,"INT-Table";#N/A,#N/A,TRUE,"STEEL";#N/A,#N/A,TRUE,"Door"}</definedName>
    <definedName name="area1_1" localSheetId="18" hidden="1">{#N/A,#N/A,TRUE,"Basic";#N/A,#N/A,TRUE,"EXT-TABLE";#N/A,#N/A,TRUE,"STEEL";#N/A,#N/A,TRUE,"INT-Table";#N/A,#N/A,TRUE,"STEEL";#N/A,#N/A,TRUE,"Door"}</definedName>
    <definedName name="area1_1" hidden="1">{#N/A,#N/A,TRUE,"Basic";#N/A,#N/A,TRUE,"EXT-TABLE";#N/A,#N/A,TRUE,"STEEL";#N/A,#N/A,TRUE,"INT-Table";#N/A,#N/A,TRUE,"STEEL";#N/A,#N/A,TRUE,"Door"}</definedName>
    <definedName name="area1_1_1" localSheetId="18" hidden="1">{#N/A,#N/A,TRUE,"Basic";#N/A,#N/A,TRUE,"EXT-TABLE";#N/A,#N/A,TRUE,"STEEL";#N/A,#N/A,TRUE,"INT-Table";#N/A,#N/A,TRUE,"STEEL";#N/A,#N/A,TRUE,"Door"}</definedName>
    <definedName name="area1_1_1" hidden="1">{#N/A,#N/A,TRUE,"Basic";#N/A,#N/A,TRUE,"EXT-TABLE";#N/A,#N/A,TRUE,"STEEL";#N/A,#N/A,TRUE,"INT-Table";#N/A,#N/A,TRUE,"STEEL";#N/A,#N/A,TRUE,"Door"}</definedName>
    <definedName name="area1_1_2" localSheetId="18" hidden="1">{#N/A,#N/A,TRUE,"Basic";#N/A,#N/A,TRUE,"EXT-TABLE";#N/A,#N/A,TRUE,"STEEL";#N/A,#N/A,TRUE,"INT-Table";#N/A,#N/A,TRUE,"STEEL";#N/A,#N/A,TRUE,"Door"}</definedName>
    <definedName name="area1_1_2" hidden="1">{#N/A,#N/A,TRUE,"Basic";#N/A,#N/A,TRUE,"EXT-TABLE";#N/A,#N/A,TRUE,"STEEL";#N/A,#N/A,TRUE,"INT-Table";#N/A,#N/A,TRUE,"STEEL";#N/A,#N/A,TRUE,"Door"}</definedName>
    <definedName name="area1_2" localSheetId="18" hidden="1">{#N/A,#N/A,TRUE,"Basic";#N/A,#N/A,TRUE,"EXT-TABLE";#N/A,#N/A,TRUE,"STEEL";#N/A,#N/A,TRUE,"INT-Table";#N/A,#N/A,TRUE,"STEEL";#N/A,#N/A,TRUE,"Door"}</definedName>
    <definedName name="area1_2" hidden="1">{#N/A,#N/A,TRUE,"Basic";#N/A,#N/A,TRUE,"EXT-TABLE";#N/A,#N/A,TRUE,"STEEL";#N/A,#N/A,TRUE,"INT-Table";#N/A,#N/A,TRUE,"STEEL";#N/A,#N/A,TRUE,"Door"}</definedName>
    <definedName name="area1_2_1" localSheetId="18" hidden="1">{#N/A,#N/A,TRUE,"Basic";#N/A,#N/A,TRUE,"EXT-TABLE";#N/A,#N/A,TRUE,"STEEL";#N/A,#N/A,TRUE,"INT-Table";#N/A,#N/A,TRUE,"STEEL";#N/A,#N/A,TRUE,"Door"}</definedName>
    <definedName name="area1_2_1" hidden="1">{#N/A,#N/A,TRUE,"Basic";#N/A,#N/A,TRUE,"EXT-TABLE";#N/A,#N/A,TRUE,"STEEL";#N/A,#N/A,TRUE,"INT-Table";#N/A,#N/A,TRUE,"STEEL";#N/A,#N/A,TRUE,"Door"}</definedName>
    <definedName name="area1_2_2" localSheetId="18" hidden="1">{#N/A,#N/A,TRUE,"Basic";#N/A,#N/A,TRUE,"EXT-TABLE";#N/A,#N/A,TRUE,"STEEL";#N/A,#N/A,TRUE,"INT-Table";#N/A,#N/A,TRUE,"STEEL";#N/A,#N/A,TRUE,"Door"}</definedName>
    <definedName name="area1_2_2" hidden="1">{#N/A,#N/A,TRUE,"Basic";#N/A,#N/A,TRUE,"EXT-TABLE";#N/A,#N/A,TRUE,"STEEL";#N/A,#N/A,TRUE,"INT-Table";#N/A,#N/A,TRUE,"STEEL";#N/A,#N/A,TRUE,"Door"}</definedName>
    <definedName name="area1_3" localSheetId="18" hidden="1">{#N/A,#N/A,TRUE,"Basic";#N/A,#N/A,TRUE,"EXT-TABLE";#N/A,#N/A,TRUE,"STEEL";#N/A,#N/A,TRUE,"INT-Table";#N/A,#N/A,TRUE,"STEEL";#N/A,#N/A,TRUE,"Door"}</definedName>
    <definedName name="area1_3" hidden="1">{#N/A,#N/A,TRUE,"Basic";#N/A,#N/A,TRUE,"EXT-TABLE";#N/A,#N/A,TRUE,"STEEL";#N/A,#N/A,TRUE,"INT-Table";#N/A,#N/A,TRUE,"STEEL";#N/A,#N/A,TRUE,"Door"}</definedName>
    <definedName name="area1_3_1" localSheetId="18" hidden="1">{#N/A,#N/A,TRUE,"Basic";#N/A,#N/A,TRUE,"EXT-TABLE";#N/A,#N/A,TRUE,"STEEL";#N/A,#N/A,TRUE,"INT-Table";#N/A,#N/A,TRUE,"STEEL";#N/A,#N/A,TRUE,"Door"}</definedName>
    <definedName name="area1_3_1" hidden="1">{#N/A,#N/A,TRUE,"Basic";#N/A,#N/A,TRUE,"EXT-TABLE";#N/A,#N/A,TRUE,"STEEL";#N/A,#N/A,TRUE,"INT-Table";#N/A,#N/A,TRUE,"STEEL";#N/A,#N/A,TRUE,"Door"}</definedName>
    <definedName name="area1_3_2" localSheetId="18" hidden="1">{#N/A,#N/A,TRUE,"Basic";#N/A,#N/A,TRUE,"EXT-TABLE";#N/A,#N/A,TRUE,"STEEL";#N/A,#N/A,TRUE,"INT-Table";#N/A,#N/A,TRUE,"STEEL";#N/A,#N/A,TRUE,"Door"}</definedName>
    <definedName name="area1_3_2" hidden="1">{#N/A,#N/A,TRUE,"Basic";#N/A,#N/A,TRUE,"EXT-TABLE";#N/A,#N/A,TRUE,"STEEL";#N/A,#N/A,TRUE,"INT-Table";#N/A,#N/A,TRUE,"STEEL";#N/A,#N/A,TRUE,"Door"}</definedName>
    <definedName name="area1_4" localSheetId="18" hidden="1">{#N/A,#N/A,TRUE,"Basic";#N/A,#N/A,TRUE,"EXT-TABLE";#N/A,#N/A,TRUE,"STEEL";#N/A,#N/A,TRUE,"INT-Table";#N/A,#N/A,TRUE,"STEEL";#N/A,#N/A,TRUE,"Door"}</definedName>
    <definedName name="area1_4" hidden="1">{#N/A,#N/A,TRUE,"Basic";#N/A,#N/A,TRUE,"EXT-TABLE";#N/A,#N/A,TRUE,"STEEL";#N/A,#N/A,TRUE,"INT-Table";#N/A,#N/A,TRUE,"STEEL";#N/A,#N/A,TRUE,"Door"}</definedName>
    <definedName name="area1_4_1" localSheetId="18" hidden="1">{#N/A,#N/A,TRUE,"Basic";#N/A,#N/A,TRUE,"EXT-TABLE";#N/A,#N/A,TRUE,"STEEL";#N/A,#N/A,TRUE,"INT-Table";#N/A,#N/A,TRUE,"STEEL";#N/A,#N/A,TRUE,"Door"}</definedName>
    <definedName name="area1_4_1" hidden="1">{#N/A,#N/A,TRUE,"Basic";#N/A,#N/A,TRUE,"EXT-TABLE";#N/A,#N/A,TRUE,"STEEL";#N/A,#N/A,TRUE,"INT-Table";#N/A,#N/A,TRUE,"STEEL";#N/A,#N/A,TRUE,"Door"}</definedName>
    <definedName name="area1_4_2" localSheetId="18" hidden="1">{#N/A,#N/A,TRUE,"Basic";#N/A,#N/A,TRUE,"EXT-TABLE";#N/A,#N/A,TRUE,"STEEL";#N/A,#N/A,TRUE,"INT-Table";#N/A,#N/A,TRUE,"STEEL";#N/A,#N/A,TRUE,"Door"}</definedName>
    <definedName name="area1_4_2" hidden="1">{#N/A,#N/A,TRUE,"Basic";#N/A,#N/A,TRUE,"EXT-TABLE";#N/A,#N/A,TRUE,"STEEL";#N/A,#N/A,TRUE,"INT-Table";#N/A,#N/A,TRUE,"STEEL";#N/A,#N/A,TRUE,"Door"}</definedName>
    <definedName name="area1_5" localSheetId="18" hidden="1">{#N/A,#N/A,TRUE,"Basic";#N/A,#N/A,TRUE,"EXT-TABLE";#N/A,#N/A,TRUE,"STEEL";#N/A,#N/A,TRUE,"INT-Table";#N/A,#N/A,TRUE,"STEEL";#N/A,#N/A,TRUE,"Door"}</definedName>
    <definedName name="area1_5" hidden="1">{#N/A,#N/A,TRUE,"Basic";#N/A,#N/A,TRUE,"EXT-TABLE";#N/A,#N/A,TRUE,"STEEL";#N/A,#N/A,TRUE,"INT-Table";#N/A,#N/A,TRUE,"STEEL";#N/A,#N/A,TRUE,"Door"}</definedName>
    <definedName name="area1_5_1" localSheetId="18" hidden="1">{#N/A,#N/A,TRUE,"Basic";#N/A,#N/A,TRUE,"EXT-TABLE";#N/A,#N/A,TRUE,"STEEL";#N/A,#N/A,TRUE,"INT-Table";#N/A,#N/A,TRUE,"STEEL";#N/A,#N/A,TRUE,"Door"}</definedName>
    <definedName name="area1_5_1" hidden="1">{#N/A,#N/A,TRUE,"Basic";#N/A,#N/A,TRUE,"EXT-TABLE";#N/A,#N/A,TRUE,"STEEL";#N/A,#N/A,TRUE,"INT-Table";#N/A,#N/A,TRUE,"STEEL";#N/A,#N/A,TRUE,"Door"}</definedName>
    <definedName name="area1_5_2" localSheetId="18" hidden="1">{#N/A,#N/A,TRUE,"Basic";#N/A,#N/A,TRUE,"EXT-TABLE";#N/A,#N/A,TRUE,"STEEL";#N/A,#N/A,TRUE,"INT-Table";#N/A,#N/A,TRUE,"STEEL";#N/A,#N/A,TRUE,"Door"}</definedName>
    <definedName name="area1_5_2" hidden="1">{#N/A,#N/A,TRUE,"Basic";#N/A,#N/A,TRUE,"EXT-TABLE";#N/A,#N/A,TRUE,"STEEL";#N/A,#N/A,TRUE,"INT-Table";#N/A,#N/A,TRUE,"STEEL";#N/A,#N/A,TRUE,"Door"}</definedName>
    <definedName name="Arial">#REF!</definedName>
    <definedName name="ARPASEVAN" localSheetId="18" hidden="1">{#N/A,#N/A,FALSE,"CCTV"}</definedName>
    <definedName name="ARPASEVAN" hidden="1">{#N/A,#N/A,FALSE,"CCTV"}</definedName>
    <definedName name="ars" localSheetId="18" hidden="1">{#N/A,#N/A,TRUE,"Mhr_Sum"}</definedName>
    <definedName name="ars" hidden="1">{#N/A,#N/A,TRUE,"Mhr_Sum"}</definedName>
    <definedName name="Artikel">#REF!</definedName>
    <definedName name="as" localSheetId="11" hidden="1">'[38]Cashflow Analysis'!#REF!</definedName>
    <definedName name="as" localSheetId="1" hidden="1">'[38]Cashflow Analysis'!#REF!</definedName>
    <definedName name="as" localSheetId="2" hidden="1">'[38]Cashflow Analysis'!#REF!</definedName>
    <definedName name="as" localSheetId="4" hidden="1">'[38]Cashflow Analysis'!#REF!</definedName>
    <definedName name="as" localSheetId="19" hidden="1">'[38]Cashflow Analysis'!#REF!</definedName>
    <definedName name="as" localSheetId="10" hidden="1">'[38]Cashflow Analysis'!#REF!</definedName>
    <definedName name="as" localSheetId="9" hidden="1">'[38]Cashflow Analysis'!#REF!</definedName>
    <definedName name="as" localSheetId="8" hidden="1">'[38]Cashflow Analysis'!#REF!</definedName>
    <definedName name="as" localSheetId="3" hidden="1">'[38]Cashflow Analysis'!#REF!</definedName>
    <definedName name="as" localSheetId="6" hidden="1">'[38]Cashflow Analysis'!#REF!</definedName>
    <definedName name="as" localSheetId="7" hidden="1">'[38]Cashflow Analysis'!#REF!</definedName>
    <definedName name="as" localSheetId="5" hidden="1">'[38]Cashflow Analysis'!#REF!</definedName>
    <definedName name="as" hidden="1">#REF!</definedName>
    <definedName name="AS2DocOpenMode" hidden="1">"AS2DocumentEdit"</definedName>
    <definedName name="AS2ReportLS" hidden="1">1</definedName>
    <definedName name="AS2SyncStepLS" hidden="1">0</definedName>
    <definedName name="AS2TickmarkLS" localSheetId="12">#REF!</definedName>
    <definedName name="AS2TickmarkLS" localSheetId="13">#REF!</definedName>
    <definedName name="AS2TickmarkLS">#REF!</definedName>
    <definedName name="AS2VersionLS" hidden="1">300</definedName>
    <definedName name="asas" localSheetId="18" hidden="1">{#N/A,#N/A,TRUE,"Basic";#N/A,#N/A,TRUE,"EXT-TABLE";#N/A,#N/A,TRUE,"STEEL";#N/A,#N/A,TRUE,"INT-Table";#N/A,#N/A,TRUE,"STEEL";#N/A,#N/A,TRUE,"Door"}</definedName>
    <definedName name="asas" hidden="1">{#N/A,#N/A,TRUE,"Basic";#N/A,#N/A,TRUE,"EXT-TABLE";#N/A,#N/A,TRUE,"STEEL";#N/A,#N/A,TRUE,"INT-Table";#N/A,#N/A,TRUE,"STEEL";#N/A,#N/A,TRUE,"Door"}</definedName>
    <definedName name="asas_1" localSheetId="18" hidden="1">{#N/A,#N/A,TRUE,"Basic";#N/A,#N/A,TRUE,"EXT-TABLE";#N/A,#N/A,TRUE,"STEEL";#N/A,#N/A,TRUE,"INT-Table";#N/A,#N/A,TRUE,"STEEL";#N/A,#N/A,TRUE,"Door"}</definedName>
    <definedName name="asas_1" hidden="1">{#N/A,#N/A,TRUE,"Basic";#N/A,#N/A,TRUE,"EXT-TABLE";#N/A,#N/A,TRUE,"STEEL";#N/A,#N/A,TRUE,"INT-Table";#N/A,#N/A,TRUE,"STEEL";#N/A,#N/A,TRUE,"Door"}</definedName>
    <definedName name="asas_1_1" localSheetId="18" hidden="1">{#N/A,#N/A,TRUE,"Basic";#N/A,#N/A,TRUE,"EXT-TABLE";#N/A,#N/A,TRUE,"STEEL";#N/A,#N/A,TRUE,"INT-Table";#N/A,#N/A,TRUE,"STEEL";#N/A,#N/A,TRUE,"Door"}</definedName>
    <definedName name="asas_1_1" hidden="1">{#N/A,#N/A,TRUE,"Basic";#N/A,#N/A,TRUE,"EXT-TABLE";#N/A,#N/A,TRUE,"STEEL";#N/A,#N/A,TRUE,"INT-Table";#N/A,#N/A,TRUE,"STEEL";#N/A,#N/A,TRUE,"Door"}</definedName>
    <definedName name="asas_1_2" localSheetId="18" hidden="1">{#N/A,#N/A,TRUE,"Basic";#N/A,#N/A,TRUE,"EXT-TABLE";#N/A,#N/A,TRUE,"STEEL";#N/A,#N/A,TRUE,"INT-Table";#N/A,#N/A,TRUE,"STEEL";#N/A,#N/A,TRUE,"Door"}</definedName>
    <definedName name="asas_1_2" hidden="1">{#N/A,#N/A,TRUE,"Basic";#N/A,#N/A,TRUE,"EXT-TABLE";#N/A,#N/A,TRUE,"STEEL";#N/A,#N/A,TRUE,"INT-Table";#N/A,#N/A,TRUE,"STEEL";#N/A,#N/A,TRUE,"Door"}</definedName>
    <definedName name="asas_2" localSheetId="18" hidden="1">{#N/A,#N/A,TRUE,"Basic";#N/A,#N/A,TRUE,"EXT-TABLE";#N/A,#N/A,TRUE,"STEEL";#N/A,#N/A,TRUE,"INT-Table";#N/A,#N/A,TRUE,"STEEL";#N/A,#N/A,TRUE,"Door"}</definedName>
    <definedName name="asas_2" hidden="1">{#N/A,#N/A,TRUE,"Basic";#N/A,#N/A,TRUE,"EXT-TABLE";#N/A,#N/A,TRUE,"STEEL";#N/A,#N/A,TRUE,"INT-Table";#N/A,#N/A,TRUE,"STEEL";#N/A,#N/A,TRUE,"Door"}</definedName>
    <definedName name="asas_2_1" localSheetId="18" hidden="1">{#N/A,#N/A,TRUE,"Basic";#N/A,#N/A,TRUE,"EXT-TABLE";#N/A,#N/A,TRUE,"STEEL";#N/A,#N/A,TRUE,"INT-Table";#N/A,#N/A,TRUE,"STEEL";#N/A,#N/A,TRUE,"Door"}</definedName>
    <definedName name="asas_2_1" hidden="1">{#N/A,#N/A,TRUE,"Basic";#N/A,#N/A,TRUE,"EXT-TABLE";#N/A,#N/A,TRUE,"STEEL";#N/A,#N/A,TRUE,"INT-Table";#N/A,#N/A,TRUE,"STEEL";#N/A,#N/A,TRUE,"Door"}</definedName>
    <definedName name="asas_2_2" localSheetId="18" hidden="1">{#N/A,#N/A,TRUE,"Basic";#N/A,#N/A,TRUE,"EXT-TABLE";#N/A,#N/A,TRUE,"STEEL";#N/A,#N/A,TRUE,"INT-Table";#N/A,#N/A,TRUE,"STEEL";#N/A,#N/A,TRUE,"Door"}</definedName>
    <definedName name="asas_2_2" hidden="1">{#N/A,#N/A,TRUE,"Basic";#N/A,#N/A,TRUE,"EXT-TABLE";#N/A,#N/A,TRUE,"STEEL";#N/A,#N/A,TRUE,"INT-Table";#N/A,#N/A,TRUE,"STEEL";#N/A,#N/A,TRUE,"Door"}</definedName>
    <definedName name="asas_3" localSheetId="18" hidden="1">{#N/A,#N/A,TRUE,"Basic";#N/A,#N/A,TRUE,"EXT-TABLE";#N/A,#N/A,TRUE,"STEEL";#N/A,#N/A,TRUE,"INT-Table";#N/A,#N/A,TRUE,"STEEL";#N/A,#N/A,TRUE,"Door"}</definedName>
    <definedName name="asas_3" hidden="1">{#N/A,#N/A,TRUE,"Basic";#N/A,#N/A,TRUE,"EXT-TABLE";#N/A,#N/A,TRUE,"STEEL";#N/A,#N/A,TRUE,"INT-Table";#N/A,#N/A,TRUE,"STEEL";#N/A,#N/A,TRUE,"Door"}</definedName>
    <definedName name="asas_3_1" localSheetId="18" hidden="1">{#N/A,#N/A,TRUE,"Basic";#N/A,#N/A,TRUE,"EXT-TABLE";#N/A,#N/A,TRUE,"STEEL";#N/A,#N/A,TRUE,"INT-Table";#N/A,#N/A,TRUE,"STEEL";#N/A,#N/A,TRUE,"Door"}</definedName>
    <definedName name="asas_3_1" hidden="1">{#N/A,#N/A,TRUE,"Basic";#N/A,#N/A,TRUE,"EXT-TABLE";#N/A,#N/A,TRUE,"STEEL";#N/A,#N/A,TRUE,"INT-Table";#N/A,#N/A,TRUE,"STEEL";#N/A,#N/A,TRUE,"Door"}</definedName>
    <definedName name="asas_3_2" localSheetId="18" hidden="1">{#N/A,#N/A,TRUE,"Basic";#N/A,#N/A,TRUE,"EXT-TABLE";#N/A,#N/A,TRUE,"STEEL";#N/A,#N/A,TRUE,"INT-Table";#N/A,#N/A,TRUE,"STEEL";#N/A,#N/A,TRUE,"Door"}</definedName>
    <definedName name="asas_3_2" hidden="1">{#N/A,#N/A,TRUE,"Basic";#N/A,#N/A,TRUE,"EXT-TABLE";#N/A,#N/A,TRUE,"STEEL";#N/A,#N/A,TRUE,"INT-Table";#N/A,#N/A,TRUE,"STEEL";#N/A,#N/A,TRUE,"Door"}</definedName>
    <definedName name="asas_4" localSheetId="18" hidden="1">{#N/A,#N/A,TRUE,"Basic";#N/A,#N/A,TRUE,"EXT-TABLE";#N/A,#N/A,TRUE,"STEEL";#N/A,#N/A,TRUE,"INT-Table";#N/A,#N/A,TRUE,"STEEL";#N/A,#N/A,TRUE,"Door"}</definedName>
    <definedName name="asas_4" hidden="1">{#N/A,#N/A,TRUE,"Basic";#N/A,#N/A,TRUE,"EXT-TABLE";#N/A,#N/A,TRUE,"STEEL";#N/A,#N/A,TRUE,"INT-Table";#N/A,#N/A,TRUE,"STEEL";#N/A,#N/A,TRUE,"Door"}</definedName>
    <definedName name="asas_4_1" localSheetId="18" hidden="1">{#N/A,#N/A,TRUE,"Basic";#N/A,#N/A,TRUE,"EXT-TABLE";#N/A,#N/A,TRUE,"STEEL";#N/A,#N/A,TRUE,"INT-Table";#N/A,#N/A,TRUE,"STEEL";#N/A,#N/A,TRUE,"Door"}</definedName>
    <definedName name="asas_4_1" hidden="1">{#N/A,#N/A,TRUE,"Basic";#N/A,#N/A,TRUE,"EXT-TABLE";#N/A,#N/A,TRUE,"STEEL";#N/A,#N/A,TRUE,"INT-Table";#N/A,#N/A,TRUE,"STEEL";#N/A,#N/A,TRUE,"Door"}</definedName>
    <definedName name="asas_4_2" localSheetId="18" hidden="1">{#N/A,#N/A,TRUE,"Basic";#N/A,#N/A,TRUE,"EXT-TABLE";#N/A,#N/A,TRUE,"STEEL";#N/A,#N/A,TRUE,"INT-Table";#N/A,#N/A,TRUE,"STEEL";#N/A,#N/A,TRUE,"Door"}</definedName>
    <definedName name="asas_4_2" hidden="1">{#N/A,#N/A,TRUE,"Basic";#N/A,#N/A,TRUE,"EXT-TABLE";#N/A,#N/A,TRUE,"STEEL";#N/A,#N/A,TRUE,"INT-Table";#N/A,#N/A,TRUE,"STEEL";#N/A,#N/A,TRUE,"Door"}</definedName>
    <definedName name="asas_5" localSheetId="18" hidden="1">{#N/A,#N/A,TRUE,"Basic";#N/A,#N/A,TRUE,"EXT-TABLE";#N/A,#N/A,TRUE,"STEEL";#N/A,#N/A,TRUE,"INT-Table";#N/A,#N/A,TRUE,"STEEL";#N/A,#N/A,TRUE,"Door"}</definedName>
    <definedName name="asas_5" hidden="1">{#N/A,#N/A,TRUE,"Basic";#N/A,#N/A,TRUE,"EXT-TABLE";#N/A,#N/A,TRUE,"STEEL";#N/A,#N/A,TRUE,"INT-Table";#N/A,#N/A,TRUE,"STEEL";#N/A,#N/A,TRUE,"Door"}</definedName>
    <definedName name="asas_5_1" localSheetId="18" hidden="1">{#N/A,#N/A,TRUE,"Basic";#N/A,#N/A,TRUE,"EXT-TABLE";#N/A,#N/A,TRUE,"STEEL";#N/A,#N/A,TRUE,"INT-Table";#N/A,#N/A,TRUE,"STEEL";#N/A,#N/A,TRUE,"Door"}</definedName>
    <definedName name="asas_5_1" hidden="1">{#N/A,#N/A,TRUE,"Basic";#N/A,#N/A,TRUE,"EXT-TABLE";#N/A,#N/A,TRUE,"STEEL";#N/A,#N/A,TRUE,"INT-Table";#N/A,#N/A,TRUE,"STEEL";#N/A,#N/A,TRUE,"Door"}</definedName>
    <definedName name="asas_5_2" localSheetId="18"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localSheetId="18" hidden="1">{#N/A,#N/A,TRUE,"Mhr_Sum"}</definedName>
    <definedName name="asd" localSheetId="1">#REF!</definedName>
    <definedName name="asd" localSheetId="2">#REF!</definedName>
    <definedName name="asd" localSheetId="4">#REF!</definedName>
    <definedName name="asd" localSheetId="19">#REF!</definedName>
    <definedName name="asd" localSheetId="10">#REF!</definedName>
    <definedName name="asd" localSheetId="9">#REF!</definedName>
    <definedName name="asd" localSheetId="8">#REF!</definedName>
    <definedName name="asd" localSheetId="3">#REF!</definedName>
    <definedName name="asd" localSheetId="6">#REF!</definedName>
    <definedName name="asd" localSheetId="7">#REF!</definedName>
    <definedName name="asd" localSheetId="5">#REF!</definedName>
    <definedName name="ASD" hidden="1">{#N/A,#N/A,TRUE,"Mhr_Sum"}</definedName>
    <definedName name="ASDA" localSheetId="18" hidden="1">{#N/A,#N/A,FALSE,"CCTV"}</definedName>
    <definedName name="ASDA" hidden="1">{#N/A,#N/A,FALSE,"CCTV"}</definedName>
    <definedName name="ASDASDASD" hidden="1">#REF!</definedName>
    <definedName name="asdcad" localSheetId="18" hidden="1">{#N/A,#N/A,FALSE,"CCTV"}</definedName>
    <definedName name="asdcad" hidden="1">{#N/A,#N/A,FALSE,"CCTV"}</definedName>
    <definedName name="Asdf" localSheetId="18" hidden="1">{"'장비'!$A$3:$M$12"}</definedName>
    <definedName name="asdf" localSheetId="1" hidden="1">{#N/A,#N/A,FALSE,"１）背景";#N/A,#N/A,FALSE,"２）前提事項";#N/A,#N/A,FALSE,"３）優先順位";#N/A,#N/A,FALSE,"４）改善サマリー";#N/A,#N/A,FALSE,"５）懸念-1";#N/A,#N/A,FALSE,"５）懸念-2";#N/A,#N/A,FALSE,"５）懸念-3";#N/A,#N/A,FALSE,"５）懸念-4";#N/A,#N/A,FALSE,"６）組織図";#N/A,#N/A,FALSE,"６）スケジュール"}</definedName>
    <definedName name="asdf" localSheetId="2" hidden="1">{#N/A,#N/A,FALSE,"１）背景";#N/A,#N/A,FALSE,"２）前提事項";#N/A,#N/A,FALSE,"３）優先順位";#N/A,#N/A,FALSE,"４）改善サマリー";#N/A,#N/A,FALSE,"５）懸念-1";#N/A,#N/A,FALSE,"５）懸念-2";#N/A,#N/A,FALSE,"５）懸念-3";#N/A,#N/A,FALSE,"５）懸念-4";#N/A,#N/A,FALSE,"６）組織図";#N/A,#N/A,FALSE,"６）スケジュール"}</definedName>
    <definedName name="asdf" localSheetId="4" hidden="1">{#N/A,#N/A,FALSE,"１）背景";#N/A,#N/A,FALSE,"２）前提事項";#N/A,#N/A,FALSE,"３）優先順位";#N/A,#N/A,FALSE,"４）改善サマリー";#N/A,#N/A,FALSE,"５）懸念-1";#N/A,#N/A,FALSE,"５）懸念-2";#N/A,#N/A,FALSE,"５）懸念-3";#N/A,#N/A,FALSE,"５）懸念-4";#N/A,#N/A,FALSE,"６）組織図";#N/A,#N/A,FALSE,"６）スケジュール"}</definedName>
    <definedName name="asdf" localSheetId="19" hidden="1">{#N/A,#N/A,FALSE,"１）背景";#N/A,#N/A,FALSE,"２）前提事項";#N/A,#N/A,FALSE,"３）優先順位";#N/A,#N/A,FALSE,"４）改善サマリー";#N/A,#N/A,FALSE,"５）懸念-1";#N/A,#N/A,FALSE,"５）懸念-2";#N/A,#N/A,FALSE,"５）懸念-3";#N/A,#N/A,FALSE,"５）懸念-4";#N/A,#N/A,FALSE,"６）組織図";#N/A,#N/A,FALSE,"６）スケジュール"}</definedName>
    <definedName name="asdf" localSheetId="10" hidden="1">{#N/A,#N/A,FALSE,"１）背景";#N/A,#N/A,FALSE,"２）前提事項";#N/A,#N/A,FALSE,"３）優先順位";#N/A,#N/A,FALSE,"４）改善サマリー";#N/A,#N/A,FALSE,"５）懸念-1";#N/A,#N/A,FALSE,"５）懸念-2";#N/A,#N/A,FALSE,"５）懸念-3";#N/A,#N/A,FALSE,"５）懸念-4";#N/A,#N/A,FALSE,"６）組織図";#N/A,#N/A,FALSE,"６）スケジュール"}</definedName>
    <definedName name="asdf" localSheetId="9" hidden="1">{#N/A,#N/A,FALSE,"１）背景";#N/A,#N/A,FALSE,"２）前提事項";#N/A,#N/A,FALSE,"３）優先順位";#N/A,#N/A,FALSE,"４）改善サマリー";#N/A,#N/A,FALSE,"５）懸念-1";#N/A,#N/A,FALSE,"５）懸念-2";#N/A,#N/A,FALSE,"５）懸念-3";#N/A,#N/A,FALSE,"５）懸念-4";#N/A,#N/A,FALSE,"６）組織図";#N/A,#N/A,FALSE,"６）スケジュール"}</definedName>
    <definedName name="asdf" localSheetId="8" hidden="1">{#N/A,#N/A,FALSE,"１）背景";#N/A,#N/A,FALSE,"２）前提事項";#N/A,#N/A,FALSE,"３）優先順位";#N/A,#N/A,FALSE,"４）改善サマリー";#N/A,#N/A,FALSE,"５）懸念-1";#N/A,#N/A,FALSE,"５）懸念-2";#N/A,#N/A,FALSE,"５）懸念-3";#N/A,#N/A,FALSE,"５）懸念-4";#N/A,#N/A,FALSE,"６）組織図";#N/A,#N/A,FALSE,"６）スケジュール"}</definedName>
    <definedName name="asdf" localSheetId="3" hidden="1">{#N/A,#N/A,FALSE,"１）背景";#N/A,#N/A,FALSE,"２）前提事項";#N/A,#N/A,FALSE,"３）優先順位";#N/A,#N/A,FALSE,"４）改善サマリー";#N/A,#N/A,FALSE,"５）懸念-1";#N/A,#N/A,FALSE,"５）懸念-2";#N/A,#N/A,FALSE,"５）懸念-3";#N/A,#N/A,FALSE,"５）懸念-4";#N/A,#N/A,FALSE,"６）組織図";#N/A,#N/A,FALSE,"６）スケジュール"}</definedName>
    <definedName name="asdf" localSheetId="6" hidden="1">{#N/A,#N/A,FALSE,"１）背景";#N/A,#N/A,FALSE,"２）前提事項";#N/A,#N/A,FALSE,"３）優先順位";#N/A,#N/A,FALSE,"４）改善サマリー";#N/A,#N/A,FALSE,"５）懸念-1";#N/A,#N/A,FALSE,"５）懸念-2";#N/A,#N/A,FALSE,"５）懸念-3";#N/A,#N/A,FALSE,"５）懸念-4";#N/A,#N/A,FALSE,"６）組織図";#N/A,#N/A,FALSE,"６）スケジュール"}</definedName>
    <definedName name="asdf" localSheetId="7" hidden="1">{#N/A,#N/A,FALSE,"１）背景";#N/A,#N/A,FALSE,"２）前提事項";#N/A,#N/A,FALSE,"３）優先順位";#N/A,#N/A,FALSE,"４）改善サマリー";#N/A,#N/A,FALSE,"５）懸念-1";#N/A,#N/A,FALSE,"５）懸念-2";#N/A,#N/A,FALSE,"５）懸念-3";#N/A,#N/A,FALSE,"５）懸念-4";#N/A,#N/A,FALSE,"６）組織図";#N/A,#N/A,FALSE,"６）スケジュール"}</definedName>
    <definedName name="asdf" localSheetId="5" hidden="1">{#N/A,#N/A,FALSE,"１）背景";#N/A,#N/A,FALSE,"２）前提事項";#N/A,#N/A,FALSE,"３）優先順位";#N/A,#N/A,FALSE,"４）改善サマリー";#N/A,#N/A,FALSE,"５）懸念-1";#N/A,#N/A,FALSE,"５）懸念-2";#N/A,#N/A,FALSE,"５）懸念-3";#N/A,#N/A,FALSE,"５）懸念-4";#N/A,#N/A,FALSE,"６）組織図";#N/A,#N/A,FALSE,"６）スケジュール"}</definedName>
    <definedName name="Asdf" hidden="1">{"'장비'!$A$3:$M$12"}</definedName>
    <definedName name="asdfc" localSheetId="18" hidden="1">{#N/A,#N/A,FALSE,"Vessel1 1";#N/A,#N/A,FALSE,"Vessel1 2";#N/A,#N/A,FALSE,"Vessel1 3";#N/A,#N/A,FALSE,"Vessel1 4";#N/A,#N/A,FALSE,"Vessel1 5";#N/A,#N/A,FALSE,"Vessel1 6";#N/A,#N/A,FALSE,"Vessel1 7";#N/A,#N/A,FALSE,"Vessel1 8";#N/A,#N/A,FALSE,"Vessel1 9";#N/A,#N/A,FALSE,"Vessel1 10";#N/A,#N/A,FALSE,"Vessel1 11"}</definedName>
    <definedName name="asdfc" hidden="1">{#N/A,#N/A,FALSE,"Vessel1 1";#N/A,#N/A,FALSE,"Vessel1 2";#N/A,#N/A,FALSE,"Vessel1 3";#N/A,#N/A,FALSE,"Vessel1 4";#N/A,#N/A,FALSE,"Vessel1 5";#N/A,#N/A,FALSE,"Vessel1 6";#N/A,#N/A,FALSE,"Vessel1 7";#N/A,#N/A,FALSE,"Vessel1 8";#N/A,#N/A,FALSE,"Vessel1 9";#N/A,#N/A,FALSE,"Vessel1 10";#N/A,#N/A,FALSE,"Vessel1 11"}</definedName>
    <definedName name="ASDFD" localSheetId="18" hidden="1">{#N/A,#N/A,FALSE,"CCTV"}</definedName>
    <definedName name="ASDFD" hidden="1">{#N/A,#N/A,FALSE,"CCTV"}</definedName>
    <definedName name="asdffgggh" localSheetId="16" hidden="1">{"'Sheet1'!$L$16"}</definedName>
    <definedName name="asdffgggh" localSheetId="18" hidden="1">{"'Sheet1'!$L$16"}</definedName>
    <definedName name="asdffgggh" localSheetId="11" hidden="1">{"'Sheet1'!$L$16"}</definedName>
    <definedName name="asdffgggh" localSheetId="1" hidden="1">{"'Sheet1'!$L$16"}</definedName>
    <definedName name="asdffgggh" localSheetId="2" hidden="1">{"'Sheet1'!$L$16"}</definedName>
    <definedName name="asdffgggh" localSheetId="17" hidden="1">{"'Sheet1'!$L$16"}</definedName>
    <definedName name="asdffgggh" localSheetId="12" hidden="1">{"'Sheet1'!$L$16"}</definedName>
    <definedName name="asdffgggh" localSheetId="4" hidden="1">{"'Sheet1'!$L$16"}</definedName>
    <definedName name="asdffgggh" localSheetId="19" hidden="1">{"'Sheet1'!$L$16"}</definedName>
    <definedName name="asdffgggh" localSheetId="10" hidden="1">{"'Sheet1'!$L$16"}</definedName>
    <definedName name="asdffgggh" localSheetId="9" hidden="1">{"'Sheet1'!$L$16"}</definedName>
    <definedName name="asdffgggh" localSheetId="8" hidden="1">{"'Sheet1'!$L$16"}</definedName>
    <definedName name="asdffgggh" localSheetId="3" hidden="1">{"'Sheet1'!$L$16"}</definedName>
    <definedName name="asdffgggh" localSheetId="6" hidden="1">{"'Sheet1'!$L$16"}</definedName>
    <definedName name="asdffgggh" localSheetId="7" hidden="1">{"'Sheet1'!$L$16"}</definedName>
    <definedName name="asdffgggh" localSheetId="5" hidden="1">{"'Sheet1'!$L$16"}</definedName>
    <definedName name="asdffgggh" localSheetId="13" hidden="1">{"'Sheet1'!$L$16"}</definedName>
    <definedName name="asdffgggh" hidden="1">{"'Sheet1'!$L$16"}</definedName>
    <definedName name="ASD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18" hidden="1">{#N/A,#N/A,FALSE,"CCTV"}</definedName>
    <definedName name="ASDFGH" hidden="1">{#N/A,#N/A,FALSE,"CCTV"}</definedName>
    <definedName name="asdfqwedf" localSheetId="18" hidden="1">{#N/A,#N/A,TRUE,"Basic";#N/A,#N/A,TRUE,"EXT-TABLE";#N/A,#N/A,TRUE,"STEEL";#N/A,#N/A,TRUE,"INT-Table";#N/A,#N/A,TRUE,"STEEL";#N/A,#N/A,TRUE,"Door"}</definedName>
    <definedName name="asdfqwedf" hidden="1">{#N/A,#N/A,TRUE,"Basic";#N/A,#N/A,TRUE,"EXT-TABLE";#N/A,#N/A,TRUE,"STEEL";#N/A,#N/A,TRUE,"INT-Table";#N/A,#N/A,TRUE,"STEEL";#N/A,#N/A,TRUE,"Door"}</definedName>
    <definedName name="asdfs" localSheetId="11" hidden="1">[39]Cash2!$G$16:$G$31</definedName>
    <definedName name="asdfs" localSheetId="1" hidden="1">[39]Cash2!$G$16:$G$31</definedName>
    <definedName name="asdfs" localSheetId="2" hidden="1">[39]Cash2!$G$16:$G$31</definedName>
    <definedName name="asdfs" localSheetId="4" hidden="1">[39]Cash2!$G$16:$G$31</definedName>
    <definedName name="asdfs" localSheetId="19" hidden="1">[39]Cash2!$G$16:$G$31</definedName>
    <definedName name="asdfs" localSheetId="10" hidden="1">[39]Cash2!$G$16:$G$31</definedName>
    <definedName name="asdfs" localSheetId="9" hidden="1">[39]Cash2!$G$16:$G$31</definedName>
    <definedName name="asdfs" localSheetId="8" hidden="1">[39]Cash2!$G$16:$G$31</definedName>
    <definedName name="asdfs" localSheetId="3" hidden="1">[39]Cash2!$G$16:$G$31</definedName>
    <definedName name="asdfs" localSheetId="6" hidden="1">[39]Cash2!$G$16:$G$31</definedName>
    <definedName name="asdfs" localSheetId="7" hidden="1">[39]Cash2!$G$16:$G$31</definedName>
    <definedName name="asdfs" localSheetId="5" hidden="1">[39]Cash2!$G$16:$G$31</definedName>
    <definedName name="asdfs" hidden="1">#REF!</definedName>
    <definedName name="asdsadfsd" localSheetId="11" hidden="1">[40]R2564AHDTS!#REF!</definedName>
    <definedName name="asdsadfsd" localSheetId="1" hidden="1">[40]R2564AHDTS!#REF!</definedName>
    <definedName name="asdsadfsd" localSheetId="2" hidden="1">[40]R2564AHDTS!#REF!</definedName>
    <definedName name="asdsadfsd" localSheetId="4" hidden="1">[40]R2564AHDTS!#REF!</definedName>
    <definedName name="asdsadfsd" localSheetId="19" hidden="1">[40]R2564AHDTS!#REF!</definedName>
    <definedName name="asdsadfsd" localSheetId="10" hidden="1">[40]R2564AHDTS!#REF!</definedName>
    <definedName name="asdsadfsd" localSheetId="9" hidden="1">[40]R2564AHDTS!#REF!</definedName>
    <definedName name="asdsadfsd" localSheetId="8" hidden="1">[40]R2564AHDTS!#REF!</definedName>
    <definedName name="asdsadfsd" localSheetId="3" hidden="1">[40]R2564AHDTS!#REF!</definedName>
    <definedName name="asdsadfsd" localSheetId="6" hidden="1">[40]R2564AHDTS!#REF!</definedName>
    <definedName name="asdsadfsd" localSheetId="7" hidden="1">[40]R2564AHDTS!#REF!</definedName>
    <definedName name="asdsadfsd" localSheetId="5" hidden="1">[40]R2564AHDTS!#REF!</definedName>
    <definedName name="asdsadfsd" hidden="1">#REF!</definedName>
    <definedName name="asf" localSheetId="18" hidden="1">{"'Sheet1'!$L$16"}</definedName>
    <definedName name="asf" localSheetId="11" hidden="1">{"'Sheet1'!$L$16"}</definedName>
    <definedName name="asf" localSheetId="1" hidden="1">{"'Sheet1'!$L$16"}</definedName>
    <definedName name="asf" localSheetId="2" hidden="1">{"'Sheet1'!$L$16"}</definedName>
    <definedName name="asf" localSheetId="12" hidden="1">{"'Sheet1'!$L$16"}</definedName>
    <definedName name="asf" localSheetId="4" hidden="1">{"'Sheet1'!$L$16"}</definedName>
    <definedName name="asf" localSheetId="19" hidden="1">{"'Sheet1'!$L$16"}</definedName>
    <definedName name="asf" localSheetId="10" hidden="1">{"'Sheet1'!$L$16"}</definedName>
    <definedName name="asf" localSheetId="9" hidden="1">{"'Sheet1'!$L$16"}</definedName>
    <definedName name="asf" localSheetId="8" hidden="1">{"'Sheet1'!$L$16"}</definedName>
    <definedName name="asf" localSheetId="3" hidden="1">{"'Sheet1'!$L$16"}</definedName>
    <definedName name="asf" localSheetId="6" hidden="1">{"'Sheet1'!$L$16"}</definedName>
    <definedName name="asf" localSheetId="7" hidden="1">{"'Sheet1'!$L$16"}</definedName>
    <definedName name="asf" localSheetId="5" hidden="1">{"'Sheet1'!$L$16"}</definedName>
    <definedName name="asf" localSheetId="13" hidden="1">{"'Sheet1'!$L$16"}</definedName>
    <definedName name="asf" hidden="1">{"'Sheet1'!$L$16"}</definedName>
    <definedName name="asfas" localSheetId="18" hidden="1">{#N/A,#N/A,FALSE,"표지목차"}</definedName>
    <definedName name="asfas" hidden="1">{#N/A,#N/A,FALSE,"표지목차"}</definedName>
    <definedName name="asfasf" localSheetId="18" hidden="1">{#N/A,#N/A,FALSE,"CCTV"}</definedName>
    <definedName name="asfasf" localSheetId="1" hidden="1">{#N/A,#N/A,FALSE,"CCTV"}</definedName>
    <definedName name="asfasf" localSheetId="2" hidden="1">{#N/A,#N/A,FALSE,"CCTV"}</definedName>
    <definedName name="asfasf" localSheetId="4" hidden="1">{#N/A,#N/A,FALSE,"CCTV"}</definedName>
    <definedName name="asfasf" localSheetId="19" hidden="1">{#N/A,#N/A,FALSE,"CCTV"}</definedName>
    <definedName name="asfasf" localSheetId="10" hidden="1">{#N/A,#N/A,FALSE,"CCTV"}</definedName>
    <definedName name="asfasf" localSheetId="9" hidden="1">{#N/A,#N/A,FALSE,"CCTV"}</definedName>
    <definedName name="asfasf" localSheetId="8" hidden="1">{#N/A,#N/A,FALSE,"CCTV"}</definedName>
    <definedName name="asfasf" localSheetId="3" hidden="1">{#N/A,#N/A,FALSE,"CCTV"}</definedName>
    <definedName name="asfasf" localSheetId="6" hidden="1">{#N/A,#N/A,FALSE,"CCTV"}</definedName>
    <definedName name="asfasf" localSheetId="7" hidden="1">{#N/A,#N/A,FALSE,"CCTV"}</definedName>
    <definedName name="asfasf" localSheetId="5" hidden="1">{#N/A,#N/A,FALSE,"CCTV"}</definedName>
    <definedName name="asfasf" hidden="1">{#N/A,#N/A,FALSE,"CCTV"}</definedName>
    <definedName name="ASFG" hidden="1">#REF!</definedName>
    <definedName name="ASFSA" localSheetId="18" hidden="1">{#N/A,#N/A,FALSE,"포장1";#N/A,#N/A,FALSE,"포장1"}</definedName>
    <definedName name="ASFSA" hidden="1">{#N/A,#N/A,FALSE,"포장1";#N/A,#N/A,FALSE,"포장1"}</definedName>
    <definedName name="ASFSADFSAFSA" localSheetId="18" hidden="1">{#N/A,#N/A,FALSE,"부대2"}</definedName>
    <definedName name="ASFSADFSAFSA" hidden="1">{#N/A,#N/A,FALSE,"부대2"}</definedName>
    <definedName name="ASFSADFSDGAFDSAF" localSheetId="18" hidden="1">{#N/A,#N/A,FALSE,"2~8번"}</definedName>
    <definedName name="ASFSADFSDGAFDSAF" hidden="1">{#N/A,#N/A,FALSE,"2~8번"}</definedName>
    <definedName name="ASFSAFAS" localSheetId="18" hidden="1">{#N/A,#N/A,FALSE,"2~8번"}</definedName>
    <definedName name="ASFSAFAS" hidden="1">{#N/A,#N/A,FALSE,"2~8번"}</definedName>
    <definedName name="ASFSAFASFSA" localSheetId="18" hidden="1">{#N/A,#N/A,FALSE,"혼합골재"}</definedName>
    <definedName name="ASFSAFASFSA" hidden="1">{#N/A,#N/A,FALSE,"혼합골재"}</definedName>
    <definedName name="ASFSAFSA" localSheetId="18" hidden="1">{#N/A,#N/A,FALSE,"혼합골재"}</definedName>
    <definedName name="ASFSAFSA" hidden="1">{#N/A,#N/A,FALSE,"혼합골재"}</definedName>
    <definedName name="ASFSDAFSAF" localSheetId="18" hidden="1">{#N/A,#N/A,FALSE,"표지목차"}</definedName>
    <definedName name="ASFSDAFSAF" hidden="1">{#N/A,#N/A,FALSE,"표지목차"}</definedName>
    <definedName name="ASFSDFSDFSAD" localSheetId="18" hidden="1">{#N/A,#N/A,FALSE,"2~8번"}</definedName>
    <definedName name="ASFSDFSDFSAD" hidden="1">{#N/A,#N/A,FALSE,"2~8번"}</definedName>
    <definedName name="ASG" hidden="1">#REF!</definedName>
    <definedName name="ash" localSheetId="18" hidden="1">{"'现金流量表（全部投资）'!$B$4:$P$23"}</definedName>
    <definedName name="ash" hidden="1">{"'现金流量表（全部投资）'!$B$4:$P$23"}</definedName>
    <definedName name="ASMEMinTemp">#REF!</definedName>
    <definedName name="assdf" localSheetId="11" hidden="1">[39]Z!$T$179:$AH$179</definedName>
    <definedName name="assdf" localSheetId="1" hidden="1">[39]Z!$T$179:$AH$179</definedName>
    <definedName name="assdf" localSheetId="2" hidden="1">[39]Z!$T$179:$AH$179</definedName>
    <definedName name="assdf" localSheetId="4" hidden="1">[39]Z!$T$179:$AH$179</definedName>
    <definedName name="assdf" localSheetId="19" hidden="1">[39]Z!$T$179:$AH$179</definedName>
    <definedName name="assdf" localSheetId="10" hidden="1">[39]Z!$T$179:$AH$179</definedName>
    <definedName name="assdf" localSheetId="9" hidden="1">[39]Z!$T$179:$AH$179</definedName>
    <definedName name="assdf" localSheetId="8" hidden="1">[39]Z!$T$179:$AH$179</definedName>
    <definedName name="assdf" localSheetId="3" hidden="1">[39]Z!$T$179:$AH$179</definedName>
    <definedName name="assdf" localSheetId="6" hidden="1">[39]Z!$T$179:$AH$179</definedName>
    <definedName name="assdf" localSheetId="7" hidden="1">[39]Z!$T$179:$AH$179</definedName>
    <definedName name="assdf" localSheetId="5" hidden="1">[39]Z!$T$179:$AH$179</definedName>
    <definedName name="assdf" hidden="1">#REF!</definedName>
    <definedName name="ASTMA36">#REF!</definedName>
    <definedName name="ATGT" localSheetId="18" hidden="1">{"'Sheet1'!$L$16"}</definedName>
    <definedName name="ATGT" localSheetId="11" hidden="1">{"'Sheet1'!$L$16"}</definedName>
    <definedName name="ATGT" localSheetId="1" hidden="1">{"'Sheet1'!$L$16"}</definedName>
    <definedName name="ATGT" localSheetId="2" hidden="1">{"'Sheet1'!$L$16"}</definedName>
    <definedName name="ATGT" localSheetId="12" hidden="1">{"'Sheet1'!$L$16"}</definedName>
    <definedName name="ATGT" localSheetId="4" hidden="1">{"'Sheet1'!$L$16"}</definedName>
    <definedName name="ATGT" localSheetId="19" hidden="1">{"'Sheet1'!$L$16"}</definedName>
    <definedName name="ATGT" localSheetId="10" hidden="1">{"'Sheet1'!$L$16"}</definedName>
    <definedName name="ATGT" localSheetId="9" hidden="1">{"'Sheet1'!$L$16"}</definedName>
    <definedName name="ATGT" localSheetId="8" hidden="1">{"'Sheet1'!$L$16"}</definedName>
    <definedName name="ATGT" localSheetId="3" hidden="1">{"'Sheet1'!$L$16"}</definedName>
    <definedName name="ATGT" localSheetId="6" hidden="1">{"'Sheet1'!$L$16"}</definedName>
    <definedName name="ATGT" localSheetId="7" hidden="1">{"'Sheet1'!$L$16"}</definedName>
    <definedName name="ATGT" localSheetId="5" hidden="1">{"'Sheet1'!$L$16"}</definedName>
    <definedName name="ATGT" localSheetId="13" hidden="1">{"'Sheet1'!$L$16"}</definedName>
    <definedName name="ATGT" hidden="1">{"'Sheet1'!$L$16"}</definedName>
    <definedName name="Atten_Lg_Inc" localSheetId="11">'[41]Noise (3)'!$O$35</definedName>
    <definedName name="Atten_Lg_Inc" localSheetId="1">'[41]Noise (3)'!$O$35</definedName>
    <definedName name="Atten_Lg_Inc" localSheetId="2">'[41]Noise (3)'!$O$35</definedName>
    <definedName name="Atten_Lg_Inc" localSheetId="4">'[41]Noise (3)'!$O$35</definedName>
    <definedName name="Atten_Lg_Inc" localSheetId="19">'[41]Noise (3)'!$O$35</definedName>
    <definedName name="Atten_Lg_Inc" localSheetId="10">'[41]Noise (3)'!$O$35</definedName>
    <definedName name="Atten_Lg_Inc" localSheetId="9">'[41]Noise (3)'!$O$35</definedName>
    <definedName name="Atten_Lg_Inc" localSheetId="8">'[41]Noise (3)'!$O$35</definedName>
    <definedName name="Atten_Lg_Inc" localSheetId="3">'[41]Noise (3)'!$O$35</definedName>
    <definedName name="Atten_Lg_Inc" localSheetId="6">'[41]Noise (3)'!$O$35</definedName>
    <definedName name="Atten_Lg_Inc" localSheetId="7">'[41]Noise (3)'!$O$35</definedName>
    <definedName name="Atten_Lg_Inc" localSheetId="5">'[41]Noise (3)'!$O$35</definedName>
    <definedName name="Atten_Lg_Inc">#REF!</definedName>
    <definedName name="AttenuationLength" localSheetId="11">'[41]Noise (3)'!$C$40</definedName>
    <definedName name="AttenuationLength" localSheetId="1">'[41]Noise (3)'!$C$40</definedName>
    <definedName name="AttenuationLength" localSheetId="2">'[41]Noise (3)'!$C$40</definedName>
    <definedName name="AttenuationLength" localSheetId="4">'[41]Noise (3)'!$C$40</definedName>
    <definedName name="AttenuationLength" localSheetId="19">'[41]Noise (3)'!$C$40</definedName>
    <definedName name="AttenuationLength" localSheetId="10">'[41]Noise (3)'!$C$40</definedName>
    <definedName name="AttenuationLength" localSheetId="9">'[41]Noise (3)'!$C$40</definedName>
    <definedName name="AttenuationLength" localSheetId="8">'[41]Noise (3)'!$C$40</definedName>
    <definedName name="AttenuationLength" localSheetId="3">'[41]Noise (3)'!$C$40</definedName>
    <definedName name="AttenuationLength" localSheetId="6">'[41]Noise (3)'!$C$40</definedName>
    <definedName name="AttenuationLength" localSheetId="7">'[41]Noise (3)'!$C$40</definedName>
    <definedName name="AttenuationLength" localSheetId="5">'[41]Noise (3)'!$C$40</definedName>
    <definedName name="AttenuationLength">#REF!</definedName>
    <definedName name="AttenuationLength_input" localSheetId="11">'[41]Noise (3)'!$C$16</definedName>
    <definedName name="AttenuationLength_input" localSheetId="1">'[41]Noise (3)'!$C$16</definedName>
    <definedName name="AttenuationLength_input" localSheetId="2">'[41]Noise (3)'!$C$16</definedName>
    <definedName name="AttenuationLength_input" localSheetId="4">'[41]Noise (3)'!$C$16</definedName>
    <definedName name="AttenuationLength_input" localSheetId="19">'[41]Noise (3)'!$C$16</definedName>
    <definedName name="AttenuationLength_input" localSheetId="10">'[41]Noise (3)'!$C$16</definedName>
    <definedName name="AttenuationLength_input" localSheetId="9">'[41]Noise (3)'!$C$16</definedName>
    <definedName name="AttenuationLength_input" localSheetId="8">'[41]Noise (3)'!$C$16</definedName>
    <definedName name="AttenuationLength_input" localSheetId="3">'[41]Noise (3)'!$C$16</definedName>
    <definedName name="AttenuationLength_input" localSheetId="6">'[41]Noise (3)'!$C$16</definedName>
    <definedName name="AttenuationLength_input" localSheetId="7">'[41]Noise (3)'!$C$16</definedName>
    <definedName name="AttenuationLength_input" localSheetId="5">'[41]Noise (3)'!$C$16</definedName>
    <definedName name="AttenuationLength_input">#REF!</definedName>
    <definedName name="attic_basement_ship_data">#REF!</definedName>
    <definedName name="Aufstellungsart">#REF!</definedName>
    <definedName name="Auslandstabelle">#REF!</definedName>
    <definedName name="Autor">#REF!</definedName>
    <definedName name="av" localSheetId="18" hidden="1">{"'Liquid'!$A$1:$U$57"}</definedName>
    <definedName name="av" hidden="1">{"'Liquid'!$A$1:$U$57"}</definedName>
    <definedName name="Avg_Splitter_Lg" localSheetId="11">'[41]Estimation of splitter length'!$E$23</definedName>
    <definedName name="Avg_Splitter_Lg" localSheetId="1">'[41]Estimation of splitter length'!$E$23</definedName>
    <definedName name="Avg_Splitter_Lg" localSheetId="2">'[41]Estimation of splitter length'!$E$23</definedName>
    <definedName name="Avg_Splitter_Lg" localSheetId="4">'[41]Estimation of splitter length'!$E$23</definedName>
    <definedName name="Avg_Splitter_Lg" localSheetId="19">'[41]Estimation of splitter length'!$E$23</definedName>
    <definedName name="Avg_Splitter_Lg" localSheetId="10">'[41]Estimation of splitter length'!$E$23</definedName>
    <definedName name="Avg_Splitter_Lg" localSheetId="9">'[41]Estimation of splitter length'!$E$23</definedName>
    <definedName name="Avg_Splitter_Lg" localSheetId="8">'[41]Estimation of splitter length'!$E$23</definedName>
    <definedName name="Avg_Splitter_Lg" localSheetId="3">'[41]Estimation of splitter length'!$E$23</definedName>
    <definedName name="Avg_Splitter_Lg" localSheetId="6">'[41]Estimation of splitter length'!$E$23</definedName>
    <definedName name="Avg_Splitter_Lg" localSheetId="7">'[41]Estimation of splitter length'!$E$23</definedName>
    <definedName name="Avg_Splitter_Lg" localSheetId="5">'[41]Estimation of splitter length'!$E$23</definedName>
    <definedName name="Avg_Splitter_Lg">#REF!</definedName>
    <definedName name="avigilia" localSheetId="18" hidden="1">{#N/A,#N/A,FALSE,"Project Cost Summary";#N/A,#N/A,FALSE,"Man Hour Summary"}</definedName>
    <definedName name="avigilia" localSheetId="1" hidden="1">{#N/A,#N/A,FALSE,"Project Cost Summary";#N/A,#N/A,FALSE,"Man Hour Summary"}</definedName>
    <definedName name="avigilia" localSheetId="2" hidden="1">{#N/A,#N/A,FALSE,"Project Cost Summary";#N/A,#N/A,FALSE,"Man Hour Summary"}</definedName>
    <definedName name="avigilia" localSheetId="4" hidden="1">{#N/A,#N/A,FALSE,"Project Cost Summary";#N/A,#N/A,FALSE,"Man Hour Summary"}</definedName>
    <definedName name="avigilia" localSheetId="19" hidden="1">{#N/A,#N/A,FALSE,"Project Cost Summary";#N/A,#N/A,FALSE,"Man Hour Summary"}</definedName>
    <definedName name="avigilia" localSheetId="10" hidden="1">{#N/A,#N/A,FALSE,"Project Cost Summary";#N/A,#N/A,FALSE,"Man Hour Summary"}</definedName>
    <definedName name="avigilia" localSheetId="9" hidden="1">{#N/A,#N/A,FALSE,"Project Cost Summary";#N/A,#N/A,FALSE,"Man Hour Summary"}</definedName>
    <definedName name="avigilia" localSheetId="8" hidden="1">{#N/A,#N/A,FALSE,"Project Cost Summary";#N/A,#N/A,FALSE,"Man Hour Summary"}</definedName>
    <definedName name="avigilia" localSheetId="3" hidden="1">{#N/A,#N/A,FALSE,"Project Cost Summary";#N/A,#N/A,FALSE,"Man Hour Summary"}</definedName>
    <definedName name="avigilia" localSheetId="6" hidden="1">{#N/A,#N/A,FALSE,"Project Cost Summary";#N/A,#N/A,FALSE,"Man Hour Summary"}</definedName>
    <definedName name="avigilia" localSheetId="7" hidden="1">{#N/A,#N/A,FALSE,"Project Cost Summary";#N/A,#N/A,FALSE,"Man Hour Summary"}</definedName>
    <definedName name="avigilia" localSheetId="5" hidden="1">{#N/A,#N/A,FALSE,"Project Cost Summary";#N/A,#N/A,FALSE,"Man Hour Summary"}</definedName>
    <definedName name="avigilia" hidden="1">{#N/A,#N/A,FALSE,"Project Cost Summary";#N/A,#N/A,FALSE,"Man Hour Summary"}</definedName>
    <definedName name="avigilia1" localSheetId="18" hidden="1">{#N/A,#N/A,FALSE,"Project Cost Summary";#N/A,#N/A,FALSE,"Man Hour Summary"}</definedName>
    <definedName name="avigilia1" localSheetId="1" hidden="1">{#N/A,#N/A,FALSE,"Project Cost Summary";#N/A,#N/A,FALSE,"Man Hour Summary"}</definedName>
    <definedName name="avigilia1" localSheetId="2" hidden="1">{#N/A,#N/A,FALSE,"Project Cost Summary";#N/A,#N/A,FALSE,"Man Hour Summary"}</definedName>
    <definedName name="avigilia1" localSheetId="4" hidden="1">{#N/A,#N/A,FALSE,"Project Cost Summary";#N/A,#N/A,FALSE,"Man Hour Summary"}</definedName>
    <definedName name="avigilia1" localSheetId="19" hidden="1">{#N/A,#N/A,FALSE,"Project Cost Summary";#N/A,#N/A,FALSE,"Man Hour Summary"}</definedName>
    <definedName name="avigilia1" localSheetId="10" hidden="1">{#N/A,#N/A,FALSE,"Project Cost Summary";#N/A,#N/A,FALSE,"Man Hour Summary"}</definedName>
    <definedName name="avigilia1" localSheetId="9" hidden="1">{#N/A,#N/A,FALSE,"Project Cost Summary";#N/A,#N/A,FALSE,"Man Hour Summary"}</definedName>
    <definedName name="avigilia1" localSheetId="8" hidden="1">{#N/A,#N/A,FALSE,"Project Cost Summary";#N/A,#N/A,FALSE,"Man Hour Summary"}</definedName>
    <definedName name="avigilia1" localSheetId="3" hidden="1">{#N/A,#N/A,FALSE,"Project Cost Summary";#N/A,#N/A,FALSE,"Man Hour Summary"}</definedName>
    <definedName name="avigilia1" localSheetId="6" hidden="1">{#N/A,#N/A,FALSE,"Project Cost Summary";#N/A,#N/A,FALSE,"Man Hour Summary"}</definedName>
    <definedName name="avigilia1" localSheetId="7" hidden="1">{#N/A,#N/A,FALSE,"Project Cost Summary";#N/A,#N/A,FALSE,"Man Hour Summary"}</definedName>
    <definedName name="avigilia1" localSheetId="5" hidden="1">{#N/A,#N/A,FALSE,"Project Cost Summary";#N/A,#N/A,FALSE,"Man Hour Summary"}</definedName>
    <definedName name="avigilia1" hidden="1">{#N/A,#N/A,FALSE,"Project Cost Summary";#N/A,#N/A,FALSE,"Man Hour Summary"}</definedName>
    <definedName name="avigilia2" localSheetId="18" hidden="1">{#N/A,#N/A,FALSE,"Project Cost Summary";#N/A,#N/A,FALSE,"Man Hour Summary"}</definedName>
    <definedName name="avigilia2" localSheetId="1" hidden="1">{#N/A,#N/A,FALSE,"Project Cost Summary";#N/A,#N/A,FALSE,"Man Hour Summary"}</definedName>
    <definedName name="avigilia2" localSheetId="2" hidden="1">{#N/A,#N/A,FALSE,"Project Cost Summary";#N/A,#N/A,FALSE,"Man Hour Summary"}</definedName>
    <definedName name="avigilia2" localSheetId="4" hidden="1">{#N/A,#N/A,FALSE,"Project Cost Summary";#N/A,#N/A,FALSE,"Man Hour Summary"}</definedName>
    <definedName name="avigilia2" localSheetId="19" hidden="1">{#N/A,#N/A,FALSE,"Project Cost Summary";#N/A,#N/A,FALSE,"Man Hour Summary"}</definedName>
    <definedName name="avigilia2" localSheetId="10" hidden="1">{#N/A,#N/A,FALSE,"Project Cost Summary";#N/A,#N/A,FALSE,"Man Hour Summary"}</definedName>
    <definedName name="avigilia2" localSheetId="9" hidden="1">{#N/A,#N/A,FALSE,"Project Cost Summary";#N/A,#N/A,FALSE,"Man Hour Summary"}</definedName>
    <definedName name="avigilia2" localSheetId="8" hidden="1">{#N/A,#N/A,FALSE,"Project Cost Summary";#N/A,#N/A,FALSE,"Man Hour Summary"}</definedName>
    <definedName name="avigilia2" localSheetId="3" hidden="1">{#N/A,#N/A,FALSE,"Project Cost Summary";#N/A,#N/A,FALSE,"Man Hour Summary"}</definedName>
    <definedName name="avigilia2" localSheetId="6" hidden="1">{#N/A,#N/A,FALSE,"Project Cost Summary";#N/A,#N/A,FALSE,"Man Hour Summary"}</definedName>
    <definedName name="avigilia2" localSheetId="7" hidden="1">{#N/A,#N/A,FALSE,"Project Cost Summary";#N/A,#N/A,FALSE,"Man Hour Summary"}</definedName>
    <definedName name="avigilia2" localSheetId="5" hidden="1">{#N/A,#N/A,FALSE,"Project Cost Summary";#N/A,#N/A,FALSE,"Man Hour Summary"}</definedName>
    <definedName name="avigilia2" hidden="1">{#N/A,#N/A,FALSE,"Project Cost Summary";#N/A,#N/A,FALSE,"Man Hour Summary"}</definedName>
    <definedName name="avigilia3" localSheetId="18" hidden="1">{#N/A,#N/A,FALSE,"Project Cost Summary";#N/A,#N/A,FALSE,"Man Hour Summary"}</definedName>
    <definedName name="avigilia3" localSheetId="1" hidden="1">{#N/A,#N/A,FALSE,"Project Cost Summary";#N/A,#N/A,FALSE,"Man Hour Summary"}</definedName>
    <definedName name="avigilia3" localSheetId="2" hidden="1">{#N/A,#N/A,FALSE,"Project Cost Summary";#N/A,#N/A,FALSE,"Man Hour Summary"}</definedName>
    <definedName name="avigilia3" localSheetId="4" hidden="1">{#N/A,#N/A,FALSE,"Project Cost Summary";#N/A,#N/A,FALSE,"Man Hour Summary"}</definedName>
    <definedName name="avigilia3" localSheetId="19" hidden="1">{#N/A,#N/A,FALSE,"Project Cost Summary";#N/A,#N/A,FALSE,"Man Hour Summary"}</definedName>
    <definedName name="avigilia3" localSheetId="10" hidden="1">{#N/A,#N/A,FALSE,"Project Cost Summary";#N/A,#N/A,FALSE,"Man Hour Summary"}</definedName>
    <definedName name="avigilia3" localSheetId="9" hidden="1">{#N/A,#N/A,FALSE,"Project Cost Summary";#N/A,#N/A,FALSE,"Man Hour Summary"}</definedName>
    <definedName name="avigilia3" localSheetId="8" hidden="1">{#N/A,#N/A,FALSE,"Project Cost Summary";#N/A,#N/A,FALSE,"Man Hour Summary"}</definedName>
    <definedName name="avigilia3" localSheetId="3" hidden="1">{#N/A,#N/A,FALSE,"Project Cost Summary";#N/A,#N/A,FALSE,"Man Hour Summary"}</definedName>
    <definedName name="avigilia3" localSheetId="6" hidden="1">{#N/A,#N/A,FALSE,"Project Cost Summary";#N/A,#N/A,FALSE,"Man Hour Summary"}</definedName>
    <definedName name="avigilia3" localSheetId="7" hidden="1">{#N/A,#N/A,FALSE,"Project Cost Summary";#N/A,#N/A,FALSE,"Man Hour Summary"}</definedName>
    <definedName name="avigilia3" localSheetId="5" hidden="1">{#N/A,#N/A,FALSE,"Project Cost Summary";#N/A,#N/A,FALSE,"Man Hour Summary"}</definedName>
    <definedName name="avigilia3" hidden="1">{#N/A,#N/A,FALSE,"Project Cost Summary";#N/A,#N/A,FALSE,"Man Hour Summary"}</definedName>
    <definedName name="avigilia4" localSheetId="18" hidden="1">{#N/A,#N/A,FALSE,"Project Cost Summary";#N/A,#N/A,FALSE,"Man Hour Summary"}</definedName>
    <definedName name="avigilia4" localSheetId="1" hidden="1">{#N/A,#N/A,FALSE,"Project Cost Summary";#N/A,#N/A,FALSE,"Man Hour Summary"}</definedName>
    <definedName name="avigilia4" localSheetId="2" hidden="1">{#N/A,#N/A,FALSE,"Project Cost Summary";#N/A,#N/A,FALSE,"Man Hour Summary"}</definedName>
    <definedName name="avigilia4" localSheetId="4" hidden="1">{#N/A,#N/A,FALSE,"Project Cost Summary";#N/A,#N/A,FALSE,"Man Hour Summary"}</definedName>
    <definedName name="avigilia4" localSheetId="19" hidden="1">{#N/A,#N/A,FALSE,"Project Cost Summary";#N/A,#N/A,FALSE,"Man Hour Summary"}</definedName>
    <definedName name="avigilia4" localSheetId="10" hidden="1">{#N/A,#N/A,FALSE,"Project Cost Summary";#N/A,#N/A,FALSE,"Man Hour Summary"}</definedName>
    <definedName name="avigilia4" localSheetId="9" hidden="1">{#N/A,#N/A,FALSE,"Project Cost Summary";#N/A,#N/A,FALSE,"Man Hour Summary"}</definedName>
    <definedName name="avigilia4" localSheetId="8" hidden="1">{#N/A,#N/A,FALSE,"Project Cost Summary";#N/A,#N/A,FALSE,"Man Hour Summary"}</definedName>
    <definedName name="avigilia4" localSheetId="3" hidden="1">{#N/A,#N/A,FALSE,"Project Cost Summary";#N/A,#N/A,FALSE,"Man Hour Summary"}</definedName>
    <definedName name="avigilia4" localSheetId="6" hidden="1">{#N/A,#N/A,FALSE,"Project Cost Summary";#N/A,#N/A,FALSE,"Man Hour Summary"}</definedName>
    <definedName name="avigilia4" localSheetId="7" hidden="1">{#N/A,#N/A,FALSE,"Project Cost Summary";#N/A,#N/A,FALSE,"Man Hour Summary"}</definedName>
    <definedName name="avigilia4" localSheetId="5" hidden="1">{#N/A,#N/A,FALSE,"Project Cost Summary";#N/A,#N/A,FALSE,"Man Hour Summary"}</definedName>
    <definedName name="avigilia4" hidden="1">{#N/A,#N/A,FALSE,"Project Cost Summary";#N/A,#N/A,FALSE,"Man Hour Summary"}</definedName>
    <definedName name="avigilia5" localSheetId="18" hidden="1">{#N/A,#N/A,FALSE,"Project Cost Summary";#N/A,#N/A,FALSE,"Man Hour Summary"}</definedName>
    <definedName name="avigilia5" localSheetId="1" hidden="1">{#N/A,#N/A,FALSE,"Project Cost Summary";#N/A,#N/A,FALSE,"Man Hour Summary"}</definedName>
    <definedName name="avigilia5" localSheetId="2" hidden="1">{#N/A,#N/A,FALSE,"Project Cost Summary";#N/A,#N/A,FALSE,"Man Hour Summary"}</definedName>
    <definedName name="avigilia5" localSheetId="4" hidden="1">{#N/A,#N/A,FALSE,"Project Cost Summary";#N/A,#N/A,FALSE,"Man Hour Summary"}</definedName>
    <definedName name="avigilia5" localSheetId="19" hidden="1">{#N/A,#N/A,FALSE,"Project Cost Summary";#N/A,#N/A,FALSE,"Man Hour Summary"}</definedName>
    <definedName name="avigilia5" localSheetId="10" hidden="1">{#N/A,#N/A,FALSE,"Project Cost Summary";#N/A,#N/A,FALSE,"Man Hour Summary"}</definedName>
    <definedName name="avigilia5" localSheetId="9" hidden="1">{#N/A,#N/A,FALSE,"Project Cost Summary";#N/A,#N/A,FALSE,"Man Hour Summary"}</definedName>
    <definedName name="avigilia5" localSheetId="8" hidden="1">{#N/A,#N/A,FALSE,"Project Cost Summary";#N/A,#N/A,FALSE,"Man Hour Summary"}</definedName>
    <definedName name="avigilia5" localSheetId="3" hidden="1">{#N/A,#N/A,FALSE,"Project Cost Summary";#N/A,#N/A,FALSE,"Man Hour Summary"}</definedName>
    <definedName name="avigilia5" localSheetId="6" hidden="1">{#N/A,#N/A,FALSE,"Project Cost Summary";#N/A,#N/A,FALSE,"Man Hour Summary"}</definedName>
    <definedName name="avigilia5" localSheetId="7" hidden="1">{#N/A,#N/A,FALSE,"Project Cost Summary";#N/A,#N/A,FALSE,"Man Hour Summary"}</definedName>
    <definedName name="avigilia5" localSheetId="5" hidden="1">{#N/A,#N/A,FALSE,"Project Cost Summary";#N/A,#N/A,FALSE,"Man Hour Summary"}</definedName>
    <definedName name="avigilia5" hidden="1">{#N/A,#N/A,FALSE,"Project Cost Summary";#N/A,#N/A,FALSE,"Man Hour Summary"}</definedName>
    <definedName name="avigilia6" localSheetId="18" hidden="1">{#N/A,#N/A,FALSE,"Project Cost Summary";#N/A,#N/A,FALSE,"Man Hour Summary"}</definedName>
    <definedName name="avigilia6" localSheetId="1" hidden="1">{#N/A,#N/A,FALSE,"Project Cost Summary";#N/A,#N/A,FALSE,"Man Hour Summary"}</definedName>
    <definedName name="avigilia6" localSheetId="2" hidden="1">{#N/A,#N/A,FALSE,"Project Cost Summary";#N/A,#N/A,FALSE,"Man Hour Summary"}</definedName>
    <definedName name="avigilia6" localSheetId="4" hidden="1">{#N/A,#N/A,FALSE,"Project Cost Summary";#N/A,#N/A,FALSE,"Man Hour Summary"}</definedName>
    <definedName name="avigilia6" localSheetId="19" hidden="1">{#N/A,#N/A,FALSE,"Project Cost Summary";#N/A,#N/A,FALSE,"Man Hour Summary"}</definedName>
    <definedName name="avigilia6" localSheetId="10" hidden="1">{#N/A,#N/A,FALSE,"Project Cost Summary";#N/A,#N/A,FALSE,"Man Hour Summary"}</definedName>
    <definedName name="avigilia6" localSheetId="9" hidden="1">{#N/A,#N/A,FALSE,"Project Cost Summary";#N/A,#N/A,FALSE,"Man Hour Summary"}</definedName>
    <definedName name="avigilia6" localSheetId="8" hidden="1">{#N/A,#N/A,FALSE,"Project Cost Summary";#N/A,#N/A,FALSE,"Man Hour Summary"}</definedName>
    <definedName name="avigilia6" localSheetId="3" hidden="1">{#N/A,#N/A,FALSE,"Project Cost Summary";#N/A,#N/A,FALSE,"Man Hour Summary"}</definedName>
    <definedName name="avigilia6" localSheetId="6" hidden="1">{#N/A,#N/A,FALSE,"Project Cost Summary";#N/A,#N/A,FALSE,"Man Hour Summary"}</definedName>
    <definedName name="avigilia6" localSheetId="7" hidden="1">{#N/A,#N/A,FALSE,"Project Cost Summary";#N/A,#N/A,FALSE,"Man Hour Summary"}</definedName>
    <definedName name="avigilia6" localSheetId="5" hidden="1">{#N/A,#N/A,FALSE,"Project Cost Summary";#N/A,#N/A,FALSE,"Man Hour Summary"}</definedName>
    <definedName name="avigilia6" hidden="1">{#N/A,#N/A,FALSE,"Project Cost Summary";#N/A,#N/A,FALSE,"Man Hour Summary"}</definedName>
    <definedName name="avigilia7" localSheetId="18" hidden="1">{#N/A,#N/A,FALSE,"Project Cost Summary";#N/A,#N/A,FALSE,"Man Hour Summary"}</definedName>
    <definedName name="avigilia7" localSheetId="1" hidden="1">{#N/A,#N/A,FALSE,"Project Cost Summary";#N/A,#N/A,FALSE,"Man Hour Summary"}</definedName>
    <definedName name="avigilia7" localSheetId="2" hidden="1">{#N/A,#N/A,FALSE,"Project Cost Summary";#N/A,#N/A,FALSE,"Man Hour Summary"}</definedName>
    <definedName name="avigilia7" localSheetId="4" hidden="1">{#N/A,#N/A,FALSE,"Project Cost Summary";#N/A,#N/A,FALSE,"Man Hour Summary"}</definedName>
    <definedName name="avigilia7" localSheetId="19" hidden="1">{#N/A,#N/A,FALSE,"Project Cost Summary";#N/A,#N/A,FALSE,"Man Hour Summary"}</definedName>
    <definedName name="avigilia7" localSheetId="10" hidden="1">{#N/A,#N/A,FALSE,"Project Cost Summary";#N/A,#N/A,FALSE,"Man Hour Summary"}</definedName>
    <definedName name="avigilia7" localSheetId="9" hidden="1">{#N/A,#N/A,FALSE,"Project Cost Summary";#N/A,#N/A,FALSE,"Man Hour Summary"}</definedName>
    <definedName name="avigilia7" localSheetId="8" hidden="1">{#N/A,#N/A,FALSE,"Project Cost Summary";#N/A,#N/A,FALSE,"Man Hour Summary"}</definedName>
    <definedName name="avigilia7" localSheetId="3" hidden="1">{#N/A,#N/A,FALSE,"Project Cost Summary";#N/A,#N/A,FALSE,"Man Hour Summary"}</definedName>
    <definedName name="avigilia7" localSheetId="6" hidden="1">{#N/A,#N/A,FALSE,"Project Cost Summary";#N/A,#N/A,FALSE,"Man Hour Summary"}</definedName>
    <definedName name="avigilia7" localSheetId="7" hidden="1">{#N/A,#N/A,FALSE,"Project Cost Summary";#N/A,#N/A,FALSE,"Man Hour Summary"}</definedName>
    <definedName name="avigilia7" localSheetId="5" hidden="1">{#N/A,#N/A,FALSE,"Project Cost Summary";#N/A,#N/A,FALSE,"Man Hour Summary"}</definedName>
    <definedName name="avigilia7" hidden="1">{#N/A,#N/A,FALSE,"Project Cost Summary";#N/A,#N/A,FALSE,"Man Hour Summary"}</definedName>
    <definedName name="AVIGILIA8" localSheetId="18" hidden="1">{#N/A,#N/A,FALSE,"Project Cost Summary";#N/A,#N/A,FALSE,"Man Hour Summary"}</definedName>
    <definedName name="AVIGILIA8" localSheetId="1" hidden="1">{#N/A,#N/A,FALSE,"Project Cost Summary";#N/A,#N/A,FALSE,"Man Hour Summary"}</definedName>
    <definedName name="AVIGILIA8" localSheetId="2" hidden="1">{#N/A,#N/A,FALSE,"Project Cost Summary";#N/A,#N/A,FALSE,"Man Hour Summary"}</definedName>
    <definedName name="AVIGILIA8" localSheetId="4" hidden="1">{#N/A,#N/A,FALSE,"Project Cost Summary";#N/A,#N/A,FALSE,"Man Hour Summary"}</definedName>
    <definedName name="AVIGILIA8" localSheetId="19" hidden="1">{#N/A,#N/A,FALSE,"Project Cost Summary";#N/A,#N/A,FALSE,"Man Hour Summary"}</definedName>
    <definedName name="AVIGILIA8" localSheetId="10" hidden="1">{#N/A,#N/A,FALSE,"Project Cost Summary";#N/A,#N/A,FALSE,"Man Hour Summary"}</definedName>
    <definedName name="AVIGILIA8" localSheetId="9" hidden="1">{#N/A,#N/A,FALSE,"Project Cost Summary";#N/A,#N/A,FALSE,"Man Hour Summary"}</definedName>
    <definedName name="AVIGILIA8" localSheetId="8" hidden="1">{#N/A,#N/A,FALSE,"Project Cost Summary";#N/A,#N/A,FALSE,"Man Hour Summary"}</definedName>
    <definedName name="AVIGILIA8" localSheetId="3" hidden="1">{#N/A,#N/A,FALSE,"Project Cost Summary";#N/A,#N/A,FALSE,"Man Hour Summary"}</definedName>
    <definedName name="AVIGILIA8" localSheetId="6" hidden="1">{#N/A,#N/A,FALSE,"Project Cost Summary";#N/A,#N/A,FALSE,"Man Hour Summary"}</definedName>
    <definedName name="AVIGILIA8" localSheetId="7" hidden="1">{#N/A,#N/A,FALSE,"Project Cost Summary";#N/A,#N/A,FALSE,"Man Hour Summary"}</definedName>
    <definedName name="AVIGILIA8" localSheetId="5" hidden="1">{#N/A,#N/A,FALSE,"Project Cost Summary";#N/A,#N/A,FALSE,"Man Hour Summary"}</definedName>
    <definedName name="AVIGILIA8" hidden="1">{#N/A,#N/A,FALSE,"Project Cost Summary";#N/A,#N/A,FALSE,"Man Hour Summary"}</definedName>
    <definedName name="azerty" hidden="1">#REF!</definedName>
    <definedName name="B" localSheetId="11">[29]Breech_Duct!$B$66</definedName>
    <definedName name="b" localSheetId="1" hidden="1">{"'Sheet1'!$A$3:$I$11"}</definedName>
    <definedName name="b" localSheetId="2" hidden="1">{"'Sheet1'!$A$3:$I$11"}</definedName>
    <definedName name="b" localSheetId="4" hidden="1">{"'Sheet1'!$A$3:$I$11"}</definedName>
    <definedName name="b" localSheetId="19" hidden="1">{"'Sheet1'!$A$3:$I$11"}</definedName>
    <definedName name="b" localSheetId="10" hidden="1">{"'Sheet1'!$A$3:$I$11"}</definedName>
    <definedName name="b" localSheetId="9" hidden="1">{"'Sheet1'!$A$3:$I$11"}</definedName>
    <definedName name="b" localSheetId="8" hidden="1">{"'Sheet1'!$A$3:$I$11"}</definedName>
    <definedName name="b" localSheetId="3" hidden="1">{"'Sheet1'!$A$3:$I$11"}</definedName>
    <definedName name="b" localSheetId="6" hidden="1">{"'Sheet1'!$A$3:$I$11"}</definedName>
    <definedName name="b" localSheetId="7" hidden="1">{"'Sheet1'!$A$3:$I$11"}</definedName>
    <definedName name="b" localSheetId="5" hidden="1">{"'Sheet1'!$A$3:$I$11"}</definedName>
    <definedName name="B">#REF!</definedName>
    <definedName name="b0">#REF!</definedName>
    <definedName name="BaffleOrientation" localSheetId="11">'[41]Noise (3)'!$C$12</definedName>
    <definedName name="BaffleOrientation" localSheetId="1">'[41]Noise (3)'!$C$12</definedName>
    <definedName name="BaffleOrientation" localSheetId="2">'[41]Noise (3)'!$C$12</definedName>
    <definedName name="BaffleOrientation" localSheetId="4">'[41]Noise (3)'!$C$12</definedName>
    <definedName name="BaffleOrientation" localSheetId="19">'[41]Noise (3)'!$C$12</definedName>
    <definedName name="BaffleOrientation" localSheetId="10">'[41]Noise (3)'!$C$12</definedName>
    <definedName name="BaffleOrientation" localSheetId="9">'[41]Noise (3)'!$C$12</definedName>
    <definedName name="BaffleOrientation" localSheetId="8">'[41]Noise (3)'!$C$12</definedName>
    <definedName name="BaffleOrientation" localSheetId="3">'[41]Noise (3)'!$C$12</definedName>
    <definedName name="BaffleOrientation" localSheetId="6">'[41]Noise (3)'!$C$12</definedName>
    <definedName name="BaffleOrientation" localSheetId="7">'[41]Noise (3)'!$C$12</definedName>
    <definedName name="BaffleOrientation" localSheetId="5">'[41]Noise (3)'!$C$12</definedName>
    <definedName name="BaffleOrientation">#REF!</definedName>
    <definedName name="ball">#REF!</definedName>
    <definedName name="banQL" localSheetId="16" hidden="1">{"'Sheet1'!$L$16"}</definedName>
    <definedName name="banQL" localSheetId="18" hidden="1">{"'Sheet1'!$L$16"}</definedName>
    <definedName name="banQL" localSheetId="11" hidden="1">{"'Sheet1'!$L$16"}</definedName>
    <definedName name="banQL" localSheetId="1" hidden="1">{"'Sheet1'!$L$16"}</definedName>
    <definedName name="banQL" localSheetId="2" hidden="1">{"'Sheet1'!$L$16"}</definedName>
    <definedName name="banQL" localSheetId="17" hidden="1">{"'Sheet1'!$L$16"}</definedName>
    <definedName name="banQL" localSheetId="12" hidden="1">{"'Sheet1'!$L$16"}</definedName>
    <definedName name="banQL" localSheetId="4" hidden="1">{"'Sheet1'!$L$16"}</definedName>
    <definedName name="banQL" localSheetId="19" hidden="1">{"'Sheet1'!$L$16"}</definedName>
    <definedName name="banQL" localSheetId="10" hidden="1">{"'Sheet1'!$L$16"}</definedName>
    <definedName name="banQL" localSheetId="9" hidden="1">{"'Sheet1'!$L$16"}</definedName>
    <definedName name="banQL" localSheetId="8" hidden="1">{"'Sheet1'!$L$16"}</definedName>
    <definedName name="banQL" localSheetId="3" hidden="1">{"'Sheet1'!$L$16"}</definedName>
    <definedName name="banQL" localSheetId="6" hidden="1">{"'Sheet1'!$L$16"}</definedName>
    <definedName name="banQL" localSheetId="7" hidden="1">{"'Sheet1'!$L$16"}</definedName>
    <definedName name="banQL" localSheetId="5" hidden="1">{"'Sheet1'!$L$16"}</definedName>
    <definedName name="banQL" localSheetId="13" hidden="1">{"'Sheet1'!$L$16"}</definedName>
    <definedName name="banQL" hidden="1">{"'Sheet1'!$L$16"}</definedName>
    <definedName name="baogia2" hidden="1">#REF!</definedName>
    <definedName name="baogio" localSheetId="18" hidden="1">{#N/A,#N/A,FALSE,"CCTV"}</definedName>
    <definedName name="baogio" hidden="1">{#N/A,#N/A,FALSE,"CCTV"}</definedName>
    <definedName name="BAR_FC">#REF!</definedName>
    <definedName name="BAR_LC">#REF!</definedName>
    <definedName name="BAR_SUP">#REF!</definedName>
    <definedName name="barge" localSheetId="18" hidden="1">{#N/A,#N/A,FALSE,"Mhr_Sum"}</definedName>
    <definedName name="barge" hidden="1">{#N/A,#N/A,FALSE,"Mhr_Sum"}</definedName>
    <definedName name="BASE" localSheetId="18" hidden="1">{#N/A,#N/A,TRUE,"Basic";#N/A,#N/A,TRUE,"EXT-TABLE";#N/A,#N/A,TRUE,"STEEL";#N/A,#N/A,TRUE,"INT-Table";#N/A,#N/A,TRUE,"STEEL";#N/A,#N/A,TRUE,"Door"}</definedName>
    <definedName name="BASE" hidden="1">{#N/A,#N/A,TRUE,"Basic";#N/A,#N/A,TRUE,"EXT-TABLE";#N/A,#N/A,TRUE,"STEEL";#N/A,#N/A,TRUE,"INT-Table";#N/A,#N/A,TRUE,"STEEL";#N/A,#N/A,TRUE,"Door"}</definedName>
    <definedName name="BASE_1" localSheetId="18" hidden="1">{#N/A,#N/A,TRUE,"Basic";#N/A,#N/A,TRUE,"EXT-TABLE";#N/A,#N/A,TRUE,"STEEL";#N/A,#N/A,TRUE,"INT-Table";#N/A,#N/A,TRUE,"STEEL";#N/A,#N/A,TRUE,"Door"}</definedName>
    <definedName name="BASE_1" hidden="1">{#N/A,#N/A,TRUE,"Basic";#N/A,#N/A,TRUE,"EXT-TABLE";#N/A,#N/A,TRUE,"STEEL";#N/A,#N/A,TRUE,"INT-Table";#N/A,#N/A,TRUE,"STEEL";#N/A,#N/A,TRUE,"Door"}</definedName>
    <definedName name="BASE_1_1" localSheetId="18" hidden="1">{#N/A,#N/A,TRUE,"Basic";#N/A,#N/A,TRUE,"EXT-TABLE";#N/A,#N/A,TRUE,"STEEL";#N/A,#N/A,TRUE,"INT-Table";#N/A,#N/A,TRUE,"STEEL";#N/A,#N/A,TRUE,"Door"}</definedName>
    <definedName name="BASE_1_1" hidden="1">{#N/A,#N/A,TRUE,"Basic";#N/A,#N/A,TRUE,"EXT-TABLE";#N/A,#N/A,TRUE,"STEEL";#N/A,#N/A,TRUE,"INT-Table";#N/A,#N/A,TRUE,"STEEL";#N/A,#N/A,TRUE,"Door"}</definedName>
    <definedName name="BASE_1_2" localSheetId="18" hidden="1">{#N/A,#N/A,TRUE,"Basic";#N/A,#N/A,TRUE,"EXT-TABLE";#N/A,#N/A,TRUE,"STEEL";#N/A,#N/A,TRUE,"INT-Table";#N/A,#N/A,TRUE,"STEEL";#N/A,#N/A,TRUE,"Door"}</definedName>
    <definedName name="BASE_1_2" hidden="1">{#N/A,#N/A,TRUE,"Basic";#N/A,#N/A,TRUE,"EXT-TABLE";#N/A,#N/A,TRUE,"STEEL";#N/A,#N/A,TRUE,"INT-Table";#N/A,#N/A,TRUE,"STEEL";#N/A,#N/A,TRUE,"Door"}</definedName>
    <definedName name="BASE_2" localSheetId="18" hidden="1">{#N/A,#N/A,TRUE,"Basic";#N/A,#N/A,TRUE,"EXT-TABLE";#N/A,#N/A,TRUE,"STEEL";#N/A,#N/A,TRUE,"INT-Table";#N/A,#N/A,TRUE,"STEEL";#N/A,#N/A,TRUE,"Door"}</definedName>
    <definedName name="BASE_2" hidden="1">{#N/A,#N/A,TRUE,"Basic";#N/A,#N/A,TRUE,"EXT-TABLE";#N/A,#N/A,TRUE,"STEEL";#N/A,#N/A,TRUE,"INT-Table";#N/A,#N/A,TRUE,"STEEL";#N/A,#N/A,TRUE,"Door"}</definedName>
    <definedName name="BASE_2_1" localSheetId="18" hidden="1">{#N/A,#N/A,TRUE,"Basic";#N/A,#N/A,TRUE,"EXT-TABLE";#N/A,#N/A,TRUE,"STEEL";#N/A,#N/A,TRUE,"INT-Table";#N/A,#N/A,TRUE,"STEEL";#N/A,#N/A,TRUE,"Door"}</definedName>
    <definedName name="BASE_2_1" hidden="1">{#N/A,#N/A,TRUE,"Basic";#N/A,#N/A,TRUE,"EXT-TABLE";#N/A,#N/A,TRUE,"STEEL";#N/A,#N/A,TRUE,"INT-Table";#N/A,#N/A,TRUE,"STEEL";#N/A,#N/A,TRUE,"Door"}</definedName>
    <definedName name="BASE_2_2" localSheetId="18" hidden="1">{#N/A,#N/A,TRUE,"Basic";#N/A,#N/A,TRUE,"EXT-TABLE";#N/A,#N/A,TRUE,"STEEL";#N/A,#N/A,TRUE,"INT-Table";#N/A,#N/A,TRUE,"STEEL";#N/A,#N/A,TRUE,"Door"}</definedName>
    <definedName name="BASE_2_2" hidden="1">{#N/A,#N/A,TRUE,"Basic";#N/A,#N/A,TRUE,"EXT-TABLE";#N/A,#N/A,TRUE,"STEEL";#N/A,#N/A,TRUE,"INT-Table";#N/A,#N/A,TRUE,"STEEL";#N/A,#N/A,TRUE,"Door"}</definedName>
    <definedName name="BASE_3" localSheetId="18" hidden="1">{#N/A,#N/A,TRUE,"Basic";#N/A,#N/A,TRUE,"EXT-TABLE";#N/A,#N/A,TRUE,"STEEL";#N/A,#N/A,TRUE,"INT-Table";#N/A,#N/A,TRUE,"STEEL";#N/A,#N/A,TRUE,"Door"}</definedName>
    <definedName name="BASE_3" hidden="1">{#N/A,#N/A,TRUE,"Basic";#N/A,#N/A,TRUE,"EXT-TABLE";#N/A,#N/A,TRUE,"STEEL";#N/A,#N/A,TRUE,"INT-Table";#N/A,#N/A,TRUE,"STEEL";#N/A,#N/A,TRUE,"Door"}</definedName>
    <definedName name="BASE_3_1" localSheetId="18" hidden="1">{#N/A,#N/A,TRUE,"Basic";#N/A,#N/A,TRUE,"EXT-TABLE";#N/A,#N/A,TRUE,"STEEL";#N/A,#N/A,TRUE,"INT-Table";#N/A,#N/A,TRUE,"STEEL";#N/A,#N/A,TRUE,"Door"}</definedName>
    <definedName name="BASE_3_1" hidden="1">{#N/A,#N/A,TRUE,"Basic";#N/A,#N/A,TRUE,"EXT-TABLE";#N/A,#N/A,TRUE,"STEEL";#N/A,#N/A,TRUE,"INT-Table";#N/A,#N/A,TRUE,"STEEL";#N/A,#N/A,TRUE,"Door"}</definedName>
    <definedName name="BASE_3_2" localSheetId="18" hidden="1">{#N/A,#N/A,TRUE,"Basic";#N/A,#N/A,TRUE,"EXT-TABLE";#N/A,#N/A,TRUE,"STEEL";#N/A,#N/A,TRUE,"INT-Table";#N/A,#N/A,TRUE,"STEEL";#N/A,#N/A,TRUE,"Door"}</definedName>
    <definedName name="BASE_3_2" hidden="1">{#N/A,#N/A,TRUE,"Basic";#N/A,#N/A,TRUE,"EXT-TABLE";#N/A,#N/A,TRUE,"STEEL";#N/A,#N/A,TRUE,"INT-Table";#N/A,#N/A,TRUE,"STEEL";#N/A,#N/A,TRUE,"Door"}</definedName>
    <definedName name="BASE_4" localSheetId="18" hidden="1">{#N/A,#N/A,TRUE,"Basic";#N/A,#N/A,TRUE,"EXT-TABLE";#N/A,#N/A,TRUE,"STEEL";#N/A,#N/A,TRUE,"INT-Table";#N/A,#N/A,TRUE,"STEEL";#N/A,#N/A,TRUE,"Door"}</definedName>
    <definedName name="BASE_4" hidden="1">{#N/A,#N/A,TRUE,"Basic";#N/A,#N/A,TRUE,"EXT-TABLE";#N/A,#N/A,TRUE,"STEEL";#N/A,#N/A,TRUE,"INT-Table";#N/A,#N/A,TRUE,"STEEL";#N/A,#N/A,TRUE,"Door"}</definedName>
    <definedName name="BASE_4_1" localSheetId="18" hidden="1">{#N/A,#N/A,TRUE,"Basic";#N/A,#N/A,TRUE,"EXT-TABLE";#N/A,#N/A,TRUE,"STEEL";#N/A,#N/A,TRUE,"INT-Table";#N/A,#N/A,TRUE,"STEEL";#N/A,#N/A,TRUE,"Door"}</definedName>
    <definedName name="BASE_4_1" hidden="1">{#N/A,#N/A,TRUE,"Basic";#N/A,#N/A,TRUE,"EXT-TABLE";#N/A,#N/A,TRUE,"STEEL";#N/A,#N/A,TRUE,"INT-Table";#N/A,#N/A,TRUE,"STEEL";#N/A,#N/A,TRUE,"Door"}</definedName>
    <definedName name="BASE_4_2" localSheetId="18" hidden="1">{#N/A,#N/A,TRUE,"Basic";#N/A,#N/A,TRUE,"EXT-TABLE";#N/A,#N/A,TRUE,"STEEL";#N/A,#N/A,TRUE,"INT-Table";#N/A,#N/A,TRUE,"STEEL";#N/A,#N/A,TRUE,"Door"}</definedName>
    <definedName name="BASE_4_2" hidden="1">{#N/A,#N/A,TRUE,"Basic";#N/A,#N/A,TRUE,"EXT-TABLE";#N/A,#N/A,TRUE,"STEEL";#N/A,#N/A,TRUE,"INT-Table";#N/A,#N/A,TRUE,"STEEL";#N/A,#N/A,TRUE,"Door"}</definedName>
    <definedName name="BASE_5" localSheetId="18" hidden="1">{#N/A,#N/A,TRUE,"Basic";#N/A,#N/A,TRUE,"EXT-TABLE";#N/A,#N/A,TRUE,"STEEL";#N/A,#N/A,TRUE,"INT-Table";#N/A,#N/A,TRUE,"STEEL";#N/A,#N/A,TRUE,"Door"}</definedName>
    <definedName name="BASE_5" hidden="1">{#N/A,#N/A,TRUE,"Basic";#N/A,#N/A,TRUE,"EXT-TABLE";#N/A,#N/A,TRUE,"STEEL";#N/A,#N/A,TRUE,"INT-Table";#N/A,#N/A,TRUE,"STEEL";#N/A,#N/A,TRUE,"Door"}</definedName>
    <definedName name="BASE_5_1" localSheetId="18" hidden="1">{#N/A,#N/A,TRUE,"Basic";#N/A,#N/A,TRUE,"EXT-TABLE";#N/A,#N/A,TRUE,"STEEL";#N/A,#N/A,TRUE,"INT-Table";#N/A,#N/A,TRUE,"STEEL";#N/A,#N/A,TRUE,"Door"}</definedName>
    <definedName name="BASE_5_1" hidden="1">{#N/A,#N/A,TRUE,"Basic";#N/A,#N/A,TRUE,"EXT-TABLE";#N/A,#N/A,TRUE,"STEEL";#N/A,#N/A,TRUE,"INT-Table";#N/A,#N/A,TRUE,"STEEL";#N/A,#N/A,TRUE,"Door"}</definedName>
    <definedName name="BASE_5_2" localSheetId="18" hidden="1">{#N/A,#N/A,TRUE,"Basic";#N/A,#N/A,TRUE,"EXT-TABLE";#N/A,#N/A,TRUE,"STEEL";#N/A,#N/A,TRUE,"INT-Table";#N/A,#N/A,TRUE,"STEEL";#N/A,#N/A,TRUE,"Door"}</definedName>
    <definedName name="BASE_5_2" hidden="1">{#N/A,#N/A,TRUE,"Basic";#N/A,#N/A,TRUE,"EXT-TABLE";#N/A,#N/A,TRUE,"STEEL";#N/A,#N/A,TRUE,"INT-Table";#N/A,#N/A,TRUE,"STEEL";#N/A,#N/A,TRUE,"Door"}</definedName>
    <definedName name="Base_Total_Matl">[42]BQ!#REF!</definedName>
    <definedName name="baseplate_ht">#REF!</definedName>
    <definedName name="baseplate_len">#REF!</definedName>
    <definedName name="baseplate_wid">#REF!</definedName>
    <definedName name="baseplate_wid_add">#REF!</definedName>
    <definedName name="basin" localSheetId="18" hidden="1">{"'장비'!$A$3:$M$12"}</definedName>
    <definedName name="basin" hidden="1">{"'장비'!$A$3:$M$12"}</definedName>
    <definedName name="BB" localSheetId="11" hidden="1">[12]Spread!#REF!</definedName>
    <definedName name="bb" localSheetId="1" hidden="1">{"'Sheet1'!$A$3:$I$11"}</definedName>
    <definedName name="bb" localSheetId="2" hidden="1">{"'Sheet1'!$A$3:$I$11"}</definedName>
    <definedName name="bb" localSheetId="4" hidden="1">{"'Sheet1'!$A$3:$I$11"}</definedName>
    <definedName name="bb" localSheetId="19" hidden="1">{"'Sheet1'!$A$3:$I$11"}</definedName>
    <definedName name="bb" localSheetId="10" hidden="1">{"'Sheet1'!$A$3:$I$11"}</definedName>
    <definedName name="bb" localSheetId="9" hidden="1">{"'Sheet1'!$A$3:$I$11"}</definedName>
    <definedName name="bb" localSheetId="8" hidden="1">{"'Sheet1'!$A$3:$I$11"}</definedName>
    <definedName name="bb" localSheetId="3" hidden="1">{"'Sheet1'!$A$3:$I$11"}</definedName>
    <definedName name="bb" localSheetId="6" hidden="1">{"'Sheet1'!$A$3:$I$11"}</definedName>
    <definedName name="bb" localSheetId="7" hidden="1">{"'Sheet1'!$A$3:$I$11"}</definedName>
    <definedName name="bb" localSheetId="5" hidden="1">{"'Sheet1'!$A$3:$I$11"}</definedName>
    <definedName name="BB" hidden="1">#REF!</definedName>
    <definedName name="BB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11">#REF!</definedName>
    <definedName name="bbb" localSheetId="1">#REF!</definedName>
    <definedName name="bbb" localSheetId="2">#REF!</definedName>
    <definedName name="bbb" localSheetId="4">#REF!</definedName>
    <definedName name="bbb" localSheetId="19">#REF!</definedName>
    <definedName name="bbb" localSheetId="10">#REF!</definedName>
    <definedName name="bbb" localSheetId="9">#REF!</definedName>
    <definedName name="bbb" localSheetId="8">#REF!</definedName>
    <definedName name="bbb" localSheetId="3">#REF!</definedName>
    <definedName name="bbb" localSheetId="6">#REF!</definedName>
    <definedName name="bbb" localSheetId="7">#REF!</definedName>
    <definedName name="bbb" localSheetId="5">#REF!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 hidden="1">{"'Sheet1'!$A$3:$I$11"}</definedName>
    <definedName name="BBBBBBB" hidden="1">#REF!</definedName>
    <definedName name="bcd" localSheetId="18" hidden="1">{#N/A,#N/A,TRUE,"Basic";#N/A,#N/A,TRUE,"EXT-TABLE";#N/A,#N/A,TRUE,"STEEL";#N/A,#N/A,TRUE,"INT-Table";#N/A,#N/A,TRUE,"STEEL";#N/A,#N/A,TRUE,"Door"}</definedName>
    <definedName name="bcd" hidden="1">{#N/A,#N/A,TRUE,"Basic";#N/A,#N/A,TRUE,"EXT-TABLE";#N/A,#N/A,TRUE,"STEEL";#N/A,#N/A,TRUE,"INT-Table";#N/A,#N/A,TRUE,"STEEL";#N/A,#N/A,TRUE,"Door"}</definedName>
    <definedName name="bcd_1" localSheetId="18" hidden="1">{#N/A,#N/A,TRUE,"Basic";#N/A,#N/A,TRUE,"EXT-TABLE";#N/A,#N/A,TRUE,"STEEL";#N/A,#N/A,TRUE,"INT-Table";#N/A,#N/A,TRUE,"STEEL";#N/A,#N/A,TRUE,"Door"}</definedName>
    <definedName name="bcd_1" hidden="1">{#N/A,#N/A,TRUE,"Basic";#N/A,#N/A,TRUE,"EXT-TABLE";#N/A,#N/A,TRUE,"STEEL";#N/A,#N/A,TRUE,"INT-Table";#N/A,#N/A,TRUE,"STEEL";#N/A,#N/A,TRUE,"Door"}</definedName>
    <definedName name="bcd_1_1" localSheetId="18" hidden="1">{#N/A,#N/A,TRUE,"Basic";#N/A,#N/A,TRUE,"EXT-TABLE";#N/A,#N/A,TRUE,"STEEL";#N/A,#N/A,TRUE,"INT-Table";#N/A,#N/A,TRUE,"STEEL";#N/A,#N/A,TRUE,"Door"}</definedName>
    <definedName name="bcd_1_1" hidden="1">{#N/A,#N/A,TRUE,"Basic";#N/A,#N/A,TRUE,"EXT-TABLE";#N/A,#N/A,TRUE,"STEEL";#N/A,#N/A,TRUE,"INT-Table";#N/A,#N/A,TRUE,"STEEL";#N/A,#N/A,TRUE,"Door"}</definedName>
    <definedName name="bcd_1_2" localSheetId="18" hidden="1">{#N/A,#N/A,TRUE,"Basic";#N/A,#N/A,TRUE,"EXT-TABLE";#N/A,#N/A,TRUE,"STEEL";#N/A,#N/A,TRUE,"INT-Table";#N/A,#N/A,TRUE,"STEEL";#N/A,#N/A,TRUE,"Door"}</definedName>
    <definedName name="bcd_1_2" hidden="1">{#N/A,#N/A,TRUE,"Basic";#N/A,#N/A,TRUE,"EXT-TABLE";#N/A,#N/A,TRUE,"STEEL";#N/A,#N/A,TRUE,"INT-Table";#N/A,#N/A,TRUE,"STEEL";#N/A,#N/A,TRUE,"Door"}</definedName>
    <definedName name="bcd_2" localSheetId="18" hidden="1">{#N/A,#N/A,TRUE,"Basic";#N/A,#N/A,TRUE,"EXT-TABLE";#N/A,#N/A,TRUE,"STEEL";#N/A,#N/A,TRUE,"INT-Table";#N/A,#N/A,TRUE,"STEEL";#N/A,#N/A,TRUE,"Door"}</definedName>
    <definedName name="bcd_2" hidden="1">{#N/A,#N/A,TRUE,"Basic";#N/A,#N/A,TRUE,"EXT-TABLE";#N/A,#N/A,TRUE,"STEEL";#N/A,#N/A,TRUE,"INT-Table";#N/A,#N/A,TRUE,"STEEL";#N/A,#N/A,TRUE,"Door"}</definedName>
    <definedName name="bcd_2_1" localSheetId="18" hidden="1">{#N/A,#N/A,TRUE,"Basic";#N/A,#N/A,TRUE,"EXT-TABLE";#N/A,#N/A,TRUE,"STEEL";#N/A,#N/A,TRUE,"INT-Table";#N/A,#N/A,TRUE,"STEEL";#N/A,#N/A,TRUE,"Door"}</definedName>
    <definedName name="bcd_2_1" hidden="1">{#N/A,#N/A,TRUE,"Basic";#N/A,#N/A,TRUE,"EXT-TABLE";#N/A,#N/A,TRUE,"STEEL";#N/A,#N/A,TRUE,"INT-Table";#N/A,#N/A,TRUE,"STEEL";#N/A,#N/A,TRUE,"Door"}</definedName>
    <definedName name="bcd_2_2" localSheetId="18" hidden="1">{#N/A,#N/A,TRUE,"Basic";#N/A,#N/A,TRUE,"EXT-TABLE";#N/A,#N/A,TRUE,"STEEL";#N/A,#N/A,TRUE,"INT-Table";#N/A,#N/A,TRUE,"STEEL";#N/A,#N/A,TRUE,"Door"}</definedName>
    <definedName name="bcd_2_2" hidden="1">{#N/A,#N/A,TRUE,"Basic";#N/A,#N/A,TRUE,"EXT-TABLE";#N/A,#N/A,TRUE,"STEEL";#N/A,#N/A,TRUE,"INT-Table";#N/A,#N/A,TRUE,"STEEL";#N/A,#N/A,TRUE,"Door"}</definedName>
    <definedName name="bcd_3" localSheetId="18" hidden="1">{#N/A,#N/A,TRUE,"Basic";#N/A,#N/A,TRUE,"EXT-TABLE";#N/A,#N/A,TRUE,"STEEL";#N/A,#N/A,TRUE,"INT-Table";#N/A,#N/A,TRUE,"STEEL";#N/A,#N/A,TRUE,"Door"}</definedName>
    <definedName name="bcd_3" hidden="1">{#N/A,#N/A,TRUE,"Basic";#N/A,#N/A,TRUE,"EXT-TABLE";#N/A,#N/A,TRUE,"STEEL";#N/A,#N/A,TRUE,"INT-Table";#N/A,#N/A,TRUE,"STEEL";#N/A,#N/A,TRUE,"Door"}</definedName>
    <definedName name="bcd_3_1" localSheetId="18" hidden="1">{#N/A,#N/A,TRUE,"Basic";#N/A,#N/A,TRUE,"EXT-TABLE";#N/A,#N/A,TRUE,"STEEL";#N/A,#N/A,TRUE,"INT-Table";#N/A,#N/A,TRUE,"STEEL";#N/A,#N/A,TRUE,"Door"}</definedName>
    <definedName name="bcd_3_1" hidden="1">{#N/A,#N/A,TRUE,"Basic";#N/A,#N/A,TRUE,"EXT-TABLE";#N/A,#N/A,TRUE,"STEEL";#N/A,#N/A,TRUE,"INT-Table";#N/A,#N/A,TRUE,"STEEL";#N/A,#N/A,TRUE,"Door"}</definedName>
    <definedName name="bcd_3_2" localSheetId="18" hidden="1">{#N/A,#N/A,TRUE,"Basic";#N/A,#N/A,TRUE,"EXT-TABLE";#N/A,#N/A,TRUE,"STEEL";#N/A,#N/A,TRUE,"INT-Table";#N/A,#N/A,TRUE,"STEEL";#N/A,#N/A,TRUE,"Door"}</definedName>
    <definedName name="bcd_3_2" hidden="1">{#N/A,#N/A,TRUE,"Basic";#N/A,#N/A,TRUE,"EXT-TABLE";#N/A,#N/A,TRUE,"STEEL";#N/A,#N/A,TRUE,"INT-Table";#N/A,#N/A,TRUE,"STEEL";#N/A,#N/A,TRUE,"Door"}</definedName>
    <definedName name="bcd_4" localSheetId="18" hidden="1">{#N/A,#N/A,TRUE,"Basic";#N/A,#N/A,TRUE,"EXT-TABLE";#N/A,#N/A,TRUE,"STEEL";#N/A,#N/A,TRUE,"INT-Table";#N/A,#N/A,TRUE,"STEEL";#N/A,#N/A,TRUE,"Door"}</definedName>
    <definedName name="bcd_4" hidden="1">{#N/A,#N/A,TRUE,"Basic";#N/A,#N/A,TRUE,"EXT-TABLE";#N/A,#N/A,TRUE,"STEEL";#N/A,#N/A,TRUE,"INT-Table";#N/A,#N/A,TRUE,"STEEL";#N/A,#N/A,TRUE,"Door"}</definedName>
    <definedName name="bcd_4_1" localSheetId="18" hidden="1">{#N/A,#N/A,TRUE,"Basic";#N/A,#N/A,TRUE,"EXT-TABLE";#N/A,#N/A,TRUE,"STEEL";#N/A,#N/A,TRUE,"INT-Table";#N/A,#N/A,TRUE,"STEEL";#N/A,#N/A,TRUE,"Door"}</definedName>
    <definedName name="bcd_4_1" hidden="1">{#N/A,#N/A,TRUE,"Basic";#N/A,#N/A,TRUE,"EXT-TABLE";#N/A,#N/A,TRUE,"STEEL";#N/A,#N/A,TRUE,"INT-Table";#N/A,#N/A,TRUE,"STEEL";#N/A,#N/A,TRUE,"Door"}</definedName>
    <definedName name="bcd_4_2" localSheetId="18" hidden="1">{#N/A,#N/A,TRUE,"Basic";#N/A,#N/A,TRUE,"EXT-TABLE";#N/A,#N/A,TRUE,"STEEL";#N/A,#N/A,TRUE,"INT-Table";#N/A,#N/A,TRUE,"STEEL";#N/A,#N/A,TRUE,"Door"}</definedName>
    <definedName name="bcd_4_2" hidden="1">{#N/A,#N/A,TRUE,"Basic";#N/A,#N/A,TRUE,"EXT-TABLE";#N/A,#N/A,TRUE,"STEEL";#N/A,#N/A,TRUE,"INT-Table";#N/A,#N/A,TRUE,"STEEL";#N/A,#N/A,TRUE,"Door"}</definedName>
    <definedName name="bcd_5" localSheetId="18" hidden="1">{#N/A,#N/A,TRUE,"Basic";#N/A,#N/A,TRUE,"EXT-TABLE";#N/A,#N/A,TRUE,"STEEL";#N/A,#N/A,TRUE,"INT-Table";#N/A,#N/A,TRUE,"STEEL";#N/A,#N/A,TRUE,"Door"}</definedName>
    <definedName name="bcd_5" hidden="1">{#N/A,#N/A,TRUE,"Basic";#N/A,#N/A,TRUE,"EXT-TABLE";#N/A,#N/A,TRUE,"STEEL";#N/A,#N/A,TRUE,"INT-Table";#N/A,#N/A,TRUE,"STEEL";#N/A,#N/A,TRUE,"Door"}</definedName>
    <definedName name="bcd_5_1" localSheetId="18" hidden="1">{#N/A,#N/A,TRUE,"Basic";#N/A,#N/A,TRUE,"EXT-TABLE";#N/A,#N/A,TRUE,"STEEL";#N/A,#N/A,TRUE,"INT-Table";#N/A,#N/A,TRUE,"STEEL";#N/A,#N/A,TRUE,"Door"}</definedName>
    <definedName name="bcd_5_1" hidden="1">{#N/A,#N/A,TRUE,"Basic";#N/A,#N/A,TRUE,"EXT-TABLE";#N/A,#N/A,TRUE,"STEEL";#N/A,#N/A,TRUE,"INT-Table";#N/A,#N/A,TRUE,"STEEL";#N/A,#N/A,TRUE,"Door"}</definedName>
    <definedName name="bcd_5_2" localSheetId="18" hidden="1">{#N/A,#N/A,TRUE,"Basic";#N/A,#N/A,TRUE,"EXT-TABLE";#N/A,#N/A,TRUE,"STEEL";#N/A,#N/A,TRUE,"INT-Table";#N/A,#N/A,TRUE,"STEEL";#N/A,#N/A,TRUE,"Door"}</definedName>
    <definedName name="bcd_5_2" hidden="1">{#N/A,#N/A,TRUE,"Basic";#N/A,#N/A,TRUE,"EXT-TABLE";#N/A,#N/A,TRUE,"STEEL";#N/A,#N/A,TRUE,"INT-Table";#N/A,#N/A,TRUE,"STEEL";#N/A,#N/A,TRUE,"Door"}</definedName>
    <definedName name="BCHC1" localSheetId="18" hidden="1">{"'Sheet1'!$L$16"}</definedName>
    <definedName name="BCHC1" localSheetId="11" hidden="1">{"'Sheet1'!$L$16"}</definedName>
    <definedName name="BCHC1" localSheetId="1" hidden="1">{"'Sheet1'!$L$16"}</definedName>
    <definedName name="BCHC1" localSheetId="2" hidden="1">{"'Sheet1'!$L$16"}</definedName>
    <definedName name="BCHC1" localSheetId="12" hidden="1">{"'Sheet1'!$L$16"}</definedName>
    <definedName name="BCHC1" localSheetId="4" hidden="1">{"'Sheet1'!$L$16"}</definedName>
    <definedName name="BCHC1" localSheetId="19" hidden="1">{"'Sheet1'!$L$16"}</definedName>
    <definedName name="BCHC1" localSheetId="10" hidden="1">{"'Sheet1'!$L$16"}</definedName>
    <definedName name="BCHC1" localSheetId="9" hidden="1">{"'Sheet1'!$L$16"}</definedName>
    <definedName name="BCHC1" localSheetId="8" hidden="1">{"'Sheet1'!$L$16"}</definedName>
    <definedName name="BCHC1" localSheetId="3" hidden="1">{"'Sheet1'!$L$16"}</definedName>
    <definedName name="BCHC1" localSheetId="6" hidden="1">{"'Sheet1'!$L$16"}</definedName>
    <definedName name="BCHC1" localSheetId="7" hidden="1">{"'Sheet1'!$L$16"}</definedName>
    <definedName name="BCHC1" localSheetId="5" hidden="1">{"'Sheet1'!$L$16"}</definedName>
    <definedName name="BCHC1" localSheetId="13" hidden="1">{"'Sheet1'!$L$16"}</definedName>
    <definedName name="BCHC1" hidden="1">{"'Sheet1'!$L$16"}</definedName>
    <definedName name="beam">1.15</definedName>
    <definedName name="BELL" localSheetId="18" hidden="1">{#N/A,#N/A,TRUE,"Basic";#N/A,#N/A,TRUE,"EXT-TABLE";#N/A,#N/A,TRUE,"STEEL";#N/A,#N/A,TRUE,"INT-Table";#N/A,#N/A,TRUE,"STEEL";#N/A,#N/A,TRUE,"Door"}</definedName>
    <definedName name="BELL" hidden="1">{#N/A,#N/A,TRUE,"Basic";#N/A,#N/A,TRUE,"EXT-TABLE";#N/A,#N/A,TRUE,"STEEL";#N/A,#N/A,TRUE,"INT-Table";#N/A,#N/A,TRUE,"STEEL";#N/A,#N/A,TRUE,"Door"}</definedName>
    <definedName name="BELL_1" localSheetId="18" hidden="1">{#N/A,#N/A,TRUE,"Basic";#N/A,#N/A,TRUE,"EXT-TABLE";#N/A,#N/A,TRUE,"STEEL";#N/A,#N/A,TRUE,"INT-Table";#N/A,#N/A,TRUE,"STEEL";#N/A,#N/A,TRUE,"Door"}</definedName>
    <definedName name="BELL_1" hidden="1">{#N/A,#N/A,TRUE,"Basic";#N/A,#N/A,TRUE,"EXT-TABLE";#N/A,#N/A,TRUE,"STEEL";#N/A,#N/A,TRUE,"INT-Table";#N/A,#N/A,TRUE,"STEEL";#N/A,#N/A,TRUE,"Door"}</definedName>
    <definedName name="BELL_1_1" localSheetId="18" hidden="1">{#N/A,#N/A,TRUE,"Basic";#N/A,#N/A,TRUE,"EXT-TABLE";#N/A,#N/A,TRUE,"STEEL";#N/A,#N/A,TRUE,"INT-Table";#N/A,#N/A,TRUE,"STEEL";#N/A,#N/A,TRUE,"Door"}</definedName>
    <definedName name="BELL_1_1" hidden="1">{#N/A,#N/A,TRUE,"Basic";#N/A,#N/A,TRUE,"EXT-TABLE";#N/A,#N/A,TRUE,"STEEL";#N/A,#N/A,TRUE,"INT-Table";#N/A,#N/A,TRUE,"STEEL";#N/A,#N/A,TRUE,"Door"}</definedName>
    <definedName name="BELL_1_2" localSheetId="18" hidden="1">{#N/A,#N/A,TRUE,"Basic";#N/A,#N/A,TRUE,"EXT-TABLE";#N/A,#N/A,TRUE,"STEEL";#N/A,#N/A,TRUE,"INT-Table";#N/A,#N/A,TRUE,"STEEL";#N/A,#N/A,TRUE,"Door"}</definedName>
    <definedName name="BELL_1_2" hidden="1">{#N/A,#N/A,TRUE,"Basic";#N/A,#N/A,TRUE,"EXT-TABLE";#N/A,#N/A,TRUE,"STEEL";#N/A,#N/A,TRUE,"INT-Table";#N/A,#N/A,TRUE,"STEEL";#N/A,#N/A,TRUE,"Door"}</definedName>
    <definedName name="BELL_2" localSheetId="18" hidden="1">{#N/A,#N/A,TRUE,"Basic";#N/A,#N/A,TRUE,"EXT-TABLE";#N/A,#N/A,TRUE,"STEEL";#N/A,#N/A,TRUE,"INT-Table";#N/A,#N/A,TRUE,"STEEL";#N/A,#N/A,TRUE,"Door"}</definedName>
    <definedName name="BELL_2" hidden="1">{#N/A,#N/A,TRUE,"Basic";#N/A,#N/A,TRUE,"EXT-TABLE";#N/A,#N/A,TRUE,"STEEL";#N/A,#N/A,TRUE,"INT-Table";#N/A,#N/A,TRUE,"STEEL";#N/A,#N/A,TRUE,"Door"}</definedName>
    <definedName name="BELL_2_1" localSheetId="18" hidden="1">{#N/A,#N/A,TRUE,"Basic";#N/A,#N/A,TRUE,"EXT-TABLE";#N/A,#N/A,TRUE,"STEEL";#N/A,#N/A,TRUE,"INT-Table";#N/A,#N/A,TRUE,"STEEL";#N/A,#N/A,TRUE,"Door"}</definedName>
    <definedName name="BELL_2_1" hidden="1">{#N/A,#N/A,TRUE,"Basic";#N/A,#N/A,TRUE,"EXT-TABLE";#N/A,#N/A,TRUE,"STEEL";#N/A,#N/A,TRUE,"INT-Table";#N/A,#N/A,TRUE,"STEEL";#N/A,#N/A,TRUE,"Door"}</definedName>
    <definedName name="BELL_2_2" localSheetId="18" hidden="1">{#N/A,#N/A,TRUE,"Basic";#N/A,#N/A,TRUE,"EXT-TABLE";#N/A,#N/A,TRUE,"STEEL";#N/A,#N/A,TRUE,"INT-Table";#N/A,#N/A,TRUE,"STEEL";#N/A,#N/A,TRUE,"Door"}</definedName>
    <definedName name="BELL_2_2" hidden="1">{#N/A,#N/A,TRUE,"Basic";#N/A,#N/A,TRUE,"EXT-TABLE";#N/A,#N/A,TRUE,"STEEL";#N/A,#N/A,TRUE,"INT-Table";#N/A,#N/A,TRUE,"STEEL";#N/A,#N/A,TRUE,"Door"}</definedName>
    <definedName name="BELL_3" localSheetId="18" hidden="1">{#N/A,#N/A,TRUE,"Basic";#N/A,#N/A,TRUE,"EXT-TABLE";#N/A,#N/A,TRUE,"STEEL";#N/A,#N/A,TRUE,"INT-Table";#N/A,#N/A,TRUE,"STEEL";#N/A,#N/A,TRUE,"Door"}</definedName>
    <definedName name="BELL_3" hidden="1">{#N/A,#N/A,TRUE,"Basic";#N/A,#N/A,TRUE,"EXT-TABLE";#N/A,#N/A,TRUE,"STEEL";#N/A,#N/A,TRUE,"INT-Table";#N/A,#N/A,TRUE,"STEEL";#N/A,#N/A,TRUE,"Door"}</definedName>
    <definedName name="BELL_3_1" localSheetId="18" hidden="1">{#N/A,#N/A,TRUE,"Basic";#N/A,#N/A,TRUE,"EXT-TABLE";#N/A,#N/A,TRUE,"STEEL";#N/A,#N/A,TRUE,"INT-Table";#N/A,#N/A,TRUE,"STEEL";#N/A,#N/A,TRUE,"Door"}</definedName>
    <definedName name="BELL_3_1" hidden="1">{#N/A,#N/A,TRUE,"Basic";#N/A,#N/A,TRUE,"EXT-TABLE";#N/A,#N/A,TRUE,"STEEL";#N/A,#N/A,TRUE,"INT-Table";#N/A,#N/A,TRUE,"STEEL";#N/A,#N/A,TRUE,"Door"}</definedName>
    <definedName name="BELL_3_2" localSheetId="18" hidden="1">{#N/A,#N/A,TRUE,"Basic";#N/A,#N/A,TRUE,"EXT-TABLE";#N/A,#N/A,TRUE,"STEEL";#N/A,#N/A,TRUE,"INT-Table";#N/A,#N/A,TRUE,"STEEL";#N/A,#N/A,TRUE,"Door"}</definedName>
    <definedName name="BELL_3_2" hidden="1">{#N/A,#N/A,TRUE,"Basic";#N/A,#N/A,TRUE,"EXT-TABLE";#N/A,#N/A,TRUE,"STEEL";#N/A,#N/A,TRUE,"INT-Table";#N/A,#N/A,TRUE,"STEEL";#N/A,#N/A,TRUE,"Door"}</definedName>
    <definedName name="BELL_4" localSheetId="18" hidden="1">{#N/A,#N/A,TRUE,"Basic";#N/A,#N/A,TRUE,"EXT-TABLE";#N/A,#N/A,TRUE,"STEEL";#N/A,#N/A,TRUE,"INT-Table";#N/A,#N/A,TRUE,"STEEL";#N/A,#N/A,TRUE,"Door"}</definedName>
    <definedName name="BELL_4" hidden="1">{#N/A,#N/A,TRUE,"Basic";#N/A,#N/A,TRUE,"EXT-TABLE";#N/A,#N/A,TRUE,"STEEL";#N/A,#N/A,TRUE,"INT-Table";#N/A,#N/A,TRUE,"STEEL";#N/A,#N/A,TRUE,"Door"}</definedName>
    <definedName name="BELL_4_1" localSheetId="18" hidden="1">{#N/A,#N/A,TRUE,"Basic";#N/A,#N/A,TRUE,"EXT-TABLE";#N/A,#N/A,TRUE,"STEEL";#N/A,#N/A,TRUE,"INT-Table";#N/A,#N/A,TRUE,"STEEL";#N/A,#N/A,TRUE,"Door"}</definedName>
    <definedName name="BELL_4_1" hidden="1">{#N/A,#N/A,TRUE,"Basic";#N/A,#N/A,TRUE,"EXT-TABLE";#N/A,#N/A,TRUE,"STEEL";#N/A,#N/A,TRUE,"INT-Table";#N/A,#N/A,TRUE,"STEEL";#N/A,#N/A,TRUE,"Door"}</definedName>
    <definedName name="BELL_4_2" localSheetId="18" hidden="1">{#N/A,#N/A,TRUE,"Basic";#N/A,#N/A,TRUE,"EXT-TABLE";#N/A,#N/A,TRUE,"STEEL";#N/A,#N/A,TRUE,"INT-Table";#N/A,#N/A,TRUE,"STEEL";#N/A,#N/A,TRUE,"Door"}</definedName>
    <definedName name="BELL_4_2" hidden="1">{#N/A,#N/A,TRUE,"Basic";#N/A,#N/A,TRUE,"EXT-TABLE";#N/A,#N/A,TRUE,"STEEL";#N/A,#N/A,TRUE,"INT-Table";#N/A,#N/A,TRUE,"STEEL";#N/A,#N/A,TRUE,"Door"}</definedName>
    <definedName name="BELL_5" localSheetId="18" hidden="1">{#N/A,#N/A,TRUE,"Basic";#N/A,#N/A,TRUE,"EXT-TABLE";#N/A,#N/A,TRUE,"STEEL";#N/A,#N/A,TRUE,"INT-Table";#N/A,#N/A,TRUE,"STEEL";#N/A,#N/A,TRUE,"Door"}</definedName>
    <definedName name="BELL_5" hidden="1">{#N/A,#N/A,TRUE,"Basic";#N/A,#N/A,TRUE,"EXT-TABLE";#N/A,#N/A,TRUE,"STEEL";#N/A,#N/A,TRUE,"INT-Table";#N/A,#N/A,TRUE,"STEEL";#N/A,#N/A,TRUE,"Door"}</definedName>
    <definedName name="BELL_5_1" localSheetId="18" hidden="1">{#N/A,#N/A,TRUE,"Basic";#N/A,#N/A,TRUE,"EXT-TABLE";#N/A,#N/A,TRUE,"STEEL";#N/A,#N/A,TRUE,"INT-Table";#N/A,#N/A,TRUE,"STEEL";#N/A,#N/A,TRUE,"Door"}</definedName>
    <definedName name="BELL_5_1" hidden="1">{#N/A,#N/A,TRUE,"Basic";#N/A,#N/A,TRUE,"EXT-TABLE";#N/A,#N/A,TRUE,"STEEL";#N/A,#N/A,TRUE,"INT-Table";#N/A,#N/A,TRUE,"STEEL";#N/A,#N/A,TRUE,"Door"}</definedName>
    <definedName name="BELL_5_2" localSheetId="18" hidden="1">{#N/A,#N/A,TRUE,"Basic";#N/A,#N/A,TRUE,"EXT-TABLE";#N/A,#N/A,TRUE,"STEEL";#N/A,#N/A,TRUE,"INT-Table";#N/A,#N/A,TRUE,"STEEL";#N/A,#N/A,TRUE,"Door"}</definedName>
    <definedName name="BELL_5_2" hidden="1">{#N/A,#N/A,TRUE,"Basic";#N/A,#N/A,TRUE,"EXT-TABLE";#N/A,#N/A,TRUE,"STEEL";#N/A,#N/A,TRUE,"INT-Table";#N/A,#N/A,TRUE,"STEEL";#N/A,#N/A,TRUE,"Door"}</definedName>
    <definedName name="BendReduction" localSheetId="11">'[41]Noise (3)'!$C$28</definedName>
    <definedName name="BendReduction" localSheetId="1">'[41]Noise (3)'!$C$28</definedName>
    <definedName name="BendReduction" localSheetId="2">'[41]Noise (3)'!$C$28</definedName>
    <definedName name="BendReduction" localSheetId="4">'[41]Noise (3)'!$C$28</definedName>
    <definedName name="BendReduction" localSheetId="19">'[41]Noise (3)'!$C$28</definedName>
    <definedName name="BendReduction" localSheetId="10">'[41]Noise (3)'!$C$28</definedName>
    <definedName name="BendReduction" localSheetId="9">'[41]Noise (3)'!$C$28</definedName>
    <definedName name="BendReduction" localSheetId="8">'[41]Noise (3)'!$C$28</definedName>
    <definedName name="BendReduction" localSheetId="3">'[41]Noise (3)'!$C$28</definedName>
    <definedName name="BendReduction" localSheetId="6">'[41]Noise (3)'!$C$28</definedName>
    <definedName name="BendReduction" localSheetId="7">'[41]Noise (3)'!$C$28</definedName>
    <definedName name="BendReduction" localSheetId="5">'[41]Noise (3)'!$C$28</definedName>
    <definedName name="BendReduction">#REF!</definedName>
    <definedName name="Bendreductions" localSheetId="11">'[41]Noise (3)'!$G$79:$P$79</definedName>
    <definedName name="Bendreductions" localSheetId="1">'[41]Noise (3)'!$G$79:$P$79</definedName>
    <definedName name="Bendreductions" localSheetId="2">'[41]Noise (3)'!$G$79:$P$79</definedName>
    <definedName name="Bendreductions" localSheetId="4">'[41]Noise (3)'!$G$79:$P$79</definedName>
    <definedName name="Bendreductions" localSheetId="19">'[41]Noise (3)'!$G$79:$P$79</definedName>
    <definedName name="Bendreductions" localSheetId="10">'[41]Noise (3)'!$G$79:$P$79</definedName>
    <definedName name="Bendreductions" localSheetId="9">'[41]Noise (3)'!$G$79:$P$79</definedName>
    <definedName name="Bendreductions" localSheetId="8">'[41]Noise (3)'!$G$79:$P$79</definedName>
    <definedName name="Bendreductions" localSheetId="3">'[41]Noise (3)'!$G$79:$P$79</definedName>
    <definedName name="Bendreductions" localSheetId="6">'[41]Noise (3)'!$G$79:$P$79</definedName>
    <definedName name="Bendreductions" localSheetId="7">'[41]Noise (3)'!$G$79:$P$79</definedName>
    <definedName name="Bendreductions" localSheetId="5">'[41]Noise (3)'!$G$79:$P$79</definedName>
    <definedName name="Bendreductions">#REF!</definedName>
    <definedName name="Bends" localSheetId="11">[41]Tables!$A$5:$A$8</definedName>
    <definedName name="Bends" localSheetId="1">[41]Tables!$A$5:$A$8</definedName>
    <definedName name="Bends" localSheetId="2">[41]Tables!$A$5:$A$8</definedName>
    <definedName name="Bends" localSheetId="4">[41]Tables!$A$5:$A$8</definedName>
    <definedName name="Bends" localSheetId="19">[41]Tables!$A$5:$A$8</definedName>
    <definedName name="Bends" localSheetId="10">[41]Tables!$A$5:$A$8</definedName>
    <definedName name="Bends" localSheetId="9">[41]Tables!$A$5:$A$8</definedName>
    <definedName name="Bends" localSheetId="8">[41]Tables!$A$5:$A$8</definedName>
    <definedName name="Bends" localSheetId="3">[41]Tables!$A$5:$A$8</definedName>
    <definedName name="Bends" localSheetId="6">[41]Tables!$A$5:$A$8</definedName>
    <definedName name="Bends" localSheetId="7">[41]Tables!$A$5:$A$8</definedName>
    <definedName name="Bends" localSheetId="5">[41]Tables!$A$5:$A$8</definedName>
    <definedName name="Bends">#REF!</definedName>
    <definedName name="BendTable" localSheetId="11">[41]Tables!$A$5:$J$8</definedName>
    <definedName name="BendTable" localSheetId="1">[41]Tables!$A$5:$J$8</definedName>
    <definedName name="BendTable" localSheetId="2">[41]Tables!$A$5:$J$8</definedName>
    <definedName name="BendTable" localSheetId="4">[41]Tables!$A$5:$J$8</definedName>
    <definedName name="BendTable" localSheetId="19">[41]Tables!$A$5:$J$8</definedName>
    <definedName name="BendTable" localSheetId="10">[41]Tables!$A$5:$J$8</definedName>
    <definedName name="BendTable" localSheetId="9">[41]Tables!$A$5:$J$8</definedName>
    <definedName name="BendTable" localSheetId="8">[41]Tables!$A$5:$J$8</definedName>
    <definedName name="BendTable" localSheetId="3">[41]Tables!$A$5:$J$8</definedName>
    <definedName name="BendTable" localSheetId="6">[41]Tables!$A$5:$J$8</definedName>
    <definedName name="BendTable" localSheetId="7">[41]Tables!$A$5:$J$8</definedName>
    <definedName name="BendTable" localSheetId="5">[41]Tables!$A$5:$J$8</definedName>
    <definedName name="BendTable">#REF!</definedName>
    <definedName name="best0563" localSheetId="18" hidden="1">{"Übersicht","Bestellübersicht",FALSE,"Best.-Übersicht"}</definedName>
    <definedName name="best0563" localSheetId="11" hidden="1">{"Übersicht","Bestellübersicht",FALSE,"Best.-Übersicht"}</definedName>
    <definedName name="best0563" localSheetId="1" hidden="1">{"Übersicht","Bestellübersicht",FALSE,"Best.-Übersicht"}</definedName>
    <definedName name="best0563" localSheetId="2" hidden="1">{"Übersicht","Bestellübersicht",FALSE,"Best.-Übersicht"}</definedName>
    <definedName name="best0563" localSheetId="4" hidden="1">{"Übersicht","Bestellübersicht",FALSE,"Best.-Übersicht"}</definedName>
    <definedName name="best0563" localSheetId="19" hidden="1">{"Übersicht","Bestellübersicht",FALSE,"Best.-Übersicht"}</definedName>
    <definedName name="best0563" localSheetId="10" hidden="1">{"Übersicht","Bestellübersicht",FALSE,"Best.-Übersicht"}</definedName>
    <definedName name="best0563" localSheetId="9" hidden="1">{"Übersicht","Bestellübersicht",FALSE,"Best.-Übersicht"}</definedName>
    <definedName name="best0563" localSheetId="8" hidden="1">{"Übersicht","Bestellübersicht",FALSE,"Best.-Übersicht"}</definedName>
    <definedName name="best0563" localSheetId="3" hidden="1">{"Übersicht","Bestellübersicht",FALSE,"Best.-Übersicht"}</definedName>
    <definedName name="best0563" localSheetId="6" hidden="1">{"Übersicht","Bestellübersicht",FALSE,"Best.-Übersicht"}</definedName>
    <definedName name="best0563" localSheetId="7" hidden="1">{"Übersicht","Bestellübersicht",FALSE,"Best.-Übersicht"}</definedName>
    <definedName name="best0563" localSheetId="5" hidden="1">{"Übersicht","Bestellübersicht",FALSE,"Best.-Übersicht"}</definedName>
    <definedName name="best0563" hidden="1">{"Übersicht","Bestellübersicht",FALSE,"Best.-Übersicht"}</definedName>
    <definedName name="bfbfdhfdhdfgh" localSheetId="18" hidden="1">{#N/A,#N/A,FALSE,"CCTV"}</definedName>
    <definedName name="bfbfdhfdhdfgh" localSheetId="11" hidden="1">{#N/A,#N/A,FALSE,"CCTV"}</definedName>
    <definedName name="bfbfdhfdhdfgh" localSheetId="1" hidden="1">{#N/A,#N/A,FALSE,"CCTV"}</definedName>
    <definedName name="bfbfdhfdhdfgh" localSheetId="2" hidden="1">{#N/A,#N/A,FALSE,"CCTV"}</definedName>
    <definedName name="bfbfdhfdhdfgh" localSheetId="4" hidden="1">{#N/A,#N/A,FALSE,"CCTV"}</definedName>
    <definedName name="bfbfdhfdhdfgh" localSheetId="19" hidden="1">{#N/A,#N/A,FALSE,"CCTV"}</definedName>
    <definedName name="bfbfdhfdhdfgh" localSheetId="10" hidden="1">{#N/A,#N/A,FALSE,"CCTV"}</definedName>
    <definedName name="bfbfdhfdhdfgh" localSheetId="9" hidden="1">{#N/A,#N/A,FALSE,"CCTV"}</definedName>
    <definedName name="bfbfdhfdhdfgh" localSheetId="8" hidden="1">{#N/A,#N/A,FALSE,"CCTV"}</definedName>
    <definedName name="bfbfdhfdhdfgh" localSheetId="3" hidden="1">{#N/A,#N/A,FALSE,"CCTV"}</definedName>
    <definedName name="bfbfdhfdhdfgh" localSheetId="6" hidden="1">{#N/A,#N/A,FALSE,"CCTV"}</definedName>
    <definedName name="bfbfdhfdhdfgh" localSheetId="7" hidden="1">{#N/A,#N/A,FALSE,"CCTV"}</definedName>
    <definedName name="bfbfdhfdhdfgh" localSheetId="5" hidden="1">{#N/A,#N/A,FALSE,"CCTV"}</definedName>
    <definedName name="bfbfdhfdhdfgh" hidden="1">{#N/A,#N/A,FALSE,"CCTV"}</definedName>
    <definedName name="BFDF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localSheetId="11" hidden="1">[12]Spread!#REF!</definedName>
    <definedName name="BGRRR" localSheetId="1" hidden="1">[12]Spread!#REF!</definedName>
    <definedName name="BGRRR" localSheetId="2" hidden="1">[12]Spread!#REF!</definedName>
    <definedName name="BGRRR" localSheetId="4" hidden="1">[12]Spread!#REF!</definedName>
    <definedName name="BGRRR" localSheetId="19" hidden="1">[12]Spread!#REF!</definedName>
    <definedName name="BGRRR" localSheetId="10" hidden="1">[12]Spread!#REF!</definedName>
    <definedName name="BGRRR" localSheetId="9" hidden="1">[12]Spread!#REF!</definedName>
    <definedName name="BGRRR" localSheetId="8" hidden="1">[12]Spread!#REF!</definedName>
    <definedName name="BGRRR" localSheetId="3" hidden="1">[12]Spread!#REF!</definedName>
    <definedName name="BGRRR" localSheetId="6" hidden="1">[12]Spread!#REF!</definedName>
    <definedName name="BGRRR" localSheetId="7" hidden="1">[12]Spread!#REF!</definedName>
    <definedName name="BGRRR" localSheetId="5" hidden="1">[12]Spread!#REF!</definedName>
    <definedName name="BGRRR" hidden="1">#REF!</definedName>
    <definedName name="BIGC" localSheetId="18" hidden="1">{#N/A,#N/A,TRUE,"Str.";#N/A,#N/A,TRUE,"Steel &amp; Roof";#N/A,#N/A,TRUE,"Arc.";#N/A,#N/A,TRUE,"Preliminary";#N/A,#N/A,TRUE,"Sum_Prelim"}</definedName>
    <definedName name="BIGC" hidden="1">{#N/A,#N/A,TRUE,"Str.";#N/A,#N/A,TRUE,"Steel &amp; Roof";#N/A,#N/A,TRUE,"Arc.";#N/A,#N/A,TRUE,"Preliminary";#N/A,#N/A,TRUE,"Sum_Prelim"}</definedName>
    <definedName name="BJJ" localSheetId="18" hidden="1">{#N/A,#N/A,FALSE,"CCTV"}</definedName>
    <definedName name="BJJ" hidden="1">{#N/A,#N/A,FALSE,"CCTV"}</definedName>
    <definedName name="bkd" localSheetId="18" hidden="1">{"'Sheet1'!$L$16"}</definedName>
    <definedName name="bkd" hidden="1">{"'Sheet1'!$L$16"}</definedName>
    <definedName name="BL">#REF!</definedName>
    <definedName name="bl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#REF!</definedName>
    <definedName name="Blechverkleidung">#REF!</definedName>
    <definedName name="BLR_COMP">#REF!</definedName>
    <definedName name="BLR_COMP1">#REF!</definedName>
    <definedName name="bm" localSheetId="18" hidden="1">{"'Sheet1'!$L$16"}</definedName>
    <definedName name="BM" localSheetId="11" hidden="1">{#N/A,#N/A,FALSE,"CCTV"}</definedName>
    <definedName name="BM" localSheetId="1" hidden="1">{#N/A,#N/A,FALSE,"CCTV"}</definedName>
    <definedName name="BM" localSheetId="2" hidden="1">{#N/A,#N/A,FALSE,"CCTV"}</definedName>
    <definedName name="BM" localSheetId="4" hidden="1">{#N/A,#N/A,FALSE,"CCTV"}</definedName>
    <definedName name="BM" localSheetId="19" hidden="1">{#N/A,#N/A,FALSE,"CCTV"}</definedName>
    <definedName name="BM" localSheetId="10" hidden="1">{#N/A,#N/A,FALSE,"CCTV"}</definedName>
    <definedName name="BM" localSheetId="9" hidden="1">{#N/A,#N/A,FALSE,"CCTV"}</definedName>
    <definedName name="BM" localSheetId="8" hidden="1">{#N/A,#N/A,FALSE,"CCTV"}</definedName>
    <definedName name="BM" localSheetId="3" hidden="1">{#N/A,#N/A,FALSE,"CCTV"}</definedName>
    <definedName name="BM" localSheetId="6" hidden="1">{#N/A,#N/A,FALSE,"CCTV"}</definedName>
    <definedName name="BM" localSheetId="7" hidden="1">{#N/A,#N/A,FALSE,"CCTV"}</definedName>
    <definedName name="BM" localSheetId="5" hidden="1">{#N/A,#N/A,FALSE,"CCTV"}</definedName>
    <definedName name="bm" hidden="1">{"'Sheet1'!$L$16"}</definedName>
    <definedName name="BM.1">#REF!</definedName>
    <definedName name="bn" localSheetId="18" hidden="1">{"'Sheet1'!$L$16"}</definedName>
    <definedName name="bn" hidden="1">{"'Sheet1'!$L$16"}</definedName>
    <definedName name="BNMH" localSheetId="18" hidden="1">{#N/A,#N/A,FALSE,"CCTV"}</definedName>
    <definedName name="BNMH" hidden="1">{#N/A,#N/A,FALSE,"CCTV"}</definedName>
    <definedName name="bob"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#REF!</definedName>
    <definedName name="BODY">#REF!</definedName>
    <definedName name="Boiler" localSheetId="11">[41]Tables!$A$31:$A$48</definedName>
    <definedName name="Boiler" localSheetId="1">[41]Tables!$A$31:$A$48</definedName>
    <definedName name="Boiler" localSheetId="2">[41]Tables!$A$31:$A$48</definedName>
    <definedName name="Boiler" localSheetId="4">[41]Tables!$A$31:$A$48</definedName>
    <definedName name="Boiler" localSheetId="19">[41]Tables!$A$31:$A$48</definedName>
    <definedName name="Boiler" localSheetId="10">[41]Tables!$A$31:$A$48</definedName>
    <definedName name="Boiler" localSheetId="9">[41]Tables!$A$31:$A$48</definedName>
    <definedName name="Boiler" localSheetId="8">[41]Tables!$A$31:$A$48</definedName>
    <definedName name="Boiler" localSheetId="3">[41]Tables!$A$31:$A$48</definedName>
    <definedName name="Boiler" localSheetId="6">[41]Tables!$A$31:$A$48</definedName>
    <definedName name="Boiler" localSheetId="7">[41]Tables!$A$31:$A$48</definedName>
    <definedName name="Boiler" localSheetId="5">[41]Tables!$A$31:$A$48</definedName>
    <definedName name="Boiler">#REF!</definedName>
    <definedName name="boiler_depth">#REF!</definedName>
    <definedName name="BoilerReductionTotal" localSheetId="11">'[41]Radiation (6)'!$C$164:$L$164</definedName>
    <definedName name="BoilerReductionTotal" localSheetId="1">'[41]Radiation (6)'!$C$164:$L$164</definedName>
    <definedName name="BoilerReductionTotal" localSheetId="2">'[41]Radiation (6)'!$C$164:$L$164</definedName>
    <definedName name="BoilerReductionTotal" localSheetId="4">'[41]Radiation (6)'!$C$164:$L$164</definedName>
    <definedName name="BoilerReductionTotal" localSheetId="19">'[41]Radiation (6)'!$C$164:$L$164</definedName>
    <definedName name="BoilerReductionTotal" localSheetId="10">'[41]Radiation (6)'!$C$164:$L$164</definedName>
    <definedName name="BoilerReductionTotal" localSheetId="9">'[41]Radiation (6)'!$C$164:$L$164</definedName>
    <definedName name="BoilerReductionTotal" localSheetId="8">'[41]Radiation (6)'!$C$164:$L$164</definedName>
    <definedName name="BoilerReductionTotal" localSheetId="3">'[41]Radiation (6)'!$C$164:$L$164</definedName>
    <definedName name="BoilerReductionTotal" localSheetId="6">'[41]Radiation (6)'!$C$164:$L$164</definedName>
    <definedName name="BoilerReductionTotal" localSheetId="7">'[41]Radiation (6)'!$C$164:$L$164</definedName>
    <definedName name="BoilerReductionTotal" localSheetId="5">'[41]Radiation (6)'!$C$164:$L$164</definedName>
    <definedName name="BoilerReductionTotal">#REF!</definedName>
    <definedName name="bolts">#REF!</definedName>
    <definedName name="BoltSpec">#REF!</definedName>
    <definedName name="book1" hidden="1">#REF!</definedName>
    <definedName name="BOQ">#REF!</definedName>
    <definedName name="BOQ_SUMMARY" localSheetId="18" hidden="1">{#N/A,#N/A,TRUE,"Basic";#N/A,#N/A,TRUE,"EXT-TABLE";#N/A,#N/A,TRUE,"STEEL";#N/A,#N/A,TRUE,"INT-Table";#N/A,#N/A,TRUE,"STEEL";#N/A,#N/A,TRUE,"Door"}</definedName>
    <definedName name="BOQ_SUMMARY" hidden="1">{#N/A,#N/A,TRUE,"Basic";#N/A,#N/A,TRUE,"EXT-TABLE";#N/A,#N/A,TRUE,"STEEL";#N/A,#N/A,TRUE,"INT-Table";#N/A,#N/A,TRUE,"STEEL";#N/A,#N/A,TRUE,"Door"}</definedName>
    <definedName name="BOR_P3">#REF!</definedName>
    <definedName name="BOR_P5">#REF!</definedName>
    <definedName name="botdl">#REF!</definedName>
    <definedName name="BP">#REF!</definedName>
    <definedName name="BraceAmt">#REF!</definedName>
    <definedName name="BRAnd" localSheetId="18" hidden="1">{#N/A,#N/A,FALSE,"P&amp;LSUM";#N/A,#N/A,FALSE,"P&amp;LSUM Construction";#N/A,#N/A,FALSE,"P&amp;LSUM ROV";#N/A,#N/A,FALSE,"jobreport";#N/A,#N/A,FALSE,"OJI";#N/A,#N/A,FALSE,"OH"}</definedName>
    <definedName name="BRAnd" hidden="1">{#N/A,#N/A,FALSE,"P&amp;LSUM";#N/A,#N/A,FALSE,"P&amp;LSUM Construction";#N/A,#N/A,FALSE,"P&amp;LSUM ROV";#N/A,#N/A,FALSE,"jobreport";#N/A,#N/A,FALSE,"OJI";#N/A,#N/A,FALSE,"OH"}</definedName>
    <definedName name="Breaks">#REF!</definedName>
    <definedName name="BRIGADE_1">#REF!</definedName>
    <definedName name="BRIGADE_2">#REF!</definedName>
    <definedName name="BrkPts">#REF!</definedName>
    <definedName name="bs" localSheetId="11" hidden="1">[18]PSV2701F!$C$148:$C$170</definedName>
    <definedName name="bs" localSheetId="1" hidden="1">[18]PSV2701F!$C$148:$C$170</definedName>
    <definedName name="bs" localSheetId="2" hidden="1">[18]PSV2701F!$C$148:$C$170</definedName>
    <definedName name="bs" localSheetId="4" hidden="1">[18]PSV2701F!$C$148:$C$170</definedName>
    <definedName name="bs" localSheetId="19" hidden="1">[18]PSV2701F!$C$148:$C$170</definedName>
    <definedName name="bs" localSheetId="10" hidden="1">[18]PSV2701F!$C$148:$C$170</definedName>
    <definedName name="bs" localSheetId="9" hidden="1">[18]PSV2701F!$C$148:$C$170</definedName>
    <definedName name="bs" localSheetId="8" hidden="1">[18]PSV2701F!$C$148:$C$170</definedName>
    <definedName name="bs" localSheetId="3" hidden="1">[18]PSV2701F!$C$148:$C$170</definedName>
    <definedName name="bs" localSheetId="6" hidden="1">[18]PSV2701F!$C$148:$C$170</definedName>
    <definedName name="bs" localSheetId="7" hidden="1">[18]PSV2701F!$C$148:$C$170</definedName>
    <definedName name="bs" localSheetId="5" hidden="1">[18]PSV2701F!$C$148:$C$170</definedName>
    <definedName name="bs" hidden="1">#REF!</definedName>
    <definedName name="BSBSBS" localSheetId="11" hidden="1">[18]PSV2701F!$Q$57:$BT$57</definedName>
    <definedName name="BSBSBS" localSheetId="1" hidden="1">[18]PSV2701F!$Q$57:$BT$57</definedName>
    <definedName name="BSBSBS" localSheetId="2" hidden="1">[18]PSV2701F!$Q$57:$BT$57</definedName>
    <definedName name="BSBSBS" localSheetId="4" hidden="1">[18]PSV2701F!$Q$57:$BT$57</definedName>
    <definedName name="BSBSBS" localSheetId="19" hidden="1">[18]PSV2701F!$Q$57:$BT$57</definedName>
    <definedName name="BSBSBS" localSheetId="10" hidden="1">[18]PSV2701F!$Q$57:$BT$57</definedName>
    <definedName name="BSBSBS" localSheetId="9" hidden="1">[18]PSV2701F!$Q$57:$BT$57</definedName>
    <definedName name="BSBSBS" localSheetId="8" hidden="1">[18]PSV2701F!$Q$57:$BT$57</definedName>
    <definedName name="BSBSBS" localSheetId="3" hidden="1">[18]PSV2701F!$Q$57:$BT$57</definedName>
    <definedName name="BSBSBS" localSheetId="6" hidden="1">[18]PSV2701F!$Q$57:$BT$57</definedName>
    <definedName name="BSBSBS" localSheetId="7" hidden="1">[18]PSV2701F!$Q$57:$BT$57</definedName>
    <definedName name="BSBSBS" localSheetId="5" hidden="1">[18]PSV2701F!$Q$57:$BT$57</definedName>
    <definedName name="BSBSBS" hidden="1">#REF!</definedName>
    <definedName name="bsvv" localSheetId="18" hidden="1">{#N/A,#N/A,TRUE,"Mhr_Sum"}</definedName>
    <definedName name="bsvv" hidden="1">{#N/A,#N/A,TRUE,"Mhr_Sum"}</definedName>
    <definedName name="BT">[43]작성기준!$C$22</definedName>
    <definedName name="BTH" localSheetId="18" hidden="1">{"'Sheet1'!$L$16"}</definedName>
    <definedName name="BTH" localSheetId="11" hidden="1">{"'Sheet1'!$L$16"}</definedName>
    <definedName name="BTH" localSheetId="1" hidden="1">{"'Sheet1'!$L$16"}</definedName>
    <definedName name="BTH" localSheetId="2" hidden="1">{"'Sheet1'!$L$16"}</definedName>
    <definedName name="BTH" localSheetId="12" hidden="1">{"'Sheet1'!$L$16"}</definedName>
    <definedName name="BTH" localSheetId="4" hidden="1">{"'Sheet1'!$L$16"}</definedName>
    <definedName name="BTH" localSheetId="19" hidden="1">{"'Sheet1'!$L$16"}</definedName>
    <definedName name="BTH" localSheetId="10" hidden="1">{"'Sheet1'!$L$16"}</definedName>
    <definedName name="BTH" localSheetId="9" hidden="1">{"'Sheet1'!$L$16"}</definedName>
    <definedName name="BTH" localSheetId="8" hidden="1">{"'Sheet1'!$L$16"}</definedName>
    <definedName name="BTH" localSheetId="3" hidden="1">{"'Sheet1'!$L$16"}</definedName>
    <definedName name="BTH" localSheetId="6" hidden="1">{"'Sheet1'!$L$16"}</definedName>
    <definedName name="BTH" localSheetId="7" hidden="1">{"'Sheet1'!$L$16"}</definedName>
    <definedName name="BTH" localSheetId="5" hidden="1">{"'Sheet1'!$L$16"}</definedName>
    <definedName name="BTH" localSheetId="13" hidden="1">{"'Sheet1'!$L$16"}</definedName>
    <definedName name="BTH" hidden="1">{"'Sheet1'!$L$16"}</definedName>
    <definedName name="btl" localSheetId="18" hidden="1">{"'Sheet1'!$L$16"}</definedName>
    <definedName name="btl" localSheetId="11" hidden="1">{"'Sheet1'!$L$16"}</definedName>
    <definedName name="btl" localSheetId="1" hidden="1">{"'Sheet1'!$L$16"}</definedName>
    <definedName name="btl" localSheetId="2" hidden="1">{"'Sheet1'!$L$16"}</definedName>
    <definedName name="btl" localSheetId="12" hidden="1">{"'Sheet1'!$L$16"}</definedName>
    <definedName name="btl" localSheetId="4" hidden="1">{"'Sheet1'!$L$16"}</definedName>
    <definedName name="btl" localSheetId="19" hidden="1">{"'Sheet1'!$L$16"}</definedName>
    <definedName name="btl" localSheetId="10" hidden="1">{"'Sheet1'!$L$16"}</definedName>
    <definedName name="btl" localSheetId="9" hidden="1">{"'Sheet1'!$L$16"}</definedName>
    <definedName name="btl" localSheetId="8" hidden="1">{"'Sheet1'!$L$16"}</definedName>
    <definedName name="btl" localSheetId="3" hidden="1">{"'Sheet1'!$L$16"}</definedName>
    <definedName name="btl" localSheetId="6" hidden="1">{"'Sheet1'!$L$16"}</definedName>
    <definedName name="btl" localSheetId="7" hidden="1">{"'Sheet1'!$L$16"}</definedName>
    <definedName name="btl" localSheetId="5" hidden="1">{"'Sheet1'!$L$16"}</definedName>
    <definedName name="btl" localSheetId="13" hidden="1">{"'Sheet1'!$L$16"}</definedName>
    <definedName name="btl" hidden="1">{"'Sheet1'!$L$16"}</definedName>
    <definedName name="bua">#REF!</definedName>
    <definedName name="Budgetstundenermittlung">#REF!</definedName>
    <definedName name="BULYANGPNT" localSheetId="1">[44]!BULYANGPNT</definedName>
    <definedName name="BULYANGPNT" localSheetId="2">[44]!BULYANGPNT</definedName>
    <definedName name="BULYANGPNT" localSheetId="4">[44]!BULYANGPNT</definedName>
    <definedName name="BULYANGPNT" localSheetId="19">[44]!BULYANGPNT</definedName>
    <definedName name="BULYANGPNT" localSheetId="10">[44]!BULYANGPNT</definedName>
    <definedName name="BULYANGPNT" localSheetId="9">[44]!BULYANGPNT</definedName>
    <definedName name="BULYANGPNT" localSheetId="8">[44]!BULYANGPNT</definedName>
    <definedName name="BULYANGPNT" localSheetId="3">[44]!BULYANGPNT</definedName>
    <definedName name="BULYANGPNT" localSheetId="6">[44]!BULYANGPNT</definedName>
    <definedName name="BULYANGPNT" localSheetId="7">[44]!BULYANGPNT</definedName>
    <definedName name="BULYANGPNT" localSheetId="5">[44]!BULYANGPNT</definedName>
    <definedName name="BULYANGPNT">[44]!BULYANGPNT</definedName>
    <definedName name="BundleWeight1">#REF!</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BVCISUMMARY">#REF!</definedName>
    <definedName name="BW">#REF!</definedName>
    <definedName name="bxcs" localSheetId="18" hidden="1">{#N/A,#N/A,FALSE,"Mhr_Sum"}</definedName>
    <definedName name="bxcs" hidden="1">{#N/A,#N/A,FALSE,"Mhr_Sum"}</definedName>
    <definedName name="c.BaMuoi" localSheetId="18" hidden="1">{"'Sheet1'!$L$16"}</definedName>
    <definedName name="c.BaMuoi" localSheetId="11" hidden="1">{"'Sheet1'!$L$16"}</definedName>
    <definedName name="c.BaMuoi" localSheetId="1" hidden="1">{"'Sheet1'!$L$16"}</definedName>
    <definedName name="c.BaMuoi" localSheetId="2" hidden="1">{"'Sheet1'!$L$16"}</definedName>
    <definedName name="c.BaMuoi" localSheetId="12" hidden="1">{"'Sheet1'!$L$16"}</definedName>
    <definedName name="c.BaMuoi" localSheetId="4" hidden="1">{"'Sheet1'!$L$16"}</definedName>
    <definedName name="c.BaMuoi" localSheetId="19" hidden="1">{"'Sheet1'!$L$16"}</definedName>
    <definedName name="c.BaMuoi" localSheetId="10" hidden="1">{"'Sheet1'!$L$16"}</definedName>
    <definedName name="c.BaMuoi" localSheetId="9" hidden="1">{"'Sheet1'!$L$16"}</definedName>
    <definedName name="c.BaMuoi" localSheetId="8" hidden="1">{"'Sheet1'!$L$16"}</definedName>
    <definedName name="c.BaMuoi" localSheetId="3" hidden="1">{"'Sheet1'!$L$16"}</definedName>
    <definedName name="c.BaMuoi" localSheetId="6" hidden="1">{"'Sheet1'!$L$16"}</definedName>
    <definedName name="c.BaMuoi" localSheetId="7" hidden="1">{"'Sheet1'!$L$16"}</definedName>
    <definedName name="c.BaMuoi" localSheetId="5" hidden="1">{"'Sheet1'!$L$16"}</definedName>
    <definedName name="c.BaMuoi" localSheetId="13" hidden="1">{"'Sheet1'!$L$16"}</definedName>
    <definedName name="c.BaMuoi" hidden="1">{"'Sheet1'!$L$16"}</definedName>
    <definedName name="C.MocTom" localSheetId="18" hidden="1">{"'Sheet1'!$L$16"}</definedName>
    <definedName name="C.MocTom" localSheetId="11" hidden="1">{"'Sheet1'!$L$16"}</definedName>
    <definedName name="C.MocTom" localSheetId="1" hidden="1">{"'Sheet1'!$L$16"}</definedName>
    <definedName name="C.MocTom" localSheetId="2" hidden="1">{"'Sheet1'!$L$16"}</definedName>
    <definedName name="C.MocTom" localSheetId="12" hidden="1">{"'Sheet1'!$L$16"}</definedName>
    <definedName name="C.MocTom" localSheetId="4" hidden="1">{"'Sheet1'!$L$16"}</definedName>
    <definedName name="C.MocTom" localSheetId="19" hidden="1">{"'Sheet1'!$L$16"}</definedName>
    <definedName name="C.MocTom" localSheetId="10" hidden="1">{"'Sheet1'!$L$16"}</definedName>
    <definedName name="C.MocTom" localSheetId="9" hidden="1">{"'Sheet1'!$L$16"}</definedName>
    <definedName name="C.MocTom" localSheetId="8" hidden="1">{"'Sheet1'!$L$16"}</definedName>
    <definedName name="C.MocTom" localSheetId="3" hidden="1">{"'Sheet1'!$L$16"}</definedName>
    <definedName name="C.MocTom" localSheetId="6" hidden="1">{"'Sheet1'!$L$16"}</definedName>
    <definedName name="C.MocTom" localSheetId="7" hidden="1">{"'Sheet1'!$L$16"}</definedName>
    <definedName name="C.MocTom" localSheetId="5" hidden="1">{"'Sheet1'!$L$16"}</definedName>
    <definedName name="C.MocTom" localSheetId="13" hidden="1">{"'Sheet1'!$L$16"}</definedName>
    <definedName name="C.MocTom" hidden="1">{"'Sheet1'!$L$16"}</definedName>
    <definedName name="C_">#REF!</definedName>
    <definedName name="CA" localSheetId="18" hidden="1">{#N/A,#N/A,TRUE,"SUM";#N/A,#N/A,TRUE,"EE";#N/A,#N/A,TRUE,"AC";#N/A,#N/A,TRUE,"SN"}</definedName>
    <definedName name="CA" hidden="1">{#N/A,#N/A,TRUE,"SUM";#N/A,#N/A,TRUE,"EE";#N/A,#N/A,TRUE,"AC";#N/A,#N/A,TRUE,"SN"}</definedName>
    <definedName name="cable_bm" localSheetId="18" hidden="1">{"'rev8'!$B$3:$S$203"}</definedName>
    <definedName name="cable_bm" hidden="1">{"'rev8'!$B$3:$S$203"}</definedName>
    <definedName name="cal">#REF!</definedName>
    <definedName name="Calculate_Cash_Flow">#REF!</definedName>
    <definedName name="cao">#REF!</definedName>
    <definedName name="CAP">#REF!</definedName>
    <definedName name="CardsUnitCode">#REF!</definedName>
    <definedName name="CARL" localSheetId="18" hidden="1">{#N/A,#N/A,FALSE,"CCTV"}</definedName>
    <definedName name="CARL" hidden="1">{#N/A,#N/A,FALSE,"CCTV"}</definedName>
    <definedName name="CARL1" localSheetId="18" hidden="1">{#N/A,#N/A,FALSE,"CCTV"}</definedName>
    <definedName name="CARL1" hidden="1">{#N/A,#N/A,FALSE,"CCTV"}</definedName>
    <definedName name="CARL2" localSheetId="18" hidden="1">{#N/A,#N/A,FALSE,"CCTV"}</definedName>
    <definedName name="CARL2" hidden="1">{#N/A,#N/A,FALSE,"CCTV"}</definedName>
    <definedName name="CASH">#REF!</definedName>
    <definedName name="CASH_COS">#REF!</definedName>
    <definedName name="CASH_PAY">#REF!</definedName>
    <definedName name="Casing_Thickness">#REF!</definedName>
    <definedName name="Category_All">#REF!</definedName>
    <definedName name="CATIN">#N/A</definedName>
    <definedName name="CATJYOU">#N/A</definedName>
    <definedName name="CATREC">#N/A</definedName>
    <definedName name="CATSYU">#N/A</definedName>
    <definedName name="Caudal">#REF!</definedName>
    <definedName name="Caudal_másico">#REF!</definedName>
    <definedName name="CBWorkbookPriority" hidden="1">-1411612577</definedName>
    <definedName name="CC" localSheetId="11" hidden="1">[12]Spread!#REF!</definedName>
    <definedName name="cc" localSheetId="1">#REF!</definedName>
    <definedName name="cc" localSheetId="2">#REF!</definedName>
    <definedName name="cc" localSheetId="4">#REF!</definedName>
    <definedName name="cc" localSheetId="19">#REF!</definedName>
    <definedName name="cc" localSheetId="10">#REF!</definedName>
    <definedName name="cc" localSheetId="9">#REF!</definedName>
    <definedName name="cc" localSheetId="8">#REF!</definedName>
    <definedName name="cc" localSheetId="3">#REF!</definedName>
    <definedName name="cc" localSheetId="6">#REF!</definedName>
    <definedName name="cc" localSheetId="7">#REF!</definedName>
    <definedName name="cc" localSheetId="5">#REF!</definedName>
    <definedName name="CC" hidden="1">#REF!</definedName>
    <definedName name="CCC"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CS">#REF!</definedName>
    <definedName name="CCW">[37]작성기준!$C$25</definedName>
    <definedName name="CDD">#REF!</definedName>
    <definedName name="CdL">#REF!</definedName>
    <definedName name="Cdnum">#REF!</definedName>
    <definedName name="cdsdim">[45]csdim!$A$2:$A$1375</definedName>
    <definedName name="cdsloadrange">[45]cdsload!$A$3:$A$70</definedName>
    <definedName name="CFT_09">[32]Tables!$B$24:$Q$25</definedName>
    <definedName name="CF요인" hidden="1">#REF!</definedName>
    <definedName name="ch">#REF!</definedName>
    <definedName name="Chart" hidden="1">#REF!</definedName>
    <definedName name="CHECK">#REF!</definedName>
    <definedName name="Check_B" localSheetId="1">[46]!Check_B</definedName>
    <definedName name="Check_B" localSheetId="2">[46]!Check_B</definedName>
    <definedName name="Check_B" localSheetId="4">[46]!Check_B</definedName>
    <definedName name="Check_B" localSheetId="19">[46]!Check_B</definedName>
    <definedName name="Check_B" localSheetId="10">[46]!Check_B</definedName>
    <definedName name="Check_B" localSheetId="9">[46]!Check_B</definedName>
    <definedName name="Check_B" localSheetId="8">[46]!Check_B</definedName>
    <definedName name="Check_B" localSheetId="3">[46]!Check_B</definedName>
    <definedName name="Check_B" localSheetId="6">[46]!Check_B</definedName>
    <definedName name="Check_B" localSheetId="7">[46]!Check_B</definedName>
    <definedName name="Check_B" localSheetId="5">[46]!Check_B</definedName>
    <definedName name="Check_B">[46]!Check_B</definedName>
    <definedName name="chemical" localSheetId="18" hidden="1">{#N/A,#N/A,FALSE,"CCTV"}</definedName>
    <definedName name="chemical" localSheetId="11" hidden="1">{#N/A,#N/A,FALSE,"CCTV"}</definedName>
    <definedName name="chemical" localSheetId="1" hidden="1">{#N/A,#N/A,FALSE,"CCTV"}</definedName>
    <definedName name="chemical" localSheetId="2" hidden="1">{#N/A,#N/A,FALSE,"CCTV"}</definedName>
    <definedName name="chemical" localSheetId="4" hidden="1">{#N/A,#N/A,FALSE,"CCTV"}</definedName>
    <definedName name="chemical" localSheetId="19" hidden="1">{#N/A,#N/A,FALSE,"CCTV"}</definedName>
    <definedName name="chemical" localSheetId="10" hidden="1">{#N/A,#N/A,FALSE,"CCTV"}</definedName>
    <definedName name="chemical" localSheetId="9" hidden="1">{#N/A,#N/A,FALSE,"CCTV"}</definedName>
    <definedName name="chemical" localSheetId="8" hidden="1">{#N/A,#N/A,FALSE,"CCTV"}</definedName>
    <definedName name="chemical" localSheetId="3" hidden="1">{#N/A,#N/A,FALSE,"CCTV"}</definedName>
    <definedName name="chemical" localSheetId="6" hidden="1">{#N/A,#N/A,FALSE,"CCTV"}</definedName>
    <definedName name="chemical" localSheetId="7" hidden="1">{#N/A,#N/A,FALSE,"CCTV"}</definedName>
    <definedName name="chemical" localSheetId="5" hidden="1">{#N/A,#N/A,FALSE,"CCTV"}</definedName>
    <definedName name="chemical" hidden="1">{#N/A,#N/A,FALSE,"CCTV"}</definedName>
    <definedName name="Chi_tieát_phi">#REF!</definedName>
    <definedName name="chien">#REF!</definedName>
    <definedName name="chietchai2" localSheetId="16" hidden="1">{"'Sheet1'!$L$16"}</definedName>
    <definedName name="chietchai2" localSheetId="18" hidden="1">{"'Sheet1'!$L$16"}</definedName>
    <definedName name="chietchai2" localSheetId="11" hidden="1">{"'Sheet1'!$L$16"}</definedName>
    <definedName name="chietchai2" localSheetId="1" hidden="1">{"'Sheet1'!$L$16"}</definedName>
    <definedName name="chietchai2" localSheetId="2" hidden="1">{"'Sheet1'!$L$16"}</definedName>
    <definedName name="chietchai2" localSheetId="17" hidden="1">{"'Sheet1'!$L$16"}</definedName>
    <definedName name="chietchai2" localSheetId="12" hidden="1">{"'Sheet1'!$L$16"}</definedName>
    <definedName name="chietchai2" localSheetId="4" hidden="1">{"'Sheet1'!$L$16"}</definedName>
    <definedName name="chietchai2" localSheetId="19" hidden="1">{"'Sheet1'!$L$16"}</definedName>
    <definedName name="chietchai2" localSheetId="10" hidden="1">{"'Sheet1'!$L$16"}</definedName>
    <definedName name="chietchai2" localSheetId="9" hidden="1">{"'Sheet1'!$L$16"}</definedName>
    <definedName name="chietchai2" localSheetId="8" hidden="1">{"'Sheet1'!$L$16"}</definedName>
    <definedName name="chietchai2" localSheetId="3" hidden="1">{"'Sheet1'!$L$16"}</definedName>
    <definedName name="chietchai2" localSheetId="6" hidden="1">{"'Sheet1'!$L$16"}</definedName>
    <definedName name="chietchai2" localSheetId="7" hidden="1">{"'Sheet1'!$L$16"}</definedName>
    <definedName name="chietchai2" localSheetId="5" hidden="1">{"'Sheet1'!$L$16"}</definedName>
    <definedName name="chietchai2" localSheetId="13" hidden="1">{"'Sheet1'!$L$16"}</definedName>
    <definedName name="chietchai2" hidden="1">{"'Sheet1'!$L$16"}</definedName>
    <definedName name="chitietbgiang2" localSheetId="18" hidden="1">{"'Sheet1'!$L$16"}</definedName>
    <definedName name="chitietbgiang2" localSheetId="11" hidden="1">{"'Sheet1'!$L$16"}</definedName>
    <definedName name="chitietbgiang2" localSheetId="1" hidden="1">{"'Sheet1'!$L$16"}</definedName>
    <definedName name="chitietbgiang2" localSheetId="2" hidden="1">{"'Sheet1'!$L$16"}</definedName>
    <definedName name="chitietbgiang2" localSheetId="12" hidden="1">{"'Sheet1'!$L$16"}</definedName>
    <definedName name="chitietbgiang2" localSheetId="4" hidden="1">{"'Sheet1'!$L$16"}</definedName>
    <definedName name="chitietbgiang2" localSheetId="19" hidden="1">{"'Sheet1'!$L$16"}</definedName>
    <definedName name="chitietbgiang2" localSheetId="10" hidden="1">{"'Sheet1'!$L$16"}</definedName>
    <definedName name="chitietbgiang2" localSheetId="9" hidden="1">{"'Sheet1'!$L$16"}</definedName>
    <definedName name="chitietbgiang2" localSheetId="8" hidden="1">{"'Sheet1'!$L$16"}</definedName>
    <definedName name="chitietbgiang2" localSheetId="3" hidden="1">{"'Sheet1'!$L$16"}</definedName>
    <definedName name="chitietbgiang2" localSheetId="6" hidden="1">{"'Sheet1'!$L$16"}</definedName>
    <definedName name="chitietbgiang2" localSheetId="7" hidden="1">{"'Sheet1'!$L$16"}</definedName>
    <definedName name="chitietbgiang2" localSheetId="5" hidden="1">{"'Sheet1'!$L$16"}</definedName>
    <definedName name="chitietbgiang2" localSheetId="13" hidden="1">{"'Sheet1'!$L$16"}</definedName>
    <definedName name="chitietbgiang2" hidden="1">{"'Sheet1'!$L$16"}</definedName>
    <definedName name="chl" localSheetId="18" hidden="1">{"'Sheet1'!$L$16"}</definedName>
    <definedName name="chl" localSheetId="11" hidden="1">{"'Sheet1'!$L$16"}</definedName>
    <definedName name="chl" localSheetId="1" hidden="1">{"'Sheet1'!$L$16"}</definedName>
    <definedName name="chl" localSheetId="2" hidden="1">{"'Sheet1'!$L$16"}</definedName>
    <definedName name="chl" localSheetId="12" hidden="1">{"'Sheet1'!$L$16"}</definedName>
    <definedName name="chl" localSheetId="4" hidden="1">{"'Sheet1'!$L$16"}</definedName>
    <definedName name="chl" localSheetId="19" hidden="1">{"'Sheet1'!$L$16"}</definedName>
    <definedName name="chl" localSheetId="10" hidden="1">{"'Sheet1'!$L$16"}</definedName>
    <definedName name="chl" localSheetId="9" hidden="1">{"'Sheet1'!$L$16"}</definedName>
    <definedName name="chl" localSheetId="8" hidden="1">{"'Sheet1'!$L$16"}</definedName>
    <definedName name="chl" localSheetId="3" hidden="1">{"'Sheet1'!$L$16"}</definedName>
    <definedName name="chl" localSheetId="6" hidden="1">{"'Sheet1'!$L$16"}</definedName>
    <definedName name="chl" localSheetId="7" hidden="1">{"'Sheet1'!$L$16"}</definedName>
    <definedName name="chl" localSheetId="5" hidden="1">{"'Sheet1'!$L$16"}</definedName>
    <definedName name="chl" localSheetId="13" hidden="1">{"'Sheet1'!$L$16"}</definedName>
    <definedName name="chl" hidden="1">{"'Sheet1'!$L$16"}</definedName>
    <definedName name="chl_1" localSheetId="18" hidden="1">{#N/A,#N/A,TRUE,"Basic";#N/A,#N/A,TRUE,"EXT-TABLE";#N/A,#N/A,TRUE,"STEEL";#N/A,#N/A,TRUE,"INT-Table";#N/A,#N/A,TRUE,"STEEL";#N/A,#N/A,TRUE,"Door"}</definedName>
    <definedName name="chl_1" hidden="1">{#N/A,#N/A,TRUE,"Basic";#N/A,#N/A,TRUE,"EXT-TABLE";#N/A,#N/A,TRUE,"STEEL";#N/A,#N/A,TRUE,"INT-Table";#N/A,#N/A,TRUE,"STEEL";#N/A,#N/A,TRUE,"Door"}</definedName>
    <definedName name="chl_1_1" localSheetId="18" hidden="1">{#N/A,#N/A,TRUE,"Basic";#N/A,#N/A,TRUE,"EXT-TABLE";#N/A,#N/A,TRUE,"STEEL";#N/A,#N/A,TRUE,"INT-Table";#N/A,#N/A,TRUE,"STEEL";#N/A,#N/A,TRUE,"Door"}</definedName>
    <definedName name="chl_1_1" hidden="1">{#N/A,#N/A,TRUE,"Basic";#N/A,#N/A,TRUE,"EXT-TABLE";#N/A,#N/A,TRUE,"STEEL";#N/A,#N/A,TRUE,"INT-Table";#N/A,#N/A,TRUE,"STEEL";#N/A,#N/A,TRUE,"Door"}</definedName>
    <definedName name="chl_1_2" localSheetId="18" hidden="1">{#N/A,#N/A,TRUE,"Basic";#N/A,#N/A,TRUE,"EXT-TABLE";#N/A,#N/A,TRUE,"STEEL";#N/A,#N/A,TRUE,"INT-Table";#N/A,#N/A,TRUE,"STEEL";#N/A,#N/A,TRUE,"Door"}</definedName>
    <definedName name="chl_1_2" hidden="1">{#N/A,#N/A,TRUE,"Basic";#N/A,#N/A,TRUE,"EXT-TABLE";#N/A,#N/A,TRUE,"STEEL";#N/A,#N/A,TRUE,"INT-Table";#N/A,#N/A,TRUE,"STEEL";#N/A,#N/A,TRUE,"Door"}</definedName>
    <definedName name="chl_2" localSheetId="18" hidden="1">{#N/A,#N/A,TRUE,"Basic";#N/A,#N/A,TRUE,"EXT-TABLE";#N/A,#N/A,TRUE,"STEEL";#N/A,#N/A,TRUE,"INT-Table";#N/A,#N/A,TRUE,"STEEL";#N/A,#N/A,TRUE,"Door"}</definedName>
    <definedName name="chl_2" hidden="1">{#N/A,#N/A,TRUE,"Basic";#N/A,#N/A,TRUE,"EXT-TABLE";#N/A,#N/A,TRUE,"STEEL";#N/A,#N/A,TRUE,"INT-Table";#N/A,#N/A,TRUE,"STEEL";#N/A,#N/A,TRUE,"Door"}</definedName>
    <definedName name="chl_2_1" localSheetId="18" hidden="1">{#N/A,#N/A,TRUE,"Basic";#N/A,#N/A,TRUE,"EXT-TABLE";#N/A,#N/A,TRUE,"STEEL";#N/A,#N/A,TRUE,"INT-Table";#N/A,#N/A,TRUE,"STEEL";#N/A,#N/A,TRUE,"Door"}</definedName>
    <definedName name="chl_2_1" hidden="1">{#N/A,#N/A,TRUE,"Basic";#N/A,#N/A,TRUE,"EXT-TABLE";#N/A,#N/A,TRUE,"STEEL";#N/A,#N/A,TRUE,"INT-Table";#N/A,#N/A,TRUE,"STEEL";#N/A,#N/A,TRUE,"Door"}</definedName>
    <definedName name="chl_2_2" localSheetId="18" hidden="1">{#N/A,#N/A,TRUE,"Basic";#N/A,#N/A,TRUE,"EXT-TABLE";#N/A,#N/A,TRUE,"STEEL";#N/A,#N/A,TRUE,"INT-Table";#N/A,#N/A,TRUE,"STEEL";#N/A,#N/A,TRUE,"Door"}</definedName>
    <definedName name="chl_2_2" hidden="1">{#N/A,#N/A,TRUE,"Basic";#N/A,#N/A,TRUE,"EXT-TABLE";#N/A,#N/A,TRUE,"STEEL";#N/A,#N/A,TRUE,"INT-Table";#N/A,#N/A,TRUE,"STEEL";#N/A,#N/A,TRUE,"Door"}</definedName>
    <definedName name="chl_3" localSheetId="18" hidden="1">{#N/A,#N/A,TRUE,"Basic";#N/A,#N/A,TRUE,"EXT-TABLE";#N/A,#N/A,TRUE,"STEEL";#N/A,#N/A,TRUE,"INT-Table";#N/A,#N/A,TRUE,"STEEL";#N/A,#N/A,TRUE,"Door"}</definedName>
    <definedName name="chl_3" hidden="1">{#N/A,#N/A,TRUE,"Basic";#N/A,#N/A,TRUE,"EXT-TABLE";#N/A,#N/A,TRUE,"STEEL";#N/A,#N/A,TRUE,"INT-Table";#N/A,#N/A,TRUE,"STEEL";#N/A,#N/A,TRUE,"Door"}</definedName>
    <definedName name="chl_3_1" localSheetId="18" hidden="1">{#N/A,#N/A,TRUE,"Basic";#N/A,#N/A,TRUE,"EXT-TABLE";#N/A,#N/A,TRUE,"STEEL";#N/A,#N/A,TRUE,"INT-Table";#N/A,#N/A,TRUE,"STEEL";#N/A,#N/A,TRUE,"Door"}</definedName>
    <definedName name="chl_3_1" hidden="1">{#N/A,#N/A,TRUE,"Basic";#N/A,#N/A,TRUE,"EXT-TABLE";#N/A,#N/A,TRUE,"STEEL";#N/A,#N/A,TRUE,"INT-Table";#N/A,#N/A,TRUE,"STEEL";#N/A,#N/A,TRUE,"Door"}</definedName>
    <definedName name="chl_3_2" localSheetId="18" hidden="1">{#N/A,#N/A,TRUE,"Basic";#N/A,#N/A,TRUE,"EXT-TABLE";#N/A,#N/A,TRUE,"STEEL";#N/A,#N/A,TRUE,"INT-Table";#N/A,#N/A,TRUE,"STEEL";#N/A,#N/A,TRUE,"Door"}</definedName>
    <definedName name="chl_3_2" hidden="1">{#N/A,#N/A,TRUE,"Basic";#N/A,#N/A,TRUE,"EXT-TABLE";#N/A,#N/A,TRUE,"STEEL";#N/A,#N/A,TRUE,"INT-Table";#N/A,#N/A,TRUE,"STEEL";#N/A,#N/A,TRUE,"Door"}</definedName>
    <definedName name="chl_4" localSheetId="18" hidden="1">{#N/A,#N/A,TRUE,"Basic";#N/A,#N/A,TRUE,"EXT-TABLE";#N/A,#N/A,TRUE,"STEEL";#N/A,#N/A,TRUE,"INT-Table";#N/A,#N/A,TRUE,"STEEL";#N/A,#N/A,TRUE,"Door"}</definedName>
    <definedName name="chl_4" hidden="1">{#N/A,#N/A,TRUE,"Basic";#N/A,#N/A,TRUE,"EXT-TABLE";#N/A,#N/A,TRUE,"STEEL";#N/A,#N/A,TRUE,"INT-Table";#N/A,#N/A,TRUE,"STEEL";#N/A,#N/A,TRUE,"Door"}</definedName>
    <definedName name="chl_4_1" localSheetId="18" hidden="1">{#N/A,#N/A,TRUE,"Basic";#N/A,#N/A,TRUE,"EXT-TABLE";#N/A,#N/A,TRUE,"STEEL";#N/A,#N/A,TRUE,"INT-Table";#N/A,#N/A,TRUE,"STEEL";#N/A,#N/A,TRUE,"Door"}</definedName>
    <definedName name="chl_4_1" hidden="1">{#N/A,#N/A,TRUE,"Basic";#N/A,#N/A,TRUE,"EXT-TABLE";#N/A,#N/A,TRUE,"STEEL";#N/A,#N/A,TRUE,"INT-Table";#N/A,#N/A,TRUE,"STEEL";#N/A,#N/A,TRUE,"Door"}</definedName>
    <definedName name="chl_4_2" localSheetId="18" hidden="1">{#N/A,#N/A,TRUE,"Basic";#N/A,#N/A,TRUE,"EXT-TABLE";#N/A,#N/A,TRUE,"STEEL";#N/A,#N/A,TRUE,"INT-Table";#N/A,#N/A,TRUE,"STEEL";#N/A,#N/A,TRUE,"Door"}</definedName>
    <definedName name="chl_4_2" hidden="1">{#N/A,#N/A,TRUE,"Basic";#N/A,#N/A,TRUE,"EXT-TABLE";#N/A,#N/A,TRUE,"STEEL";#N/A,#N/A,TRUE,"INT-Table";#N/A,#N/A,TRUE,"STEEL";#N/A,#N/A,TRUE,"Door"}</definedName>
    <definedName name="chl_5" localSheetId="18" hidden="1">{#N/A,#N/A,TRUE,"Basic";#N/A,#N/A,TRUE,"EXT-TABLE";#N/A,#N/A,TRUE,"STEEL";#N/A,#N/A,TRUE,"INT-Table";#N/A,#N/A,TRUE,"STEEL";#N/A,#N/A,TRUE,"Door"}</definedName>
    <definedName name="chl_5" hidden="1">{#N/A,#N/A,TRUE,"Basic";#N/A,#N/A,TRUE,"EXT-TABLE";#N/A,#N/A,TRUE,"STEEL";#N/A,#N/A,TRUE,"INT-Table";#N/A,#N/A,TRUE,"STEEL";#N/A,#N/A,TRUE,"Door"}</definedName>
    <definedName name="chl_5_1" localSheetId="18" hidden="1">{#N/A,#N/A,TRUE,"Basic";#N/A,#N/A,TRUE,"EXT-TABLE";#N/A,#N/A,TRUE,"STEEL";#N/A,#N/A,TRUE,"INT-Table";#N/A,#N/A,TRUE,"STEEL";#N/A,#N/A,TRUE,"Door"}</definedName>
    <definedName name="chl_5_1" hidden="1">{#N/A,#N/A,TRUE,"Basic";#N/A,#N/A,TRUE,"EXT-TABLE";#N/A,#N/A,TRUE,"STEEL";#N/A,#N/A,TRUE,"INT-Table";#N/A,#N/A,TRUE,"STEEL";#N/A,#N/A,TRUE,"Door"}</definedName>
    <definedName name="chl_5_2" localSheetId="18" hidden="1">{#N/A,#N/A,TRUE,"Basic";#N/A,#N/A,TRUE,"EXT-TABLE";#N/A,#N/A,TRUE,"STEEL";#N/A,#N/A,TRUE,"INT-Table";#N/A,#N/A,TRUE,"STEEL";#N/A,#N/A,TRUE,"Door"}</definedName>
    <definedName name="chl_5_2" hidden="1">{#N/A,#N/A,TRUE,"Basic";#N/A,#N/A,TRUE,"EXT-TABLE";#N/A,#N/A,TRUE,"STEEL";#N/A,#N/A,TRUE,"INT-Table";#N/A,#N/A,TRUE,"STEEL";#N/A,#N/A,TRUE,"Door"}</definedName>
    <definedName name="CHRIS" localSheetId="18" hidden="1">{#N/A,#N/A,FALSE,"CCTV"}</definedName>
    <definedName name="CHRIS" hidden="1">{#N/A,#N/A,FALSE,"CCTV"}</definedName>
    <definedName name="chsdim">[45]csdim!$A$1376:$A$2509</definedName>
    <definedName name="chsloadrange">[45]chsload!$A$3:$A$62</definedName>
    <definedName name="chu_vi__m">[47]Data_analysis!$O$2:$O$1048576</definedName>
    <definedName name="chuyen" localSheetId="16" hidden="1">{"'Sheet1'!$L$16"}</definedName>
    <definedName name="chuyen" localSheetId="18" hidden="1">{"'Sheet1'!$L$16"}</definedName>
    <definedName name="chuyen" localSheetId="11" hidden="1">{"'Sheet1'!$L$16"}</definedName>
    <definedName name="chuyen" localSheetId="1" hidden="1">{"'Sheet1'!$L$16"}</definedName>
    <definedName name="chuyen" localSheetId="2" hidden="1">{"'Sheet1'!$L$16"}</definedName>
    <definedName name="chuyen" localSheetId="17" hidden="1">{"'Sheet1'!$L$16"}</definedName>
    <definedName name="chuyen" localSheetId="12" hidden="1">{"'Sheet1'!$L$16"}</definedName>
    <definedName name="chuyen" localSheetId="4" hidden="1">{"'Sheet1'!$L$16"}</definedName>
    <definedName name="chuyen" localSheetId="19" hidden="1">{"'Sheet1'!$L$16"}</definedName>
    <definedName name="chuyen" localSheetId="10" hidden="1">{"'Sheet1'!$L$16"}</definedName>
    <definedName name="chuyen" localSheetId="9" hidden="1">{"'Sheet1'!$L$16"}</definedName>
    <definedName name="chuyen" localSheetId="8" hidden="1">{"'Sheet1'!$L$16"}</definedName>
    <definedName name="chuyen" localSheetId="3" hidden="1">{"'Sheet1'!$L$16"}</definedName>
    <definedName name="chuyen" localSheetId="6" hidden="1">{"'Sheet1'!$L$16"}</definedName>
    <definedName name="chuyen" localSheetId="7" hidden="1">{"'Sheet1'!$L$16"}</definedName>
    <definedName name="chuyen" localSheetId="5" hidden="1">{"'Sheet1'!$L$16"}</definedName>
    <definedName name="chuyen" localSheetId="13" hidden="1">{"'Sheet1'!$L$16"}</definedName>
    <definedName name="chuyen" hidden="1">{"'Sheet1'!$L$16"}</definedName>
    <definedName name="ci" localSheetId="16" hidden="1">{"'Sheet1'!$L$16"}</definedName>
    <definedName name="ci" localSheetId="18" hidden="1">{"'Sheet1'!$L$16"}</definedName>
    <definedName name="ci" localSheetId="17" hidden="1">{"'Sheet1'!$L$16"}</definedName>
    <definedName name="ci" hidden="1">{"'Sheet1'!$L$16"}</definedName>
    <definedName name="CK">#REF!</definedName>
    <definedName name="clear">#REF!,#REF!,#REF!,#REF!,#REF!,#REF!,#REF!,#REF!,#REF!,#REF!,#REF!,#REF!,#REF!,#REF!,#REF!,#REF!,#REF!,#REF!</definedName>
    <definedName name="CLVC3">0.1</definedName>
    <definedName name="CLVCTB">#REF!</definedName>
    <definedName name="cn" localSheetId="18" hidden="1">{"'Sheet1'!$L$16"}</definedName>
    <definedName name="cn" hidden="1">{"'Sheet1'!$L$16"}</definedName>
    <definedName name="Cname">#REF!</definedName>
    <definedName name="Cnum">#REF!</definedName>
    <definedName name="COA_11">'[48]COA-17'!#REF!</definedName>
    <definedName name="COA_12">'[48]COA-17'!#REF!</definedName>
    <definedName name="COA_13">'[48]COA-17'!#REF!</definedName>
    <definedName name="COA_14">'[48]COA-17'!#REF!</definedName>
    <definedName name="COA_19">'[49]COA-17'!#REF!</definedName>
    <definedName name="Coc_60" localSheetId="18" hidden="1">{"'Sheet1'!$L$16"}</definedName>
    <definedName name="Coc_60" localSheetId="11" hidden="1">{"'Sheet1'!$L$16"}</definedName>
    <definedName name="Coc_60" localSheetId="1" hidden="1">{"'Sheet1'!$L$16"}</definedName>
    <definedName name="Coc_60" localSheetId="2" hidden="1">{"'Sheet1'!$L$16"}</definedName>
    <definedName name="Coc_60" localSheetId="12" hidden="1">{"'Sheet1'!$L$16"}</definedName>
    <definedName name="Coc_60" localSheetId="4" hidden="1">{"'Sheet1'!$L$16"}</definedName>
    <definedName name="Coc_60" localSheetId="19" hidden="1">{"'Sheet1'!$L$16"}</definedName>
    <definedName name="Coc_60" localSheetId="10" hidden="1">{"'Sheet1'!$L$16"}</definedName>
    <definedName name="Coc_60" localSheetId="9" hidden="1">{"'Sheet1'!$L$16"}</definedName>
    <definedName name="Coc_60" localSheetId="8" hidden="1">{"'Sheet1'!$L$16"}</definedName>
    <definedName name="Coc_60" localSheetId="3" hidden="1">{"'Sheet1'!$L$16"}</definedName>
    <definedName name="Coc_60" localSheetId="6" hidden="1">{"'Sheet1'!$L$16"}</definedName>
    <definedName name="Coc_60" localSheetId="7" hidden="1">{"'Sheet1'!$L$16"}</definedName>
    <definedName name="Coc_60" localSheetId="5" hidden="1">{"'Sheet1'!$L$16"}</definedName>
    <definedName name="Coc_60" localSheetId="13" hidden="1">{"'Sheet1'!$L$16"}</definedName>
    <definedName name="Coc_60" hidden="1">{"'Sheet1'!$L$16"}</definedName>
    <definedName name="CODE_HD_BL">'[50] HOP DONG'!$B$2:$F$601</definedName>
    <definedName name="codes">#REF!</definedName>
    <definedName name="codew">#REF!</definedName>
    <definedName name="coef">#REF!</definedName>
    <definedName name="coef1">#REF!</definedName>
    <definedName name="coef2">#REF!</definedName>
    <definedName name="coef3">#REF!</definedName>
    <definedName name="coeff">#REF!</definedName>
    <definedName name="coefiso" localSheetId="11">'[51]Unit Price'!#REF!</definedName>
    <definedName name="coefiso" localSheetId="1">'[51]Unit Price'!#REF!</definedName>
    <definedName name="coefiso" localSheetId="2">'[51]Unit Price'!#REF!</definedName>
    <definedName name="coefiso" localSheetId="4">'[51]Unit Price'!#REF!</definedName>
    <definedName name="coefiso" localSheetId="19">'[51]Unit Price'!#REF!</definedName>
    <definedName name="coefiso" localSheetId="10">'[51]Unit Price'!#REF!</definedName>
    <definedName name="coefiso" localSheetId="9">'[51]Unit Price'!#REF!</definedName>
    <definedName name="coefiso" localSheetId="8">'[51]Unit Price'!#REF!</definedName>
    <definedName name="coefiso" localSheetId="3">'[51]Unit Price'!#REF!</definedName>
    <definedName name="coefiso" localSheetId="6">'[51]Unit Price'!#REF!</definedName>
    <definedName name="coefiso" localSheetId="7">'[51]Unit Price'!#REF!</definedName>
    <definedName name="coefiso" localSheetId="5">'[51]Unit Price'!#REF!</definedName>
    <definedName name="coefiso">#REF!</definedName>
    <definedName name="coefpoids">#REF!</definedName>
    <definedName name="Cöï_ly_vaän_chuyeãn">#REF!</definedName>
    <definedName name="CÖÏ_LY_VAÄN_CHUYEÅN">#REF!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mm_admin_esp1">#REF!</definedName>
    <definedName name="comm_admin_esp2">#REF!</definedName>
    <definedName name="Comm_exp">#REF!</definedName>
    <definedName name="COMMERCIALI">#REF!</definedName>
    <definedName name="COMMON">#REF!</definedName>
    <definedName name="COMMPART">[45]CLAMP!$A$2:$D$605</definedName>
    <definedName name="compl" localSheetId="18" hidden="1">{#N/A,#N/A,FALSE,"JACKETS (1100 t) (1)"}</definedName>
    <definedName name="compl" hidden="1">{#N/A,#N/A,FALSE,"JACKETS (1100 t) (1)"}</definedName>
    <definedName name="Composite">#REF!</definedName>
    <definedName name="CON_EQP_COS">#REF!</definedName>
    <definedName name="CON_EQP_COST">#REF!</definedName>
    <definedName name="condition" localSheetId="18" hidden="1">{"'장비'!$A$3:$M$12"}</definedName>
    <definedName name="condition" hidden="1">{"'장비'!$A$3:$M$12"}</definedName>
    <definedName name="CONFIT">[49]PBS!$A$2:$IV$7</definedName>
    <definedName name="Cons_equip" localSheetId="18" hidden="1">{"'장비'!$A$3:$M$12"}</definedName>
    <definedName name="Cons_equip" hidden="1">{"'장비'!$A$3:$M$12"}</definedName>
    <definedName name="CONST_EQ">#REF!</definedName>
    <definedName name="constr_approach">#REF!</definedName>
    <definedName name="CONSUME1" localSheetId="18" hidden="1">{#N/A,#N/A,FALSE,"CCTV"}</definedName>
    <definedName name="CONSUME1" hidden="1">{#N/A,#N/A,FALSE,"CCTV"}</definedName>
    <definedName name="Container">#REF!</definedName>
    <definedName name="Containerverpackung">#REF!</definedName>
    <definedName name="Contingency" localSheetId="11">[51]Summary!$D$22</definedName>
    <definedName name="Contingency" localSheetId="1">[51]Summary!$D$22</definedName>
    <definedName name="Contingency" localSheetId="2">[51]Summary!$D$22</definedName>
    <definedName name="Contingency" localSheetId="4">[51]Summary!$D$22</definedName>
    <definedName name="Contingency" localSheetId="19">[51]Summary!$D$22</definedName>
    <definedName name="Contingency" localSheetId="10">[51]Summary!$D$22</definedName>
    <definedName name="Contingency" localSheetId="9">[51]Summary!$D$22</definedName>
    <definedName name="Contingency" localSheetId="8">[51]Summary!$D$22</definedName>
    <definedName name="Contingency" localSheetId="3">[51]Summary!$D$22</definedName>
    <definedName name="Contingency" localSheetId="6">[51]Summary!$D$22</definedName>
    <definedName name="Contingency" localSheetId="7">[51]Summary!$D$22</definedName>
    <definedName name="Contingency" localSheetId="5">[51]Summary!$D$22</definedName>
    <definedName name="Contingency">#REF!</definedName>
    <definedName name="Contingency_Start">#REF!</definedName>
    <definedName name="Continua">#REF!</definedName>
    <definedName name="contr"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or">#REF!</definedName>
    <definedName name="Contry_risk">#REF!</definedName>
    <definedName name="Copia">#REF!</definedName>
    <definedName name="Copyright" hidden="1">"© 1995 Worley Limited"</definedName>
    <definedName name="corr">#REF!</definedName>
    <definedName name="COS_FC">#REF!</definedName>
    <definedName name="COS_LC">#REF!</definedName>
    <definedName name="COS_SUP">#REF!</definedName>
    <definedName name="cost" localSheetId="18" hidden="1">{#N/A,#N/A,TRUE,"Basic";#N/A,#N/A,TRUE,"EXT-TABLE";#N/A,#N/A,TRUE,"STEEL";#N/A,#N/A,TRUE,"INT-Table";#N/A,#N/A,TRUE,"STEEL";#N/A,#N/A,TRUE,"Door"}</definedName>
    <definedName name="COST" localSheetId="11">[52]PipeSummary!$AJ$10:$AO$28</definedName>
    <definedName name="COST" localSheetId="1">[52]PipeSummary!$AJ$10:$AO$28</definedName>
    <definedName name="COST" localSheetId="2">[52]PipeSummary!$AJ$10:$AO$28</definedName>
    <definedName name="COST" localSheetId="4">[52]PipeSummary!$AJ$10:$AO$28</definedName>
    <definedName name="COST" localSheetId="19">[52]PipeSummary!$AJ$10:$AO$28</definedName>
    <definedName name="COST" localSheetId="10">[52]PipeSummary!$AJ$10:$AO$28</definedName>
    <definedName name="COST" localSheetId="9">[52]PipeSummary!$AJ$10:$AO$28</definedName>
    <definedName name="COST" localSheetId="8">[52]PipeSummary!$AJ$10:$AO$28</definedName>
    <definedName name="COST" localSheetId="3">[52]PipeSummary!$AJ$10:$AO$28</definedName>
    <definedName name="COST" localSheetId="6">[52]PipeSummary!$AJ$10:$AO$28</definedName>
    <definedName name="COST" localSheetId="7">[52]PipeSummary!$AJ$10:$AO$28</definedName>
    <definedName name="COST" localSheetId="5">[52]PipeSummary!$AJ$10:$AO$28</definedName>
    <definedName name="cost" hidden="1">{#N/A,#N/A,TRUE,"Basic";#N/A,#N/A,TRUE,"EXT-TABLE";#N/A,#N/A,TRUE,"STEEL";#N/A,#N/A,TRUE,"INT-Table";#N/A,#N/A,TRUE,"STEEL";#N/A,#N/A,TRUE,"Door"}</definedName>
    <definedName name="COST.020" localSheetId="12">#REF!</definedName>
    <definedName name="COST.020" localSheetId="13">#REF!</definedName>
    <definedName name="COST.020">#REF!</definedName>
    <definedName name="COST.030" localSheetId="12">#REF!</definedName>
    <definedName name="COST.030" localSheetId="13">#REF!</definedName>
    <definedName name="COST.030">#REF!</definedName>
    <definedName name="COST.040" localSheetId="12">#REF!</definedName>
    <definedName name="COST.040" localSheetId="13">#REF!</definedName>
    <definedName name="COST.040">#REF!</definedName>
    <definedName name="COST.050" localSheetId="12">#REF!</definedName>
    <definedName name="COST.050" localSheetId="13">#REF!</definedName>
    <definedName name="COST.050">#REF!</definedName>
    <definedName name="COST.060" localSheetId="12">#REF!</definedName>
    <definedName name="COST.060" localSheetId="13">#REF!</definedName>
    <definedName name="COST.060">#REF!</definedName>
    <definedName name="COST.070" localSheetId="12">#REF!</definedName>
    <definedName name="COST.070" localSheetId="13">#REF!</definedName>
    <definedName name="COST.070">#REF!</definedName>
    <definedName name="COST.080" localSheetId="12">#REF!</definedName>
    <definedName name="COST.080" localSheetId="13">#REF!</definedName>
    <definedName name="COST.080">#REF!</definedName>
    <definedName name="COST.100" localSheetId="12">#REF!</definedName>
    <definedName name="COST.100" localSheetId="13">#REF!</definedName>
    <definedName name="COST.100">#REF!</definedName>
    <definedName name="COST.110" localSheetId="12">#REF!</definedName>
    <definedName name="COST.110" localSheetId="13">#REF!</definedName>
    <definedName name="COST.110">#REF!</definedName>
    <definedName name="COST.120" localSheetId="12">#REF!</definedName>
    <definedName name="COST.120" localSheetId="13">#REF!</definedName>
    <definedName name="COST.120">#REF!</definedName>
    <definedName name="COST.130" localSheetId="12">#REF!</definedName>
    <definedName name="COST.130" localSheetId="13">#REF!</definedName>
    <definedName name="COST.130">#REF!</definedName>
    <definedName name="COST.140" localSheetId="12">#REF!</definedName>
    <definedName name="COST.140" localSheetId="13">#REF!</definedName>
    <definedName name="COST.140">#REF!</definedName>
    <definedName name="COST.150" localSheetId="12">#REF!</definedName>
    <definedName name="COST.150" localSheetId="13">#REF!</definedName>
    <definedName name="COST.150">#REF!</definedName>
    <definedName name="COST.210" localSheetId="12">#REF!</definedName>
    <definedName name="COST.210" localSheetId="13">#REF!</definedName>
    <definedName name="COST.210">#REF!</definedName>
    <definedName name="COST.220" localSheetId="12">#REF!</definedName>
    <definedName name="COST.220" localSheetId="13">#REF!</definedName>
    <definedName name="COST.220">#REF!</definedName>
    <definedName name="COST.230" localSheetId="12">#REF!</definedName>
    <definedName name="COST.230" localSheetId="13">#REF!</definedName>
    <definedName name="COST.230">#REF!</definedName>
    <definedName name="COST.240" localSheetId="12">#REF!</definedName>
    <definedName name="COST.240" localSheetId="13">#REF!</definedName>
    <definedName name="COST.240">#REF!</definedName>
    <definedName name="COST.270" localSheetId="12">#REF!</definedName>
    <definedName name="COST.270" localSheetId="13">#REF!</definedName>
    <definedName name="COST.270">#REF!</definedName>
    <definedName name="COST.280" localSheetId="12">#REF!</definedName>
    <definedName name="COST.280" localSheetId="13">#REF!</definedName>
    <definedName name="COST.280">#REF!</definedName>
    <definedName name="COST.300" localSheetId="12">#REF!</definedName>
    <definedName name="COST.300" localSheetId="13">#REF!</definedName>
    <definedName name="COST.300">#REF!</definedName>
    <definedName name="COST.320" localSheetId="12">#REF!</definedName>
    <definedName name="COST.320" localSheetId="13">#REF!</definedName>
    <definedName name="COST.320">#REF!</definedName>
    <definedName name="COST.330" localSheetId="12">#REF!</definedName>
    <definedName name="COST.330" localSheetId="13">#REF!</definedName>
    <definedName name="COST.330">#REF!</definedName>
    <definedName name="COST.350" localSheetId="12">#REF!</definedName>
    <definedName name="COST.350" localSheetId="13">#REF!</definedName>
    <definedName name="COST.350">#REF!</definedName>
    <definedName name="COST.360" localSheetId="12">#REF!</definedName>
    <definedName name="COST.360" localSheetId="13">#REF!</definedName>
    <definedName name="COST.360">#REF!</definedName>
    <definedName name="COST.370" localSheetId="12">#REF!</definedName>
    <definedName name="COST.370" localSheetId="13">#REF!</definedName>
    <definedName name="COST.370">#REF!</definedName>
    <definedName name="COST.380" localSheetId="12">#REF!</definedName>
    <definedName name="COST.380" localSheetId="13">#REF!</definedName>
    <definedName name="COST.380">#REF!</definedName>
    <definedName name="COST.400" localSheetId="12">#REF!</definedName>
    <definedName name="COST.400" localSheetId="13">#REF!</definedName>
    <definedName name="COST.400">#REF!</definedName>
    <definedName name="cost_1" localSheetId="18" hidden="1">{#N/A,#N/A,TRUE,"Basic";#N/A,#N/A,TRUE,"EXT-TABLE";#N/A,#N/A,TRUE,"STEEL";#N/A,#N/A,TRUE,"INT-Table";#N/A,#N/A,TRUE,"STEEL";#N/A,#N/A,TRUE,"Door"}</definedName>
    <definedName name="cost_1" hidden="1">{#N/A,#N/A,TRUE,"Basic";#N/A,#N/A,TRUE,"EXT-TABLE";#N/A,#N/A,TRUE,"STEEL";#N/A,#N/A,TRUE,"INT-Table";#N/A,#N/A,TRUE,"STEEL";#N/A,#N/A,TRUE,"Door"}</definedName>
    <definedName name="cost_1_1" localSheetId="18" hidden="1">{#N/A,#N/A,TRUE,"Basic";#N/A,#N/A,TRUE,"EXT-TABLE";#N/A,#N/A,TRUE,"STEEL";#N/A,#N/A,TRUE,"INT-Table";#N/A,#N/A,TRUE,"STEEL";#N/A,#N/A,TRUE,"Door"}</definedName>
    <definedName name="cost_1_1" hidden="1">{#N/A,#N/A,TRUE,"Basic";#N/A,#N/A,TRUE,"EXT-TABLE";#N/A,#N/A,TRUE,"STEEL";#N/A,#N/A,TRUE,"INT-Table";#N/A,#N/A,TRUE,"STEEL";#N/A,#N/A,TRUE,"Door"}</definedName>
    <definedName name="cost_1_2" localSheetId="18" hidden="1">{#N/A,#N/A,TRUE,"Basic";#N/A,#N/A,TRUE,"EXT-TABLE";#N/A,#N/A,TRUE,"STEEL";#N/A,#N/A,TRUE,"INT-Table";#N/A,#N/A,TRUE,"STEEL";#N/A,#N/A,TRUE,"Door"}</definedName>
    <definedName name="cost_1_2" hidden="1">{#N/A,#N/A,TRUE,"Basic";#N/A,#N/A,TRUE,"EXT-TABLE";#N/A,#N/A,TRUE,"STEEL";#N/A,#N/A,TRUE,"INT-Table";#N/A,#N/A,TRUE,"STEEL";#N/A,#N/A,TRUE,"Door"}</definedName>
    <definedName name="cost_2" localSheetId="18" hidden="1">{#N/A,#N/A,TRUE,"Basic";#N/A,#N/A,TRUE,"EXT-TABLE";#N/A,#N/A,TRUE,"STEEL";#N/A,#N/A,TRUE,"INT-Table";#N/A,#N/A,TRUE,"STEEL";#N/A,#N/A,TRUE,"Door"}</definedName>
    <definedName name="cost_2" hidden="1">{#N/A,#N/A,TRUE,"Basic";#N/A,#N/A,TRUE,"EXT-TABLE";#N/A,#N/A,TRUE,"STEEL";#N/A,#N/A,TRUE,"INT-Table";#N/A,#N/A,TRUE,"STEEL";#N/A,#N/A,TRUE,"Door"}</definedName>
    <definedName name="cost_2_1" localSheetId="18" hidden="1">{#N/A,#N/A,TRUE,"Basic";#N/A,#N/A,TRUE,"EXT-TABLE";#N/A,#N/A,TRUE,"STEEL";#N/A,#N/A,TRUE,"INT-Table";#N/A,#N/A,TRUE,"STEEL";#N/A,#N/A,TRUE,"Door"}</definedName>
    <definedName name="cost_2_1" hidden="1">{#N/A,#N/A,TRUE,"Basic";#N/A,#N/A,TRUE,"EXT-TABLE";#N/A,#N/A,TRUE,"STEEL";#N/A,#N/A,TRUE,"INT-Table";#N/A,#N/A,TRUE,"STEEL";#N/A,#N/A,TRUE,"Door"}</definedName>
    <definedName name="cost_2_2" localSheetId="18" hidden="1">{#N/A,#N/A,TRUE,"Basic";#N/A,#N/A,TRUE,"EXT-TABLE";#N/A,#N/A,TRUE,"STEEL";#N/A,#N/A,TRUE,"INT-Table";#N/A,#N/A,TRUE,"STEEL";#N/A,#N/A,TRUE,"Door"}</definedName>
    <definedName name="cost_2_2" hidden="1">{#N/A,#N/A,TRUE,"Basic";#N/A,#N/A,TRUE,"EXT-TABLE";#N/A,#N/A,TRUE,"STEEL";#N/A,#N/A,TRUE,"INT-Table";#N/A,#N/A,TRUE,"STEEL";#N/A,#N/A,TRUE,"Door"}</definedName>
    <definedName name="cost_3" localSheetId="18" hidden="1">{#N/A,#N/A,TRUE,"Basic";#N/A,#N/A,TRUE,"EXT-TABLE";#N/A,#N/A,TRUE,"STEEL";#N/A,#N/A,TRUE,"INT-Table";#N/A,#N/A,TRUE,"STEEL";#N/A,#N/A,TRUE,"Door"}</definedName>
    <definedName name="cost_3" hidden="1">{#N/A,#N/A,TRUE,"Basic";#N/A,#N/A,TRUE,"EXT-TABLE";#N/A,#N/A,TRUE,"STEEL";#N/A,#N/A,TRUE,"INT-Table";#N/A,#N/A,TRUE,"STEEL";#N/A,#N/A,TRUE,"Door"}</definedName>
    <definedName name="cost_3_1" localSheetId="18" hidden="1">{#N/A,#N/A,TRUE,"Basic";#N/A,#N/A,TRUE,"EXT-TABLE";#N/A,#N/A,TRUE,"STEEL";#N/A,#N/A,TRUE,"INT-Table";#N/A,#N/A,TRUE,"STEEL";#N/A,#N/A,TRUE,"Door"}</definedName>
    <definedName name="cost_3_1" hidden="1">{#N/A,#N/A,TRUE,"Basic";#N/A,#N/A,TRUE,"EXT-TABLE";#N/A,#N/A,TRUE,"STEEL";#N/A,#N/A,TRUE,"INT-Table";#N/A,#N/A,TRUE,"STEEL";#N/A,#N/A,TRUE,"Door"}</definedName>
    <definedName name="cost_3_2" localSheetId="18" hidden="1">{#N/A,#N/A,TRUE,"Basic";#N/A,#N/A,TRUE,"EXT-TABLE";#N/A,#N/A,TRUE,"STEEL";#N/A,#N/A,TRUE,"INT-Table";#N/A,#N/A,TRUE,"STEEL";#N/A,#N/A,TRUE,"Door"}</definedName>
    <definedName name="cost_3_2" hidden="1">{#N/A,#N/A,TRUE,"Basic";#N/A,#N/A,TRUE,"EXT-TABLE";#N/A,#N/A,TRUE,"STEEL";#N/A,#N/A,TRUE,"INT-Table";#N/A,#N/A,TRUE,"STEEL";#N/A,#N/A,TRUE,"Door"}</definedName>
    <definedName name="cost_4" localSheetId="18" hidden="1">{#N/A,#N/A,TRUE,"Basic";#N/A,#N/A,TRUE,"EXT-TABLE";#N/A,#N/A,TRUE,"STEEL";#N/A,#N/A,TRUE,"INT-Table";#N/A,#N/A,TRUE,"STEEL";#N/A,#N/A,TRUE,"Door"}</definedName>
    <definedName name="cost_4" hidden="1">{#N/A,#N/A,TRUE,"Basic";#N/A,#N/A,TRUE,"EXT-TABLE";#N/A,#N/A,TRUE,"STEEL";#N/A,#N/A,TRUE,"INT-Table";#N/A,#N/A,TRUE,"STEEL";#N/A,#N/A,TRUE,"Door"}</definedName>
    <definedName name="cost_4_1" localSheetId="18" hidden="1">{#N/A,#N/A,TRUE,"Basic";#N/A,#N/A,TRUE,"EXT-TABLE";#N/A,#N/A,TRUE,"STEEL";#N/A,#N/A,TRUE,"INT-Table";#N/A,#N/A,TRUE,"STEEL";#N/A,#N/A,TRUE,"Door"}</definedName>
    <definedName name="cost_4_1" hidden="1">{#N/A,#N/A,TRUE,"Basic";#N/A,#N/A,TRUE,"EXT-TABLE";#N/A,#N/A,TRUE,"STEEL";#N/A,#N/A,TRUE,"INT-Table";#N/A,#N/A,TRUE,"STEEL";#N/A,#N/A,TRUE,"Door"}</definedName>
    <definedName name="cost_4_2" localSheetId="18" hidden="1">{#N/A,#N/A,TRUE,"Basic";#N/A,#N/A,TRUE,"EXT-TABLE";#N/A,#N/A,TRUE,"STEEL";#N/A,#N/A,TRUE,"INT-Table";#N/A,#N/A,TRUE,"STEEL";#N/A,#N/A,TRUE,"Door"}</definedName>
    <definedName name="cost_4_2" hidden="1">{#N/A,#N/A,TRUE,"Basic";#N/A,#N/A,TRUE,"EXT-TABLE";#N/A,#N/A,TRUE,"STEEL";#N/A,#N/A,TRUE,"INT-Table";#N/A,#N/A,TRUE,"STEEL";#N/A,#N/A,TRUE,"Door"}</definedName>
    <definedName name="cost_5" localSheetId="18" hidden="1">{#N/A,#N/A,TRUE,"Basic";#N/A,#N/A,TRUE,"EXT-TABLE";#N/A,#N/A,TRUE,"STEEL";#N/A,#N/A,TRUE,"INT-Table";#N/A,#N/A,TRUE,"STEEL";#N/A,#N/A,TRUE,"Door"}</definedName>
    <definedName name="cost_5" hidden="1">{#N/A,#N/A,TRUE,"Basic";#N/A,#N/A,TRUE,"EXT-TABLE";#N/A,#N/A,TRUE,"STEEL";#N/A,#N/A,TRUE,"INT-Table";#N/A,#N/A,TRUE,"STEEL";#N/A,#N/A,TRUE,"Door"}</definedName>
    <definedName name="cost_5_1" localSheetId="18" hidden="1">{#N/A,#N/A,TRUE,"Basic";#N/A,#N/A,TRUE,"EXT-TABLE";#N/A,#N/A,TRUE,"STEEL";#N/A,#N/A,TRUE,"INT-Table";#N/A,#N/A,TRUE,"STEEL";#N/A,#N/A,TRUE,"Door"}</definedName>
    <definedName name="cost_5_1" hidden="1">{#N/A,#N/A,TRUE,"Basic";#N/A,#N/A,TRUE,"EXT-TABLE";#N/A,#N/A,TRUE,"STEEL";#N/A,#N/A,TRUE,"INT-Table";#N/A,#N/A,TRUE,"STEEL";#N/A,#N/A,TRUE,"Door"}</definedName>
    <definedName name="cost_5_2" localSheetId="18" hidden="1">{#N/A,#N/A,TRUE,"Basic";#N/A,#N/A,TRUE,"EXT-TABLE";#N/A,#N/A,TRUE,"STEEL";#N/A,#N/A,TRUE,"INT-Table";#N/A,#N/A,TRUE,"STEEL";#N/A,#N/A,TRUE,"Door"}</definedName>
    <definedName name="cost_5_2" hidden="1">{#N/A,#N/A,TRUE,"Basic";#N/A,#N/A,TRUE,"EXT-TABLE";#N/A,#N/A,TRUE,"STEEL";#N/A,#N/A,TRUE,"INT-Table";#N/A,#N/A,TRUE,"STEEL";#N/A,#N/A,TRUE,"Door"}</definedName>
    <definedName name="COST2" localSheetId="18" hidden="1">{#N/A,#N/A,TRUE,"Basic";#N/A,#N/A,TRUE,"EXT-TABLE";#N/A,#N/A,TRUE,"STEEL";#N/A,#N/A,TRUE,"INT-Table";#N/A,#N/A,TRUE,"STEEL";#N/A,#N/A,TRUE,"Door"}</definedName>
    <definedName name="COST2" hidden="1">{#N/A,#N/A,TRUE,"Basic";#N/A,#N/A,TRUE,"EXT-TABLE";#N/A,#N/A,TRUE,"STEEL";#N/A,#N/A,TRUE,"INT-Table";#N/A,#N/A,TRUE,"STEEL";#N/A,#N/A,TRUE,"Door"}</definedName>
    <definedName name="COST2_1" localSheetId="18" hidden="1">{#N/A,#N/A,TRUE,"Basic";#N/A,#N/A,TRUE,"EXT-TABLE";#N/A,#N/A,TRUE,"STEEL";#N/A,#N/A,TRUE,"INT-Table";#N/A,#N/A,TRUE,"STEEL";#N/A,#N/A,TRUE,"Door"}</definedName>
    <definedName name="COST2_1" hidden="1">{#N/A,#N/A,TRUE,"Basic";#N/A,#N/A,TRUE,"EXT-TABLE";#N/A,#N/A,TRUE,"STEEL";#N/A,#N/A,TRUE,"INT-Table";#N/A,#N/A,TRUE,"STEEL";#N/A,#N/A,TRUE,"Door"}</definedName>
    <definedName name="COST2_1_1" localSheetId="18" hidden="1">{#N/A,#N/A,TRUE,"Basic";#N/A,#N/A,TRUE,"EXT-TABLE";#N/A,#N/A,TRUE,"STEEL";#N/A,#N/A,TRUE,"INT-Table";#N/A,#N/A,TRUE,"STEEL";#N/A,#N/A,TRUE,"Door"}</definedName>
    <definedName name="COST2_1_1" hidden="1">{#N/A,#N/A,TRUE,"Basic";#N/A,#N/A,TRUE,"EXT-TABLE";#N/A,#N/A,TRUE,"STEEL";#N/A,#N/A,TRUE,"INT-Table";#N/A,#N/A,TRUE,"STEEL";#N/A,#N/A,TRUE,"Door"}</definedName>
    <definedName name="COST2_1_2" localSheetId="18" hidden="1">{#N/A,#N/A,TRUE,"Basic";#N/A,#N/A,TRUE,"EXT-TABLE";#N/A,#N/A,TRUE,"STEEL";#N/A,#N/A,TRUE,"INT-Table";#N/A,#N/A,TRUE,"STEEL";#N/A,#N/A,TRUE,"Door"}</definedName>
    <definedName name="COST2_1_2" hidden="1">{#N/A,#N/A,TRUE,"Basic";#N/A,#N/A,TRUE,"EXT-TABLE";#N/A,#N/A,TRUE,"STEEL";#N/A,#N/A,TRUE,"INT-Table";#N/A,#N/A,TRUE,"STEEL";#N/A,#N/A,TRUE,"Door"}</definedName>
    <definedName name="COST2_2" localSheetId="18" hidden="1">{#N/A,#N/A,TRUE,"Basic";#N/A,#N/A,TRUE,"EXT-TABLE";#N/A,#N/A,TRUE,"STEEL";#N/A,#N/A,TRUE,"INT-Table";#N/A,#N/A,TRUE,"STEEL";#N/A,#N/A,TRUE,"Door"}</definedName>
    <definedName name="COST2_2" hidden="1">{#N/A,#N/A,TRUE,"Basic";#N/A,#N/A,TRUE,"EXT-TABLE";#N/A,#N/A,TRUE,"STEEL";#N/A,#N/A,TRUE,"INT-Table";#N/A,#N/A,TRUE,"STEEL";#N/A,#N/A,TRUE,"Door"}</definedName>
    <definedName name="COST2_2_1" localSheetId="18" hidden="1">{#N/A,#N/A,TRUE,"Basic";#N/A,#N/A,TRUE,"EXT-TABLE";#N/A,#N/A,TRUE,"STEEL";#N/A,#N/A,TRUE,"INT-Table";#N/A,#N/A,TRUE,"STEEL";#N/A,#N/A,TRUE,"Door"}</definedName>
    <definedName name="COST2_2_1" hidden="1">{#N/A,#N/A,TRUE,"Basic";#N/A,#N/A,TRUE,"EXT-TABLE";#N/A,#N/A,TRUE,"STEEL";#N/A,#N/A,TRUE,"INT-Table";#N/A,#N/A,TRUE,"STEEL";#N/A,#N/A,TRUE,"Door"}</definedName>
    <definedName name="COST2_2_2" localSheetId="18" hidden="1">{#N/A,#N/A,TRUE,"Basic";#N/A,#N/A,TRUE,"EXT-TABLE";#N/A,#N/A,TRUE,"STEEL";#N/A,#N/A,TRUE,"INT-Table";#N/A,#N/A,TRUE,"STEEL";#N/A,#N/A,TRUE,"Door"}</definedName>
    <definedName name="COST2_2_2" hidden="1">{#N/A,#N/A,TRUE,"Basic";#N/A,#N/A,TRUE,"EXT-TABLE";#N/A,#N/A,TRUE,"STEEL";#N/A,#N/A,TRUE,"INT-Table";#N/A,#N/A,TRUE,"STEEL";#N/A,#N/A,TRUE,"Door"}</definedName>
    <definedName name="COST2_3" localSheetId="18" hidden="1">{#N/A,#N/A,TRUE,"Basic";#N/A,#N/A,TRUE,"EXT-TABLE";#N/A,#N/A,TRUE,"STEEL";#N/A,#N/A,TRUE,"INT-Table";#N/A,#N/A,TRUE,"STEEL";#N/A,#N/A,TRUE,"Door"}</definedName>
    <definedName name="COST2_3" hidden="1">{#N/A,#N/A,TRUE,"Basic";#N/A,#N/A,TRUE,"EXT-TABLE";#N/A,#N/A,TRUE,"STEEL";#N/A,#N/A,TRUE,"INT-Table";#N/A,#N/A,TRUE,"STEEL";#N/A,#N/A,TRUE,"Door"}</definedName>
    <definedName name="COST2_3_1" localSheetId="18" hidden="1">{#N/A,#N/A,TRUE,"Basic";#N/A,#N/A,TRUE,"EXT-TABLE";#N/A,#N/A,TRUE,"STEEL";#N/A,#N/A,TRUE,"INT-Table";#N/A,#N/A,TRUE,"STEEL";#N/A,#N/A,TRUE,"Door"}</definedName>
    <definedName name="COST2_3_1" hidden="1">{#N/A,#N/A,TRUE,"Basic";#N/A,#N/A,TRUE,"EXT-TABLE";#N/A,#N/A,TRUE,"STEEL";#N/A,#N/A,TRUE,"INT-Table";#N/A,#N/A,TRUE,"STEEL";#N/A,#N/A,TRUE,"Door"}</definedName>
    <definedName name="COST2_3_2" localSheetId="18" hidden="1">{#N/A,#N/A,TRUE,"Basic";#N/A,#N/A,TRUE,"EXT-TABLE";#N/A,#N/A,TRUE,"STEEL";#N/A,#N/A,TRUE,"INT-Table";#N/A,#N/A,TRUE,"STEEL";#N/A,#N/A,TRUE,"Door"}</definedName>
    <definedName name="COST2_3_2" hidden="1">{#N/A,#N/A,TRUE,"Basic";#N/A,#N/A,TRUE,"EXT-TABLE";#N/A,#N/A,TRUE,"STEEL";#N/A,#N/A,TRUE,"INT-Table";#N/A,#N/A,TRUE,"STEEL";#N/A,#N/A,TRUE,"Door"}</definedName>
    <definedName name="COST2_4" localSheetId="18" hidden="1">{#N/A,#N/A,TRUE,"Basic";#N/A,#N/A,TRUE,"EXT-TABLE";#N/A,#N/A,TRUE,"STEEL";#N/A,#N/A,TRUE,"INT-Table";#N/A,#N/A,TRUE,"STEEL";#N/A,#N/A,TRUE,"Door"}</definedName>
    <definedName name="COST2_4" hidden="1">{#N/A,#N/A,TRUE,"Basic";#N/A,#N/A,TRUE,"EXT-TABLE";#N/A,#N/A,TRUE,"STEEL";#N/A,#N/A,TRUE,"INT-Table";#N/A,#N/A,TRUE,"STEEL";#N/A,#N/A,TRUE,"Door"}</definedName>
    <definedName name="COST2_4_1" localSheetId="18" hidden="1">{#N/A,#N/A,TRUE,"Basic";#N/A,#N/A,TRUE,"EXT-TABLE";#N/A,#N/A,TRUE,"STEEL";#N/A,#N/A,TRUE,"INT-Table";#N/A,#N/A,TRUE,"STEEL";#N/A,#N/A,TRUE,"Door"}</definedName>
    <definedName name="COST2_4_1" hidden="1">{#N/A,#N/A,TRUE,"Basic";#N/A,#N/A,TRUE,"EXT-TABLE";#N/A,#N/A,TRUE,"STEEL";#N/A,#N/A,TRUE,"INT-Table";#N/A,#N/A,TRUE,"STEEL";#N/A,#N/A,TRUE,"Door"}</definedName>
    <definedName name="COST2_4_2" localSheetId="18" hidden="1">{#N/A,#N/A,TRUE,"Basic";#N/A,#N/A,TRUE,"EXT-TABLE";#N/A,#N/A,TRUE,"STEEL";#N/A,#N/A,TRUE,"INT-Table";#N/A,#N/A,TRUE,"STEEL";#N/A,#N/A,TRUE,"Door"}</definedName>
    <definedName name="COST2_4_2" hidden="1">{#N/A,#N/A,TRUE,"Basic";#N/A,#N/A,TRUE,"EXT-TABLE";#N/A,#N/A,TRUE,"STEEL";#N/A,#N/A,TRUE,"INT-Table";#N/A,#N/A,TRUE,"STEEL";#N/A,#N/A,TRUE,"Door"}</definedName>
    <definedName name="COST2_5" localSheetId="18" hidden="1">{#N/A,#N/A,TRUE,"Basic";#N/A,#N/A,TRUE,"EXT-TABLE";#N/A,#N/A,TRUE,"STEEL";#N/A,#N/A,TRUE,"INT-Table";#N/A,#N/A,TRUE,"STEEL";#N/A,#N/A,TRUE,"Door"}</definedName>
    <definedName name="COST2_5" hidden="1">{#N/A,#N/A,TRUE,"Basic";#N/A,#N/A,TRUE,"EXT-TABLE";#N/A,#N/A,TRUE,"STEEL";#N/A,#N/A,TRUE,"INT-Table";#N/A,#N/A,TRUE,"STEEL";#N/A,#N/A,TRUE,"Door"}</definedName>
    <definedName name="COST2_5_1" localSheetId="18" hidden="1">{#N/A,#N/A,TRUE,"Basic";#N/A,#N/A,TRUE,"EXT-TABLE";#N/A,#N/A,TRUE,"STEEL";#N/A,#N/A,TRUE,"INT-Table";#N/A,#N/A,TRUE,"STEEL";#N/A,#N/A,TRUE,"Door"}</definedName>
    <definedName name="COST2_5_1" hidden="1">{#N/A,#N/A,TRUE,"Basic";#N/A,#N/A,TRUE,"EXT-TABLE";#N/A,#N/A,TRUE,"STEEL";#N/A,#N/A,TRUE,"INT-Table";#N/A,#N/A,TRUE,"STEEL";#N/A,#N/A,TRUE,"Door"}</definedName>
    <definedName name="COST2_5_2" localSheetId="18" hidden="1">{#N/A,#N/A,TRUE,"Basic";#N/A,#N/A,TRUE,"EXT-TABLE";#N/A,#N/A,TRUE,"STEEL";#N/A,#N/A,TRUE,"INT-Table";#N/A,#N/A,TRUE,"STEEL";#N/A,#N/A,TRUE,"Door"}</definedName>
    <definedName name="COST2_5_2" hidden="1">{#N/A,#N/A,TRUE,"Basic";#N/A,#N/A,TRUE,"EXT-TABLE";#N/A,#N/A,TRUE,"STEEL";#N/A,#N/A,TRUE,"INT-Table";#N/A,#N/A,TRUE,"STEEL";#N/A,#N/A,TRUE,"Door"}</definedName>
    <definedName name="COST290" localSheetId="12">#REF!</definedName>
    <definedName name="COST290" localSheetId="13">#REF!</definedName>
    <definedName name="COST290">#REF!</definedName>
    <definedName name="cotycap" localSheetId="16" hidden="1">{"'Sheet1'!$L$16"}</definedName>
    <definedName name="cotycap" localSheetId="18" hidden="1">{"'Sheet1'!$L$16"}</definedName>
    <definedName name="cotycap" localSheetId="17" hidden="1">{"'Sheet1'!$L$16"}</definedName>
    <definedName name="cotycap" hidden="1">{"'Sheet1'!$L$16"}</definedName>
    <definedName name="Country" localSheetId="1">'[53]GM 000'!$I$4</definedName>
    <definedName name="Country" localSheetId="2">'[53]GM 000'!$I$4</definedName>
    <definedName name="Country" localSheetId="4">'[53]GM 000'!$I$4</definedName>
    <definedName name="Country" localSheetId="19">'[53]GM 000'!$I$4</definedName>
    <definedName name="Country" localSheetId="10">'[53]GM 000'!$I$4</definedName>
    <definedName name="Country" localSheetId="9">'[53]GM 000'!$I$4</definedName>
    <definedName name="Country" localSheetId="8">'[53]GM 000'!$I$4</definedName>
    <definedName name="Country" localSheetId="3">'[53]GM 000'!$I$4</definedName>
    <definedName name="Country" localSheetId="6">'[53]GM 000'!$I$4</definedName>
    <definedName name="Country" localSheetId="7">'[53]GM 000'!$I$4</definedName>
    <definedName name="Country" localSheetId="5">'[53]GM 000'!$I$4</definedName>
    <definedName name="COUNTRY">#REF!</definedName>
    <definedName name="Country_name">#REF!</definedName>
    <definedName name="Country_risk">#REF!</definedName>
    <definedName name="Cover" localSheetId="11" hidden="1">{#N/A,#N/A,FALSE,"CCTV"}</definedName>
    <definedName name="COVER" localSheetId="1">#REF!</definedName>
    <definedName name="COVER" localSheetId="2">#REF!</definedName>
    <definedName name="COVER" localSheetId="4">#REF!</definedName>
    <definedName name="COVER" localSheetId="19">#REF!</definedName>
    <definedName name="COVER" localSheetId="10">#REF!</definedName>
    <definedName name="COVER" localSheetId="9">#REF!</definedName>
    <definedName name="COVER" localSheetId="8">#REF!</definedName>
    <definedName name="COVER" localSheetId="3">#REF!</definedName>
    <definedName name="COVER" localSheetId="6">#REF!</definedName>
    <definedName name="COVER" localSheetId="7">#REF!</definedName>
    <definedName name="COVER" localSheetId="5">#REF!</definedName>
    <definedName name="cover" hidden="1">#REF!</definedName>
    <definedName name="CP">#REF!</definedName>
    <definedName name="CP_CA">#REF!</definedName>
    <definedName name="CP_DPres">#REF!</definedName>
    <definedName name="CP_DTemp">#REF!</definedName>
    <definedName name="CP_MaterialCode">#REF!</definedName>
    <definedName name="CP_Name">[54]CodePipe!$B$7</definedName>
    <definedName name="CP_OutsideDiameter">#REF!</definedName>
    <definedName name="CPDATA">#REF!</definedName>
    <definedName name="cpf" localSheetId="18" hidden="1">{#N/A,#N/A,TRUE,"Basic";#N/A,#N/A,TRUE,"EXT-TABLE";#N/A,#N/A,TRUE,"STEEL";#N/A,#N/A,TRUE,"INT-Table";#N/A,#N/A,TRUE,"STEEL";#N/A,#N/A,TRUE,"Door"}</definedName>
    <definedName name="cpf" hidden="1">{#N/A,#N/A,TRUE,"Basic";#N/A,#N/A,TRUE,"EXT-TABLE";#N/A,#N/A,TRUE,"STEEL";#N/A,#N/A,TRUE,"INT-Table";#N/A,#N/A,TRUE,"STEEL";#N/A,#N/A,TRUE,"Door"}</definedName>
    <definedName name="cpf_1" localSheetId="18" hidden="1">{#N/A,#N/A,TRUE,"Basic";#N/A,#N/A,TRUE,"EXT-TABLE";#N/A,#N/A,TRUE,"STEEL";#N/A,#N/A,TRUE,"INT-Table";#N/A,#N/A,TRUE,"STEEL";#N/A,#N/A,TRUE,"Door"}</definedName>
    <definedName name="cpf_1" hidden="1">{#N/A,#N/A,TRUE,"Basic";#N/A,#N/A,TRUE,"EXT-TABLE";#N/A,#N/A,TRUE,"STEEL";#N/A,#N/A,TRUE,"INT-Table";#N/A,#N/A,TRUE,"STEEL";#N/A,#N/A,TRUE,"Door"}</definedName>
    <definedName name="cpf_1_1" localSheetId="18" hidden="1">{#N/A,#N/A,TRUE,"Basic";#N/A,#N/A,TRUE,"EXT-TABLE";#N/A,#N/A,TRUE,"STEEL";#N/A,#N/A,TRUE,"INT-Table";#N/A,#N/A,TRUE,"STEEL";#N/A,#N/A,TRUE,"Door"}</definedName>
    <definedName name="cpf_1_1" hidden="1">{#N/A,#N/A,TRUE,"Basic";#N/A,#N/A,TRUE,"EXT-TABLE";#N/A,#N/A,TRUE,"STEEL";#N/A,#N/A,TRUE,"INT-Table";#N/A,#N/A,TRUE,"STEEL";#N/A,#N/A,TRUE,"Door"}</definedName>
    <definedName name="cpf_1_2" localSheetId="18" hidden="1">{#N/A,#N/A,TRUE,"Basic";#N/A,#N/A,TRUE,"EXT-TABLE";#N/A,#N/A,TRUE,"STEEL";#N/A,#N/A,TRUE,"INT-Table";#N/A,#N/A,TRUE,"STEEL";#N/A,#N/A,TRUE,"Door"}</definedName>
    <definedName name="cpf_1_2" hidden="1">{#N/A,#N/A,TRUE,"Basic";#N/A,#N/A,TRUE,"EXT-TABLE";#N/A,#N/A,TRUE,"STEEL";#N/A,#N/A,TRUE,"INT-Table";#N/A,#N/A,TRUE,"STEEL";#N/A,#N/A,TRUE,"Door"}</definedName>
    <definedName name="cpf_2" localSheetId="18" hidden="1">{#N/A,#N/A,TRUE,"Basic";#N/A,#N/A,TRUE,"EXT-TABLE";#N/A,#N/A,TRUE,"STEEL";#N/A,#N/A,TRUE,"INT-Table";#N/A,#N/A,TRUE,"STEEL";#N/A,#N/A,TRUE,"Door"}</definedName>
    <definedName name="cpf_2" hidden="1">{#N/A,#N/A,TRUE,"Basic";#N/A,#N/A,TRUE,"EXT-TABLE";#N/A,#N/A,TRUE,"STEEL";#N/A,#N/A,TRUE,"INT-Table";#N/A,#N/A,TRUE,"STEEL";#N/A,#N/A,TRUE,"Door"}</definedName>
    <definedName name="cpf_2_1" localSheetId="18" hidden="1">{#N/A,#N/A,TRUE,"Basic";#N/A,#N/A,TRUE,"EXT-TABLE";#N/A,#N/A,TRUE,"STEEL";#N/A,#N/A,TRUE,"INT-Table";#N/A,#N/A,TRUE,"STEEL";#N/A,#N/A,TRUE,"Door"}</definedName>
    <definedName name="cpf_2_1" hidden="1">{#N/A,#N/A,TRUE,"Basic";#N/A,#N/A,TRUE,"EXT-TABLE";#N/A,#N/A,TRUE,"STEEL";#N/A,#N/A,TRUE,"INT-Table";#N/A,#N/A,TRUE,"STEEL";#N/A,#N/A,TRUE,"Door"}</definedName>
    <definedName name="cpf_2_2" localSheetId="18" hidden="1">{#N/A,#N/A,TRUE,"Basic";#N/A,#N/A,TRUE,"EXT-TABLE";#N/A,#N/A,TRUE,"STEEL";#N/A,#N/A,TRUE,"INT-Table";#N/A,#N/A,TRUE,"STEEL";#N/A,#N/A,TRUE,"Door"}</definedName>
    <definedName name="cpf_2_2" hidden="1">{#N/A,#N/A,TRUE,"Basic";#N/A,#N/A,TRUE,"EXT-TABLE";#N/A,#N/A,TRUE,"STEEL";#N/A,#N/A,TRUE,"INT-Table";#N/A,#N/A,TRUE,"STEEL";#N/A,#N/A,TRUE,"Door"}</definedName>
    <definedName name="cpf_3" localSheetId="18" hidden="1">{#N/A,#N/A,TRUE,"Basic";#N/A,#N/A,TRUE,"EXT-TABLE";#N/A,#N/A,TRUE,"STEEL";#N/A,#N/A,TRUE,"INT-Table";#N/A,#N/A,TRUE,"STEEL";#N/A,#N/A,TRUE,"Door"}</definedName>
    <definedName name="cpf_3" hidden="1">{#N/A,#N/A,TRUE,"Basic";#N/A,#N/A,TRUE,"EXT-TABLE";#N/A,#N/A,TRUE,"STEEL";#N/A,#N/A,TRUE,"INT-Table";#N/A,#N/A,TRUE,"STEEL";#N/A,#N/A,TRUE,"Door"}</definedName>
    <definedName name="cpf_3_1" localSheetId="18" hidden="1">{#N/A,#N/A,TRUE,"Basic";#N/A,#N/A,TRUE,"EXT-TABLE";#N/A,#N/A,TRUE,"STEEL";#N/A,#N/A,TRUE,"INT-Table";#N/A,#N/A,TRUE,"STEEL";#N/A,#N/A,TRUE,"Door"}</definedName>
    <definedName name="cpf_3_1" hidden="1">{#N/A,#N/A,TRUE,"Basic";#N/A,#N/A,TRUE,"EXT-TABLE";#N/A,#N/A,TRUE,"STEEL";#N/A,#N/A,TRUE,"INT-Table";#N/A,#N/A,TRUE,"STEEL";#N/A,#N/A,TRUE,"Door"}</definedName>
    <definedName name="cpf_3_2" localSheetId="18" hidden="1">{#N/A,#N/A,TRUE,"Basic";#N/A,#N/A,TRUE,"EXT-TABLE";#N/A,#N/A,TRUE,"STEEL";#N/A,#N/A,TRUE,"INT-Table";#N/A,#N/A,TRUE,"STEEL";#N/A,#N/A,TRUE,"Door"}</definedName>
    <definedName name="cpf_3_2" hidden="1">{#N/A,#N/A,TRUE,"Basic";#N/A,#N/A,TRUE,"EXT-TABLE";#N/A,#N/A,TRUE,"STEEL";#N/A,#N/A,TRUE,"INT-Table";#N/A,#N/A,TRUE,"STEEL";#N/A,#N/A,TRUE,"Door"}</definedName>
    <definedName name="cpf_4" localSheetId="18" hidden="1">{#N/A,#N/A,TRUE,"Basic";#N/A,#N/A,TRUE,"EXT-TABLE";#N/A,#N/A,TRUE,"STEEL";#N/A,#N/A,TRUE,"INT-Table";#N/A,#N/A,TRUE,"STEEL";#N/A,#N/A,TRUE,"Door"}</definedName>
    <definedName name="cpf_4" hidden="1">{#N/A,#N/A,TRUE,"Basic";#N/A,#N/A,TRUE,"EXT-TABLE";#N/A,#N/A,TRUE,"STEEL";#N/A,#N/A,TRUE,"INT-Table";#N/A,#N/A,TRUE,"STEEL";#N/A,#N/A,TRUE,"Door"}</definedName>
    <definedName name="cpf_4_1" localSheetId="18" hidden="1">{#N/A,#N/A,TRUE,"Basic";#N/A,#N/A,TRUE,"EXT-TABLE";#N/A,#N/A,TRUE,"STEEL";#N/A,#N/A,TRUE,"INT-Table";#N/A,#N/A,TRUE,"STEEL";#N/A,#N/A,TRUE,"Door"}</definedName>
    <definedName name="cpf_4_1" hidden="1">{#N/A,#N/A,TRUE,"Basic";#N/A,#N/A,TRUE,"EXT-TABLE";#N/A,#N/A,TRUE,"STEEL";#N/A,#N/A,TRUE,"INT-Table";#N/A,#N/A,TRUE,"STEEL";#N/A,#N/A,TRUE,"Door"}</definedName>
    <definedName name="cpf_4_2" localSheetId="18" hidden="1">{#N/A,#N/A,TRUE,"Basic";#N/A,#N/A,TRUE,"EXT-TABLE";#N/A,#N/A,TRUE,"STEEL";#N/A,#N/A,TRUE,"INT-Table";#N/A,#N/A,TRUE,"STEEL";#N/A,#N/A,TRUE,"Door"}</definedName>
    <definedName name="cpf_4_2" hidden="1">{#N/A,#N/A,TRUE,"Basic";#N/A,#N/A,TRUE,"EXT-TABLE";#N/A,#N/A,TRUE,"STEEL";#N/A,#N/A,TRUE,"INT-Table";#N/A,#N/A,TRUE,"STEEL";#N/A,#N/A,TRUE,"Door"}</definedName>
    <definedName name="cpf_5" localSheetId="18" hidden="1">{#N/A,#N/A,TRUE,"Basic";#N/A,#N/A,TRUE,"EXT-TABLE";#N/A,#N/A,TRUE,"STEEL";#N/A,#N/A,TRUE,"INT-Table";#N/A,#N/A,TRUE,"STEEL";#N/A,#N/A,TRUE,"Door"}</definedName>
    <definedName name="cpf_5" hidden="1">{#N/A,#N/A,TRUE,"Basic";#N/A,#N/A,TRUE,"EXT-TABLE";#N/A,#N/A,TRUE,"STEEL";#N/A,#N/A,TRUE,"INT-Table";#N/A,#N/A,TRUE,"STEEL";#N/A,#N/A,TRUE,"Door"}</definedName>
    <definedName name="cpf_5_1" localSheetId="18" hidden="1">{#N/A,#N/A,TRUE,"Basic";#N/A,#N/A,TRUE,"EXT-TABLE";#N/A,#N/A,TRUE,"STEEL";#N/A,#N/A,TRUE,"INT-Table";#N/A,#N/A,TRUE,"STEEL";#N/A,#N/A,TRUE,"Door"}</definedName>
    <definedName name="cpf_5_1" hidden="1">{#N/A,#N/A,TRUE,"Basic";#N/A,#N/A,TRUE,"EXT-TABLE";#N/A,#N/A,TRUE,"STEEL";#N/A,#N/A,TRUE,"INT-Table";#N/A,#N/A,TRUE,"STEEL";#N/A,#N/A,TRUE,"Door"}</definedName>
    <definedName name="cpf_5_2" localSheetId="18"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G">#REF!</definedName>
    <definedName name="CPM" localSheetId="18" hidden="1">{#N/A,#N/A,FALSE,"Chi tiÆt"}</definedName>
    <definedName name="CPM" localSheetId="11" hidden="1">{#N/A,#N/A,FALSE,"Chi tiÆt"}</definedName>
    <definedName name="CPM" localSheetId="1" hidden="1">{#N/A,#N/A,FALSE,"Chi tiÆt"}</definedName>
    <definedName name="CPM" localSheetId="2" hidden="1">{#N/A,#N/A,FALSE,"Chi tiÆt"}</definedName>
    <definedName name="CPM" localSheetId="12" hidden="1">{#N/A,#N/A,FALSE,"Chi tiÆt"}</definedName>
    <definedName name="CPM" localSheetId="4" hidden="1">{#N/A,#N/A,FALSE,"Chi tiÆt"}</definedName>
    <definedName name="CPM" localSheetId="19" hidden="1">{#N/A,#N/A,FALSE,"Chi tiÆt"}</definedName>
    <definedName name="CPM" localSheetId="10" hidden="1">{#N/A,#N/A,FALSE,"Chi tiÆt"}</definedName>
    <definedName name="CPM" localSheetId="9" hidden="1">{#N/A,#N/A,FALSE,"Chi tiÆt"}</definedName>
    <definedName name="CPM" localSheetId="8" hidden="1">{#N/A,#N/A,FALSE,"Chi tiÆt"}</definedName>
    <definedName name="CPM" localSheetId="3" hidden="1">{#N/A,#N/A,FALSE,"Chi tiÆt"}</definedName>
    <definedName name="CPM" localSheetId="6" hidden="1">{#N/A,#N/A,FALSE,"Chi tiÆt"}</definedName>
    <definedName name="CPM" localSheetId="7" hidden="1">{#N/A,#N/A,FALSE,"Chi tiÆt"}</definedName>
    <definedName name="CPM" localSheetId="5" hidden="1">{#N/A,#N/A,FALSE,"Chi tiÆt"}</definedName>
    <definedName name="CPM" localSheetId="13" hidden="1">{#N/A,#N/A,FALSE,"Chi tiÆt"}</definedName>
    <definedName name="CPM" hidden="1">{#N/A,#N/A,FALSE,"Chi tiÆt"}</definedName>
    <definedName name="CPVC100">#REF!</definedName>
    <definedName name="CQ"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#REF!</definedName>
    <definedName name="CR_LC">#REF!</definedName>
    <definedName name="CR_SUP">#REF!</definedName>
    <definedName name="CRD">#REF!</definedName>
    <definedName name="CREATOR">#REF!</definedName>
    <definedName name="_xlnm.Criteria" localSheetId="11">[55]PREVENTIVO!$F$17</definedName>
    <definedName name="_xlnm.Criteria" localSheetId="1">[56]八幡!$L$200</definedName>
    <definedName name="_xlnm.Criteria" localSheetId="2">[56]八幡!$L$200</definedName>
    <definedName name="_xlnm.Criteria" localSheetId="4">[56]八幡!$L$200</definedName>
    <definedName name="_xlnm.Criteria" localSheetId="19">[56]八幡!$L$200</definedName>
    <definedName name="_xlnm.Criteria" localSheetId="10">[56]八幡!$L$200</definedName>
    <definedName name="_xlnm.Criteria" localSheetId="9">[56]八幡!$L$200</definedName>
    <definedName name="_xlnm.Criteria" localSheetId="8">[56]八幡!$L$200</definedName>
    <definedName name="_xlnm.Criteria" localSheetId="3">[56]八幡!$L$200</definedName>
    <definedName name="_xlnm.Criteria" localSheetId="6">[56]八幡!$L$200</definedName>
    <definedName name="_xlnm.Criteria" localSheetId="7">[56]八幡!$L$200</definedName>
    <definedName name="_xlnm.Criteria" localSheetId="5">[56]八幡!$L$200</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ODJWO" localSheetId="18" hidden="1">{#N/A,#N/A,TRUE,"SUM";#N/A,#N/A,TRUE,"EE";#N/A,#N/A,TRUE,"AC";#N/A,#N/A,TRUE,"SN"}</definedName>
    <definedName name="CSODJWO" hidden="1">{#N/A,#N/A,TRUE,"SUM";#N/A,#N/A,TRUE,"EE";#N/A,#N/A,TRUE,"AC";#N/A,#N/A,TRUE,"SN"}</definedName>
    <definedName name="CT_ActualThickness">#REF!</definedName>
    <definedName name="CT_CA">#REF!</definedName>
    <definedName name="CT_DPress">#REF!</definedName>
    <definedName name="CT_LigamentEfficiency">#REF!</definedName>
    <definedName name="CT_MaterialCode">#REF!</definedName>
    <definedName name="CT_OutsideDiameter">#REF!</definedName>
    <definedName name="ctbbt" localSheetId="18" hidden="1">{"'Sheet1'!$L$16"}</definedName>
    <definedName name="ctbbt" localSheetId="11" hidden="1">{"'Sheet1'!$L$16"}</definedName>
    <definedName name="ctbbt" localSheetId="1" hidden="1">{"'Sheet1'!$L$16"}</definedName>
    <definedName name="ctbbt" localSheetId="2" hidden="1">{"'Sheet1'!$L$16"}</definedName>
    <definedName name="ctbbt" localSheetId="12" hidden="1">{"'Sheet1'!$L$16"}</definedName>
    <definedName name="ctbbt" localSheetId="4" hidden="1">{"'Sheet1'!$L$16"}</definedName>
    <definedName name="ctbbt" localSheetId="19" hidden="1">{"'Sheet1'!$L$16"}</definedName>
    <definedName name="ctbbt" localSheetId="10" hidden="1">{"'Sheet1'!$L$16"}</definedName>
    <definedName name="ctbbt" localSheetId="9" hidden="1">{"'Sheet1'!$L$16"}</definedName>
    <definedName name="ctbbt" localSheetId="8" hidden="1">{"'Sheet1'!$L$16"}</definedName>
    <definedName name="ctbbt" localSheetId="3" hidden="1">{"'Sheet1'!$L$16"}</definedName>
    <definedName name="ctbbt" localSheetId="6" hidden="1">{"'Sheet1'!$L$16"}</definedName>
    <definedName name="ctbbt" localSheetId="7" hidden="1">{"'Sheet1'!$L$16"}</definedName>
    <definedName name="ctbbt" localSheetId="5" hidden="1">{"'Sheet1'!$L$16"}</definedName>
    <definedName name="ctbbt" localSheetId="13" hidden="1">{"'Sheet1'!$L$16"}</definedName>
    <definedName name="ctbbt" hidden="1">{"'Sheet1'!$L$16"}</definedName>
    <definedName name="CTCS_DF">#REF!</definedName>
    <definedName name="CTCT1" localSheetId="18" hidden="1">{"'Sheet1'!$L$16"}</definedName>
    <definedName name="CTCT1" localSheetId="11" hidden="1">{"'Sheet1'!$L$16"}</definedName>
    <definedName name="CTCT1" localSheetId="1" hidden="1">{"'Sheet1'!$L$16"}</definedName>
    <definedName name="CTCT1" localSheetId="2" hidden="1">{"'Sheet1'!$L$16"}</definedName>
    <definedName name="CTCT1" localSheetId="12" hidden="1">{"'Sheet1'!$L$16"}</definedName>
    <definedName name="CTCT1" localSheetId="4" hidden="1">{"'Sheet1'!$L$16"}</definedName>
    <definedName name="CTCT1" localSheetId="19" hidden="1">{"'Sheet1'!$L$16"}</definedName>
    <definedName name="CTCT1" localSheetId="10" hidden="1">{"'Sheet1'!$L$16"}</definedName>
    <definedName name="CTCT1" localSheetId="9" hidden="1">{"'Sheet1'!$L$16"}</definedName>
    <definedName name="CTCT1" localSheetId="8" hidden="1">{"'Sheet1'!$L$16"}</definedName>
    <definedName name="CTCT1" localSheetId="3" hidden="1">{"'Sheet1'!$L$16"}</definedName>
    <definedName name="CTCT1" localSheetId="6" hidden="1">{"'Sheet1'!$L$16"}</definedName>
    <definedName name="CTCT1" localSheetId="7" hidden="1">{"'Sheet1'!$L$16"}</definedName>
    <definedName name="CTCT1" localSheetId="5" hidden="1">{"'Sheet1'!$L$16"}</definedName>
    <definedName name="CTCT1" localSheetId="13" hidden="1">{"'Sheet1'!$L$16"}</definedName>
    <definedName name="CTCT1" hidden="1">{"'Sheet1'!$L$16"}</definedName>
    <definedName name="CTDG_A">[57]CTDG!$H$10</definedName>
    <definedName name="CTDG_B">[57]CTDG!$I$10</definedName>
    <definedName name="CTDG_C">[57]CTDG!$J$10</definedName>
    <definedName name="CTGS" localSheetId="18" hidden="1">{"'Sheet1'!$L$16"}</definedName>
    <definedName name="CTGS" localSheetId="11" hidden="1">{"'Sheet1'!$L$16"}</definedName>
    <definedName name="CTGS" localSheetId="1" hidden="1">{"'Sheet1'!$L$16"}</definedName>
    <definedName name="CTGS" localSheetId="2" hidden="1">{"'Sheet1'!$L$16"}</definedName>
    <definedName name="CTGS" localSheetId="12" hidden="1">{"'Sheet1'!$L$16"}</definedName>
    <definedName name="CTGS" localSheetId="4" hidden="1">{"'Sheet1'!$L$16"}</definedName>
    <definedName name="CTGS" localSheetId="19" hidden="1">{"'Sheet1'!$L$16"}</definedName>
    <definedName name="CTGS" localSheetId="10" hidden="1">{"'Sheet1'!$L$16"}</definedName>
    <definedName name="CTGS" localSheetId="9" hidden="1">{"'Sheet1'!$L$16"}</definedName>
    <definedName name="CTGS" localSheetId="8" hidden="1">{"'Sheet1'!$L$16"}</definedName>
    <definedName name="CTGS" localSheetId="3" hidden="1">{"'Sheet1'!$L$16"}</definedName>
    <definedName name="CTGS" localSheetId="6" hidden="1">{"'Sheet1'!$L$16"}</definedName>
    <definedName name="CTGS" localSheetId="7" hidden="1">{"'Sheet1'!$L$16"}</definedName>
    <definedName name="CTGS" localSheetId="5" hidden="1">{"'Sheet1'!$L$16"}</definedName>
    <definedName name="CTGS" localSheetId="13" hidden="1">{"'Sheet1'!$L$16"}</definedName>
    <definedName name="CTGS" hidden="1">{"'Sheet1'!$L$16"}</definedName>
    <definedName name="ctieu" localSheetId="18" hidden="1">{"'Sheet1'!$L$16"}</definedName>
    <definedName name="ctieu" localSheetId="11" hidden="1">{"'Sheet1'!$L$16"}</definedName>
    <definedName name="ctieu" localSheetId="1" hidden="1">{"'Sheet1'!$L$16"}</definedName>
    <definedName name="ctieu" localSheetId="2" hidden="1">{"'Sheet1'!$L$16"}</definedName>
    <definedName name="ctieu" localSheetId="12" hidden="1">{"'Sheet1'!$L$16"}</definedName>
    <definedName name="ctieu" localSheetId="4" hidden="1">{"'Sheet1'!$L$16"}</definedName>
    <definedName name="ctieu" localSheetId="19" hidden="1">{"'Sheet1'!$L$16"}</definedName>
    <definedName name="ctieu" localSheetId="10" hidden="1">{"'Sheet1'!$L$16"}</definedName>
    <definedName name="ctieu" localSheetId="9" hidden="1">{"'Sheet1'!$L$16"}</definedName>
    <definedName name="ctieu" localSheetId="8" hidden="1">{"'Sheet1'!$L$16"}</definedName>
    <definedName name="ctieu" localSheetId="3" hidden="1">{"'Sheet1'!$L$16"}</definedName>
    <definedName name="ctieu" localSheetId="6" hidden="1">{"'Sheet1'!$L$16"}</definedName>
    <definedName name="ctieu" localSheetId="7" hidden="1">{"'Sheet1'!$L$16"}</definedName>
    <definedName name="ctieu" localSheetId="5" hidden="1">{"'Sheet1'!$L$16"}</definedName>
    <definedName name="ctieu" localSheetId="13" hidden="1">{"'Sheet1'!$L$16"}</definedName>
    <definedName name="ctieu" hidden="1">{"'Sheet1'!$L$16"}</definedName>
    <definedName name="cung" localSheetId="18" hidden="1">{"'Sheet1'!$L$16"}</definedName>
    <definedName name="cung" localSheetId="11" hidden="1">{"'Sheet1'!$L$16"}</definedName>
    <definedName name="cung" localSheetId="1" hidden="1">{"'Sheet1'!$L$16"}</definedName>
    <definedName name="cung" localSheetId="2" hidden="1">{"'Sheet1'!$L$16"}</definedName>
    <definedName name="cung" localSheetId="12" hidden="1">{"'Sheet1'!$L$16"}</definedName>
    <definedName name="cung" localSheetId="4" hidden="1">{"'Sheet1'!$L$16"}</definedName>
    <definedName name="cung" localSheetId="19" hidden="1">{"'Sheet1'!$L$16"}</definedName>
    <definedName name="cung" localSheetId="10" hidden="1">{"'Sheet1'!$L$16"}</definedName>
    <definedName name="cung" localSheetId="9" hidden="1">{"'Sheet1'!$L$16"}</definedName>
    <definedName name="cung" localSheetId="8" hidden="1">{"'Sheet1'!$L$16"}</definedName>
    <definedName name="cung" localSheetId="3" hidden="1">{"'Sheet1'!$L$16"}</definedName>
    <definedName name="cung" localSheetId="6" hidden="1">{"'Sheet1'!$L$16"}</definedName>
    <definedName name="cung" localSheetId="7" hidden="1">{"'Sheet1'!$L$16"}</definedName>
    <definedName name="cung" localSheetId="5" hidden="1">{"'Sheet1'!$L$16"}</definedName>
    <definedName name="cung" localSheetId="13" hidden="1">{"'Sheet1'!$L$16"}</definedName>
    <definedName name="cung" hidden="1">{"'Sheet1'!$L$16"}</definedName>
    <definedName name="CURRENCY">#REF!</definedName>
    <definedName name="CurrencyOffer" localSheetId="11">'[41]Material for Silencers (8)'!$I$52</definedName>
    <definedName name="CurrencyOffer" localSheetId="1">'[41]Material for Silencers (8)'!$I$52</definedName>
    <definedName name="CurrencyOffer" localSheetId="2">'[41]Material for Silencers (8)'!$I$52</definedName>
    <definedName name="CurrencyOffer" localSheetId="4">'[41]Material for Silencers (8)'!$I$52</definedName>
    <definedName name="CurrencyOffer" localSheetId="19">'[41]Material for Silencers (8)'!$I$52</definedName>
    <definedName name="CurrencyOffer" localSheetId="10">'[41]Material for Silencers (8)'!$I$52</definedName>
    <definedName name="CurrencyOffer" localSheetId="9">'[41]Material for Silencers (8)'!$I$52</definedName>
    <definedName name="CurrencyOffer" localSheetId="8">'[41]Material for Silencers (8)'!$I$52</definedName>
    <definedName name="CurrencyOffer" localSheetId="3">'[41]Material for Silencers (8)'!$I$52</definedName>
    <definedName name="CurrencyOffer" localSheetId="6">'[41]Material for Silencers (8)'!$I$52</definedName>
    <definedName name="CurrencyOffer" localSheetId="7">'[41]Material for Silencers (8)'!$I$52</definedName>
    <definedName name="CurrencyOffer" localSheetId="5">'[41]Material for Silencers (8)'!$I$52</definedName>
    <definedName name="CurrencyOffer">#REF!</definedName>
    <definedName name="CurrencyRateActual" localSheetId="11">[41]Rates!$J$10</definedName>
    <definedName name="CurrencyRateActual" localSheetId="1">[41]Rates!$J$10</definedName>
    <definedName name="CurrencyRateActual" localSheetId="2">[41]Rates!$J$10</definedName>
    <definedName name="CurrencyRateActual" localSheetId="4">[41]Rates!$J$10</definedName>
    <definedName name="CurrencyRateActual" localSheetId="19">[41]Rates!$J$10</definedName>
    <definedName name="CurrencyRateActual" localSheetId="10">[41]Rates!$J$10</definedName>
    <definedName name="CurrencyRateActual" localSheetId="9">[41]Rates!$J$10</definedName>
    <definedName name="CurrencyRateActual" localSheetId="8">[41]Rates!$J$10</definedName>
    <definedName name="CurrencyRateActual" localSheetId="3">[41]Rates!$J$10</definedName>
    <definedName name="CurrencyRateActual" localSheetId="6">[41]Rates!$J$10</definedName>
    <definedName name="CurrencyRateActual" localSheetId="7">[41]Rates!$J$10</definedName>
    <definedName name="CurrencyRateActual" localSheetId="5">[41]Rates!$J$10</definedName>
    <definedName name="CurrencyRateActual">#REF!</definedName>
    <definedName name="CurrencyRateUsed" localSheetId="11">[41]Rates!$J$4</definedName>
    <definedName name="CurrencyRateUsed" localSheetId="1">[41]Rates!$J$4</definedName>
    <definedName name="CurrencyRateUsed" localSheetId="2">[41]Rates!$J$4</definedName>
    <definedName name="CurrencyRateUsed" localSheetId="4">[41]Rates!$J$4</definedName>
    <definedName name="CurrencyRateUsed" localSheetId="19">[41]Rates!$J$4</definedName>
    <definedName name="CurrencyRateUsed" localSheetId="10">[41]Rates!$J$4</definedName>
    <definedName name="CurrencyRateUsed" localSheetId="9">[41]Rates!$J$4</definedName>
    <definedName name="CurrencyRateUsed" localSheetId="8">[41]Rates!$J$4</definedName>
    <definedName name="CurrencyRateUsed" localSheetId="3">[41]Rates!$J$4</definedName>
    <definedName name="CurrencyRateUsed" localSheetId="6">[41]Rates!$J$4</definedName>
    <definedName name="CurrencyRateUsed" localSheetId="7">[41]Rates!$J$4</definedName>
    <definedName name="CurrencyRateUsed" localSheetId="5">[41]Rates!$J$4</definedName>
    <definedName name="CurrencyRateUsed">#REF!</definedName>
    <definedName name="Customer" localSheetId="11">'[41]Input (1)'!$B$2</definedName>
    <definedName name="Customer" localSheetId="1">'[41]Input (1)'!$B$2</definedName>
    <definedName name="Customer" localSheetId="2">'[41]Input (1)'!$B$2</definedName>
    <definedName name="Customer" localSheetId="4">'[41]Input (1)'!$B$2</definedName>
    <definedName name="Customer" localSheetId="19">'[41]Input (1)'!$B$2</definedName>
    <definedName name="Customer" localSheetId="10">'[41]Input (1)'!$B$2</definedName>
    <definedName name="Customer" localSheetId="9">'[41]Input (1)'!$B$2</definedName>
    <definedName name="Customer" localSheetId="8">'[41]Input (1)'!$B$2</definedName>
    <definedName name="Customer" localSheetId="3">'[41]Input (1)'!$B$2</definedName>
    <definedName name="Customer" localSheetId="6">'[41]Input (1)'!$B$2</definedName>
    <definedName name="Customer" localSheetId="7">'[41]Input (1)'!$B$2</definedName>
    <definedName name="Customer" localSheetId="5">'[41]Input (1)'!$B$2</definedName>
    <definedName name="Customer">#REF!</definedName>
    <definedName name="CV" localSheetId="18" hidden="1">{#N/A,#N/A,FALSE,"Vessel1 1";#N/A,#N/A,FALSE,"Vessel1 2";#N/A,#N/A,FALSE,"Vessel1 3";#N/A,#N/A,FALSE,"Vessel1 4";#N/A,#N/A,FALSE,"Vessel1 5";#N/A,#N/A,FALSE,"Vessel1 6";#N/A,#N/A,FALSE,"Vessel1 7";#N/A,#N/A,FALSE,"Vessel1 8";#N/A,#N/A,FALSE,"Vessel1 9";#N/A,#N/A,FALSE,"Vessel1 10";#N/A,#N/A,FALSE,"Vessel1 11"}</definedName>
    <definedName name="CV" localSheetId="1">[58]costing_CV!$B$7:$O$82</definedName>
    <definedName name="CV" localSheetId="2">[58]costing_CV!$B$7:$O$82</definedName>
    <definedName name="CV" localSheetId="4">[58]costing_CV!$B$7:$O$82</definedName>
    <definedName name="CV" localSheetId="19">[58]costing_CV!$B$7:$O$82</definedName>
    <definedName name="CV" localSheetId="10">[58]costing_CV!$B$7:$O$82</definedName>
    <definedName name="CV" localSheetId="9">[58]costing_CV!$B$7:$O$82</definedName>
    <definedName name="CV" localSheetId="8">[58]costing_CV!$B$7:$O$82</definedName>
    <definedName name="CV" localSheetId="3">[58]costing_CV!$B$7:$O$82</definedName>
    <definedName name="CV" localSheetId="6">[58]costing_CV!$B$7:$O$82</definedName>
    <definedName name="CV" localSheetId="7">[58]costing_CV!$B$7:$O$82</definedName>
    <definedName name="CV" localSheetId="5">[58]costing_CV!$B$7:$O$82</definedName>
    <definedName name="CV" hidden="1">{#N/A,#N/A,FALSE,"Vessel1 1";#N/A,#N/A,FALSE,"Vessel1 2";#N/A,#N/A,FALSE,"Vessel1 3";#N/A,#N/A,FALSE,"Vessel1 4";#N/A,#N/A,FALSE,"Vessel1 5";#N/A,#N/A,FALSE,"Vessel1 6";#N/A,#N/A,FALSE,"Vessel1 7";#N/A,#N/A,FALSE,"Vessel1 8";#N/A,#N/A,FALSE,"Vessel1 9";#N/A,#N/A,FALSE,"Vessel1 10";#N/A,#N/A,FALSE,"Vessel1 11"}</definedName>
    <definedName name="CV_1">'[48]C-18'!#REF!</definedName>
    <definedName name="CV_11">'[48]C-18'!#REF!</definedName>
    <definedName name="CV_14">'[49]C-18'!#REF!</definedName>
    <definedName name="CV_15">'[49]C-18'!#REF!</definedName>
    <definedName name="CV_16">'[49]C-18'!#REF!</definedName>
    <definedName name="CV_17">'[49]C-18'!#REF!</definedName>
    <definedName name="CV_19">'[49]C-18'!#REF!</definedName>
    <definedName name="CV_20">'[49]C-18'!#REF!</definedName>
    <definedName name="CV_30">'[49]C-18'!#REF!</definedName>
    <definedName name="CV_40">'[49]C-18'!#REF!</definedName>
    <definedName name="CV_50">'[49]C-18'!#REF!</definedName>
    <definedName name="CV_60">'[49]C-18'!#REF!</definedName>
    <definedName name="CV_70">'[49]C-18'!#REF!</definedName>
    <definedName name="CV_80">'[49]C-18'!#REF!</definedName>
    <definedName name="cvsdim">[46]csdim!$A$2510:$A$3147</definedName>
    <definedName name="cvsloadrange">[46]cvsload!$A$3:$A$66</definedName>
    <definedName name="CW">[59]작성기준!$C$24</definedName>
    <definedName name="CX">#REF!</definedName>
    <definedName name="D" localSheetId="18" hidden="1">{"EqList",#N/A,FALSE,"Process"}</definedName>
    <definedName name="D" hidden="1">{"EqList",#N/A,FALSE,"Process"}</definedName>
    <definedName name="D_7101A_B">#REF!</definedName>
    <definedName name="D1FO">#REF!</definedName>
    <definedName name="D2FO">#REF!</definedName>
    <definedName name="D3FO">#REF!</definedName>
    <definedName name="da" localSheetId="18" hidden="1">{#N/A,#N/A,FALSE,"CCTV"}</definedName>
    <definedName name="da" hidden="1">{#N/A,#N/A,FALSE,"CCTV"}</definedName>
    <definedName name="Dachanzahl">#REF!</definedName>
    <definedName name="Dachausführung">#REF!</definedName>
    <definedName name="Dachform">#REF!</definedName>
    <definedName name="Dachzuordnung">#REF!</definedName>
    <definedName name="DANGA">'[60]Y-WORK'!$D$19:$D$19,'[60]Y-WORK'!$F$19:$BD$19</definedName>
    <definedName name="dao" localSheetId="16" hidden="1">{"'Sheet1'!$L$16"}</definedName>
    <definedName name="dao" localSheetId="18" hidden="1">{"'Sheet1'!$L$16"}</definedName>
    <definedName name="dao" localSheetId="17" hidden="1">{"'Sheet1'!$L$16"}</definedName>
    <definedName name="dao" hidden="1">{"'Sheet1'!$L$16"}</definedName>
    <definedName name="dasfadsf" localSheetId="18" hidden="1">{#N/A,#N/A,FALSE,"CCTV"}</definedName>
    <definedName name="dasfadsf" hidden="1">{#N/A,#N/A,FALSE,"CCTV"}</definedName>
    <definedName name="data">#REF!</definedName>
    <definedName name="data1" localSheetId="12">#REF!</definedName>
    <definedName name="data1" localSheetId="13">#REF!</definedName>
    <definedName name="data1">#REF!</definedName>
    <definedName name="data2" localSheetId="12">#REF!</definedName>
    <definedName name="data2" localSheetId="13">#REF!</definedName>
    <definedName name="data2">#REF!</definedName>
    <definedName name="data3" localSheetId="12">#REF!</definedName>
    <definedName name="data3" localSheetId="13">#REF!</definedName>
    <definedName name="data3">#REF!</definedName>
    <definedName name="_xlnm.Database" localSheetId="11">[55]Paterno!$C$57:$C$194</definedName>
    <definedName name="_xlnm.Database" localSheetId="1">#REF!</definedName>
    <definedName name="_xlnm.Database" localSheetId="2">#REF!</definedName>
    <definedName name="_xlnm.Database" localSheetId="4">#REF!</definedName>
    <definedName name="_xlnm.Database" localSheetId="19">#REF!</definedName>
    <definedName name="_xlnm.Database" localSheetId="10">#REF!</definedName>
    <definedName name="_xlnm.Database" localSheetId="9">#REF!</definedName>
    <definedName name="_xlnm.Database" localSheetId="8">#REF!</definedName>
    <definedName name="_xlnm.Database" localSheetId="3">#REF!</definedName>
    <definedName name="_xlnm.Database" localSheetId="6">#REF!</definedName>
    <definedName name="_xlnm.Database" localSheetId="7">#REF!</definedName>
    <definedName name="_xlnm.Database" localSheetId="5">#REF!</definedName>
    <definedName name="_xlnm.Database">#REF!</definedName>
    <definedName name="Database_MI" localSheetId="11">[1]PP!$C$53:$C$107</definedName>
    <definedName name="Database_MI" localSheetId="1">[1]PP!$C$53:$C$107</definedName>
    <definedName name="Database_MI" localSheetId="2">[1]PP!$C$53:$C$107</definedName>
    <definedName name="Database_MI" localSheetId="4">[1]PP!$C$53:$C$107</definedName>
    <definedName name="Database_MI" localSheetId="19">[1]PP!$C$53:$C$107</definedName>
    <definedName name="Database_MI" localSheetId="10">[1]PP!$C$53:$C$107</definedName>
    <definedName name="Database_MI" localSheetId="9">[1]PP!$C$53:$C$107</definedName>
    <definedName name="Database_MI" localSheetId="8">[1]PP!$C$53:$C$107</definedName>
    <definedName name="Database_MI" localSheetId="3">[1]PP!$C$53:$C$107</definedName>
    <definedName name="Database_MI" localSheetId="6">[1]PP!$C$53:$C$107</definedName>
    <definedName name="Database_MI" localSheetId="7">[1]PP!$C$53:$C$107</definedName>
    <definedName name="Database_MI" localSheetId="5">[1]PP!$C$53:$C$107</definedName>
    <definedName name="Database_MI">#REF!</definedName>
    <definedName name="DATABASE_VERSION">#REF!</definedName>
    <definedName name="databasegrezzi" localSheetId="11">[61]Repilogo!#REF!</definedName>
    <definedName name="databasegrezzi" localSheetId="1">[61]Repilogo!#REF!</definedName>
    <definedName name="databasegrezzi" localSheetId="2">[61]Repilogo!#REF!</definedName>
    <definedName name="databasegrezzi" localSheetId="4">[61]Repilogo!#REF!</definedName>
    <definedName name="databasegrezzi" localSheetId="19">[61]Repilogo!#REF!</definedName>
    <definedName name="databasegrezzi" localSheetId="10">[61]Repilogo!#REF!</definedName>
    <definedName name="databasegrezzi" localSheetId="9">[61]Repilogo!#REF!</definedName>
    <definedName name="databasegrezzi" localSheetId="8">[61]Repilogo!#REF!</definedName>
    <definedName name="databasegrezzi" localSheetId="3">[61]Repilogo!#REF!</definedName>
    <definedName name="databasegrezzi" localSheetId="6">[61]Repilogo!#REF!</definedName>
    <definedName name="databasegrezzi" localSheetId="7">[61]Repilogo!#REF!</definedName>
    <definedName name="databasegrezzi" localSheetId="5">[61]Repilogo!#REF!</definedName>
    <definedName name="databasegrezzi">#REF!</definedName>
    <definedName name="DataFilter" localSheetId="1">[62]!DataFilter</definedName>
    <definedName name="DataFilter" localSheetId="2">[62]!DataFilter</definedName>
    <definedName name="DataFilter" localSheetId="4">[62]!DataFilter</definedName>
    <definedName name="DataFilter" localSheetId="19">[62]!DataFilter</definedName>
    <definedName name="DataFilter" localSheetId="10">[62]!DataFilter</definedName>
    <definedName name="DataFilter" localSheetId="9">[62]!DataFilter</definedName>
    <definedName name="DataFilter" localSheetId="8">[62]!DataFilter</definedName>
    <definedName name="DataFilter" localSheetId="3">[62]!DataFilter</definedName>
    <definedName name="DataFilter" localSheetId="6">[62]!DataFilter</definedName>
    <definedName name="DataFilter" localSheetId="7">[62]!DataFilter</definedName>
    <definedName name="DataFilter" localSheetId="5">[62]!DataFilter</definedName>
    <definedName name="DataFilter">[62]!DataFilter</definedName>
    <definedName name="datalist">#REF!</definedName>
    <definedName name="DataSort" localSheetId="1">[62]!DataSort</definedName>
    <definedName name="DataSort" localSheetId="2">[62]!DataSort</definedName>
    <definedName name="DataSort" localSheetId="4">[62]!DataSort</definedName>
    <definedName name="DataSort" localSheetId="19">[62]!DataSort</definedName>
    <definedName name="DataSort" localSheetId="10">[62]!DataSort</definedName>
    <definedName name="DataSort" localSheetId="9">[62]!DataSort</definedName>
    <definedName name="DataSort" localSheetId="8">[62]!DataSort</definedName>
    <definedName name="DataSort" localSheetId="3">[62]!DataSort</definedName>
    <definedName name="DataSort" localSheetId="6">[62]!DataSort</definedName>
    <definedName name="DataSort" localSheetId="7">[62]!DataSort</definedName>
    <definedName name="DataSort" localSheetId="5">[62]!DataSort</definedName>
    <definedName name="DataSort">[62]!DataSort</definedName>
    <definedName name="dataww" localSheetId="11" hidden="1">#N/A</definedName>
    <definedName name="dataww" localSheetId="1" hidden="1">#N/A</definedName>
    <definedName name="dataww" localSheetId="2" hidden="1">#N/A</definedName>
    <definedName name="dataww" localSheetId="4" hidden="1">#N/A</definedName>
    <definedName name="dataww" localSheetId="19" hidden="1">#N/A</definedName>
    <definedName name="dataww" localSheetId="10" hidden="1">#N/A</definedName>
    <definedName name="dataww" localSheetId="9" hidden="1">#N/A</definedName>
    <definedName name="dataww" localSheetId="8" hidden="1">#N/A</definedName>
    <definedName name="dataww" localSheetId="3" hidden="1">#N/A</definedName>
    <definedName name="dataww" localSheetId="6" hidden="1">#N/A</definedName>
    <definedName name="dataww" localSheetId="7" hidden="1">#N/A</definedName>
    <definedName name="dataww" localSheetId="5" hidden="1">#N/A</definedName>
    <definedName name="dataww" hidden="1">#REF!</definedName>
    <definedName name="DATA영역">#REF!,#REF!,#REF!,#REF!,#REF!,#REF!,#REF!</definedName>
    <definedName name="Date">'[53]GM 000'!$H$1</definedName>
    <definedName name="DATE_TIME">#REF!</definedName>
    <definedName name="Datum">#REF!</definedName>
    <definedName name="DB">#REF!</definedName>
    <definedName name="DBP_PersonalkostenCSV">#REF!</definedName>
    <definedName name="DBSumme_Lohnkosten">#REF!</definedName>
    <definedName name="DBSumme_Material">#REF!</definedName>
    <definedName name="DBSumme_Montage">#REF!</definedName>
    <definedName name="DBSumme_Reisekosten">#REF!</definedName>
    <definedName name="DBSumme_Transportkosten">#REF!</definedName>
    <definedName name="DC7per" hidden="1">#REF!</definedName>
    <definedName name="DD">#REF!</definedName>
    <definedName name="ddd" localSheetId="18" hidden="1">{#N/A,#N/A,FALSE,"Chi tiÆt"}</definedName>
    <definedName name="DDD" localSheetId="1">#REF!</definedName>
    <definedName name="DDD" localSheetId="2">#REF!</definedName>
    <definedName name="DDD" localSheetId="4">#REF!</definedName>
    <definedName name="DDD" localSheetId="19">#REF!</definedName>
    <definedName name="DDD" localSheetId="10">#REF!</definedName>
    <definedName name="DDD" localSheetId="9">#REF!</definedName>
    <definedName name="DDD" localSheetId="8">#REF!</definedName>
    <definedName name="DDD" localSheetId="3">#REF!</definedName>
    <definedName name="DDD" localSheetId="6">#REF!</definedName>
    <definedName name="DDD" localSheetId="7">#REF!</definedName>
    <definedName name="DDD" localSheetId="5">#REF!</definedName>
    <definedName name="ddd" hidden="1">{#N/A,#N/A,FALSE,"Chi tiÆt"}</definedName>
    <definedName name="ddda" localSheetId="18" hidden="1">{#N/A,#N/A,TRUE,"Str.";#N/A,#N/A,TRUE,"Steel &amp; Roof";#N/A,#N/A,TRUE,"Arc.";#N/A,#N/A,TRUE,"Preliminary";#N/A,#N/A,TRUE,"Sum_Prelim"}</definedName>
    <definedName name="ddda" hidden="1">{#N/A,#N/A,TRUE,"Str.";#N/A,#N/A,TRUE,"Steel &amp; Roof";#N/A,#N/A,TRUE,"Arc.";#N/A,#N/A,TRUE,"Preliminary";#N/A,#N/A,TRUE,"Sum_Prelim"}</definedName>
    <definedName name="ddddd" localSheetId="18" hidden="1">{#N/A,#N/A,TRUE,"Basic";#N/A,#N/A,TRUE,"EXT-TABLE";#N/A,#N/A,TRUE,"STEEL";#N/A,#N/A,TRUE,"INT-Table";#N/A,#N/A,TRUE,"STEEL";#N/A,#N/A,TRUE,"Door"}</definedName>
    <definedName name="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hidden="1">{#N/A,#N/A,TRUE,"Basic";#N/A,#N/A,TRUE,"EXT-TABLE";#N/A,#N/A,TRUE,"STEEL";#N/A,#N/A,TRUE,"INT-Table";#N/A,#N/A,TRUE,"STEEL";#N/A,#N/A,TRUE,"Door"}</definedName>
    <definedName name="ddddd_1" localSheetId="18" hidden="1">{#N/A,#N/A,TRUE,"Basic";#N/A,#N/A,TRUE,"EXT-TABLE";#N/A,#N/A,TRUE,"STEEL";#N/A,#N/A,TRUE,"INT-Table";#N/A,#N/A,TRUE,"STEEL";#N/A,#N/A,TRUE,"Door"}</definedName>
    <definedName name="ddddd_1" hidden="1">{#N/A,#N/A,TRUE,"Basic";#N/A,#N/A,TRUE,"EXT-TABLE";#N/A,#N/A,TRUE,"STEEL";#N/A,#N/A,TRUE,"INT-Table";#N/A,#N/A,TRUE,"STEEL";#N/A,#N/A,TRUE,"Door"}</definedName>
    <definedName name="ddddd_1_1" localSheetId="18" hidden="1">{#N/A,#N/A,TRUE,"Basic";#N/A,#N/A,TRUE,"EXT-TABLE";#N/A,#N/A,TRUE,"STEEL";#N/A,#N/A,TRUE,"INT-Table";#N/A,#N/A,TRUE,"STEEL";#N/A,#N/A,TRUE,"Door"}</definedName>
    <definedName name="ddddd_1_1" hidden="1">{#N/A,#N/A,TRUE,"Basic";#N/A,#N/A,TRUE,"EXT-TABLE";#N/A,#N/A,TRUE,"STEEL";#N/A,#N/A,TRUE,"INT-Table";#N/A,#N/A,TRUE,"STEEL";#N/A,#N/A,TRUE,"Door"}</definedName>
    <definedName name="ddddd_1_2" localSheetId="18" hidden="1">{#N/A,#N/A,TRUE,"Basic";#N/A,#N/A,TRUE,"EXT-TABLE";#N/A,#N/A,TRUE,"STEEL";#N/A,#N/A,TRUE,"INT-Table";#N/A,#N/A,TRUE,"STEEL";#N/A,#N/A,TRUE,"Door"}</definedName>
    <definedName name="ddddd_1_2" hidden="1">{#N/A,#N/A,TRUE,"Basic";#N/A,#N/A,TRUE,"EXT-TABLE";#N/A,#N/A,TRUE,"STEEL";#N/A,#N/A,TRUE,"INT-Table";#N/A,#N/A,TRUE,"STEEL";#N/A,#N/A,TRUE,"Door"}</definedName>
    <definedName name="ddddd_2" localSheetId="18" hidden="1">{#N/A,#N/A,TRUE,"Basic";#N/A,#N/A,TRUE,"EXT-TABLE";#N/A,#N/A,TRUE,"STEEL";#N/A,#N/A,TRUE,"INT-Table";#N/A,#N/A,TRUE,"STEEL";#N/A,#N/A,TRUE,"Door"}</definedName>
    <definedName name="ddddd_2" hidden="1">{#N/A,#N/A,TRUE,"Basic";#N/A,#N/A,TRUE,"EXT-TABLE";#N/A,#N/A,TRUE,"STEEL";#N/A,#N/A,TRUE,"INT-Table";#N/A,#N/A,TRUE,"STEEL";#N/A,#N/A,TRUE,"Door"}</definedName>
    <definedName name="ddddd_2_1" localSheetId="18" hidden="1">{#N/A,#N/A,TRUE,"Basic";#N/A,#N/A,TRUE,"EXT-TABLE";#N/A,#N/A,TRUE,"STEEL";#N/A,#N/A,TRUE,"INT-Table";#N/A,#N/A,TRUE,"STEEL";#N/A,#N/A,TRUE,"Door"}</definedName>
    <definedName name="ddddd_2_1" hidden="1">{#N/A,#N/A,TRUE,"Basic";#N/A,#N/A,TRUE,"EXT-TABLE";#N/A,#N/A,TRUE,"STEEL";#N/A,#N/A,TRUE,"INT-Table";#N/A,#N/A,TRUE,"STEEL";#N/A,#N/A,TRUE,"Door"}</definedName>
    <definedName name="ddddd_2_2" localSheetId="18" hidden="1">{#N/A,#N/A,TRUE,"Basic";#N/A,#N/A,TRUE,"EXT-TABLE";#N/A,#N/A,TRUE,"STEEL";#N/A,#N/A,TRUE,"INT-Table";#N/A,#N/A,TRUE,"STEEL";#N/A,#N/A,TRUE,"Door"}</definedName>
    <definedName name="ddddd_2_2" hidden="1">{#N/A,#N/A,TRUE,"Basic";#N/A,#N/A,TRUE,"EXT-TABLE";#N/A,#N/A,TRUE,"STEEL";#N/A,#N/A,TRUE,"INT-Table";#N/A,#N/A,TRUE,"STEEL";#N/A,#N/A,TRUE,"Door"}</definedName>
    <definedName name="ddddd_3" localSheetId="18" hidden="1">{#N/A,#N/A,TRUE,"Basic";#N/A,#N/A,TRUE,"EXT-TABLE";#N/A,#N/A,TRUE,"STEEL";#N/A,#N/A,TRUE,"INT-Table";#N/A,#N/A,TRUE,"STEEL";#N/A,#N/A,TRUE,"Door"}</definedName>
    <definedName name="ddddd_3" hidden="1">{#N/A,#N/A,TRUE,"Basic";#N/A,#N/A,TRUE,"EXT-TABLE";#N/A,#N/A,TRUE,"STEEL";#N/A,#N/A,TRUE,"INT-Table";#N/A,#N/A,TRUE,"STEEL";#N/A,#N/A,TRUE,"Door"}</definedName>
    <definedName name="ddddd_3_1" localSheetId="18" hidden="1">{#N/A,#N/A,TRUE,"Basic";#N/A,#N/A,TRUE,"EXT-TABLE";#N/A,#N/A,TRUE,"STEEL";#N/A,#N/A,TRUE,"INT-Table";#N/A,#N/A,TRUE,"STEEL";#N/A,#N/A,TRUE,"Door"}</definedName>
    <definedName name="ddddd_3_1" hidden="1">{#N/A,#N/A,TRUE,"Basic";#N/A,#N/A,TRUE,"EXT-TABLE";#N/A,#N/A,TRUE,"STEEL";#N/A,#N/A,TRUE,"INT-Table";#N/A,#N/A,TRUE,"STEEL";#N/A,#N/A,TRUE,"Door"}</definedName>
    <definedName name="ddddd_3_2" localSheetId="18" hidden="1">{#N/A,#N/A,TRUE,"Basic";#N/A,#N/A,TRUE,"EXT-TABLE";#N/A,#N/A,TRUE,"STEEL";#N/A,#N/A,TRUE,"INT-Table";#N/A,#N/A,TRUE,"STEEL";#N/A,#N/A,TRUE,"Door"}</definedName>
    <definedName name="ddddd_3_2" hidden="1">{#N/A,#N/A,TRUE,"Basic";#N/A,#N/A,TRUE,"EXT-TABLE";#N/A,#N/A,TRUE,"STEEL";#N/A,#N/A,TRUE,"INT-Table";#N/A,#N/A,TRUE,"STEEL";#N/A,#N/A,TRUE,"Door"}</definedName>
    <definedName name="ddddd_4" localSheetId="18" hidden="1">{#N/A,#N/A,TRUE,"Basic";#N/A,#N/A,TRUE,"EXT-TABLE";#N/A,#N/A,TRUE,"STEEL";#N/A,#N/A,TRUE,"INT-Table";#N/A,#N/A,TRUE,"STEEL";#N/A,#N/A,TRUE,"Door"}</definedName>
    <definedName name="ddddd_4" hidden="1">{#N/A,#N/A,TRUE,"Basic";#N/A,#N/A,TRUE,"EXT-TABLE";#N/A,#N/A,TRUE,"STEEL";#N/A,#N/A,TRUE,"INT-Table";#N/A,#N/A,TRUE,"STEEL";#N/A,#N/A,TRUE,"Door"}</definedName>
    <definedName name="ddddd_4_1" localSheetId="18" hidden="1">{#N/A,#N/A,TRUE,"Basic";#N/A,#N/A,TRUE,"EXT-TABLE";#N/A,#N/A,TRUE,"STEEL";#N/A,#N/A,TRUE,"INT-Table";#N/A,#N/A,TRUE,"STEEL";#N/A,#N/A,TRUE,"Door"}</definedName>
    <definedName name="ddddd_4_1" hidden="1">{#N/A,#N/A,TRUE,"Basic";#N/A,#N/A,TRUE,"EXT-TABLE";#N/A,#N/A,TRUE,"STEEL";#N/A,#N/A,TRUE,"INT-Table";#N/A,#N/A,TRUE,"STEEL";#N/A,#N/A,TRUE,"Door"}</definedName>
    <definedName name="ddddd_4_2" localSheetId="18" hidden="1">{#N/A,#N/A,TRUE,"Basic";#N/A,#N/A,TRUE,"EXT-TABLE";#N/A,#N/A,TRUE,"STEEL";#N/A,#N/A,TRUE,"INT-Table";#N/A,#N/A,TRUE,"STEEL";#N/A,#N/A,TRUE,"Door"}</definedName>
    <definedName name="ddddd_4_2" hidden="1">{#N/A,#N/A,TRUE,"Basic";#N/A,#N/A,TRUE,"EXT-TABLE";#N/A,#N/A,TRUE,"STEEL";#N/A,#N/A,TRUE,"INT-Table";#N/A,#N/A,TRUE,"STEEL";#N/A,#N/A,TRUE,"Door"}</definedName>
    <definedName name="ddddd_5" localSheetId="18" hidden="1">{#N/A,#N/A,TRUE,"Basic";#N/A,#N/A,TRUE,"EXT-TABLE";#N/A,#N/A,TRUE,"STEEL";#N/A,#N/A,TRUE,"INT-Table";#N/A,#N/A,TRUE,"STEEL";#N/A,#N/A,TRUE,"Door"}</definedName>
    <definedName name="ddddd_5" hidden="1">{#N/A,#N/A,TRUE,"Basic";#N/A,#N/A,TRUE,"EXT-TABLE";#N/A,#N/A,TRUE,"STEEL";#N/A,#N/A,TRUE,"INT-Table";#N/A,#N/A,TRUE,"STEEL";#N/A,#N/A,TRUE,"Door"}</definedName>
    <definedName name="ddddd_5_1" localSheetId="18" hidden="1">{#N/A,#N/A,TRUE,"Basic";#N/A,#N/A,TRUE,"EXT-TABLE";#N/A,#N/A,TRUE,"STEEL";#N/A,#N/A,TRUE,"INT-Table";#N/A,#N/A,TRUE,"STEEL";#N/A,#N/A,TRUE,"Door"}</definedName>
    <definedName name="ddddd_5_1" hidden="1">{#N/A,#N/A,TRUE,"Basic";#N/A,#N/A,TRUE,"EXT-TABLE";#N/A,#N/A,TRUE,"STEEL";#N/A,#N/A,TRUE,"INT-Table";#N/A,#N/A,TRUE,"STEEL";#N/A,#N/A,TRUE,"Door"}</definedName>
    <definedName name="ddddd_5_2" localSheetId="18" hidden="1">{#N/A,#N/A,TRUE,"Basic";#N/A,#N/A,TRUE,"EXT-TABLE";#N/A,#N/A,TRUE,"STEEL";#N/A,#N/A,TRUE,"INT-Table";#N/A,#N/A,TRUE,"STEEL";#N/A,#N/A,TRUE,"Door"}</definedName>
    <definedName name="ddddd_5_2" hidden="1">{#N/A,#N/A,TRUE,"Basic";#N/A,#N/A,TRUE,"EXT-TABLE";#N/A,#N/A,TRUE,"STEEL";#N/A,#N/A,TRUE,"INT-Table";#N/A,#N/A,TRUE,"STEEL";#N/A,#N/A,TRUE,"Door"}</definedName>
    <definedName name="dddddd" localSheetId="18" hidden="1">{#N/A,#N/A,TRUE,"SUM";#N/A,#N/A,TRUE,"EE";#N/A,#N/A,TRUE,"AC";#N/A,#N/A,TRUE,"SN"}</definedName>
    <definedName name="dddddd" hidden="1">{#N/A,#N/A,TRUE,"SUM";#N/A,#N/A,TRUE,"EE";#N/A,#N/A,TRUE,"AC";#N/A,#N/A,TRUE,"SN"}</definedName>
    <definedName name="DDDDDDDD" hidden="1">#REF!</definedName>
    <definedName name="dddddddddddddd" localSheetId="18"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18" hidden="1">{#N/A,#N/A,TRUE,"Basic";#N/A,#N/A,TRUE,"EXT-TABLE";#N/A,#N/A,TRUE,"STEEL";#N/A,#N/A,TRUE,"INT-Table";#N/A,#N/A,TRUE,"STEEL";#N/A,#N/A,TRUE,"Door"}</definedName>
    <definedName name="dddddddddddddd_1" hidden="1">{#N/A,#N/A,TRUE,"Basic";#N/A,#N/A,TRUE,"EXT-TABLE";#N/A,#N/A,TRUE,"STEEL";#N/A,#N/A,TRUE,"INT-Table";#N/A,#N/A,TRUE,"STEEL";#N/A,#N/A,TRUE,"Door"}</definedName>
    <definedName name="dddddddddddddd_1_1" localSheetId="18" hidden="1">{#N/A,#N/A,TRUE,"Basic";#N/A,#N/A,TRUE,"EXT-TABLE";#N/A,#N/A,TRUE,"STEEL";#N/A,#N/A,TRUE,"INT-Table";#N/A,#N/A,TRUE,"STEEL";#N/A,#N/A,TRUE,"Door"}</definedName>
    <definedName name="dddddddddddddd_1_1" hidden="1">{#N/A,#N/A,TRUE,"Basic";#N/A,#N/A,TRUE,"EXT-TABLE";#N/A,#N/A,TRUE,"STEEL";#N/A,#N/A,TRUE,"INT-Table";#N/A,#N/A,TRUE,"STEEL";#N/A,#N/A,TRUE,"Door"}</definedName>
    <definedName name="dddddddddddddd_1_2" localSheetId="18" hidden="1">{#N/A,#N/A,TRUE,"Basic";#N/A,#N/A,TRUE,"EXT-TABLE";#N/A,#N/A,TRUE,"STEEL";#N/A,#N/A,TRUE,"INT-Table";#N/A,#N/A,TRUE,"STEEL";#N/A,#N/A,TRUE,"Door"}</definedName>
    <definedName name="dddddddddddddd_1_2" hidden="1">{#N/A,#N/A,TRUE,"Basic";#N/A,#N/A,TRUE,"EXT-TABLE";#N/A,#N/A,TRUE,"STEEL";#N/A,#N/A,TRUE,"INT-Table";#N/A,#N/A,TRUE,"STEEL";#N/A,#N/A,TRUE,"Door"}</definedName>
    <definedName name="dddddddddddddd_2" localSheetId="18" hidden="1">{#N/A,#N/A,TRUE,"Basic";#N/A,#N/A,TRUE,"EXT-TABLE";#N/A,#N/A,TRUE,"STEEL";#N/A,#N/A,TRUE,"INT-Table";#N/A,#N/A,TRUE,"STEEL";#N/A,#N/A,TRUE,"Door"}</definedName>
    <definedName name="dddddddddddddd_2" hidden="1">{#N/A,#N/A,TRUE,"Basic";#N/A,#N/A,TRUE,"EXT-TABLE";#N/A,#N/A,TRUE,"STEEL";#N/A,#N/A,TRUE,"INT-Table";#N/A,#N/A,TRUE,"STEEL";#N/A,#N/A,TRUE,"Door"}</definedName>
    <definedName name="dddddddddddddd_2_1" localSheetId="18" hidden="1">{#N/A,#N/A,TRUE,"Basic";#N/A,#N/A,TRUE,"EXT-TABLE";#N/A,#N/A,TRUE,"STEEL";#N/A,#N/A,TRUE,"INT-Table";#N/A,#N/A,TRUE,"STEEL";#N/A,#N/A,TRUE,"Door"}</definedName>
    <definedName name="dddddddddddddd_2_1" hidden="1">{#N/A,#N/A,TRUE,"Basic";#N/A,#N/A,TRUE,"EXT-TABLE";#N/A,#N/A,TRUE,"STEEL";#N/A,#N/A,TRUE,"INT-Table";#N/A,#N/A,TRUE,"STEEL";#N/A,#N/A,TRUE,"Door"}</definedName>
    <definedName name="dddddddddddddd_2_2" localSheetId="18" hidden="1">{#N/A,#N/A,TRUE,"Basic";#N/A,#N/A,TRUE,"EXT-TABLE";#N/A,#N/A,TRUE,"STEEL";#N/A,#N/A,TRUE,"INT-Table";#N/A,#N/A,TRUE,"STEEL";#N/A,#N/A,TRUE,"Door"}</definedName>
    <definedName name="dddddddddddddd_2_2" hidden="1">{#N/A,#N/A,TRUE,"Basic";#N/A,#N/A,TRUE,"EXT-TABLE";#N/A,#N/A,TRUE,"STEEL";#N/A,#N/A,TRUE,"INT-Table";#N/A,#N/A,TRUE,"STEEL";#N/A,#N/A,TRUE,"Door"}</definedName>
    <definedName name="dddddddddddddd_3" localSheetId="18" hidden="1">{#N/A,#N/A,TRUE,"Basic";#N/A,#N/A,TRUE,"EXT-TABLE";#N/A,#N/A,TRUE,"STEEL";#N/A,#N/A,TRUE,"INT-Table";#N/A,#N/A,TRUE,"STEEL";#N/A,#N/A,TRUE,"Door"}</definedName>
    <definedName name="dddddddddddddd_3" hidden="1">{#N/A,#N/A,TRUE,"Basic";#N/A,#N/A,TRUE,"EXT-TABLE";#N/A,#N/A,TRUE,"STEEL";#N/A,#N/A,TRUE,"INT-Table";#N/A,#N/A,TRUE,"STEEL";#N/A,#N/A,TRUE,"Door"}</definedName>
    <definedName name="dddddddddddddd_3_1" localSheetId="18" hidden="1">{#N/A,#N/A,TRUE,"Basic";#N/A,#N/A,TRUE,"EXT-TABLE";#N/A,#N/A,TRUE,"STEEL";#N/A,#N/A,TRUE,"INT-Table";#N/A,#N/A,TRUE,"STEEL";#N/A,#N/A,TRUE,"Door"}</definedName>
    <definedName name="dddddddddddddd_3_1" hidden="1">{#N/A,#N/A,TRUE,"Basic";#N/A,#N/A,TRUE,"EXT-TABLE";#N/A,#N/A,TRUE,"STEEL";#N/A,#N/A,TRUE,"INT-Table";#N/A,#N/A,TRUE,"STEEL";#N/A,#N/A,TRUE,"Door"}</definedName>
    <definedName name="dddddddddddddd_3_2" localSheetId="18" hidden="1">{#N/A,#N/A,TRUE,"Basic";#N/A,#N/A,TRUE,"EXT-TABLE";#N/A,#N/A,TRUE,"STEEL";#N/A,#N/A,TRUE,"INT-Table";#N/A,#N/A,TRUE,"STEEL";#N/A,#N/A,TRUE,"Door"}</definedName>
    <definedName name="dddddddddddddd_3_2" hidden="1">{#N/A,#N/A,TRUE,"Basic";#N/A,#N/A,TRUE,"EXT-TABLE";#N/A,#N/A,TRUE,"STEEL";#N/A,#N/A,TRUE,"INT-Table";#N/A,#N/A,TRUE,"STEEL";#N/A,#N/A,TRUE,"Door"}</definedName>
    <definedName name="dddddddddddddd_4" localSheetId="18" hidden="1">{#N/A,#N/A,TRUE,"Basic";#N/A,#N/A,TRUE,"EXT-TABLE";#N/A,#N/A,TRUE,"STEEL";#N/A,#N/A,TRUE,"INT-Table";#N/A,#N/A,TRUE,"STEEL";#N/A,#N/A,TRUE,"Door"}</definedName>
    <definedName name="dddddddddddddd_4" hidden="1">{#N/A,#N/A,TRUE,"Basic";#N/A,#N/A,TRUE,"EXT-TABLE";#N/A,#N/A,TRUE,"STEEL";#N/A,#N/A,TRUE,"INT-Table";#N/A,#N/A,TRUE,"STEEL";#N/A,#N/A,TRUE,"Door"}</definedName>
    <definedName name="dddddddddddddd_4_1" localSheetId="18" hidden="1">{#N/A,#N/A,TRUE,"Basic";#N/A,#N/A,TRUE,"EXT-TABLE";#N/A,#N/A,TRUE,"STEEL";#N/A,#N/A,TRUE,"INT-Table";#N/A,#N/A,TRUE,"STEEL";#N/A,#N/A,TRUE,"Door"}</definedName>
    <definedName name="dddddddddddddd_4_1" hidden="1">{#N/A,#N/A,TRUE,"Basic";#N/A,#N/A,TRUE,"EXT-TABLE";#N/A,#N/A,TRUE,"STEEL";#N/A,#N/A,TRUE,"INT-Table";#N/A,#N/A,TRUE,"STEEL";#N/A,#N/A,TRUE,"Door"}</definedName>
    <definedName name="dddddddddddddd_4_2" localSheetId="18" hidden="1">{#N/A,#N/A,TRUE,"Basic";#N/A,#N/A,TRUE,"EXT-TABLE";#N/A,#N/A,TRUE,"STEEL";#N/A,#N/A,TRUE,"INT-Table";#N/A,#N/A,TRUE,"STEEL";#N/A,#N/A,TRUE,"Door"}</definedName>
    <definedName name="dddddddddddddd_4_2" hidden="1">{#N/A,#N/A,TRUE,"Basic";#N/A,#N/A,TRUE,"EXT-TABLE";#N/A,#N/A,TRUE,"STEEL";#N/A,#N/A,TRUE,"INT-Table";#N/A,#N/A,TRUE,"STEEL";#N/A,#N/A,TRUE,"Door"}</definedName>
    <definedName name="dddddddddddddd_5" localSheetId="18" hidden="1">{#N/A,#N/A,TRUE,"Basic";#N/A,#N/A,TRUE,"EXT-TABLE";#N/A,#N/A,TRUE,"STEEL";#N/A,#N/A,TRUE,"INT-Table";#N/A,#N/A,TRUE,"STEEL";#N/A,#N/A,TRUE,"Door"}</definedName>
    <definedName name="dddddddddddddd_5" hidden="1">{#N/A,#N/A,TRUE,"Basic";#N/A,#N/A,TRUE,"EXT-TABLE";#N/A,#N/A,TRUE,"STEEL";#N/A,#N/A,TRUE,"INT-Table";#N/A,#N/A,TRUE,"STEEL";#N/A,#N/A,TRUE,"Door"}</definedName>
    <definedName name="dddddddddddddd_5_1" localSheetId="18" hidden="1">{#N/A,#N/A,TRUE,"Basic";#N/A,#N/A,TRUE,"EXT-TABLE";#N/A,#N/A,TRUE,"STEEL";#N/A,#N/A,TRUE,"INT-Table";#N/A,#N/A,TRUE,"STEEL";#N/A,#N/A,TRUE,"Door"}</definedName>
    <definedName name="dddddddddddddd_5_1" hidden="1">{#N/A,#N/A,TRUE,"Basic";#N/A,#N/A,TRUE,"EXT-TABLE";#N/A,#N/A,TRUE,"STEEL";#N/A,#N/A,TRUE,"INT-Table";#N/A,#N/A,TRUE,"STEEL";#N/A,#N/A,TRUE,"Door"}</definedName>
    <definedName name="dddddddddddddd_5_2" localSheetId="18" hidden="1">{#N/A,#N/A,TRUE,"Basic";#N/A,#N/A,TRUE,"EXT-TABLE";#N/A,#N/A,TRUE,"STEEL";#N/A,#N/A,TRUE,"INT-Table";#N/A,#N/A,TRUE,"STEEL";#N/A,#N/A,TRUE,"Door"}</definedName>
    <definedName name="dddddddddddddd_5_2" hidden="1">{#N/A,#N/A,TRUE,"Basic";#N/A,#N/A,TRUE,"EXT-TABLE";#N/A,#N/A,TRUE,"STEEL";#N/A,#N/A,TRUE,"INT-Table";#N/A,#N/A,TRUE,"STEEL";#N/A,#N/A,TRUE,"Door"}</definedName>
    <definedName name="dddf" localSheetId="18" hidden="1">{"'장비'!$A$3:$M$12"}</definedName>
    <definedName name="dddf" hidden="1">{"'장비'!$A$3:$M$12"}</definedName>
    <definedName name="DDFD" localSheetId="18" hidden="1">{#N/A,#N/A,FALSE,"CCTV"}</definedName>
    <definedName name="DDFD" localSheetId="11" hidden="1">{#N/A,#N/A,FALSE,"CCTV"}</definedName>
    <definedName name="DDFD" localSheetId="1" hidden="1">{#N/A,#N/A,FALSE,"CCTV"}</definedName>
    <definedName name="DDFD" localSheetId="2" hidden="1">{#N/A,#N/A,FALSE,"CCTV"}</definedName>
    <definedName name="DDFD" localSheetId="4" hidden="1">{#N/A,#N/A,FALSE,"CCTV"}</definedName>
    <definedName name="DDFD" localSheetId="19" hidden="1">{#N/A,#N/A,FALSE,"CCTV"}</definedName>
    <definedName name="DDFD" localSheetId="10" hidden="1">{#N/A,#N/A,FALSE,"CCTV"}</definedName>
    <definedName name="DDFD" localSheetId="9" hidden="1">{#N/A,#N/A,FALSE,"CCTV"}</definedName>
    <definedName name="DDFD" localSheetId="8" hidden="1">{#N/A,#N/A,FALSE,"CCTV"}</definedName>
    <definedName name="DDFD" localSheetId="3" hidden="1">{#N/A,#N/A,FALSE,"CCTV"}</definedName>
    <definedName name="DDFD" localSheetId="6" hidden="1">{#N/A,#N/A,FALSE,"CCTV"}</definedName>
    <definedName name="DDFD" localSheetId="7" hidden="1">{#N/A,#N/A,FALSE,"CCTV"}</definedName>
    <definedName name="DDFD" localSheetId="5" hidden="1">{#N/A,#N/A,FALSE,"CCTV"}</definedName>
    <definedName name="DDFD" hidden="1">{#N/A,#N/A,FALSE,"CCTV"}</definedName>
    <definedName name="DE" localSheetId="11" hidden="1">'[63]갑지(추정)'!#REF!</definedName>
    <definedName name="DE" localSheetId="1" hidden="1">'[63]갑지(추정)'!#REF!</definedName>
    <definedName name="DE" localSheetId="2" hidden="1">'[63]갑지(추정)'!#REF!</definedName>
    <definedName name="DE" localSheetId="4" hidden="1">'[63]갑지(추정)'!#REF!</definedName>
    <definedName name="DE" localSheetId="19" hidden="1">'[63]갑지(추정)'!#REF!</definedName>
    <definedName name="DE" localSheetId="10" hidden="1">'[63]갑지(추정)'!#REF!</definedName>
    <definedName name="DE" localSheetId="9" hidden="1">'[63]갑지(추정)'!#REF!</definedName>
    <definedName name="DE" localSheetId="8" hidden="1">'[63]갑지(추정)'!#REF!</definedName>
    <definedName name="DE" localSheetId="3" hidden="1">'[63]갑지(추정)'!#REF!</definedName>
    <definedName name="DE" localSheetId="6" hidden="1">'[63]갑지(추정)'!#REF!</definedName>
    <definedName name="DE" localSheetId="7" hidden="1">'[63]갑지(추정)'!#REF!</definedName>
    <definedName name="DE" localSheetId="5" hidden="1">'[63]갑지(추정)'!#REF!</definedName>
    <definedName name="DE" hidden="1">#REF!</definedName>
    <definedName name="dem">#REF!</definedName>
    <definedName name="Densidad_de_los_gases____0__C">#REF!</definedName>
    <definedName name="DensityUnits" localSheetId="11">[34]DATA_LIST!$G$41:$G$42</definedName>
    <definedName name="DensityUnits" localSheetId="1">[34]DATA_LIST!$G$41:$G$42</definedName>
    <definedName name="DensityUnits" localSheetId="2">[34]DATA_LIST!$G$41:$G$42</definedName>
    <definedName name="DensityUnits" localSheetId="4">[34]DATA_LIST!$G$41:$G$42</definedName>
    <definedName name="DensityUnits" localSheetId="19">[34]DATA_LIST!$G$41:$G$42</definedName>
    <definedName name="DensityUnits" localSheetId="10">[34]DATA_LIST!$G$41:$G$42</definedName>
    <definedName name="DensityUnits" localSheetId="9">[34]DATA_LIST!$G$41:$G$42</definedName>
    <definedName name="DensityUnits" localSheetId="8">[34]DATA_LIST!$G$41:$G$42</definedName>
    <definedName name="DensityUnits" localSheetId="3">[34]DATA_LIST!$G$41:$G$42</definedName>
    <definedName name="DensityUnits" localSheetId="6">[34]DATA_LIST!$G$41:$G$42</definedName>
    <definedName name="DensityUnits" localSheetId="7">[34]DATA_LIST!$G$41:$G$42</definedName>
    <definedName name="DensityUnits" localSheetId="5">[34]DATA_LIST!$G$41:$G$42</definedName>
    <definedName name="DensityUnits">#REF!</definedName>
    <definedName name="DESC_BRIDGE">#REF!</definedName>
    <definedName name="DESCR" localSheetId="11">[1]PP!$IO$4891</definedName>
    <definedName name="DESCR" localSheetId="1">[1]PP!$IO$4891</definedName>
    <definedName name="DESCR" localSheetId="2">[1]PP!$IO$4891</definedName>
    <definedName name="DESCR" localSheetId="4">[1]PP!$IO$4891</definedName>
    <definedName name="DESCR" localSheetId="19">[1]PP!$IO$4891</definedName>
    <definedName name="DESCR" localSheetId="10">[1]PP!$IO$4891</definedName>
    <definedName name="DESCR" localSheetId="9">[1]PP!$IO$4891</definedName>
    <definedName name="DESCR" localSheetId="8">[1]PP!$IO$4891</definedName>
    <definedName name="DESCR" localSheetId="3">[1]PP!$IO$4891</definedName>
    <definedName name="DESCR" localSheetId="6">[1]PP!$IO$4891</definedName>
    <definedName name="DESCR" localSheetId="7">[1]PP!$IO$4891</definedName>
    <definedName name="DESCR" localSheetId="5">[1]PP!$IO$4891</definedName>
    <definedName name="DESCR">#REF!</definedName>
    <definedName name="Design_Temp" localSheetId="11">'[41]Noise (3)'!$C$6</definedName>
    <definedName name="Design_Temp" localSheetId="1">'[41]Noise (3)'!$C$6</definedName>
    <definedName name="Design_Temp" localSheetId="2">'[41]Noise (3)'!$C$6</definedName>
    <definedName name="Design_Temp" localSheetId="4">'[41]Noise (3)'!$C$6</definedName>
    <definedName name="Design_Temp" localSheetId="19">'[41]Noise (3)'!$C$6</definedName>
    <definedName name="Design_Temp" localSheetId="10">'[41]Noise (3)'!$C$6</definedName>
    <definedName name="Design_Temp" localSheetId="9">'[41]Noise (3)'!$C$6</definedName>
    <definedName name="Design_Temp" localSheetId="8">'[41]Noise (3)'!$C$6</definedName>
    <definedName name="Design_Temp" localSheetId="3">'[41]Noise (3)'!$C$6</definedName>
    <definedName name="Design_Temp" localSheetId="6">'[41]Noise (3)'!$C$6</definedName>
    <definedName name="Design_Temp" localSheetId="7">'[41]Noise (3)'!$C$6</definedName>
    <definedName name="Design_Temp" localSheetId="5">'[41]Noise (3)'!$C$6</definedName>
    <definedName name="Design_Temp">#REF!</definedName>
    <definedName name="desy" localSheetId="18" hidden="1">{"'Liquid'!$A$1:$U$57"}</definedName>
    <definedName name="desy" hidden="1">{"'Liquid'!$A$1:$U$57"}</definedName>
    <definedName name="dev">#REF!</definedName>
    <definedName name="DEWSLDW" localSheetId="18" hidden="1">{#N/A,#N/A,TRUE,"SUM";#N/A,#N/A,TRUE,"EE";#N/A,#N/A,TRUE,"AC";#N/A,#N/A,TRUE,"SN"}</definedName>
    <definedName name="DEWSLDW" hidden="1">{#N/A,#N/A,TRUE,"SUM";#N/A,#N/A,TRUE,"EE";#N/A,#N/A,TRUE,"AC";#N/A,#N/A,TRUE,"SN"}</definedName>
    <definedName name="dfaf" localSheetId="18" hidden="1">{"'장비'!$A$3:$M$12"}</definedName>
    <definedName name="dfaf" hidden="1">{"'장비'!$A$3:$M$12"}</definedName>
    <definedName name="dfasf" localSheetId="18" hidden="1">{#N/A,#N/A,TRUE,"Basic";#N/A,#N/A,TRUE,"EXT-TABLE";#N/A,#N/A,TRUE,"STEEL";#N/A,#N/A,TRUE,"INT-Table";#N/A,#N/A,TRUE,"STEEL";#N/A,#N/A,TRUE,"Door"}</definedName>
    <definedName name="dfasf" hidden="1">{#N/A,#N/A,TRUE,"Basic";#N/A,#N/A,TRUE,"EXT-TABLE";#N/A,#N/A,TRUE,"STEEL";#N/A,#N/A,TRUE,"INT-Table";#N/A,#N/A,TRUE,"STEEL";#N/A,#N/A,TRUE,"Door"}</definedName>
    <definedName name="dfd"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localSheetId="18" hidden="1">{"'장비'!$A$3:$M$12"}</definedName>
    <definedName name="dfdf" hidden="1">{"'장비'!$A$3:$M$12"}</definedName>
    <definedName name="DFDFDS" localSheetId="18" hidden="1">{#N/A,#N/A,TRUE,"SUM";#N/A,#N/A,TRUE,"EE";#N/A,#N/A,TRUE,"AC";#N/A,#N/A,TRUE,"SN"}</definedName>
    <definedName name="DFDFDS" hidden="1">{#N/A,#N/A,TRUE,"SUM";#N/A,#N/A,TRUE,"EE";#N/A,#N/A,TRUE,"AC";#N/A,#N/A,TRUE,"SN"}</definedName>
    <definedName name="DFDFSDFSD" localSheetId="18" hidden="1">{#N/A,#N/A,TRUE,"SUM";#N/A,#N/A,TRUE,"EE";#N/A,#N/A,TRUE,"AC";#N/A,#N/A,TRUE,"SN"}</definedName>
    <definedName name="DFDFSDFSD" hidden="1">{#N/A,#N/A,TRUE,"SUM";#N/A,#N/A,TRUE,"EE";#N/A,#N/A,TRUE,"AC";#N/A,#N/A,TRUE,"SN"}</definedName>
    <definedName name="DFF" localSheetId="18" hidden="1">{#N/A,#N/A,TRUE,"SUM";#N/A,#N/A,TRUE,"EE";#N/A,#N/A,TRUE,"AC";#N/A,#N/A,TRUE,"SN"}</definedName>
    <definedName name="DFF" hidden="1">{#N/A,#N/A,TRUE,"SUM";#N/A,#N/A,TRUE,"EE";#N/A,#N/A,TRUE,"AC";#N/A,#N/A,TRUE,"SN"}</definedName>
    <definedName name="dffdfd"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localSheetId="18" hidden="1">{#N/A,#N/A,FALSE,"Chi tiÆt"}</definedName>
    <definedName name="dfgh" hidden="1">{#N/A,#N/A,FALSE,"Chi tiÆt"}</definedName>
    <definedName name="DFGSDFGSDGSD" localSheetId="18" hidden="1">{"'장비'!$A$3:$M$12"}</definedName>
    <definedName name="DFGSDFGSDGSD" hidden="1">{"'장비'!$A$3:$M$12"}</definedName>
    <definedName name="dfh" localSheetId="18" hidden="1">{"'Sheet1'!$L$16"}</definedName>
    <definedName name="dfh" localSheetId="11" hidden="1">{"'Sheet1'!$L$16"}</definedName>
    <definedName name="dfh" localSheetId="1" hidden="1">{"'Sheet1'!$L$16"}</definedName>
    <definedName name="dfh" localSheetId="2" hidden="1">{"'Sheet1'!$L$16"}</definedName>
    <definedName name="dfh" localSheetId="12" hidden="1">{"'Sheet1'!$L$16"}</definedName>
    <definedName name="dfh" localSheetId="4" hidden="1">{"'Sheet1'!$L$16"}</definedName>
    <definedName name="dfh" localSheetId="19" hidden="1">{"'Sheet1'!$L$16"}</definedName>
    <definedName name="dfh" localSheetId="10" hidden="1">{"'Sheet1'!$L$16"}</definedName>
    <definedName name="dfh" localSheetId="9" hidden="1">{"'Sheet1'!$L$16"}</definedName>
    <definedName name="dfh" localSheetId="8" hidden="1">{"'Sheet1'!$L$16"}</definedName>
    <definedName name="dfh" localSheetId="3" hidden="1">{"'Sheet1'!$L$16"}</definedName>
    <definedName name="dfh" localSheetId="6" hidden="1">{"'Sheet1'!$L$16"}</definedName>
    <definedName name="dfh" localSheetId="7" hidden="1">{"'Sheet1'!$L$16"}</definedName>
    <definedName name="dfh" localSheetId="5" hidden="1">{"'Sheet1'!$L$16"}</definedName>
    <definedName name="dfh" localSheetId="13" hidden="1">{"'Sheet1'!$L$16"}</definedName>
    <definedName name="dfh" hidden="1">{"'Sheet1'!$L$16"}</definedName>
    <definedName name="DFHDFHRE" localSheetId="18" hidden="1">{#N/A,#N/A,FALSE,"속도"}</definedName>
    <definedName name="DFHDFHRE" hidden="1">{#N/A,#N/A,FALSE,"속도"}</definedName>
    <definedName name="dfs" hidden="1">#REF!</definedName>
    <definedName name="DFSDF" localSheetId="18" hidden="1">{"'Sheet1'!$L$16"}</definedName>
    <definedName name="DFSDF" localSheetId="11" hidden="1">{"'Sheet1'!$L$16"}</definedName>
    <definedName name="DFSDF" localSheetId="1" hidden="1">{"'Sheet1'!$L$16"}</definedName>
    <definedName name="DFSDF" localSheetId="2" hidden="1">{"'Sheet1'!$L$16"}</definedName>
    <definedName name="DFSDF" localSheetId="12" hidden="1">{"'Sheet1'!$L$16"}</definedName>
    <definedName name="DFSDF" localSheetId="4" hidden="1">{"'Sheet1'!$L$16"}</definedName>
    <definedName name="DFSDF" localSheetId="19" hidden="1">{"'Sheet1'!$L$16"}</definedName>
    <definedName name="DFSDF" localSheetId="10" hidden="1">{"'Sheet1'!$L$16"}</definedName>
    <definedName name="DFSDF" localSheetId="9" hidden="1">{"'Sheet1'!$L$16"}</definedName>
    <definedName name="DFSDF" localSheetId="8" hidden="1">{"'Sheet1'!$L$16"}</definedName>
    <definedName name="DFSDF" localSheetId="3" hidden="1">{"'Sheet1'!$L$16"}</definedName>
    <definedName name="DFSDF" localSheetId="6" hidden="1">{"'Sheet1'!$L$16"}</definedName>
    <definedName name="DFSDF" localSheetId="7" hidden="1">{"'Sheet1'!$L$16"}</definedName>
    <definedName name="DFSDF" localSheetId="5" hidden="1">{"'Sheet1'!$L$16"}</definedName>
    <definedName name="DFSDF" localSheetId="13" hidden="1">{"'Sheet1'!$L$16"}</definedName>
    <definedName name="DFSDF" hidden="1">{"'Sheet1'!$L$16"}</definedName>
    <definedName name="dfsfsd" localSheetId="18" hidden="1">{"'Sheet1'!$L$16"}</definedName>
    <definedName name="dfsfsd" localSheetId="11" hidden="1">{"'Sheet1'!$L$16"}</definedName>
    <definedName name="dfsfsd" localSheetId="1" hidden="1">{"'Sheet1'!$L$16"}</definedName>
    <definedName name="dfsfsd" localSheetId="2" hidden="1">{"'Sheet1'!$L$16"}</definedName>
    <definedName name="dfsfsd" localSheetId="12" hidden="1">{"'Sheet1'!$L$16"}</definedName>
    <definedName name="dfsfsd" localSheetId="4" hidden="1">{"'Sheet1'!$L$16"}</definedName>
    <definedName name="dfsfsd" localSheetId="19" hidden="1">{"'Sheet1'!$L$16"}</definedName>
    <definedName name="dfsfsd" localSheetId="10" hidden="1">{"'Sheet1'!$L$16"}</definedName>
    <definedName name="dfsfsd" localSheetId="9" hidden="1">{"'Sheet1'!$L$16"}</definedName>
    <definedName name="dfsfsd" localSheetId="8" hidden="1">{"'Sheet1'!$L$16"}</definedName>
    <definedName name="dfsfsd" localSheetId="3" hidden="1">{"'Sheet1'!$L$16"}</definedName>
    <definedName name="dfsfsd" localSheetId="6" hidden="1">{"'Sheet1'!$L$16"}</definedName>
    <definedName name="dfsfsd" localSheetId="7" hidden="1">{"'Sheet1'!$L$16"}</definedName>
    <definedName name="dfsfsd" localSheetId="5" hidden="1">{"'Sheet1'!$L$16"}</definedName>
    <definedName name="dfsfsd" localSheetId="13" hidden="1">{"'Sheet1'!$L$16"}</definedName>
    <definedName name="dfsfsd" hidden="1">{"'Sheet1'!$L$16"}</definedName>
    <definedName name="dgagd" localSheetId="18" hidden="1">{#N/A,#N/A,TRUE,"Basic";#N/A,#N/A,TRUE,"EXT-TABLE";#N/A,#N/A,TRUE,"STEEL";#N/A,#N/A,TRUE,"INT-Table";#N/A,#N/A,TRUE,"STEEL";#N/A,#N/A,TRUE,"Door"}</definedName>
    <definedName name="dgagd" hidden="1">{#N/A,#N/A,TRUE,"Basic";#N/A,#N/A,TRUE,"EXT-TABLE";#N/A,#N/A,TRUE,"STEEL";#N/A,#N/A,TRUE,"INT-Table";#N/A,#N/A,TRUE,"STEEL";#N/A,#N/A,TRUE,"Door"}</definedName>
    <definedName name="dgagd_1" localSheetId="18" hidden="1">{#N/A,#N/A,TRUE,"Basic";#N/A,#N/A,TRUE,"EXT-TABLE";#N/A,#N/A,TRUE,"STEEL";#N/A,#N/A,TRUE,"INT-Table";#N/A,#N/A,TRUE,"STEEL";#N/A,#N/A,TRUE,"Door"}</definedName>
    <definedName name="dgagd_1" hidden="1">{#N/A,#N/A,TRUE,"Basic";#N/A,#N/A,TRUE,"EXT-TABLE";#N/A,#N/A,TRUE,"STEEL";#N/A,#N/A,TRUE,"INT-Table";#N/A,#N/A,TRUE,"STEEL";#N/A,#N/A,TRUE,"Door"}</definedName>
    <definedName name="dgagd_1_1" localSheetId="18" hidden="1">{#N/A,#N/A,TRUE,"Basic";#N/A,#N/A,TRUE,"EXT-TABLE";#N/A,#N/A,TRUE,"STEEL";#N/A,#N/A,TRUE,"INT-Table";#N/A,#N/A,TRUE,"STEEL";#N/A,#N/A,TRUE,"Door"}</definedName>
    <definedName name="dgagd_1_1" hidden="1">{#N/A,#N/A,TRUE,"Basic";#N/A,#N/A,TRUE,"EXT-TABLE";#N/A,#N/A,TRUE,"STEEL";#N/A,#N/A,TRUE,"INT-Table";#N/A,#N/A,TRUE,"STEEL";#N/A,#N/A,TRUE,"Door"}</definedName>
    <definedName name="dgagd_1_2" localSheetId="18" hidden="1">{#N/A,#N/A,TRUE,"Basic";#N/A,#N/A,TRUE,"EXT-TABLE";#N/A,#N/A,TRUE,"STEEL";#N/A,#N/A,TRUE,"INT-Table";#N/A,#N/A,TRUE,"STEEL";#N/A,#N/A,TRUE,"Door"}</definedName>
    <definedName name="dgagd_1_2" hidden="1">{#N/A,#N/A,TRUE,"Basic";#N/A,#N/A,TRUE,"EXT-TABLE";#N/A,#N/A,TRUE,"STEEL";#N/A,#N/A,TRUE,"INT-Table";#N/A,#N/A,TRUE,"STEEL";#N/A,#N/A,TRUE,"Door"}</definedName>
    <definedName name="dgagd_2" localSheetId="18" hidden="1">{#N/A,#N/A,TRUE,"Basic";#N/A,#N/A,TRUE,"EXT-TABLE";#N/A,#N/A,TRUE,"STEEL";#N/A,#N/A,TRUE,"INT-Table";#N/A,#N/A,TRUE,"STEEL";#N/A,#N/A,TRUE,"Door"}</definedName>
    <definedName name="dgagd_2" hidden="1">{#N/A,#N/A,TRUE,"Basic";#N/A,#N/A,TRUE,"EXT-TABLE";#N/A,#N/A,TRUE,"STEEL";#N/A,#N/A,TRUE,"INT-Table";#N/A,#N/A,TRUE,"STEEL";#N/A,#N/A,TRUE,"Door"}</definedName>
    <definedName name="dgagd_2_1" localSheetId="18" hidden="1">{#N/A,#N/A,TRUE,"Basic";#N/A,#N/A,TRUE,"EXT-TABLE";#N/A,#N/A,TRUE,"STEEL";#N/A,#N/A,TRUE,"INT-Table";#N/A,#N/A,TRUE,"STEEL";#N/A,#N/A,TRUE,"Door"}</definedName>
    <definedName name="dgagd_2_1" hidden="1">{#N/A,#N/A,TRUE,"Basic";#N/A,#N/A,TRUE,"EXT-TABLE";#N/A,#N/A,TRUE,"STEEL";#N/A,#N/A,TRUE,"INT-Table";#N/A,#N/A,TRUE,"STEEL";#N/A,#N/A,TRUE,"Door"}</definedName>
    <definedName name="dgagd_2_2" localSheetId="18" hidden="1">{#N/A,#N/A,TRUE,"Basic";#N/A,#N/A,TRUE,"EXT-TABLE";#N/A,#N/A,TRUE,"STEEL";#N/A,#N/A,TRUE,"INT-Table";#N/A,#N/A,TRUE,"STEEL";#N/A,#N/A,TRUE,"Door"}</definedName>
    <definedName name="dgagd_2_2" hidden="1">{#N/A,#N/A,TRUE,"Basic";#N/A,#N/A,TRUE,"EXT-TABLE";#N/A,#N/A,TRUE,"STEEL";#N/A,#N/A,TRUE,"INT-Table";#N/A,#N/A,TRUE,"STEEL";#N/A,#N/A,TRUE,"Door"}</definedName>
    <definedName name="dgagd_3" localSheetId="18" hidden="1">{#N/A,#N/A,TRUE,"Basic";#N/A,#N/A,TRUE,"EXT-TABLE";#N/A,#N/A,TRUE,"STEEL";#N/A,#N/A,TRUE,"INT-Table";#N/A,#N/A,TRUE,"STEEL";#N/A,#N/A,TRUE,"Door"}</definedName>
    <definedName name="dgagd_3" hidden="1">{#N/A,#N/A,TRUE,"Basic";#N/A,#N/A,TRUE,"EXT-TABLE";#N/A,#N/A,TRUE,"STEEL";#N/A,#N/A,TRUE,"INT-Table";#N/A,#N/A,TRUE,"STEEL";#N/A,#N/A,TRUE,"Door"}</definedName>
    <definedName name="dgagd_3_1" localSheetId="18" hidden="1">{#N/A,#N/A,TRUE,"Basic";#N/A,#N/A,TRUE,"EXT-TABLE";#N/A,#N/A,TRUE,"STEEL";#N/A,#N/A,TRUE,"INT-Table";#N/A,#N/A,TRUE,"STEEL";#N/A,#N/A,TRUE,"Door"}</definedName>
    <definedName name="dgagd_3_1" hidden="1">{#N/A,#N/A,TRUE,"Basic";#N/A,#N/A,TRUE,"EXT-TABLE";#N/A,#N/A,TRUE,"STEEL";#N/A,#N/A,TRUE,"INT-Table";#N/A,#N/A,TRUE,"STEEL";#N/A,#N/A,TRUE,"Door"}</definedName>
    <definedName name="dgagd_3_2" localSheetId="18" hidden="1">{#N/A,#N/A,TRUE,"Basic";#N/A,#N/A,TRUE,"EXT-TABLE";#N/A,#N/A,TRUE,"STEEL";#N/A,#N/A,TRUE,"INT-Table";#N/A,#N/A,TRUE,"STEEL";#N/A,#N/A,TRUE,"Door"}</definedName>
    <definedName name="dgagd_3_2" hidden="1">{#N/A,#N/A,TRUE,"Basic";#N/A,#N/A,TRUE,"EXT-TABLE";#N/A,#N/A,TRUE,"STEEL";#N/A,#N/A,TRUE,"INT-Table";#N/A,#N/A,TRUE,"STEEL";#N/A,#N/A,TRUE,"Door"}</definedName>
    <definedName name="dgagd_4" localSheetId="18" hidden="1">{#N/A,#N/A,TRUE,"Basic";#N/A,#N/A,TRUE,"EXT-TABLE";#N/A,#N/A,TRUE,"STEEL";#N/A,#N/A,TRUE,"INT-Table";#N/A,#N/A,TRUE,"STEEL";#N/A,#N/A,TRUE,"Door"}</definedName>
    <definedName name="dgagd_4" hidden="1">{#N/A,#N/A,TRUE,"Basic";#N/A,#N/A,TRUE,"EXT-TABLE";#N/A,#N/A,TRUE,"STEEL";#N/A,#N/A,TRUE,"INT-Table";#N/A,#N/A,TRUE,"STEEL";#N/A,#N/A,TRUE,"Door"}</definedName>
    <definedName name="dgagd_4_1" localSheetId="18" hidden="1">{#N/A,#N/A,TRUE,"Basic";#N/A,#N/A,TRUE,"EXT-TABLE";#N/A,#N/A,TRUE,"STEEL";#N/A,#N/A,TRUE,"INT-Table";#N/A,#N/A,TRUE,"STEEL";#N/A,#N/A,TRUE,"Door"}</definedName>
    <definedName name="dgagd_4_1" hidden="1">{#N/A,#N/A,TRUE,"Basic";#N/A,#N/A,TRUE,"EXT-TABLE";#N/A,#N/A,TRUE,"STEEL";#N/A,#N/A,TRUE,"INT-Table";#N/A,#N/A,TRUE,"STEEL";#N/A,#N/A,TRUE,"Door"}</definedName>
    <definedName name="dgagd_4_2" localSheetId="18" hidden="1">{#N/A,#N/A,TRUE,"Basic";#N/A,#N/A,TRUE,"EXT-TABLE";#N/A,#N/A,TRUE,"STEEL";#N/A,#N/A,TRUE,"INT-Table";#N/A,#N/A,TRUE,"STEEL";#N/A,#N/A,TRUE,"Door"}</definedName>
    <definedName name="dgagd_4_2" hidden="1">{#N/A,#N/A,TRUE,"Basic";#N/A,#N/A,TRUE,"EXT-TABLE";#N/A,#N/A,TRUE,"STEEL";#N/A,#N/A,TRUE,"INT-Table";#N/A,#N/A,TRUE,"STEEL";#N/A,#N/A,TRUE,"Door"}</definedName>
    <definedName name="dgagd_5" localSheetId="18" hidden="1">{#N/A,#N/A,TRUE,"Basic";#N/A,#N/A,TRUE,"EXT-TABLE";#N/A,#N/A,TRUE,"STEEL";#N/A,#N/A,TRUE,"INT-Table";#N/A,#N/A,TRUE,"STEEL";#N/A,#N/A,TRUE,"Door"}</definedName>
    <definedName name="dgagd_5" hidden="1">{#N/A,#N/A,TRUE,"Basic";#N/A,#N/A,TRUE,"EXT-TABLE";#N/A,#N/A,TRUE,"STEEL";#N/A,#N/A,TRUE,"INT-Table";#N/A,#N/A,TRUE,"STEEL";#N/A,#N/A,TRUE,"Door"}</definedName>
    <definedName name="dgagd_5_1" localSheetId="18" hidden="1">{#N/A,#N/A,TRUE,"Basic";#N/A,#N/A,TRUE,"EXT-TABLE";#N/A,#N/A,TRUE,"STEEL";#N/A,#N/A,TRUE,"INT-Table";#N/A,#N/A,TRUE,"STEEL";#N/A,#N/A,TRUE,"Door"}</definedName>
    <definedName name="dgagd_5_1" hidden="1">{#N/A,#N/A,TRUE,"Basic";#N/A,#N/A,TRUE,"EXT-TABLE";#N/A,#N/A,TRUE,"STEEL";#N/A,#N/A,TRUE,"INT-Table";#N/A,#N/A,TRUE,"STEEL";#N/A,#N/A,TRUE,"Door"}</definedName>
    <definedName name="dgagd_5_2" localSheetId="18" hidden="1">{#N/A,#N/A,TRUE,"Basic";#N/A,#N/A,TRUE,"EXT-TABLE";#N/A,#N/A,TRUE,"STEEL";#N/A,#N/A,TRUE,"INT-Table";#N/A,#N/A,TRUE,"STEEL";#N/A,#N/A,TRUE,"Door"}</definedName>
    <definedName name="dgagd_5_2" hidden="1">{#N/A,#N/A,TRUE,"Basic";#N/A,#N/A,TRUE,"EXT-TABLE";#N/A,#N/A,TRUE,"STEEL";#N/A,#N/A,TRUE,"INT-Table";#N/A,#N/A,TRUE,"STEEL";#N/A,#N/A,TRUE,"Door"}</definedName>
    <definedName name="DG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18" hidden="1">{#N/A,#N/A,FALSE,"CCTV"}</definedName>
    <definedName name="dgfgjgj" localSheetId="11" hidden="1">{#N/A,#N/A,FALSE,"CCTV"}</definedName>
    <definedName name="dgfgjgj" localSheetId="1" hidden="1">{#N/A,#N/A,FALSE,"CCTV"}</definedName>
    <definedName name="dgfgjgj" localSheetId="2" hidden="1">{#N/A,#N/A,FALSE,"CCTV"}</definedName>
    <definedName name="dgfgjgj" localSheetId="4" hidden="1">{#N/A,#N/A,FALSE,"CCTV"}</definedName>
    <definedName name="dgfgjgj" localSheetId="19" hidden="1">{#N/A,#N/A,FALSE,"CCTV"}</definedName>
    <definedName name="dgfgjgj" localSheetId="10" hidden="1">{#N/A,#N/A,FALSE,"CCTV"}</definedName>
    <definedName name="dgfgjgj" localSheetId="9" hidden="1">{#N/A,#N/A,FALSE,"CCTV"}</definedName>
    <definedName name="dgfgjgj" localSheetId="8" hidden="1">{#N/A,#N/A,FALSE,"CCTV"}</definedName>
    <definedName name="dgfgjgj" localSheetId="3" hidden="1">{#N/A,#N/A,FALSE,"CCTV"}</definedName>
    <definedName name="dgfgjgj" localSheetId="6" hidden="1">{#N/A,#N/A,FALSE,"CCTV"}</definedName>
    <definedName name="dgfgjgj" localSheetId="7" hidden="1">{#N/A,#N/A,FALSE,"CCTV"}</definedName>
    <definedName name="dgfgjgj" localSheetId="5" hidden="1">{#N/A,#N/A,FALSE,"CCTV"}</definedName>
    <definedName name="dgfgjgj" hidden="1">{#N/A,#N/A,FALSE,"CCTV"}</definedName>
    <definedName name="dgn">#REF!</definedName>
    <definedName name="dgnc">#REF!</definedName>
    <definedName name="dgvl">#REF!</definedName>
    <definedName name="DH" hidden="1">#REF!</definedName>
    <definedName name="diam" localSheetId="11">[64]RESPSP!$B$28:$S$95</definedName>
    <definedName name="diam" localSheetId="1">[64]RESPSP!$B$28:$S$95</definedName>
    <definedName name="diam" localSheetId="2">[64]RESPSP!$B$28:$S$95</definedName>
    <definedName name="diam" localSheetId="4">[64]RESPSP!$B$28:$S$95</definedName>
    <definedName name="diam" localSheetId="19">[64]RESPSP!$B$28:$S$95</definedName>
    <definedName name="diam" localSheetId="10">[64]RESPSP!$B$28:$S$95</definedName>
    <definedName name="diam" localSheetId="9">[64]RESPSP!$B$28:$S$95</definedName>
    <definedName name="diam" localSheetId="8">[64]RESPSP!$B$28:$S$95</definedName>
    <definedName name="diam" localSheetId="3">[64]RESPSP!$B$28:$S$95</definedName>
    <definedName name="diam" localSheetId="6">[64]RESPSP!$B$28:$S$95</definedName>
    <definedName name="diam" localSheetId="7">[64]RESPSP!$B$28:$S$95</definedName>
    <definedName name="diam" localSheetId="5">[64]RESPSP!$B$28:$S$95</definedName>
    <definedName name="diam">#REF!</definedName>
    <definedName name="diameter">#REF!</definedName>
    <definedName name="Diámetro_chimenea_de_bypass">#REF!</definedName>
    <definedName name="DIAMIN">#REF!</definedName>
    <definedName name="diengiai" localSheetId="18" hidden="1">{"'Sheet1'!$L$16"}</definedName>
    <definedName name="diengiai" localSheetId="11" hidden="1">{"'Sheet1'!$L$16"}</definedName>
    <definedName name="diengiai" localSheetId="1" hidden="1">{"'Sheet1'!$L$16"}</definedName>
    <definedName name="diengiai" localSheetId="2" hidden="1">{"'Sheet1'!$L$16"}</definedName>
    <definedName name="diengiai" localSheetId="12" hidden="1">{"'Sheet1'!$L$16"}</definedName>
    <definedName name="diengiai" localSheetId="4" hidden="1">{"'Sheet1'!$L$16"}</definedName>
    <definedName name="diengiai" localSheetId="19" hidden="1">{"'Sheet1'!$L$16"}</definedName>
    <definedName name="diengiai" localSheetId="10" hidden="1">{"'Sheet1'!$L$16"}</definedName>
    <definedName name="diengiai" localSheetId="9" hidden="1">{"'Sheet1'!$L$16"}</definedName>
    <definedName name="diengiai" localSheetId="8" hidden="1">{"'Sheet1'!$L$16"}</definedName>
    <definedName name="diengiai" localSheetId="3" hidden="1">{"'Sheet1'!$L$16"}</definedName>
    <definedName name="diengiai" localSheetId="6" hidden="1">{"'Sheet1'!$L$16"}</definedName>
    <definedName name="diengiai" localSheetId="7" hidden="1">{"'Sheet1'!$L$16"}</definedName>
    <definedName name="diengiai" localSheetId="5" hidden="1">{"'Sheet1'!$L$16"}</definedName>
    <definedName name="diengiai" localSheetId="13" hidden="1">{"'Sheet1'!$L$16"}</definedName>
    <definedName name="diengiai" hidden="1">{"'Sheet1'!$L$16"}</definedName>
    <definedName name="Differenzdruckschalter">#REF!</definedName>
    <definedName name="DIGN" localSheetId="18" hidden="1">{#N/A,#N/A,TRUE,"Basic";#N/A,#N/A,TRUE,"EXT-TABLE";#N/A,#N/A,TRUE,"STEEL";#N/A,#N/A,TRUE,"INT-Table";#N/A,#N/A,TRUE,"STEEL";#N/A,#N/A,TRUE,"Door"}</definedName>
    <definedName name="DIGN" hidden="1">{#N/A,#N/A,TRUE,"Basic";#N/A,#N/A,TRUE,"EXT-TABLE";#N/A,#N/A,TRUE,"STEEL";#N/A,#N/A,TRUE,"INT-Table";#N/A,#N/A,TRUE,"STEEL";#N/A,#N/A,TRUE,"Door"}</definedName>
    <definedName name="DIGN_1" localSheetId="18" hidden="1">{#N/A,#N/A,TRUE,"Basic";#N/A,#N/A,TRUE,"EXT-TABLE";#N/A,#N/A,TRUE,"STEEL";#N/A,#N/A,TRUE,"INT-Table";#N/A,#N/A,TRUE,"STEEL";#N/A,#N/A,TRUE,"Door"}</definedName>
    <definedName name="DIGN_1" hidden="1">{#N/A,#N/A,TRUE,"Basic";#N/A,#N/A,TRUE,"EXT-TABLE";#N/A,#N/A,TRUE,"STEEL";#N/A,#N/A,TRUE,"INT-Table";#N/A,#N/A,TRUE,"STEEL";#N/A,#N/A,TRUE,"Door"}</definedName>
    <definedName name="DIGN_1_1" localSheetId="18" hidden="1">{#N/A,#N/A,TRUE,"Basic";#N/A,#N/A,TRUE,"EXT-TABLE";#N/A,#N/A,TRUE,"STEEL";#N/A,#N/A,TRUE,"INT-Table";#N/A,#N/A,TRUE,"STEEL";#N/A,#N/A,TRUE,"Door"}</definedName>
    <definedName name="DIGN_1_1" hidden="1">{#N/A,#N/A,TRUE,"Basic";#N/A,#N/A,TRUE,"EXT-TABLE";#N/A,#N/A,TRUE,"STEEL";#N/A,#N/A,TRUE,"INT-Table";#N/A,#N/A,TRUE,"STEEL";#N/A,#N/A,TRUE,"Door"}</definedName>
    <definedName name="DIGN_1_2" localSheetId="18" hidden="1">{#N/A,#N/A,TRUE,"Basic";#N/A,#N/A,TRUE,"EXT-TABLE";#N/A,#N/A,TRUE,"STEEL";#N/A,#N/A,TRUE,"INT-Table";#N/A,#N/A,TRUE,"STEEL";#N/A,#N/A,TRUE,"Door"}</definedName>
    <definedName name="DIGN_1_2" hidden="1">{#N/A,#N/A,TRUE,"Basic";#N/A,#N/A,TRUE,"EXT-TABLE";#N/A,#N/A,TRUE,"STEEL";#N/A,#N/A,TRUE,"INT-Table";#N/A,#N/A,TRUE,"STEEL";#N/A,#N/A,TRUE,"Door"}</definedName>
    <definedName name="DIGN_2" localSheetId="18" hidden="1">{#N/A,#N/A,TRUE,"Basic";#N/A,#N/A,TRUE,"EXT-TABLE";#N/A,#N/A,TRUE,"STEEL";#N/A,#N/A,TRUE,"INT-Table";#N/A,#N/A,TRUE,"STEEL";#N/A,#N/A,TRUE,"Door"}</definedName>
    <definedName name="DIGN_2" hidden="1">{#N/A,#N/A,TRUE,"Basic";#N/A,#N/A,TRUE,"EXT-TABLE";#N/A,#N/A,TRUE,"STEEL";#N/A,#N/A,TRUE,"INT-Table";#N/A,#N/A,TRUE,"STEEL";#N/A,#N/A,TRUE,"Door"}</definedName>
    <definedName name="DIGN_2_1" localSheetId="18" hidden="1">{#N/A,#N/A,TRUE,"Basic";#N/A,#N/A,TRUE,"EXT-TABLE";#N/A,#N/A,TRUE,"STEEL";#N/A,#N/A,TRUE,"INT-Table";#N/A,#N/A,TRUE,"STEEL";#N/A,#N/A,TRUE,"Door"}</definedName>
    <definedName name="DIGN_2_1" hidden="1">{#N/A,#N/A,TRUE,"Basic";#N/A,#N/A,TRUE,"EXT-TABLE";#N/A,#N/A,TRUE,"STEEL";#N/A,#N/A,TRUE,"INT-Table";#N/A,#N/A,TRUE,"STEEL";#N/A,#N/A,TRUE,"Door"}</definedName>
    <definedName name="DIGN_2_2" localSheetId="18" hidden="1">{#N/A,#N/A,TRUE,"Basic";#N/A,#N/A,TRUE,"EXT-TABLE";#N/A,#N/A,TRUE,"STEEL";#N/A,#N/A,TRUE,"INT-Table";#N/A,#N/A,TRUE,"STEEL";#N/A,#N/A,TRUE,"Door"}</definedName>
    <definedName name="DIGN_2_2" hidden="1">{#N/A,#N/A,TRUE,"Basic";#N/A,#N/A,TRUE,"EXT-TABLE";#N/A,#N/A,TRUE,"STEEL";#N/A,#N/A,TRUE,"INT-Table";#N/A,#N/A,TRUE,"STEEL";#N/A,#N/A,TRUE,"Door"}</definedName>
    <definedName name="DIGN_3" localSheetId="18" hidden="1">{#N/A,#N/A,TRUE,"Basic";#N/A,#N/A,TRUE,"EXT-TABLE";#N/A,#N/A,TRUE,"STEEL";#N/A,#N/A,TRUE,"INT-Table";#N/A,#N/A,TRUE,"STEEL";#N/A,#N/A,TRUE,"Door"}</definedName>
    <definedName name="DIGN_3" hidden="1">{#N/A,#N/A,TRUE,"Basic";#N/A,#N/A,TRUE,"EXT-TABLE";#N/A,#N/A,TRUE,"STEEL";#N/A,#N/A,TRUE,"INT-Table";#N/A,#N/A,TRUE,"STEEL";#N/A,#N/A,TRUE,"Door"}</definedName>
    <definedName name="DIGN_3_1" localSheetId="18" hidden="1">{#N/A,#N/A,TRUE,"Basic";#N/A,#N/A,TRUE,"EXT-TABLE";#N/A,#N/A,TRUE,"STEEL";#N/A,#N/A,TRUE,"INT-Table";#N/A,#N/A,TRUE,"STEEL";#N/A,#N/A,TRUE,"Door"}</definedName>
    <definedName name="DIGN_3_1" hidden="1">{#N/A,#N/A,TRUE,"Basic";#N/A,#N/A,TRUE,"EXT-TABLE";#N/A,#N/A,TRUE,"STEEL";#N/A,#N/A,TRUE,"INT-Table";#N/A,#N/A,TRUE,"STEEL";#N/A,#N/A,TRUE,"Door"}</definedName>
    <definedName name="DIGN_3_2" localSheetId="18" hidden="1">{#N/A,#N/A,TRUE,"Basic";#N/A,#N/A,TRUE,"EXT-TABLE";#N/A,#N/A,TRUE,"STEEL";#N/A,#N/A,TRUE,"INT-Table";#N/A,#N/A,TRUE,"STEEL";#N/A,#N/A,TRUE,"Door"}</definedName>
    <definedName name="DIGN_3_2" hidden="1">{#N/A,#N/A,TRUE,"Basic";#N/A,#N/A,TRUE,"EXT-TABLE";#N/A,#N/A,TRUE,"STEEL";#N/A,#N/A,TRUE,"INT-Table";#N/A,#N/A,TRUE,"STEEL";#N/A,#N/A,TRUE,"Door"}</definedName>
    <definedName name="DIGN_4" localSheetId="18" hidden="1">{#N/A,#N/A,TRUE,"Basic";#N/A,#N/A,TRUE,"EXT-TABLE";#N/A,#N/A,TRUE,"STEEL";#N/A,#N/A,TRUE,"INT-Table";#N/A,#N/A,TRUE,"STEEL";#N/A,#N/A,TRUE,"Door"}</definedName>
    <definedName name="DIGN_4" hidden="1">{#N/A,#N/A,TRUE,"Basic";#N/A,#N/A,TRUE,"EXT-TABLE";#N/A,#N/A,TRUE,"STEEL";#N/A,#N/A,TRUE,"INT-Table";#N/A,#N/A,TRUE,"STEEL";#N/A,#N/A,TRUE,"Door"}</definedName>
    <definedName name="DIGN_4_1" localSheetId="18" hidden="1">{#N/A,#N/A,TRUE,"Basic";#N/A,#N/A,TRUE,"EXT-TABLE";#N/A,#N/A,TRUE,"STEEL";#N/A,#N/A,TRUE,"INT-Table";#N/A,#N/A,TRUE,"STEEL";#N/A,#N/A,TRUE,"Door"}</definedName>
    <definedName name="DIGN_4_1" hidden="1">{#N/A,#N/A,TRUE,"Basic";#N/A,#N/A,TRUE,"EXT-TABLE";#N/A,#N/A,TRUE,"STEEL";#N/A,#N/A,TRUE,"INT-Table";#N/A,#N/A,TRUE,"STEEL";#N/A,#N/A,TRUE,"Door"}</definedName>
    <definedName name="DIGN_4_2" localSheetId="18" hidden="1">{#N/A,#N/A,TRUE,"Basic";#N/A,#N/A,TRUE,"EXT-TABLE";#N/A,#N/A,TRUE,"STEEL";#N/A,#N/A,TRUE,"INT-Table";#N/A,#N/A,TRUE,"STEEL";#N/A,#N/A,TRUE,"Door"}</definedName>
    <definedName name="DIGN_4_2" hidden="1">{#N/A,#N/A,TRUE,"Basic";#N/A,#N/A,TRUE,"EXT-TABLE";#N/A,#N/A,TRUE,"STEEL";#N/A,#N/A,TRUE,"INT-Table";#N/A,#N/A,TRUE,"STEEL";#N/A,#N/A,TRUE,"Door"}</definedName>
    <definedName name="DIGN_5" localSheetId="18" hidden="1">{#N/A,#N/A,TRUE,"Basic";#N/A,#N/A,TRUE,"EXT-TABLE";#N/A,#N/A,TRUE,"STEEL";#N/A,#N/A,TRUE,"INT-Table";#N/A,#N/A,TRUE,"STEEL";#N/A,#N/A,TRUE,"Door"}</definedName>
    <definedName name="DIGN_5" hidden="1">{#N/A,#N/A,TRUE,"Basic";#N/A,#N/A,TRUE,"EXT-TABLE";#N/A,#N/A,TRUE,"STEEL";#N/A,#N/A,TRUE,"INT-Table";#N/A,#N/A,TRUE,"STEEL";#N/A,#N/A,TRUE,"Door"}</definedName>
    <definedName name="DIGN_5_1" localSheetId="18" hidden="1">{#N/A,#N/A,TRUE,"Basic";#N/A,#N/A,TRUE,"EXT-TABLE";#N/A,#N/A,TRUE,"STEEL";#N/A,#N/A,TRUE,"INT-Table";#N/A,#N/A,TRUE,"STEEL";#N/A,#N/A,TRUE,"Door"}</definedName>
    <definedName name="DIGN_5_1" hidden="1">{#N/A,#N/A,TRUE,"Basic";#N/A,#N/A,TRUE,"EXT-TABLE";#N/A,#N/A,TRUE,"STEEL";#N/A,#N/A,TRUE,"INT-Table";#N/A,#N/A,TRUE,"STEEL";#N/A,#N/A,TRUE,"Door"}</definedName>
    <definedName name="DIGN_5_2" localSheetId="18" hidden="1">{#N/A,#N/A,TRUE,"Basic";#N/A,#N/A,TRUE,"EXT-TABLE";#N/A,#N/A,TRUE,"STEEL";#N/A,#N/A,TRUE,"INT-Table";#N/A,#N/A,TRUE,"STEEL";#N/A,#N/A,TRUE,"Door"}</definedName>
    <definedName name="DIGN_5_2" hidden="1">{#N/A,#N/A,TRUE,"Basic";#N/A,#N/A,TRUE,"EXT-TABLE";#N/A,#N/A,TRUE,"STEEL";#N/A,#N/A,TRUE,"INT-Table";#N/A,#N/A,TRUE,"STEEL";#N/A,#N/A,TRUE,"Door"}</definedName>
    <definedName name="DIR" localSheetId="11">[41]Tables!$A$11:$A$28</definedName>
    <definedName name="DIR" localSheetId="1">[41]Tables!$A$11:$A$28</definedName>
    <definedName name="DIR" localSheetId="2">[41]Tables!$A$11:$A$28</definedName>
    <definedName name="DIR" localSheetId="4">[41]Tables!$A$11:$A$28</definedName>
    <definedName name="DIR" localSheetId="19">[41]Tables!$A$11:$A$28</definedName>
    <definedName name="DIR" localSheetId="10">[41]Tables!$A$11:$A$28</definedName>
    <definedName name="DIR" localSheetId="9">[41]Tables!$A$11:$A$28</definedName>
    <definedName name="DIR" localSheetId="8">[41]Tables!$A$11:$A$28</definedName>
    <definedName name="DIR" localSheetId="3">[41]Tables!$A$11:$A$28</definedName>
    <definedName name="DIR" localSheetId="6">[41]Tables!$A$11:$A$28</definedName>
    <definedName name="DIR" localSheetId="7">[41]Tables!$A$11:$A$28</definedName>
    <definedName name="DIR" localSheetId="5">[41]Tables!$A$11:$A$28</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1" localSheetId="12">#REF!</definedName>
    <definedName name="direct1" localSheetId="13">#REF!</definedName>
    <definedName name="direct1">#REF!</definedName>
    <definedName name="DirectHours">#REF!</definedName>
    <definedName name="DirectLabor" localSheetId="18" hidden="1">{#N/A,#N/A,FALSE,"CCTV"}</definedName>
    <definedName name="DirectLabor" hidden="1">{#N/A,#N/A,FALSE,"CCTV"}</definedName>
    <definedName name="DirectLobor" localSheetId="18" hidden="1">{#N/A,#N/A,FALSE,"CCTV"}</definedName>
    <definedName name="DirectLobor" hidden="1">{#N/A,#N/A,FALSE,"CCTV"}</definedName>
    <definedName name="Discount" localSheetId="12">#REF!</definedName>
    <definedName name="Discount" localSheetId="13">#REF!</definedName>
    <definedName name="Discount">#REF!</definedName>
    <definedName name="display_area_2" localSheetId="12">#REF!</definedName>
    <definedName name="display_area_2" localSheetId="13">#REF!</definedName>
    <definedName name="display_area_2">#REF!</definedName>
    <definedName name="dj" localSheetId="16" hidden="1">{"'Sheet1'!$L$16"}</definedName>
    <definedName name="dj" localSheetId="18" hidden="1">{"'Sheet1'!$L$16"}</definedName>
    <definedName name="dj" localSheetId="11" hidden="1">{"'Sheet1'!$L$16"}</definedName>
    <definedName name="dj" localSheetId="1" hidden="1">{"'Sheet1'!$L$16"}</definedName>
    <definedName name="dj" localSheetId="2" hidden="1">{"'Sheet1'!$L$16"}</definedName>
    <definedName name="dj" localSheetId="17" hidden="1">{"'Sheet1'!$L$16"}</definedName>
    <definedName name="dj" localSheetId="12" hidden="1">{"'Sheet1'!$L$16"}</definedName>
    <definedName name="dj" localSheetId="4" hidden="1">{"'Sheet1'!$L$16"}</definedName>
    <definedName name="dj" localSheetId="19" hidden="1">{"'Sheet1'!$L$16"}</definedName>
    <definedName name="dj" localSheetId="10" hidden="1">{"'Sheet1'!$L$16"}</definedName>
    <definedName name="dj" localSheetId="9" hidden="1">{"'Sheet1'!$L$16"}</definedName>
    <definedName name="dj" localSheetId="8" hidden="1">{"'Sheet1'!$L$16"}</definedName>
    <definedName name="dj" localSheetId="3" hidden="1">{"'Sheet1'!$L$16"}</definedName>
    <definedName name="dj" localSheetId="6" hidden="1">{"'Sheet1'!$L$16"}</definedName>
    <definedName name="dj" localSheetId="7" hidden="1">{"'Sheet1'!$L$16"}</definedName>
    <definedName name="dj" localSheetId="5" hidden="1">{"'Sheet1'!$L$16"}</definedName>
    <definedName name="dj" localSheetId="13" hidden="1">{"'Sheet1'!$L$16"}</definedName>
    <definedName name="dj" hidden="1">{"'Sheet1'!$L$16"}</definedName>
    <definedName name="DK">#REF!</definedName>
    <definedName name="DKDLFJKDS" localSheetId="18" hidden="1">{#N/A,#N/A,TRUE,"Basic";#N/A,#N/A,TRUE,"EXT-TABLE";#N/A,#N/A,TRUE,"STEEL";#N/A,#N/A,TRUE,"INT-Table";#N/A,#N/A,TRUE,"STEEL";#N/A,#N/A,TRUE,"Door"}</definedName>
    <definedName name="DKDLFJKDS" hidden="1">{#N/A,#N/A,TRUE,"Basic";#N/A,#N/A,TRUE,"EXT-TABLE";#N/A,#N/A,TRUE,"STEEL";#N/A,#N/A,TRUE,"INT-Table";#N/A,#N/A,TRUE,"STEEL";#N/A,#N/A,TRUE,"Door"}</definedName>
    <definedName name="DKDLFJKDS_1" localSheetId="18" hidden="1">{#N/A,#N/A,TRUE,"Basic";#N/A,#N/A,TRUE,"EXT-TABLE";#N/A,#N/A,TRUE,"STEEL";#N/A,#N/A,TRUE,"INT-Table";#N/A,#N/A,TRUE,"STEEL";#N/A,#N/A,TRUE,"Door"}</definedName>
    <definedName name="DKDLFJKDS_1" hidden="1">{#N/A,#N/A,TRUE,"Basic";#N/A,#N/A,TRUE,"EXT-TABLE";#N/A,#N/A,TRUE,"STEEL";#N/A,#N/A,TRUE,"INT-Table";#N/A,#N/A,TRUE,"STEEL";#N/A,#N/A,TRUE,"Door"}</definedName>
    <definedName name="DKDLFJKDS_1_1" localSheetId="18" hidden="1">{#N/A,#N/A,TRUE,"Basic";#N/A,#N/A,TRUE,"EXT-TABLE";#N/A,#N/A,TRUE,"STEEL";#N/A,#N/A,TRUE,"INT-Table";#N/A,#N/A,TRUE,"STEEL";#N/A,#N/A,TRUE,"Door"}</definedName>
    <definedName name="DKDLFJKDS_1_1" hidden="1">{#N/A,#N/A,TRUE,"Basic";#N/A,#N/A,TRUE,"EXT-TABLE";#N/A,#N/A,TRUE,"STEEL";#N/A,#N/A,TRUE,"INT-Table";#N/A,#N/A,TRUE,"STEEL";#N/A,#N/A,TRUE,"Door"}</definedName>
    <definedName name="DKDLFJKDS_1_2" localSheetId="18" hidden="1">{#N/A,#N/A,TRUE,"Basic";#N/A,#N/A,TRUE,"EXT-TABLE";#N/A,#N/A,TRUE,"STEEL";#N/A,#N/A,TRUE,"INT-Table";#N/A,#N/A,TRUE,"STEEL";#N/A,#N/A,TRUE,"Door"}</definedName>
    <definedName name="DKDLFJKDS_1_2" hidden="1">{#N/A,#N/A,TRUE,"Basic";#N/A,#N/A,TRUE,"EXT-TABLE";#N/A,#N/A,TRUE,"STEEL";#N/A,#N/A,TRUE,"INT-Table";#N/A,#N/A,TRUE,"STEEL";#N/A,#N/A,TRUE,"Door"}</definedName>
    <definedName name="DKDLFJKDS_2" localSheetId="18" hidden="1">{#N/A,#N/A,TRUE,"Basic";#N/A,#N/A,TRUE,"EXT-TABLE";#N/A,#N/A,TRUE,"STEEL";#N/A,#N/A,TRUE,"INT-Table";#N/A,#N/A,TRUE,"STEEL";#N/A,#N/A,TRUE,"Door"}</definedName>
    <definedName name="DKDLFJKDS_2" hidden="1">{#N/A,#N/A,TRUE,"Basic";#N/A,#N/A,TRUE,"EXT-TABLE";#N/A,#N/A,TRUE,"STEEL";#N/A,#N/A,TRUE,"INT-Table";#N/A,#N/A,TRUE,"STEEL";#N/A,#N/A,TRUE,"Door"}</definedName>
    <definedName name="DKDLFJKDS_2_1" localSheetId="18" hidden="1">{#N/A,#N/A,TRUE,"Basic";#N/A,#N/A,TRUE,"EXT-TABLE";#N/A,#N/A,TRUE,"STEEL";#N/A,#N/A,TRUE,"INT-Table";#N/A,#N/A,TRUE,"STEEL";#N/A,#N/A,TRUE,"Door"}</definedName>
    <definedName name="DKDLFJKDS_2_1" hidden="1">{#N/A,#N/A,TRUE,"Basic";#N/A,#N/A,TRUE,"EXT-TABLE";#N/A,#N/A,TRUE,"STEEL";#N/A,#N/A,TRUE,"INT-Table";#N/A,#N/A,TRUE,"STEEL";#N/A,#N/A,TRUE,"Door"}</definedName>
    <definedName name="DKDLFJKDS_2_2" localSheetId="18" hidden="1">{#N/A,#N/A,TRUE,"Basic";#N/A,#N/A,TRUE,"EXT-TABLE";#N/A,#N/A,TRUE,"STEEL";#N/A,#N/A,TRUE,"INT-Table";#N/A,#N/A,TRUE,"STEEL";#N/A,#N/A,TRUE,"Door"}</definedName>
    <definedName name="DKDLFJKDS_2_2" hidden="1">{#N/A,#N/A,TRUE,"Basic";#N/A,#N/A,TRUE,"EXT-TABLE";#N/A,#N/A,TRUE,"STEEL";#N/A,#N/A,TRUE,"INT-Table";#N/A,#N/A,TRUE,"STEEL";#N/A,#N/A,TRUE,"Door"}</definedName>
    <definedName name="DKDLFJKDS_3" localSheetId="18" hidden="1">{#N/A,#N/A,TRUE,"Basic";#N/A,#N/A,TRUE,"EXT-TABLE";#N/A,#N/A,TRUE,"STEEL";#N/A,#N/A,TRUE,"INT-Table";#N/A,#N/A,TRUE,"STEEL";#N/A,#N/A,TRUE,"Door"}</definedName>
    <definedName name="DKDLFJKDS_3" hidden="1">{#N/A,#N/A,TRUE,"Basic";#N/A,#N/A,TRUE,"EXT-TABLE";#N/A,#N/A,TRUE,"STEEL";#N/A,#N/A,TRUE,"INT-Table";#N/A,#N/A,TRUE,"STEEL";#N/A,#N/A,TRUE,"Door"}</definedName>
    <definedName name="DKDLFJKDS_3_1" localSheetId="18" hidden="1">{#N/A,#N/A,TRUE,"Basic";#N/A,#N/A,TRUE,"EXT-TABLE";#N/A,#N/A,TRUE,"STEEL";#N/A,#N/A,TRUE,"INT-Table";#N/A,#N/A,TRUE,"STEEL";#N/A,#N/A,TRUE,"Door"}</definedName>
    <definedName name="DKDLFJKDS_3_1" hidden="1">{#N/A,#N/A,TRUE,"Basic";#N/A,#N/A,TRUE,"EXT-TABLE";#N/A,#N/A,TRUE,"STEEL";#N/A,#N/A,TRUE,"INT-Table";#N/A,#N/A,TRUE,"STEEL";#N/A,#N/A,TRUE,"Door"}</definedName>
    <definedName name="DKDLFJKDS_3_2" localSheetId="18" hidden="1">{#N/A,#N/A,TRUE,"Basic";#N/A,#N/A,TRUE,"EXT-TABLE";#N/A,#N/A,TRUE,"STEEL";#N/A,#N/A,TRUE,"INT-Table";#N/A,#N/A,TRUE,"STEEL";#N/A,#N/A,TRUE,"Door"}</definedName>
    <definedName name="DKDLFJKDS_3_2" hidden="1">{#N/A,#N/A,TRUE,"Basic";#N/A,#N/A,TRUE,"EXT-TABLE";#N/A,#N/A,TRUE,"STEEL";#N/A,#N/A,TRUE,"INT-Table";#N/A,#N/A,TRUE,"STEEL";#N/A,#N/A,TRUE,"Door"}</definedName>
    <definedName name="DKDLFJKDS_4" localSheetId="18" hidden="1">{#N/A,#N/A,TRUE,"Basic";#N/A,#N/A,TRUE,"EXT-TABLE";#N/A,#N/A,TRUE,"STEEL";#N/A,#N/A,TRUE,"INT-Table";#N/A,#N/A,TRUE,"STEEL";#N/A,#N/A,TRUE,"Door"}</definedName>
    <definedName name="DKDLFJKDS_4" hidden="1">{#N/A,#N/A,TRUE,"Basic";#N/A,#N/A,TRUE,"EXT-TABLE";#N/A,#N/A,TRUE,"STEEL";#N/A,#N/A,TRUE,"INT-Table";#N/A,#N/A,TRUE,"STEEL";#N/A,#N/A,TRUE,"Door"}</definedName>
    <definedName name="DKDLFJKDS_4_1" localSheetId="18" hidden="1">{#N/A,#N/A,TRUE,"Basic";#N/A,#N/A,TRUE,"EXT-TABLE";#N/A,#N/A,TRUE,"STEEL";#N/A,#N/A,TRUE,"INT-Table";#N/A,#N/A,TRUE,"STEEL";#N/A,#N/A,TRUE,"Door"}</definedName>
    <definedName name="DKDLFJKDS_4_1" hidden="1">{#N/A,#N/A,TRUE,"Basic";#N/A,#N/A,TRUE,"EXT-TABLE";#N/A,#N/A,TRUE,"STEEL";#N/A,#N/A,TRUE,"INT-Table";#N/A,#N/A,TRUE,"STEEL";#N/A,#N/A,TRUE,"Door"}</definedName>
    <definedName name="DKDLFJKDS_4_2" localSheetId="18" hidden="1">{#N/A,#N/A,TRUE,"Basic";#N/A,#N/A,TRUE,"EXT-TABLE";#N/A,#N/A,TRUE,"STEEL";#N/A,#N/A,TRUE,"INT-Table";#N/A,#N/A,TRUE,"STEEL";#N/A,#N/A,TRUE,"Door"}</definedName>
    <definedName name="DKDLFJKDS_4_2" hidden="1">{#N/A,#N/A,TRUE,"Basic";#N/A,#N/A,TRUE,"EXT-TABLE";#N/A,#N/A,TRUE,"STEEL";#N/A,#N/A,TRUE,"INT-Table";#N/A,#N/A,TRUE,"STEEL";#N/A,#N/A,TRUE,"Door"}</definedName>
    <definedName name="DKDLFJKDS_5" localSheetId="18" hidden="1">{#N/A,#N/A,TRUE,"Basic";#N/A,#N/A,TRUE,"EXT-TABLE";#N/A,#N/A,TRUE,"STEEL";#N/A,#N/A,TRUE,"INT-Table";#N/A,#N/A,TRUE,"STEEL";#N/A,#N/A,TRUE,"Door"}</definedName>
    <definedName name="DKDLFJKDS_5" hidden="1">{#N/A,#N/A,TRUE,"Basic";#N/A,#N/A,TRUE,"EXT-TABLE";#N/A,#N/A,TRUE,"STEEL";#N/A,#N/A,TRUE,"INT-Table";#N/A,#N/A,TRUE,"STEEL";#N/A,#N/A,TRUE,"Door"}</definedName>
    <definedName name="DKDLFJKDS_5_1" localSheetId="18" hidden="1">{#N/A,#N/A,TRUE,"Basic";#N/A,#N/A,TRUE,"EXT-TABLE";#N/A,#N/A,TRUE,"STEEL";#N/A,#N/A,TRUE,"INT-Table";#N/A,#N/A,TRUE,"STEEL";#N/A,#N/A,TRUE,"Door"}</definedName>
    <definedName name="DKDLFJKDS_5_1" hidden="1">{#N/A,#N/A,TRUE,"Basic";#N/A,#N/A,TRUE,"EXT-TABLE";#N/A,#N/A,TRUE,"STEEL";#N/A,#N/A,TRUE,"INT-Table";#N/A,#N/A,TRUE,"STEEL";#N/A,#N/A,TRUE,"Door"}</definedName>
    <definedName name="DKDLFJKDS_5_2" localSheetId="18" hidden="1">{#N/A,#N/A,TRUE,"Basic";#N/A,#N/A,TRUE,"EXT-TABLE";#N/A,#N/A,TRUE,"STEEL";#N/A,#N/A,TRUE,"INT-Table";#N/A,#N/A,TRUE,"STEEL";#N/A,#N/A,TRUE,"Door"}</definedName>
    <definedName name="DKDLFJKDS_5_2" hidden="1">{#N/A,#N/A,TRUE,"Basic";#N/A,#N/A,TRUE,"EXT-TABLE";#N/A,#N/A,TRUE,"STEEL";#N/A,#N/A,TRUE,"INT-Table";#N/A,#N/A,TRUE,"STEEL";#N/A,#N/A,TRUE,"Door"}</definedName>
    <definedName name="DL" localSheetId="18" hidden="1">{#N/A,#N/A,FALSE,"이정표"}</definedName>
    <definedName name="DL" hidden="1">{#N/A,#N/A,FALSE,"이정표"}</definedName>
    <definedName name="dlq">#N/A</definedName>
    <definedName name="DM">#REF!</definedName>
    <definedName name="dnc_floor_ship_data">#REF!</definedName>
    <definedName name="dnc_roof_ship_data">#REF!</definedName>
    <definedName name="dnc_wall_ship_data">#REF!</definedName>
    <definedName name="DOC_Title">'[53]GM 000'!$C$1</definedName>
    <definedName name="DOCNO">#REF!</definedName>
    <definedName name="Door">#REF!</definedName>
    <definedName name="dP_Calc" localSheetId="11">'[41]Noise (3)'!$C$58</definedName>
    <definedName name="dP_Calc" localSheetId="1">'[41]Noise (3)'!$C$58</definedName>
    <definedName name="dP_Calc" localSheetId="2">'[41]Noise (3)'!$C$58</definedName>
    <definedName name="dP_Calc" localSheetId="4">'[41]Noise (3)'!$C$58</definedName>
    <definedName name="dP_Calc" localSheetId="19">'[41]Noise (3)'!$C$58</definedName>
    <definedName name="dP_Calc" localSheetId="10">'[41]Noise (3)'!$C$58</definedName>
    <definedName name="dP_Calc" localSheetId="9">'[41]Noise (3)'!$C$58</definedName>
    <definedName name="dP_Calc" localSheetId="8">'[41]Noise (3)'!$C$58</definedName>
    <definedName name="dP_Calc" localSheetId="3">'[41]Noise (3)'!$C$58</definedName>
    <definedName name="dP_Calc" localSheetId="6">'[41]Noise (3)'!$C$58</definedName>
    <definedName name="dP_Calc" localSheetId="7">'[41]Noise (3)'!$C$58</definedName>
    <definedName name="dP_Calc" localSheetId="5">'[41]Noise (3)'!$C$58</definedName>
    <definedName name="dP_Calc">#REF!</definedName>
    <definedName name="DP_CPTDesign">#REF!</definedName>
    <definedName name="dP_Max" localSheetId="11">'[41]Noise (3)'!$C$25</definedName>
    <definedName name="dP_Max" localSheetId="1">'[41]Noise (3)'!$C$25</definedName>
    <definedName name="dP_Max" localSheetId="2">'[41]Noise (3)'!$C$25</definedName>
    <definedName name="dP_Max" localSheetId="4">'[41]Noise (3)'!$C$25</definedName>
    <definedName name="dP_Max" localSheetId="19">'[41]Noise (3)'!$C$25</definedName>
    <definedName name="dP_Max" localSheetId="10">'[41]Noise (3)'!$C$25</definedName>
    <definedName name="dP_Max" localSheetId="9">'[41]Noise (3)'!$C$25</definedName>
    <definedName name="dP_Max" localSheetId="8">'[41]Noise (3)'!$C$25</definedName>
    <definedName name="dP_Max" localSheetId="3">'[41]Noise (3)'!$C$25</definedName>
    <definedName name="dP_Max" localSheetId="6">'[41]Noise (3)'!$C$25</definedName>
    <definedName name="dP_Max" localSheetId="7">'[41]Noise (3)'!$C$25</definedName>
    <definedName name="dP_Max" localSheetId="5">'[41]Noise (3)'!$C$25</definedName>
    <definedName name="dP_Max">#REF!</definedName>
    <definedName name="DPEL">#REF!</definedName>
    <definedName name="DPLEL">#REF!</definedName>
    <definedName name="DPLwt">#REF!</definedName>
    <definedName name="Dpt">#REF!</definedName>
    <definedName name="DPWT">#REF!</definedName>
    <definedName name="DR" hidden="1">#REF!</definedName>
    <definedName name="DRF" hidden="1">#REF!</definedName>
    <definedName name="ds" localSheetId="1">#N/A</definedName>
    <definedName name="ds" localSheetId="2">#N/A</definedName>
    <definedName name="ds" localSheetId="4">#N/A</definedName>
    <definedName name="ds" localSheetId="19">#N/A</definedName>
    <definedName name="ds" localSheetId="10">#N/A</definedName>
    <definedName name="ds" localSheetId="9">#N/A</definedName>
    <definedName name="ds" localSheetId="8">#N/A</definedName>
    <definedName name="ds" localSheetId="3">#N/A</definedName>
    <definedName name="ds" localSheetId="6">#N/A</definedName>
    <definedName name="ds" localSheetId="7">#N/A</definedName>
    <definedName name="ds" localSheetId="5">#N/A</definedName>
    <definedName name="ds" hidden="1">#REF!</definedName>
    <definedName name="DS1JobInfo\174xx\17439\Thermal9S9Documents\Performance\174399S9Rev.1.tdb" hidden="1">"BW505"</definedName>
    <definedName name="ds1pnc">#REF!</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pvl">#REF!</definedName>
    <definedName name="DS1TRSTest\17419.tdb" hidden="1">"BW505"</definedName>
    <definedName name="ds3pnc">#REF!</definedName>
    <definedName name="ds3pvl">#REF!</definedName>
    <definedName name="DSFAR" localSheetId="18" hidden="1">{#N/A,#N/A,FALSE,"CCTV"}</definedName>
    <definedName name="DSFAR" hidden="1">{#N/A,#N/A,FALSE,"CCTV"}</definedName>
    <definedName name="DSFC">#REF!</definedName>
    <definedName name="dsfl" localSheetId="11">[65]DATA!#REF!</definedName>
    <definedName name="dsfl" localSheetId="1">[65]DATA!#REF!</definedName>
    <definedName name="dsfl" localSheetId="2">[65]DATA!#REF!</definedName>
    <definedName name="dsfl" localSheetId="4">[65]DATA!#REF!</definedName>
    <definedName name="dsfl" localSheetId="19">[65]DATA!#REF!</definedName>
    <definedName name="dsfl" localSheetId="10">[65]DATA!#REF!</definedName>
    <definedName name="dsfl" localSheetId="9">[65]DATA!#REF!</definedName>
    <definedName name="dsfl" localSheetId="8">[65]DATA!#REF!</definedName>
    <definedName name="dsfl" localSheetId="3">[65]DATA!#REF!</definedName>
    <definedName name="dsfl" localSheetId="6">[65]DATA!#REF!</definedName>
    <definedName name="dsfl" localSheetId="7">[65]DATA!#REF!</definedName>
    <definedName name="dsfl" localSheetId="5">[65]DATA!#REF!</definedName>
    <definedName name="dsfl">#REF!</definedName>
    <definedName name="DSFSDFS" hidden="1">#REF!</definedName>
    <definedName name="DSGSFWERD" localSheetId="18" hidden="1">{#N/A,#N/A,FALSE,"골재소요량";#N/A,#N/A,FALSE,"골재소요량"}</definedName>
    <definedName name="DSGSFWERD" hidden="1">{#N/A,#N/A,FALSE,"골재소요량";#N/A,#N/A,FALSE,"골재소요량"}</definedName>
    <definedName name="DSJKLDE" localSheetId="18" hidden="1">{#N/A,#N/A,TRUE,"SUM";#N/A,#N/A,TRUE,"EE";#N/A,#N/A,TRUE,"AC";#N/A,#N/A,TRUE,"SN"}</definedName>
    <definedName name="DSJKLDE" hidden="1">{#N/A,#N/A,TRUE,"SUM";#N/A,#N/A,TRUE,"EE";#N/A,#N/A,TRUE,"AC";#N/A,#N/A,TRUE,"SN"}</definedName>
    <definedName name="DSKH">#REF!</definedName>
    <definedName name="DSLC">#REF!</definedName>
    <definedName name="DsNo" localSheetId="18">'[66]Data Input'!$D$7</definedName>
    <definedName name="DsNo">'[67]Data Input'!$D$7</definedName>
    <definedName name="dsrl" localSheetId="11">[65]DATA!#REF!</definedName>
    <definedName name="dsrl" localSheetId="1">[65]DATA!#REF!</definedName>
    <definedName name="dsrl" localSheetId="2">[65]DATA!#REF!</definedName>
    <definedName name="dsrl" localSheetId="4">[65]DATA!#REF!</definedName>
    <definedName name="dsrl" localSheetId="19">[65]DATA!#REF!</definedName>
    <definedName name="dsrl" localSheetId="10">[65]DATA!#REF!</definedName>
    <definedName name="dsrl" localSheetId="9">[65]DATA!#REF!</definedName>
    <definedName name="dsrl" localSheetId="8">[65]DATA!#REF!</definedName>
    <definedName name="dsrl" localSheetId="3">[65]DATA!#REF!</definedName>
    <definedName name="dsrl" localSheetId="6">[65]DATA!#REF!</definedName>
    <definedName name="dsrl" localSheetId="7">[65]DATA!#REF!</definedName>
    <definedName name="dsrl" localSheetId="5">[65]DATA!#REF!</definedName>
    <definedName name="dsrl">#REF!</definedName>
    <definedName name="DSS">#REF!</definedName>
    <definedName name="DSUMDATA">#REF!</definedName>
    <definedName name="dthft" localSheetId="18" hidden="1">{"'Sheet1'!$L$16"}</definedName>
    <definedName name="dthft" localSheetId="11" hidden="1">{"'Sheet1'!$L$16"}</definedName>
    <definedName name="dthft" localSheetId="1" hidden="1">{"'Sheet1'!$L$16"}</definedName>
    <definedName name="dthft" localSheetId="2" hidden="1">{"'Sheet1'!$L$16"}</definedName>
    <definedName name="dthft" localSheetId="12" hidden="1">{"'Sheet1'!$L$16"}</definedName>
    <definedName name="dthft" localSheetId="4" hidden="1">{"'Sheet1'!$L$16"}</definedName>
    <definedName name="dthft" localSheetId="19" hidden="1">{"'Sheet1'!$L$16"}</definedName>
    <definedName name="dthft" localSheetId="10" hidden="1">{"'Sheet1'!$L$16"}</definedName>
    <definedName name="dthft" localSheetId="9" hidden="1">{"'Sheet1'!$L$16"}</definedName>
    <definedName name="dthft" localSheetId="8" hidden="1">{"'Sheet1'!$L$16"}</definedName>
    <definedName name="dthft" localSheetId="3" hidden="1">{"'Sheet1'!$L$16"}</definedName>
    <definedName name="dthft" localSheetId="6" hidden="1">{"'Sheet1'!$L$16"}</definedName>
    <definedName name="dthft" localSheetId="7" hidden="1">{"'Sheet1'!$L$16"}</definedName>
    <definedName name="dthft" localSheetId="5" hidden="1">{"'Sheet1'!$L$16"}</definedName>
    <definedName name="dthft" localSheetId="13" hidden="1">{"'Sheet1'!$L$16"}</definedName>
    <definedName name="dthft" hidden="1">{"'Sheet1'!$L$16"}</definedName>
    <definedName name="dtnps">#REF!</definedName>
    <definedName name="DTTVGM163" localSheetId="18" hidden="1">{"'Sheet1'!$L$16"}</definedName>
    <definedName name="DTTVGM163" localSheetId="11" hidden="1">{"'Sheet1'!$L$16"}</definedName>
    <definedName name="DTTVGM163" localSheetId="1" hidden="1">{"'Sheet1'!$L$16"}</definedName>
    <definedName name="DTTVGM163" localSheetId="2" hidden="1">{"'Sheet1'!$L$16"}</definedName>
    <definedName name="DTTVGM163" localSheetId="12" hidden="1">{"'Sheet1'!$L$16"}</definedName>
    <definedName name="DTTVGM163" localSheetId="4" hidden="1">{"'Sheet1'!$L$16"}</definedName>
    <definedName name="DTTVGM163" localSheetId="19" hidden="1">{"'Sheet1'!$L$16"}</definedName>
    <definedName name="DTTVGM163" localSheetId="10" hidden="1">{"'Sheet1'!$L$16"}</definedName>
    <definedName name="DTTVGM163" localSheetId="9" hidden="1">{"'Sheet1'!$L$16"}</definedName>
    <definedName name="DTTVGM163" localSheetId="8" hidden="1">{"'Sheet1'!$L$16"}</definedName>
    <definedName name="DTTVGM163" localSheetId="3" hidden="1">{"'Sheet1'!$L$16"}</definedName>
    <definedName name="DTTVGM163" localSheetId="6" hidden="1">{"'Sheet1'!$L$16"}</definedName>
    <definedName name="DTTVGM163" localSheetId="7" hidden="1">{"'Sheet1'!$L$16"}</definedName>
    <definedName name="DTTVGM163" localSheetId="5" hidden="1">{"'Sheet1'!$L$16"}</definedName>
    <definedName name="DTTVGM163" localSheetId="13" hidden="1">{"'Sheet1'!$L$16"}</definedName>
    <definedName name="DTTVGM163" hidden="1">{"'Sheet1'!$L$16"}</definedName>
    <definedName name="Du" localSheetId="12">#REF!</definedName>
    <definedName name="Du" localSheetId="13">#REF!</definedName>
    <definedName name="Du">#REF!</definedName>
    <definedName name="DỰ_ÁN">'[68]Nhan cong 2020'!$C$7:$C$50000</definedName>
    <definedName name="duct_bottom_angle">#REF!</definedName>
    <definedName name="duct_height_add">#REF!</definedName>
    <definedName name="duct_len_add">#REF!</definedName>
    <definedName name="duct_wid_add">#REF!</definedName>
    <definedName name="duct_wt_add">#REF!</definedName>
    <definedName name="DUE" localSheetId="11">[1]PP!#REF!</definedName>
    <definedName name="DUE" localSheetId="1">[1]PP!#REF!</definedName>
    <definedName name="DUE" localSheetId="2">[1]PP!#REF!</definedName>
    <definedName name="DUE" localSheetId="4">[1]PP!#REF!</definedName>
    <definedName name="DUE" localSheetId="19">[1]PP!#REF!</definedName>
    <definedName name="DUE" localSheetId="10">[1]PP!#REF!</definedName>
    <definedName name="DUE" localSheetId="9">[1]PP!#REF!</definedName>
    <definedName name="DUE" localSheetId="8">[1]PP!#REF!</definedName>
    <definedName name="DUE" localSheetId="3">[1]PP!#REF!</definedName>
    <definedName name="DUE" localSheetId="6">[1]PP!#REF!</definedName>
    <definedName name="DUE" localSheetId="7">[1]PP!#REF!</definedName>
    <definedName name="DUE" localSheetId="5">[1]PP!#REF!</definedName>
    <definedName name="DUE">#REF!</definedName>
    <definedName name="Duongnaco" localSheetId="18" hidden="1">{"'Sheet1'!$L$16"}</definedName>
    <definedName name="Duongnaco" localSheetId="11" hidden="1">{"'Sheet1'!$L$16"}</definedName>
    <definedName name="Duongnaco" localSheetId="1" hidden="1">{"'Sheet1'!$L$16"}</definedName>
    <definedName name="Duongnaco" localSheetId="2" hidden="1">{"'Sheet1'!$L$16"}</definedName>
    <definedName name="Duongnaco" localSheetId="12" hidden="1">{"'Sheet1'!$L$16"}</definedName>
    <definedName name="Duongnaco" localSheetId="4" hidden="1">{"'Sheet1'!$L$16"}</definedName>
    <definedName name="Duongnaco" localSheetId="19" hidden="1">{"'Sheet1'!$L$16"}</definedName>
    <definedName name="Duongnaco" localSheetId="10" hidden="1">{"'Sheet1'!$L$16"}</definedName>
    <definedName name="Duongnaco" localSheetId="9" hidden="1">{"'Sheet1'!$L$16"}</definedName>
    <definedName name="Duongnaco" localSheetId="8" hidden="1">{"'Sheet1'!$L$16"}</definedName>
    <definedName name="Duongnaco" localSheetId="3" hidden="1">{"'Sheet1'!$L$16"}</definedName>
    <definedName name="Duongnaco" localSheetId="6" hidden="1">{"'Sheet1'!$L$16"}</definedName>
    <definedName name="Duongnaco" localSheetId="7" hidden="1">{"'Sheet1'!$L$16"}</definedName>
    <definedName name="Duongnaco" localSheetId="5" hidden="1">{"'Sheet1'!$L$16"}</definedName>
    <definedName name="Duongnaco" localSheetId="13" hidden="1">{"'Sheet1'!$L$16"}</definedName>
    <definedName name="Duongnaco" hidden="1">{"'Sheet1'!$L$16"}</definedName>
    <definedName name="DVC" hidden="1">"BW503"</definedName>
    <definedName name="DVF" hidden="1">#REF!</definedName>
    <definedName name="dw" localSheetId="18" hidden="1">{"'Sheet1'!$L$16"}</definedName>
    <definedName name="dw" hidden="1">{"'Sheet1'!$L$16"}</definedName>
    <definedName name="DWPRICE" localSheetId="18" hidden="1">#REF!</definedName>
    <definedName name="DWPRICE" localSheetId="11" hidden="1">[65]Quantity!#REF!</definedName>
    <definedName name="DWPRICE" localSheetId="12" hidden="1">[69]Quantity!#REF!</definedName>
    <definedName name="DWPRICE" localSheetId="13" hidden="1">[69]Quantity!#REF!</definedName>
    <definedName name="DWPRICE" hidden="1">[69]Quantity!#REF!</definedName>
    <definedName name="dwv" localSheetId="18" hidden="1">{#N/A,#N/A,TRUE,"Basic";#N/A,#N/A,TRUE,"EXT-TABLE";#N/A,#N/A,TRUE,"STEEL";#N/A,#N/A,TRUE,"INT-Table";#N/A,#N/A,TRUE,"STEEL";#N/A,#N/A,TRUE,"Door"}</definedName>
    <definedName name="dwv" hidden="1">{#N/A,#N/A,TRUE,"Basic";#N/A,#N/A,TRUE,"EXT-TABLE";#N/A,#N/A,TRUE,"STEEL";#N/A,#N/A,TRUE,"INT-Table";#N/A,#N/A,TRUE,"STEEL";#N/A,#N/A,TRUE,"Door"}</definedName>
    <definedName name="dwv_1" localSheetId="18" hidden="1">{#N/A,#N/A,TRUE,"Basic";#N/A,#N/A,TRUE,"EXT-TABLE";#N/A,#N/A,TRUE,"STEEL";#N/A,#N/A,TRUE,"INT-Table";#N/A,#N/A,TRUE,"STEEL";#N/A,#N/A,TRUE,"Door"}</definedName>
    <definedName name="dwv_1" hidden="1">{#N/A,#N/A,TRUE,"Basic";#N/A,#N/A,TRUE,"EXT-TABLE";#N/A,#N/A,TRUE,"STEEL";#N/A,#N/A,TRUE,"INT-Table";#N/A,#N/A,TRUE,"STEEL";#N/A,#N/A,TRUE,"Door"}</definedName>
    <definedName name="dwv_1_1" localSheetId="18" hidden="1">{#N/A,#N/A,TRUE,"Basic";#N/A,#N/A,TRUE,"EXT-TABLE";#N/A,#N/A,TRUE,"STEEL";#N/A,#N/A,TRUE,"INT-Table";#N/A,#N/A,TRUE,"STEEL";#N/A,#N/A,TRUE,"Door"}</definedName>
    <definedName name="dwv_1_1" hidden="1">{#N/A,#N/A,TRUE,"Basic";#N/A,#N/A,TRUE,"EXT-TABLE";#N/A,#N/A,TRUE,"STEEL";#N/A,#N/A,TRUE,"INT-Table";#N/A,#N/A,TRUE,"STEEL";#N/A,#N/A,TRUE,"Door"}</definedName>
    <definedName name="dwv_1_2" localSheetId="18" hidden="1">{#N/A,#N/A,TRUE,"Basic";#N/A,#N/A,TRUE,"EXT-TABLE";#N/A,#N/A,TRUE,"STEEL";#N/A,#N/A,TRUE,"INT-Table";#N/A,#N/A,TRUE,"STEEL";#N/A,#N/A,TRUE,"Door"}</definedName>
    <definedName name="dwv_1_2" hidden="1">{#N/A,#N/A,TRUE,"Basic";#N/A,#N/A,TRUE,"EXT-TABLE";#N/A,#N/A,TRUE,"STEEL";#N/A,#N/A,TRUE,"INT-Table";#N/A,#N/A,TRUE,"STEEL";#N/A,#N/A,TRUE,"Door"}</definedName>
    <definedName name="dwv_2" localSheetId="18" hidden="1">{#N/A,#N/A,TRUE,"Basic";#N/A,#N/A,TRUE,"EXT-TABLE";#N/A,#N/A,TRUE,"STEEL";#N/A,#N/A,TRUE,"INT-Table";#N/A,#N/A,TRUE,"STEEL";#N/A,#N/A,TRUE,"Door"}</definedName>
    <definedName name="dwv_2" hidden="1">{#N/A,#N/A,TRUE,"Basic";#N/A,#N/A,TRUE,"EXT-TABLE";#N/A,#N/A,TRUE,"STEEL";#N/A,#N/A,TRUE,"INT-Table";#N/A,#N/A,TRUE,"STEEL";#N/A,#N/A,TRUE,"Door"}</definedName>
    <definedName name="dwv_2_1" localSheetId="18" hidden="1">{#N/A,#N/A,TRUE,"Basic";#N/A,#N/A,TRUE,"EXT-TABLE";#N/A,#N/A,TRUE,"STEEL";#N/A,#N/A,TRUE,"INT-Table";#N/A,#N/A,TRUE,"STEEL";#N/A,#N/A,TRUE,"Door"}</definedName>
    <definedName name="dwv_2_1" hidden="1">{#N/A,#N/A,TRUE,"Basic";#N/A,#N/A,TRUE,"EXT-TABLE";#N/A,#N/A,TRUE,"STEEL";#N/A,#N/A,TRUE,"INT-Table";#N/A,#N/A,TRUE,"STEEL";#N/A,#N/A,TRUE,"Door"}</definedName>
    <definedName name="dwv_2_2" localSheetId="18" hidden="1">{#N/A,#N/A,TRUE,"Basic";#N/A,#N/A,TRUE,"EXT-TABLE";#N/A,#N/A,TRUE,"STEEL";#N/A,#N/A,TRUE,"INT-Table";#N/A,#N/A,TRUE,"STEEL";#N/A,#N/A,TRUE,"Door"}</definedName>
    <definedName name="dwv_2_2" hidden="1">{#N/A,#N/A,TRUE,"Basic";#N/A,#N/A,TRUE,"EXT-TABLE";#N/A,#N/A,TRUE,"STEEL";#N/A,#N/A,TRUE,"INT-Table";#N/A,#N/A,TRUE,"STEEL";#N/A,#N/A,TRUE,"Door"}</definedName>
    <definedName name="dwv_3" localSheetId="18" hidden="1">{#N/A,#N/A,TRUE,"Basic";#N/A,#N/A,TRUE,"EXT-TABLE";#N/A,#N/A,TRUE,"STEEL";#N/A,#N/A,TRUE,"INT-Table";#N/A,#N/A,TRUE,"STEEL";#N/A,#N/A,TRUE,"Door"}</definedName>
    <definedName name="dwv_3" hidden="1">{#N/A,#N/A,TRUE,"Basic";#N/A,#N/A,TRUE,"EXT-TABLE";#N/A,#N/A,TRUE,"STEEL";#N/A,#N/A,TRUE,"INT-Table";#N/A,#N/A,TRUE,"STEEL";#N/A,#N/A,TRUE,"Door"}</definedName>
    <definedName name="dwv_3_1" localSheetId="18" hidden="1">{#N/A,#N/A,TRUE,"Basic";#N/A,#N/A,TRUE,"EXT-TABLE";#N/A,#N/A,TRUE,"STEEL";#N/A,#N/A,TRUE,"INT-Table";#N/A,#N/A,TRUE,"STEEL";#N/A,#N/A,TRUE,"Door"}</definedName>
    <definedName name="dwv_3_1" hidden="1">{#N/A,#N/A,TRUE,"Basic";#N/A,#N/A,TRUE,"EXT-TABLE";#N/A,#N/A,TRUE,"STEEL";#N/A,#N/A,TRUE,"INT-Table";#N/A,#N/A,TRUE,"STEEL";#N/A,#N/A,TRUE,"Door"}</definedName>
    <definedName name="dwv_3_2" localSheetId="18" hidden="1">{#N/A,#N/A,TRUE,"Basic";#N/A,#N/A,TRUE,"EXT-TABLE";#N/A,#N/A,TRUE,"STEEL";#N/A,#N/A,TRUE,"INT-Table";#N/A,#N/A,TRUE,"STEEL";#N/A,#N/A,TRUE,"Door"}</definedName>
    <definedName name="dwv_3_2" hidden="1">{#N/A,#N/A,TRUE,"Basic";#N/A,#N/A,TRUE,"EXT-TABLE";#N/A,#N/A,TRUE,"STEEL";#N/A,#N/A,TRUE,"INT-Table";#N/A,#N/A,TRUE,"STEEL";#N/A,#N/A,TRUE,"Door"}</definedName>
    <definedName name="dwv_4" localSheetId="18" hidden="1">{#N/A,#N/A,TRUE,"Basic";#N/A,#N/A,TRUE,"EXT-TABLE";#N/A,#N/A,TRUE,"STEEL";#N/A,#N/A,TRUE,"INT-Table";#N/A,#N/A,TRUE,"STEEL";#N/A,#N/A,TRUE,"Door"}</definedName>
    <definedName name="dwv_4" hidden="1">{#N/A,#N/A,TRUE,"Basic";#N/A,#N/A,TRUE,"EXT-TABLE";#N/A,#N/A,TRUE,"STEEL";#N/A,#N/A,TRUE,"INT-Table";#N/A,#N/A,TRUE,"STEEL";#N/A,#N/A,TRUE,"Door"}</definedName>
    <definedName name="dwv_4_1" localSheetId="18" hidden="1">{#N/A,#N/A,TRUE,"Basic";#N/A,#N/A,TRUE,"EXT-TABLE";#N/A,#N/A,TRUE,"STEEL";#N/A,#N/A,TRUE,"INT-Table";#N/A,#N/A,TRUE,"STEEL";#N/A,#N/A,TRUE,"Door"}</definedName>
    <definedName name="dwv_4_1" hidden="1">{#N/A,#N/A,TRUE,"Basic";#N/A,#N/A,TRUE,"EXT-TABLE";#N/A,#N/A,TRUE,"STEEL";#N/A,#N/A,TRUE,"INT-Table";#N/A,#N/A,TRUE,"STEEL";#N/A,#N/A,TRUE,"Door"}</definedName>
    <definedName name="dwv_4_2" localSheetId="18" hidden="1">{#N/A,#N/A,TRUE,"Basic";#N/A,#N/A,TRUE,"EXT-TABLE";#N/A,#N/A,TRUE,"STEEL";#N/A,#N/A,TRUE,"INT-Table";#N/A,#N/A,TRUE,"STEEL";#N/A,#N/A,TRUE,"Door"}</definedName>
    <definedName name="dwv_4_2" hidden="1">{#N/A,#N/A,TRUE,"Basic";#N/A,#N/A,TRUE,"EXT-TABLE";#N/A,#N/A,TRUE,"STEEL";#N/A,#N/A,TRUE,"INT-Table";#N/A,#N/A,TRUE,"STEEL";#N/A,#N/A,TRUE,"Door"}</definedName>
    <definedName name="dwv_5" localSheetId="18" hidden="1">{#N/A,#N/A,TRUE,"Basic";#N/A,#N/A,TRUE,"EXT-TABLE";#N/A,#N/A,TRUE,"STEEL";#N/A,#N/A,TRUE,"INT-Table";#N/A,#N/A,TRUE,"STEEL";#N/A,#N/A,TRUE,"Door"}</definedName>
    <definedName name="dwv_5" hidden="1">{#N/A,#N/A,TRUE,"Basic";#N/A,#N/A,TRUE,"EXT-TABLE";#N/A,#N/A,TRUE,"STEEL";#N/A,#N/A,TRUE,"INT-Table";#N/A,#N/A,TRUE,"STEEL";#N/A,#N/A,TRUE,"Door"}</definedName>
    <definedName name="dwv_5_1" localSheetId="18" hidden="1">{#N/A,#N/A,TRUE,"Basic";#N/A,#N/A,TRUE,"EXT-TABLE";#N/A,#N/A,TRUE,"STEEL";#N/A,#N/A,TRUE,"INT-Table";#N/A,#N/A,TRUE,"STEEL";#N/A,#N/A,TRUE,"Door"}</definedName>
    <definedName name="dwv_5_1" hidden="1">{#N/A,#N/A,TRUE,"Basic";#N/A,#N/A,TRUE,"EXT-TABLE";#N/A,#N/A,TRUE,"STEEL";#N/A,#N/A,TRUE,"INT-Table";#N/A,#N/A,TRUE,"STEEL";#N/A,#N/A,TRUE,"Door"}</definedName>
    <definedName name="dwv_5_2" localSheetId="18" hidden="1">{#N/A,#N/A,TRUE,"Basic";#N/A,#N/A,TRUE,"EXT-TABLE";#N/A,#N/A,TRUE,"STEEL";#N/A,#N/A,TRUE,"INT-Table";#N/A,#N/A,TRUE,"STEEL";#N/A,#N/A,TRUE,"Door"}</definedName>
    <definedName name="dwv_5_2" hidden="1">{#N/A,#N/A,TRUE,"Basic";#N/A,#N/A,TRUE,"EXT-TABLE";#N/A,#N/A,TRUE,"STEEL";#N/A,#N/A,TRUE,"INT-Table";#N/A,#N/A,TRUE,"STEEL";#N/A,#N/A,TRUE,"Door"}</definedName>
    <definedName name="Dy" localSheetId="12">#REF!</definedName>
    <definedName name="Dy" localSheetId="13">#REF!</definedName>
    <definedName name="Dy">#REF!</definedName>
    <definedName name="e" localSheetId="18" hidden="1">{"'Sheet1'!$L$16"}</definedName>
    <definedName name="e" localSheetId="11" hidden="1">{"'Sheet1'!$L$16"}</definedName>
    <definedName name="e" localSheetId="1" hidden="1">{"'Sheet1'!$L$16"}</definedName>
    <definedName name="e" localSheetId="2" hidden="1">{"'Sheet1'!$L$16"}</definedName>
    <definedName name="e" localSheetId="12" hidden="1">{"'Sheet1'!$L$16"}</definedName>
    <definedName name="e" localSheetId="4" hidden="1">{"'Sheet1'!$L$16"}</definedName>
    <definedName name="e" localSheetId="19" hidden="1">{"'Sheet1'!$L$16"}</definedName>
    <definedName name="e" localSheetId="10" hidden="1">{"'Sheet1'!$L$16"}</definedName>
    <definedName name="e" localSheetId="9" hidden="1">{"'Sheet1'!$L$16"}</definedName>
    <definedName name="e" localSheetId="8" hidden="1">{"'Sheet1'!$L$16"}</definedName>
    <definedName name="e" localSheetId="3" hidden="1">{"'Sheet1'!$L$16"}</definedName>
    <definedName name="e" localSheetId="6" hidden="1">{"'Sheet1'!$L$16"}</definedName>
    <definedName name="e" localSheetId="7" hidden="1">{"'Sheet1'!$L$16"}</definedName>
    <definedName name="e" localSheetId="5" hidden="1">{"'Sheet1'!$L$16"}</definedName>
    <definedName name="e" localSheetId="13" hidden="1">{"'Sheet1'!$L$16"}</definedName>
    <definedName name="e" hidden="1">{"'Sheet1'!$L$16"}</definedName>
    <definedName name="E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1" hidden="1">{#N/A,#N/A,FALSE,"CCTV"}</definedName>
    <definedName name="EC" localSheetId="1" hidden="1">{#N/A,#N/A,FALSE,"CCTV"}</definedName>
    <definedName name="EC" localSheetId="2" hidden="1">{#N/A,#N/A,FALSE,"CCTV"}</definedName>
    <definedName name="EC" localSheetId="4" hidden="1">{#N/A,#N/A,FALSE,"CCTV"}</definedName>
    <definedName name="EC" localSheetId="19" hidden="1">{#N/A,#N/A,FALSE,"CCTV"}</definedName>
    <definedName name="EC" localSheetId="10" hidden="1">{#N/A,#N/A,FALSE,"CCTV"}</definedName>
    <definedName name="EC" localSheetId="9" hidden="1">{#N/A,#N/A,FALSE,"CCTV"}</definedName>
    <definedName name="EC" localSheetId="8" hidden="1">{#N/A,#N/A,FALSE,"CCTV"}</definedName>
    <definedName name="EC" localSheetId="3" hidden="1">{#N/A,#N/A,FALSE,"CCTV"}</definedName>
    <definedName name="EC" localSheetId="6" hidden="1">{#N/A,#N/A,FALSE,"CCTV"}</definedName>
    <definedName name="EC" localSheetId="7" hidden="1">{#N/A,#N/A,FALSE,"CCTV"}</definedName>
    <definedName name="EC" localSheetId="5" hidden="1">{#N/A,#N/A,FALSE,"CCTV"}</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18" hidden="1">{#N/A,#N/A,FALSE,"CCTV"}</definedName>
    <definedName name="ED" localSheetId="11" hidden="1">{#N/A,#N/A,FALSE,"CCTV"}</definedName>
    <definedName name="ED" localSheetId="1" hidden="1">{#N/A,#N/A,FALSE,"CCTV"}</definedName>
    <definedName name="ED" localSheetId="2" hidden="1">{#N/A,#N/A,FALSE,"CCTV"}</definedName>
    <definedName name="ED" localSheetId="4" hidden="1">{#N/A,#N/A,FALSE,"CCTV"}</definedName>
    <definedName name="ED" localSheetId="19" hidden="1">{#N/A,#N/A,FALSE,"CCTV"}</definedName>
    <definedName name="ED" localSheetId="10" hidden="1">{#N/A,#N/A,FALSE,"CCTV"}</definedName>
    <definedName name="ED" localSheetId="9" hidden="1">{#N/A,#N/A,FALSE,"CCTV"}</definedName>
    <definedName name="ED" localSheetId="8" hidden="1">{#N/A,#N/A,FALSE,"CCTV"}</definedName>
    <definedName name="ED" localSheetId="3" hidden="1">{#N/A,#N/A,FALSE,"CCTV"}</definedName>
    <definedName name="ED" localSheetId="6" hidden="1">{#N/A,#N/A,FALSE,"CCTV"}</definedName>
    <definedName name="ED" localSheetId="7" hidden="1">{#N/A,#N/A,FALSE,"CCTV"}</definedName>
    <definedName name="ED" localSheetId="5" hidden="1">{#N/A,#N/A,FALSE,"CCTV"}</definedName>
    <definedName name="ED" hidden="1">{#N/A,#N/A,FALSE,"CCTV"}</definedName>
    <definedName name="edqaf" localSheetId="18" hidden="1">{#N/A,#N/A,TRUE,"Basic";#N/A,#N/A,TRUE,"EXT-TABLE";#N/A,#N/A,TRUE,"STEEL";#N/A,#N/A,TRUE,"INT-Table";#N/A,#N/A,TRUE,"STEEL";#N/A,#N/A,TRUE,"Door"}</definedName>
    <definedName name="edqaf" hidden="1">{#N/A,#N/A,TRUE,"Basic";#N/A,#N/A,TRUE,"EXT-TABLE";#N/A,#N/A,TRUE,"STEEL";#N/A,#N/A,TRUE,"INT-Table";#N/A,#N/A,TRUE,"STEEL";#N/A,#N/A,TRUE,"Door"}</definedName>
    <definedName name="EE" hidden="1">#REF!</definedName>
    <definedName name="eee" hidden="1">#REF!</definedName>
    <definedName name="EEEE" localSheetId="18" hidden="1">{#N/A,#N/A,TRUE,"Basic";#N/A,#N/A,TRUE,"EXT-TABLE";#N/A,#N/A,TRUE,"STEEL";#N/A,#N/A,TRUE,"INT-Table";#N/A,#N/A,TRUE,"STEEL";#N/A,#N/A,TRUE,"Door"}</definedName>
    <definedName name="EEEE" hidden="1">{#N/A,#N/A,TRUE,"Basic";#N/A,#N/A,TRUE,"EXT-TABLE";#N/A,#N/A,TRUE,"STEEL";#N/A,#N/A,TRUE,"INT-Table";#N/A,#N/A,TRUE,"STEEL";#N/A,#N/A,TRUE,"Door"}</definedName>
    <definedName name="eeeee" localSheetId="18" hidden="1">{#N/A,#N/A,TRUE,"SUM";#N/A,#N/A,TRUE,"EE";#N/A,#N/A,TRUE,"AC";#N/A,#N/A,TRUE,"SN"}</definedName>
    <definedName name="eeeee" hidden="1">{#N/A,#N/A,TRUE,"SUM";#N/A,#N/A,TRUE,"EE";#N/A,#N/A,TRUE,"AC";#N/A,#N/A,TRUE,"SN"}</definedName>
    <definedName name="EEEEEEEEE" hidden="1">#REF!</definedName>
    <definedName name="efon" localSheetId="11">[70]Tube!#REF!</definedName>
    <definedName name="efon" localSheetId="1">[70]Tube!#REF!</definedName>
    <definedName name="efon" localSheetId="2">[70]Tube!#REF!</definedName>
    <definedName name="efon" localSheetId="4">[70]Tube!#REF!</definedName>
    <definedName name="efon" localSheetId="19">[70]Tube!#REF!</definedName>
    <definedName name="efon" localSheetId="10">[70]Tube!#REF!</definedName>
    <definedName name="efon" localSheetId="9">[70]Tube!#REF!</definedName>
    <definedName name="efon" localSheetId="8">[70]Tube!#REF!</definedName>
    <definedName name="efon" localSheetId="3">[70]Tube!#REF!</definedName>
    <definedName name="efon" localSheetId="6">[70]Tube!#REF!</definedName>
    <definedName name="efon" localSheetId="7">[70]Tube!#REF!</definedName>
    <definedName name="efon" localSheetId="5">[70]Tube!#REF!</definedName>
    <definedName name="efon">#REF!</definedName>
    <definedName name="egsf" localSheetId="16" hidden="1">{"'Sheet1'!$L$16"}</definedName>
    <definedName name="egsf" localSheetId="18" hidden="1">{"'Sheet1'!$L$16"}</definedName>
    <definedName name="egsf" localSheetId="11" hidden="1">{"'Sheet1'!$L$16"}</definedName>
    <definedName name="egsf" localSheetId="1" hidden="1">{"'Sheet1'!$L$16"}</definedName>
    <definedName name="egsf" localSheetId="2" hidden="1">{"'Sheet1'!$L$16"}</definedName>
    <definedName name="egsf" localSheetId="17" hidden="1">{"'Sheet1'!$L$16"}</definedName>
    <definedName name="egsf" localSheetId="12" hidden="1">{"'Sheet1'!$L$16"}</definedName>
    <definedName name="egsf" localSheetId="4" hidden="1">{"'Sheet1'!$L$16"}</definedName>
    <definedName name="egsf" localSheetId="19" hidden="1">{"'Sheet1'!$L$16"}</definedName>
    <definedName name="egsf" localSheetId="10" hidden="1">{"'Sheet1'!$L$16"}</definedName>
    <definedName name="egsf" localSheetId="9" hidden="1">{"'Sheet1'!$L$16"}</definedName>
    <definedName name="egsf" localSheetId="8" hidden="1">{"'Sheet1'!$L$16"}</definedName>
    <definedName name="egsf" localSheetId="3" hidden="1">{"'Sheet1'!$L$16"}</definedName>
    <definedName name="egsf" localSheetId="6" hidden="1">{"'Sheet1'!$L$16"}</definedName>
    <definedName name="egsf" localSheetId="7" hidden="1">{"'Sheet1'!$L$16"}</definedName>
    <definedName name="egsf" localSheetId="5" hidden="1">{"'Sheet1'!$L$16"}</definedName>
    <definedName name="egsf" localSheetId="13" hidden="1">{"'Sheet1'!$L$16"}</definedName>
    <definedName name="egsf" hidden="1">{"'Sheet1'!$L$16"}</definedName>
    <definedName name="EJL">#REF!</definedName>
    <definedName name="EK" hidden="1">#REF!</definedName>
    <definedName name="ELEC">'[46]S N'!$B$43:$I$60</definedName>
    <definedName name="Electrical" localSheetId="11">[51]Summary!$E$11</definedName>
    <definedName name="Electrical" localSheetId="1">[51]Summary!$E$11</definedName>
    <definedName name="Electrical" localSheetId="2">[51]Summary!$E$11</definedName>
    <definedName name="Electrical" localSheetId="4">[51]Summary!$E$11</definedName>
    <definedName name="Electrical" localSheetId="19">[51]Summary!$E$11</definedName>
    <definedName name="Electrical" localSheetId="10">[51]Summary!$E$11</definedName>
    <definedName name="Electrical" localSheetId="9">[51]Summary!$E$11</definedName>
    <definedName name="Electrical" localSheetId="8">[51]Summary!$E$11</definedName>
    <definedName name="Electrical" localSheetId="3">[51]Summary!$E$11</definedName>
    <definedName name="Electrical" localSheetId="6">[51]Summary!$E$11</definedName>
    <definedName name="Electrical" localSheetId="7">[51]Summary!$E$11</definedName>
    <definedName name="Electrical" localSheetId="5">[51]Summary!$E$11</definedName>
    <definedName name="Electrical">#REF!</definedName>
    <definedName name="Elementanzahl">#REF!</definedName>
    <definedName name="Elementausführung">#REF!</definedName>
    <definedName name="elements">#REF!</definedName>
    <definedName name="Elementzuordnung">#REF!</definedName>
    <definedName name="ELLEN1" localSheetId="18" hidden="1">{#N/A,#N/A,FALSE,"CCTV"}</definedName>
    <definedName name="ELLEN1" hidden="1">{#N/A,#N/A,FALSE,"CCTV"}</definedName>
    <definedName name="ELLEN10" localSheetId="18" hidden="1">{#N/A,#N/A,FALSE,"CCTV"}</definedName>
    <definedName name="ELLEN10" hidden="1">{#N/A,#N/A,FALSE,"CCTV"}</definedName>
    <definedName name="ELLEN11" localSheetId="18" hidden="1">{#N/A,#N/A,FALSE,"CCTV"}</definedName>
    <definedName name="ELLEN11" hidden="1">{#N/A,#N/A,FALSE,"CCTV"}</definedName>
    <definedName name="ELLEN12" localSheetId="18" hidden="1">{#N/A,#N/A,FALSE,"CCTV"}</definedName>
    <definedName name="ELLEN12" hidden="1">{#N/A,#N/A,FALSE,"CCTV"}</definedName>
    <definedName name="ELLEN13" localSheetId="18" hidden="1">{#N/A,#N/A,FALSE,"CCTV"}</definedName>
    <definedName name="ELLEN13" hidden="1">{#N/A,#N/A,FALSE,"CCTV"}</definedName>
    <definedName name="ELLEN14" localSheetId="18" hidden="1">{#N/A,#N/A,FALSE,"CCTV"}</definedName>
    <definedName name="ELLEN14" hidden="1">{#N/A,#N/A,FALSE,"CCTV"}</definedName>
    <definedName name="ELLEN15" localSheetId="18" hidden="1">{#N/A,#N/A,FALSE,"CCTV"}</definedName>
    <definedName name="ELLEN15" hidden="1">{#N/A,#N/A,FALSE,"CCTV"}</definedName>
    <definedName name="ELLEN16" localSheetId="18" hidden="1">{#N/A,#N/A,FALSE,"CCTV"}</definedName>
    <definedName name="ELLEN16" hidden="1">{#N/A,#N/A,FALSE,"CCTV"}</definedName>
    <definedName name="ELLEN17" localSheetId="18" hidden="1">{#N/A,#N/A,FALSE,"CCTV"}</definedName>
    <definedName name="ELLEN17" hidden="1">{#N/A,#N/A,FALSE,"CCTV"}</definedName>
    <definedName name="ELLEN18" localSheetId="18" hidden="1">{#N/A,#N/A,FALSE,"CCTV"}</definedName>
    <definedName name="ELLEN18" hidden="1">{#N/A,#N/A,FALSE,"CCTV"}</definedName>
    <definedName name="ELLEN19" localSheetId="18" hidden="1">{#N/A,#N/A,FALSE,"CCTV"}</definedName>
    <definedName name="ELLEN19" hidden="1">{#N/A,#N/A,FALSE,"CCTV"}</definedName>
    <definedName name="ELLEN2" localSheetId="18" hidden="1">{#N/A,#N/A,FALSE,"CCTV"}</definedName>
    <definedName name="ELLEN2" hidden="1">{#N/A,#N/A,FALSE,"CCTV"}</definedName>
    <definedName name="ELLEN3" localSheetId="18" hidden="1">{#N/A,#N/A,FALSE,"CCTV"}</definedName>
    <definedName name="ELLEN3" hidden="1">{#N/A,#N/A,FALSE,"CCTV"}</definedName>
    <definedName name="ELLEN4" localSheetId="18" hidden="1">{#N/A,#N/A,FALSE,"CCTV"}</definedName>
    <definedName name="ELLEN4" hidden="1">{#N/A,#N/A,FALSE,"CCTV"}</definedName>
    <definedName name="ELLEN5" localSheetId="18" hidden="1">{#N/A,#N/A,FALSE,"CCTV"}</definedName>
    <definedName name="ELLEN5" hidden="1">{#N/A,#N/A,FALSE,"CCTV"}</definedName>
    <definedName name="ELLEN6" localSheetId="18" hidden="1">{#N/A,#N/A,FALSE,"CCTV"}</definedName>
    <definedName name="ELLEN6" hidden="1">{#N/A,#N/A,FALSE,"CCTV"}</definedName>
    <definedName name="ELLEN7" localSheetId="18" hidden="1">{#N/A,#N/A,FALSE,"CCTV"}</definedName>
    <definedName name="ELLEN7" hidden="1">{#N/A,#N/A,FALSE,"CCTV"}</definedName>
    <definedName name="ELLEN8" localSheetId="18" hidden="1">{#N/A,#N/A,FALSE,"CCTV"}</definedName>
    <definedName name="ELLEN8" hidden="1">{#N/A,#N/A,FALSE,"CCTV"}</definedName>
    <definedName name="ELLEN9" localSheetId="18" hidden="1">{#N/A,#N/A,FALSE,"CCTV"}</definedName>
    <definedName name="ELLEN9" hidden="1">{#N/A,#N/A,FALSE,"CCTV"}</definedName>
    <definedName name="ELT">#REF!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#REF!</definedName>
    <definedName name="END_COS_SUP">#REF!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_PLATES" localSheetId="11">'[71]DATA LISTS'!#REF!</definedName>
    <definedName name="END_PLATES" localSheetId="1">'[71]DATA LISTS'!#REF!</definedName>
    <definedName name="END_PLATES" localSheetId="2">'[71]DATA LISTS'!#REF!</definedName>
    <definedName name="END_PLATES" localSheetId="4">'[71]DATA LISTS'!#REF!</definedName>
    <definedName name="END_PLATES" localSheetId="19">'[71]DATA LISTS'!#REF!</definedName>
    <definedName name="END_PLATES" localSheetId="10">'[71]DATA LISTS'!#REF!</definedName>
    <definedName name="END_PLATES" localSheetId="9">'[71]DATA LISTS'!#REF!</definedName>
    <definedName name="END_PLATES" localSheetId="8">'[71]DATA LISTS'!#REF!</definedName>
    <definedName name="END_PLATES" localSheetId="3">'[71]DATA LISTS'!#REF!</definedName>
    <definedName name="END_PLATES" localSheetId="6">'[71]DATA LISTS'!#REF!</definedName>
    <definedName name="END_PLATES" localSheetId="7">'[71]DATA LISTS'!#REF!</definedName>
    <definedName name="END_PLATES" localSheetId="5">'[71]DATA LISTS'!#REF!</definedName>
    <definedName name="END_PLATES">#REF!</definedName>
    <definedName name="Eng_costs_FC">#REF!</definedName>
    <definedName name="Eng_costs_LC">#REF!</definedName>
    <definedName name="ENG_Manag_Transport">#REF!</definedName>
    <definedName name="ENS235JR">#REF!</definedName>
    <definedName name="Env_ASMETableName">#REF!</definedName>
    <definedName name="Env_MaterialNames">#REF!:INDEX(#REF!,SUMPRODUCT(--(#REF!&lt;&gt;"")))</definedName>
    <definedName name="EOL">#REF!</definedName>
    <definedName name="EPA">#REF!</definedName>
    <definedName name="EPrice" localSheetId="11">'[51]Labor Sum'!$C$32</definedName>
    <definedName name="EPrice" localSheetId="1">'[51]Labor Sum'!$C$32</definedName>
    <definedName name="EPrice" localSheetId="2">'[51]Labor Sum'!$C$32</definedName>
    <definedName name="EPrice" localSheetId="4">'[51]Labor Sum'!$C$32</definedName>
    <definedName name="EPrice" localSheetId="19">'[51]Labor Sum'!$C$32</definedName>
    <definedName name="EPrice" localSheetId="10">'[51]Labor Sum'!$C$32</definedName>
    <definedName name="EPrice" localSheetId="9">'[51]Labor Sum'!$C$32</definedName>
    <definedName name="EPrice" localSheetId="8">'[51]Labor Sum'!$C$32</definedName>
    <definedName name="EPrice" localSheetId="3">'[51]Labor Sum'!$C$32</definedName>
    <definedName name="EPrice" localSheetId="6">'[51]Labor Sum'!$C$32</definedName>
    <definedName name="EPrice" localSheetId="7">'[51]Labor Sum'!$C$32</definedName>
    <definedName name="EPrice" localSheetId="5">'[51]Labor Sum'!$C$32</definedName>
    <definedName name="EPrice">#REF!</definedName>
    <definedName name="EQPT">'[46]S N'!$B$5:$I$23</definedName>
    <definedName name="equipment" localSheetId="18" hidden="1">{#N/A,#N/A,FALSE,"CCTV"}</definedName>
    <definedName name="equipment" hidden="1">{#N/A,#N/A,FALSE,"CCTV"}</definedName>
    <definedName name="equptdist"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localSheetId="18" hidden="1">{#N/A,#N/A,FALSE,"CCTV"}</definedName>
    <definedName name="ER" localSheetId="11" hidden="1">{#N/A,#N/A,FALSE,"CCTV"}</definedName>
    <definedName name="ER" localSheetId="1" hidden="1">{#N/A,#N/A,FALSE,"CCTV"}</definedName>
    <definedName name="ER" localSheetId="2" hidden="1">{#N/A,#N/A,FALSE,"CCTV"}</definedName>
    <definedName name="ER" localSheetId="4" hidden="1">{#N/A,#N/A,FALSE,"CCTV"}</definedName>
    <definedName name="ER" localSheetId="19" hidden="1">{#N/A,#N/A,FALSE,"CCTV"}</definedName>
    <definedName name="ER" localSheetId="10" hidden="1">{#N/A,#N/A,FALSE,"CCTV"}</definedName>
    <definedName name="ER" localSheetId="9" hidden="1">{#N/A,#N/A,FALSE,"CCTV"}</definedName>
    <definedName name="ER" localSheetId="8" hidden="1">{#N/A,#N/A,FALSE,"CCTV"}</definedName>
    <definedName name="ER" localSheetId="3" hidden="1">{#N/A,#N/A,FALSE,"CCTV"}</definedName>
    <definedName name="ER" localSheetId="6" hidden="1">{#N/A,#N/A,FALSE,"CCTV"}</definedName>
    <definedName name="ER" localSheetId="7" hidden="1">{#N/A,#N/A,FALSE,"CCTV"}</definedName>
    <definedName name="ER" localSheetId="5" hidden="1">{#N/A,#N/A,FALSE,"CCTV"}</definedName>
    <definedName name="ER" hidden="1">{#N/A,#N/A,FALSE,"CCTV"}</definedName>
    <definedName name="ERD" localSheetId="18" hidden="1">{#N/A,#N/A,TRUE,"Basic";#N/A,#N/A,TRUE,"EXT-TABLE";#N/A,#N/A,TRUE,"STEEL";#N/A,#N/A,TRUE,"INT-Table";#N/A,#N/A,TRUE,"STEEL";#N/A,#N/A,TRUE,"Door"}</definedName>
    <definedName name="ERD" hidden="1">{#N/A,#N/A,TRUE,"Basic";#N/A,#N/A,TRUE,"EXT-TABLE";#N/A,#N/A,TRUE,"STEEL";#N/A,#N/A,TRUE,"INT-Table";#N/A,#N/A,TRUE,"STEEL";#N/A,#N/A,TRUE,"Door"}</definedName>
    <definedName name="Erect_FC">#REF!</definedName>
    <definedName name="Erect_LC">#REF!</definedName>
    <definedName name="erect_ttl">#REF!</definedName>
    <definedName name="ErrName014017641">#REF!</definedName>
    <definedName name="ErrName162821590" localSheetId="11" hidden="1">[39]Cash2!$K$16:$K$36</definedName>
    <definedName name="ErrName162821590" localSheetId="1" hidden="1">[72]Cash2!$K$16:$K$36</definedName>
    <definedName name="ErrName162821590" localSheetId="2" hidden="1">[72]Cash2!$K$16:$K$36</definedName>
    <definedName name="ErrName162821590" localSheetId="4" hidden="1">[72]Cash2!$K$16:$K$36</definedName>
    <definedName name="ErrName162821590" localSheetId="19" hidden="1">[72]Cash2!$K$16:$K$36</definedName>
    <definedName name="ErrName162821590" localSheetId="10" hidden="1">[72]Cash2!$K$16:$K$36</definedName>
    <definedName name="ErrName162821590" localSheetId="9" hidden="1">[72]Cash2!$K$16:$K$36</definedName>
    <definedName name="ErrName162821590" localSheetId="8" hidden="1">[72]Cash2!$K$16:$K$36</definedName>
    <definedName name="ErrName162821590" localSheetId="3" hidden="1">[72]Cash2!$K$16:$K$36</definedName>
    <definedName name="ErrName162821590" localSheetId="6" hidden="1">[72]Cash2!$K$16:$K$36</definedName>
    <definedName name="ErrName162821590" localSheetId="7" hidden="1">[72]Cash2!$K$16:$K$36</definedName>
    <definedName name="ErrName162821590" localSheetId="5" hidden="1">[72]Cash2!$K$16:$K$36</definedName>
    <definedName name="ErrName162821590" hidden="1">#REF!</definedName>
    <definedName name="ErrName301948010" localSheetId="18" hidden="1">{0,0,0,0;0,0,0,0;0,0,0,0;0,0,0,0;0,0,0,0;0,0,0,0}</definedName>
    <definedName name="ErrName301948010" hidden="1">{0,0,0,0;0,0,0,0;0,0,0,0;0,0,0,0;0,0,0,0;0,0,0,0}</definedName>
    <definedName name="ErrName301948010_1" localSheetId="18" hidden="1">{0,0,0,0;0,0,0,0;0,0,0,0;0,0,0,0;0,0,0,0;0,0,0,0}</definedName>
    <definedName name="ErrName301948010_1" hidden="1">{0,0,0,0;0,0,0,0;0,0,0,0;0,0,0,0;0,0,0,0;0,0,0,0}</definedName>
    <definedName name="ErrName301948010_1_1" localSheetId="18" hidden="1">{0,0,0,0;0,0,0,0;0,0,0,0;0,0,0,0;0,0,0,0;0,0,0,0}</definedName>
    <definedName name="ErrName301948010_1_1" hidden="1">{0,0,0,0;0,0,0,0;0,0,0,0;0,0,0,0;0,0,0,0;0,0,0,0}</definedName>
    <definedName name="ErrName301948010_1_2" localSheetId="18" hidden="1">{0,0,0,0;0,0,0,0;0,0,0,0;0,0,0,0;0,0,0,0;0,0,0,0}</definedName>
    <definedName name="ErrName301948010_1_2" hidden="1">{0,0,0,0;0,0,0,0;0,0,0,0;0,0,0,0;0,0,0,0;0,0,0,0}</definedName>
    <definedName name="ErrName301948010_2" localSheetId="18" hidden="1">{0,0,0,0;0,0,0,0;0,0,0,0;0,0,0,0;0,0,0,0;0,0,0,0}</definedName>
    <definedName name="ErrName301948010_2" hidden="1">{0,0,0,0;0,0,0,0;0,0,0,0;0,0,0,0;0,0,0,0;0,0,0,0}</definedName>
    <definedName name="ErrName301948010_2_1" localSheetId="18" hidden="1">{0,0,0,0;0,0,0,0;0,0,0,0;0,0,0,0;0,0,0,0;0,0,0,0}</definedName>
    <definedName name="ErrName301948010_2_1" hidden="1">{0,0,0,0;0,0,0,0;0,0,0,0;0,0,0,0;0,0,0,0;0,0,0,0}</definedName>
    <definedName name="ErrName301948010_2_2" localSheetId="18" hidden="1">{0,0,0,0;0,0,0,0;0,0,0,0;0,0,0,0;0,0,0,0;0,0,0,0}</definedName>
    <definedName name="ErrName301948010_2_2" hidden="1">{0,0,0,0;0,0,0,0;0,0,0,0;0,0,0,0;0,0,0,0;0,0,0,0}</definedName>
    <definedName name="ErrName301948010_3" localSheetId="18" hidden="1">{0,0,0,0;0,0,0,0;0,0,0,0;0,0,0,0;0,0,0,0;0,0,0,0}</definedName>
    <definedName name="ErrName301948010_3" hidden="1">{0,0,0,0;0,0,0,0;0,0,0,0;0,0,0,0;0,0,0,0;0,0,0,0}</definedName>
    <definedName name="ErrName301948010_3_1" localSheetId="18" hidden="1">{0,0,0,0;0,0,0,0;0,0,0,0;0,0,0,0;0,0,0,0;0,0,0,0}</definedName>
    <definedName name="ErrName301948010_3_1" hidden="1">{0,0,0,0;0,0,0,0;0,0,0,0;0,0,0,0;0,0,0,0;0,0,0,0}</definedName>
    <definedName name="ErrName301948010_3_2" localSheetId="18" hidden="1">{0,0,0,0;0,0,0,0;0,0,0,0;0,0,0,0;0,0,0,0;0,0,0,0}</definedName>
    <definedName name="ErrName301948010_3_2" hidden="1">{0,0,0,0;0,0,0,0;0,0,0,0;0,0,0,0;0,0,0,0;0,0,0,0}</definedName>
    <definedName name="ErrName301948010_4" localSheetId="18" hidden="1">{0,0,0,0;0,0,0,0;0,0,0,0;0,0,0,0;0,0,0,0;0,0,0,0}</definedName>
    <definedName name="ErrName301948010_4" hidden="1">{0,0,0,0;0,0,0,0;0,0,0,0;0,0,0,0;0,0,0,0;0,0,0,0}</definedName>
    <definedName name="ErrName301948010_4_1" localSheetId="18" hidden="1">{0,0,0,0;0,0,0,0;0,0,0,0;0,0,0,0;0,0,0,0;0,0,0,0}</definedName>
    <definedName name="ErrName301948010_4_1" hidden="1">{0,0,0,0;0,0,0,0;0,0,0,0;0,0,0,0;0,0,0,0;0,0,0,0}</definedName>
    <definedName name="ErrName301948010_4_2" localSheetId="18" hidden="1">{0,0,0,0;0,0,0,0;0,0,0,0;0,0,0,0;0,0,0,0;0,0,0,0}</definedName>
    <definedName name="ErrName301948010_4_2" hidden="1">{0,0,0,0;0,0,0,0;0,0,0,0;0,0,0,0;0,0,0,0;0,0,0,0}</definedName>
    <definedName name="ErrName301948010_5" localSheetId="18" hidden="1">{0,0,0,0;0,0,0,0;0,0,0,0;0,0,0,0;0,0,0,0;0,0,0,0}</definedName>
    <definedName name="ErrName301948010_5" hidden="1">{0,0,0,0;0,0,0,0;0,0,0,0;0,0,0,0;0,0,0,0;0,0,0,0}</definedName>
    <definedName name="ErrName301948010_5_1" localSheetId="18" hidden="1">{0,0,0,0;0,0,0,0;0,0,0,0;0,0,0,0;0,0,0,0;0,0,0,0}</definedName>
    <definedName name="ErrName301948010_5_1" hidden="1">{0,0,0,0;0,0,0,0;0,0,0,0;0,0,0,0;0,0,0,0;0,0,0,0}</definedName>
    <definedName name="ErrName301948010_5_2" localSheetId="18" hidden="1">{0,0,0,0;0,0,0,0;0,0,0,0;0,0,0,0;0,0,0,0;0,0,0,0}</definedName>
    <definedName name="ErrName301948010_5_2" hidden="1">{0,0,0,0;0,0,0,0;0,0,0,0;0,0,0,0;0,0,0,0;0,0,0,0}</definedName>
    <definedName name="ErrName410073220">#REF!</definedName>
    <definedName name="ErrName646587132">"SQRT"</definedName>
    <definedName name="ErrName760723590">#REF!</definedName>
    <definedName name="error_summary">#REF!</definedName>
    <definedName name="ERS">#REF!</definedName>
    <definedName name="ert" localSheetId="18" hidden="1">{"'장비'!$A$3:$M$12"}</definedName>
    <definedName name="ert" hidden="1">{"'장비'!$A$3:$M$12"}</definedName>
    <definedName name="ertert" localSheetId="18" hidden="1">{#N/A,#N/A,FALSE,"Chi tiÆt"}</definedName>
    <definedName name="ertert" hidden="1">{#N/A,#N/A,FALSE,"Chi tiÆt"}</definedName>
    <definedName name="ERTRE" localSheetId="18" hidden="1">{#N/A,#N/A,TRUE,"Mhr_Sum"}</definedName>
    <definedName name="ERTRE" hidden="1">{#N/A,#N/A,TRUE,"Mhr_Sum"}</definedName>
    <definedName name="ertre3" localSheetId="18" hidden="1">{#N/A,#N/A,TRUE,"Mhr_Sum"}</definedName>
    <definedName name="ertre3" hidden="1">{#N/A,#N/A,TRUE,"Mhr_Sum"}</definedName>
    <definedName name="erty" localSheetId="18" hidden="1">{"'장비'!$A$3:$M$12"}</definedName>
    <definedName name="erty" hidden="1">{"'장비'!$A$3:$M$12"}</definedName>
    <definedName name="es" localSheetId="18" hidden="1">{"'Sheet1'!$L$16"}</definedName>
    <definedName name="es" hidden="1">{"'Sheet1'!$L$16"}</definedName>
    <definedName name="ESDV">[58]costing_ESDV!$B$7:$O$62</definedName>
    <definedName name="estrazione" localSheetId="11">'[73]ESTRAZIONE TUBI'!$C$6:$K$136,'[73]ESTRAZIONE TUBI'!$L$6:$T$89</definedName>
    <definedName name="estrazione" localSheetId="1">'[73]ESTRAZIONE TUBI'!$C$6:$K$136,'[73]ESTRAZIONE TUBI'!$L$6:$T$89</definedName>
    <definedName name="estrazione" localSheetId="2">'[73]ESTRAZIONE TUBI'!$C$6:$K$136,'[73]ESTRAZIONE TUBI'!$L$6:$T$89</definedName>
    <definedName name="estrazione" localSheetId="4">'[73]ESTRAZIONE TUBI'!$C$6:$K$136,'[73]ESTRAZIONE TUBI'!$L$6:$T$89</definedName>
    <definedName name="estrazione" localSheetId="19">'[73]ESTRAZIONE TUBI'!$C$6:$K$136,'[73]ESTRAZIONE TUBI'!$L$6:$T$89</definedName>
    <definedName name="estrazione" localSheetId="10">'[73]ESTRAZIONE TUBI'!$C$6:$K$136,'[73]ESTRAZIONE TUBI'!$L$6:$T$89</definedName>
    <definedName name="estrazione" localSheetId="9">'[73]ESTRAZIONE TUBI'!$C$6:$K$136,'[73]ESTRAZIONE TUBI'!$L$6:$T$89</definedName>
    <definedName name="estrazione" localSheetId="8">'[73]ESTRAZIONE TUBI'!$C$6:$K$136,'[73]ESTRAZIONE TUBI'!$L$6:$T$89</definedName>
    <definedName name="estrazione" localSheetId="3">'[73]ESTRAZIONE TUBI'!$C$6:$K$136,'[73]ESTRAZIONE TUBI'!$L$6:$T$89</definedName>
    <definedName name="estrazione" localSheetId="6">'[73]ESTRAZIONE TUBI'!$C$6:$K$136,'[73]ESTRAZIONE TUBI'!$L$6:$T$89</definedName>
    <definedName name="estrazione" localSheetId="7">'[73]ESTRAZIONE TUBI'!$C$6:$K$136,'[73]ESTRAZIONE TUBI'!$L$6:$T$89</definedName>
    <definedName name="estrazione" localSheetId="5">'[73]ESTRAZIONE TUBI'!$C$6:$K$136,'[73]ESTRAZIONE TUBI'!$L$6:$T$89</definedName>
    <definedName name="estrazione">#REF!,#REF!</definedName>
    <definedName name="et" localSheetId="18" hidden="1">{"'Sheet1'!$L$16"}</definedName>
    <definedName name="ET" localSheetId="11" hidden="1">{#N/A,#N/A,FALSE,"CCTV"}</definedName>
    <definedName name="ET" localSheetId="1" hidden="1">{#N/A,#N/A,FALSE,"CCTV"}</definedName>
    <definedName name="ET" localSheetId="2" hidden="1">{#N/A,#N/A,FALSE,"CCTV"}</definedName>
    <definedName name="ET" localSheetId="4" hidden="1">{#N/A,#N/A,FALSE,"CCTV"}</definedName>
    <definedName name="ET" localSheetId="19" hidden="1">{#N/A,#N/A,FALSE,"CCTV"}</definedName>
    <definedName name="ET" localSheetId="10" hidden="1">{#N/A,#N/A,FALSE,"CCTV"}</definedName>
    <definedName name="ET" localSheetId="9" hidden="1">{#N/A,#N/A,FALSE,"CCTV"}</definedName>
    <definedName name="ET" localSheetId="8" hidden="1">{#N/A,#N/A,FALSE,"CCTV"}</definedName>
    <definedName name="ET" localSheetId="3" hidden="1">{#N/A,#N/A,FALSE,"CCTV"}</definedName>
    <definedName name="ET" localSheetId="6" hidden="1">{#N/A,#N/A,FALSE,"CCTV"}</definedName>
    <definedName name="ET" localSheetId="7" hidden="1">{#N/A,#N/A,FALSE,"CCTV"}</definedName>
    <definedName name="ET" localSheetId="5" hidden="1">{#N/A,#N/A,FALSE,"CCTV"}</definedName>
    <definedName name="et" hidden="1">{"'Sheet1'!$L$16"}</definedName>
    <definedName name="etr" localSheetId="18" hidden="1">{#N/A,#N/A,FALSE,"JACKETS (1100 t) (1)"}</definedName>
    <definedName name="etr" hidden="1">{#N/A,#N/A,FALSE,"JACKETS (1100 t) (1)"}</definedName>
    <definedName name="EUP">[74]적용환율!$B$6</definedName>
    <definedName name="evase_floor_angle">#REF!</definedName>
    <definedName name="evase_floor_ship_data">#REF!</definedName>
    <definedName name="evase_front_ship_data">#REF!</definedName>
    <definedName name="evase_model">#REF!</definedName>
    <definedName name="evase_roof_ship_data">#REF!</definedName>
    <definedName name="evase_wall_angle">#REF!</definedName>
    <definedName name="evase_wall_ship_data">#REF!</definedName>
    <definedName name="EWQ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18" hidden="1">{"'장비'!$A$3:$M$12"}</definedName>
    <definedName name="EWRWE" hidden="1">{"'장비'!$A$3:$M$12"}</definedName>
    <definedName name="ewrweq" localSheetId="18" hidden="1">{"'장비'!$A$3:$M$12"}</definedName>
    <definedName name="ewrweq" hidden="1">{"'장비'!$A$3:$M$12"}</definedName>
    <definedName name="EX" localSheetId="18" hidden="1">{#N/A,#N/A,FALSE,"CCTV"}</definedName>
    <definedName name="EX" localSheetId="11" hidden="1">{#N/A,#N/A,FALSE,"CCTV"}</definedName>
    <definedName name="EX" localSheetId="1" hidden="1">{#N/A,#N/A,FALSE,"CCTV"}</definedName>
    <definedName name="EX" localSheetId="2" hidden="1">{#N/A,#N/A,FALSE,"CCTV"}</definedName>
    <definedName name="EX" localSheetId="4" hidden="1">{#N/A,#N/A,FALSE,"CCTV"}</definedName>
    <definedName name="EX" localSheetId="19" hidden="1">{#N/A,#N/A,FALSE,"CCTV"}</definedName>
    <definedName name="EX" localSheetId="10" hidden="1">{#N/A,#N/A,FALSE,"CCTV"}</definedName>
    <definedName name="EX" localSheetId="9" hidden="1">{#N/A,#N/A,FALSE,"CCTV"}</definedName>
    <definedName name="EX" localSheetId="8" hidden="1">{#N/A,#N/A,FALSE,"CCTV"}</definedName>
    <definedName name="EX" localSheetId="3" hidden="1">{#N/A,#N/A,FALSE,"CCTV"}</definedName>
    <definedName name="EX" localSheetId="6" hidden="1">{#N/A,#N/A,FALSE,"CCTV"}</definedName>
    <definedName name="EX" localSheetId="7" hidden="1">{#N/A,#N/A,FALSE,"CCTV"}</definedName>
    <definedName name="EX" localSheetId="5" hidden="1">{#N/A,#N/A,FALSE,"CCTV"}</definedName>
    <definedName name="EX" hidden="1">{#N/A,#N/A,FALSE,"CCTV"}</definedName>
    <definedName name="EX_COSFC">#REF!</definedName>
    <definedName name="EX_COSLC">#REF!</definedName>
    <definedName name="EX_COSS">#REF!</definedName>
    <definedName name="EX_PAYFC">#REF!</definedName>
    <definedName name="EX_PAYLC">#REF!</definedName>
    <definedName name="EX_PAYS">#REF!</definedName>
    <definedName name="EXDF">#REF!</definedName>
    <definedName name="EXMC">#REF!</definedName>
    <definedName name="EXMOB">#REF!</definedName>
    <definedName name="EXP_COS">#REF!</definedName>
    <definedName name="EXP_PAY">#REF!</definedName>
    <definedName name="EXPAFC">#REF!</definedName>
    <definedName name="EXPALC">#REF!</definedName>
    <definedName name="EXPOS">#REF!</definedName>
    <definedName name="EXTIM2">#REF!</definedName>
    <definedName name="EXTIM3">#REF!</definedName>
    <definedName name="EXTIM4">#REF!</definedName>
    <definedName name="_xlnm.Extract" localSheetId="11">'[71]ESTADIST(PTS.)'!$B$4:$B$13</definedName>
    <definedName name="_xlnm.Extract" localSheetId="1">#REF!</definedName>
    <definedName name="_xlnm.Extract" localSheetId="2">#REF!</definedName>
    <definedName name="_xlnm.Extract" localSheetId="4">#REF!</definedName>
    <definedName name="_xlnm.Extract" localSheetId="19">#REF!</definedName>
    <definedName name="_xlnm.Extract" localSheetId="10">#REF!</definedName>
    <definedName name="_xlnm.Extract" localSheetId="9">#REF!</definedName>
    <definedName name="_xlnm.Extract" localSheetId="8">#REF!</definedName>
    <definedName name="_xlnm.Extract" localSheetId="3">#REF!</definedName>
    <definedName name="_xlnm.Extract" localSheetId="6">#REF!</definedName>
    <definedName name="_xlnm.Extract" localSheetId="7">#REF!</definedName>
    <definedName name="_xlnm.Extract" localSheetId="5">#REF!</definedName>
    <definedName name="_xlnm.Extract">#REF!</definedName>
    <definedName name="Extract_MI">#REF!</definedName>
    <definedName name="EXWT">#REF!</definedName>
    <definedName name="eyteyt" localSheetId="18" hidden="1">{#N/A,#N/A,FALSE,"CCTV"}</definedName>
    <definedName name="eyteyt" localSheetId="11" hidden="1">{#N/A,#N/A,FALSE,"CCTV"}</definedName>
    <definedName name="eyteyt" localSheetId="1" hidden="1">{#N/A,#N/A,FALSE,"CCTV"}</definedName>
    <definedName name="eyteyt" localSheetId="2" hidden="1">{#N/A,#N/A,FALSE,"CCTV"}</definedName>
    <definedName name="eyteyt" localSheetId="4" hidden="1">{#N/A,#N/A,FALSE,"CCTV"}</definedName>
    <definedName name="eyteyt" localSheetId="19" hidden="1">{#N/A,#N/A,FALSE,"CCTV"}</definedName>
    <definedName name="eyteyt" localSheetId="10" hidden="1">{#N/A,#N/A,FALSE,"CCTV"}</definedName>
    <definedName name="eyteyt" localSheetId="9" hidden="1">{#N/A,#N/A,FALSE,"CCTV"}</definedName>
    <definedName name="eyteyt" localSheetId="8" hidden="1">{#N/A,#N/A,FALSE,"CCTV"}</definedName>
    <definedName name="eyteyt" localSheetId="3" hidden="1">{#N/A,#N/A,FALSE,"CCTV"}</definedName>
    <definedName name="eyteyt" localSheetId="6" hidden="1">{#N/A,#N/A,FALSE,"CCTV"}</definedName>
    <definedName name="eyteyt" localSheetId="7" hidden="1">{#N/A,#N/A,FALSE,"CCTV"}</definedName>
    <definedName name="eyteyt" localSheetId="5" hidden="1">{#N/A,#N/A,FALSE,"CCTV"}</definedName>
    <definedName name="eyteyt" hidden="1">{#N/A,#N/A,FALSE,"CCTV"}</definedName>
    <definedName name="F" hidden="1">#REF!</definedName>
    <definedName name="fáaafafaf" localSheetId="18" hidden="1">{"'Sheet1'!$L$16"}</definedName>
    <definedName name="fáaafafaf" localSheetId="11" hidden="1">{"'Sheet1'!$L$16"}</definedName>
    <definedName name="fáaafafaf" localSheetId="1" hidden="1">{"'Sheet1'!$L$16"}</definedName>
    <definedName name="fáaafafaf" localSheetId="2" hidden="1">{"'Sheet1'!$L$16"}</definedName>
    <definedName name="fáaafafaf" localSheetId="12" hidden="1">{"'Sheet1'!$L$16"}</definedName>
    <definedName name="fáaafafaf" localSheetId="4" hidden="1">{"'Sheet1'!$L$16"}</definedName>
    <definedName name="fáaafafaf" localSheetId="19" hidden="1">{"'Sheet1'!$L$16"}</definedName>
    <definedName name="fáaafafaf" localSheetId="10" hidden="1">{"'Sheet1'!$L$16"}</definedName>
    <definedName name="fáaafafaf" localSheetId="9" hidden="1">{"'Sheet1'!$L$16"}</definedName>
    <definedName name="fáaafafaf" localSheetId="8" hidden="1">{"'Sheet1'!$L$16"}</definedName>
    <definedName name="fáaafafaf" localSheetId="3" hidden="1">{"'Sheet1'!$L$16"}</definedName>
    <definedName name="fáaafafaf" localSheetId="6" hidden="1">{"'Sheet1'!$L$16"}</definedName>
    <definedName name="fáaafafaf" localSheetId="7" hidden="1">{"'Sheet1'!$L$16"}</definedName>
    <definedName name="fáaafafaf" localSheetId="5" hidden="1">{"'Sheet1'!$L$16"}</definedName>
    <definedName name="fáaafafaf" localSheetId="13" hidden="1">{"'Sheet1'!$L$16"}</definedName>
    <definedName name="fáaafafaf" hidden="1">{"'Sheet1'!$L$16"}</definedName>
    <definedName name="FAC">#REF!</definedName>
    <definedName name="fac_value">#REF!</definedName>
    <definedName name="FACFC">#REF!</definedName>
    <definedName name="FACLC">#REF!</definedName>
    <definedName name="FACS">#REF!</definedName>
    <definedName name="FACTOR">#REF!</definedName>
    <definedName name="FACTORY" localSheetId="18" hidden="1">{#N/A,#N/A,TRUE,"SUM";#N/A,#N/A,TRUE,"EE";#N/A,#N/A,TRUE,"AC";#N/A,#N/A,TRUE,"SN"}</definedName>
    <definedName name="FACTORY" hidden="1">{#N/A,#N/A,TRUE,"SUM";#N/A,#N/A,TRUE,"EE";#N/A,#N/A,TRUE,"AC";#N/A,#N/A,TRUE,"SN"}</definedName>
    <definedName name="fall" hidden="1">#REF!</definedName>
    <definedName name="fasfaga" localSheetId="18" hidden="1">{"'Sheet1'!$L$16"}</definedName>
    <definedName name="fasfaga" localSheetId="11" hidden="1">{"'Sheet1'!$L$16"}</definedName>
    <definedName name="fasfaga" localSheetId="1" hidden="1">{"'Sheet1'!$L$16"}</definedName>
    <definedName name="fasfaga" localSheetId="2" hidden="1">{"'Sheet1'!$L$16"}</definedName>
    <definedName name="fasfaga" localSheetId="12" hidden="1">{"'Sheet1'!$L$16"}</definedName>
    <definedName name="fasfaga" localSheetId="4" hidden="1">{"'Sheet1'!$L$16"}</definedName>
    <definedName name="fasfaga" localSheetId="19" hidden="1">{"'Sheet1'!$L$16"}</definedName>
    <definedName name="fasfaga" localSheetId="10" hidden="1">{"'Sheet1'!$L$16"}</definedName>
    <definedName name="fasfaga" localSheetId="9" hidden="1">{"'Sheet1'!$L$16"}</definedName>
    <definedName name="fasfaga" localSheetId="8" hidden="1">{"'Sheet1'!$L$16"}</definedName>
    <definedName name="fasfaga" localSheetId="3" hidden="1">{"'Sheet1'!$L$16"}</definedName>
    <definedName name="fasfaga" localSheetId="6" hidden="1">{"'Sheet1'!$L$16"}</definedName>
    <definedName name="fasfaga" localSheetId="7" hidden="1">{"'Sheet1'!$L$16"}</definedName>
    <definedName name="fasfaga" localSheetId="5" hidden="1">{"'Sheet1'!$L$16"}</definedName>
    <definedName name="fasfaga" localSheetId="13" hidden="1">{"'Sheet1'!$L$16"}</definedName>
    <definedName name="fasfaga" hidden="1">{"'Sheet1'!$L$16"}</definedName>
    <definedName name="fasfsdfsdfasdfsdfsd" localSheetId="18"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18"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localSheetId="18"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localSheetId="18"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localSheetId="18"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localSheetId="18"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localSheetId="18"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localSheetId="18"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localSheetId="18"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localSheetId="18"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localSheetId="18"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localSheetId="18"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localSheetId="18"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localSheetId="18"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localSheetId="18"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localSheetId="18" hidden="1">{#N/A,#N/A,TRUE,"Basic";#N/A,#N/A,TRUE,"EXT-TABLE";#N/A,#N/A,TRUE,"STEEL";#N/A,#N/A,TRUE,"INT-Table";#N/A,#N/A,TRUE,"STEEL";#N/A,#N/A,TRUE,"Door"}</definedName>
    <definedName name="fasfsdfsdfasdfsdfsd_5_2" hidden="1">{#N/A,#N/A,TRUE,"Basic";#N/A,#N/A,TRUE,"EXT-TABLE";#N/A,#N/A,TRUE,"STEEL";#N/A,#N/A,TRUE,"INT-Table";#N/A,#N/A,TRUE,"STEEL";#N/A,#N/A,TRUE,"Door"}</definedName>
    <definedName name="FAULT" localSheetId="11">[71]DATA_REFERENCE!$J$53</definedName>
    <definedName name="FAULT" localSheetId="1">[71]DATA_REFERENCE!$J$53</definedName>
    <definedName name="FAULT" localSheetId="2">[71]DATA_REFERENCE!$J$53</definedName>
    <definedName name="FAULT" localSheetId="4">[71]DATA_REFERENCE!$J$53</definedName>
    <definedName name="FAULT" localSheetId="19">[71]DATA_REFERENCE!$J$53</definedName>
    <definedName name="FAULT" localSheetId="10">[71]DATA_REFERENCE!$J$53</definedName>
    <definedName name="FAULT" localSheetId="9">[71]DATA_REFERENCE!$J$53</definedName>
    <definedName name="FAULT" localSheetId="8">[71]DATA_REFERENCE!$J$53</definedName>
    <definedName name="FAULT" localSheetId="3">[71]DATA_REFERENCE!$J$53</definedName>
    <definedName name="FAULT" localSheetId="6">[71]DATA_REFERENCE!$J$53</definedName>
    <definedName name="FAULT" localSheetId="7">[71]DATA_REFERENCE!$J$53</definedName>
    <definedName name="FAULT" localSheetId="5">[71]DATA_REFERENCE!$J$53</definedName>
    <definedName name="FAULT">#REF!</definedName>
    <definedName name="FC">#REF!</definedName>
    <definedName name="FC_LC_Rate">#REF!</definedName>
    <definedName name="FC_SC">#REF!</definedName>
    <definedName name="FCode" localSheetId="12">#REF!</definedName>
    <definedName name="FCode" localSheetId="13">#REF!</definedName>
    <definedName name="FCode">#REF!</definedName>
    <definedName name="fd" localSheetId="18" hidden="1">{#N/A,#N/A,TRUE,"Mhr_Sum"}</definedName>
    <definedName name="fd" hidden="1">{#N/A,#N/A,TRUE,"Mhr_Sum"}</definedName>
    <definedName name="fddfhdfhdgh" localSheetId="18" hidden="1">{#N/A,#N/A,FALSE,"CCTV"}</definedName>
    <definedName name="fddfhdfhdgh" localSheetId="11" hidden="1">{#N/A,#N/A,FALSE,"CCTV"}</definedName>
    <definedName name="fddfhdfhdgh" localSheetId="1" hidden="1">{#N/A,#N/A,FALSE,"CCTV"}</definedName>
    <definedName name="fddfhdfhdgh" localSheetId="2" hidden="1">{#N/A,#N/A,FALSE,"CCTV"}</definedName>
    <definedName name="fddfhdfhdgh" localSheetId="4" hidden="1">{#N/A,#N/A,FALSE,"CCTV"}</definedName>
    <definedName name="fddfhdfhdgh" localSheetId="19" hidden="1">{#N/A,#N/A,FALSE,"CCTV"}</definedName>
    <definedName name="fddfhdfhdgh" localSheetId="10" hidden="1">{#N/A,#N/A,FALSE,"CCTV"}</definedName>
    <definedName name="fddfhdfhdgh" localSheetId="9" hidden="1">{#N/A,#N/A,FALSE,"CCTV"}</definedName>
    <definedName name="fddfhdfhdgh" localSheetId="8" hidden="1">{#N/A,#N/A,FALSE,"CCTV"}</definedName>
    <definedName name="fddfhdfhdgh" localSheetId="3" hidden="1">{#N/A,#N/A,FALSE,"CCTV"}</definedName>
    <definedName name="fddfhdfhdgh" localSheetId="6" hidden="1">{#N/A,#N/A,FALSE,"CCTV"}</definedName>
    <definedName name="fddfhdfhdgh" localSheetId="7" hidden="1">{#N/A,#N/A,FALSE,"CCTV"}</definedName>
    <definedName name="fddfhdfhdgh" localSheetId="5" hidden="1">{#N/A,#N/A,FALSE,"CCTV"}</definedName>
    <definedName name="fddfhdfhdgh" hidden="1">{#N/A,#N/A,FALSE,"CCTV"}</definedName>
    <definedName name="FD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18" hidden="1">{#N/A,#N/A,FALSE,"CCTV"}</definedName>
    <definedName name="fdf" localSheetId="11" hidden="1">{#N/A,#N/A,FALSE,"CCTV"}</definedName>
    <definedName name="fdf" localSheetId="1" hidden="1">{#N/A,#N/A,FALSE,"CCTV"}</definedName>
    <definedName name="fdf" localSheetId="2" hidden="1">{#N/A,#N/A,FALSE,"CCTV"}</definedName>
    <definedName name="fdf" localSheetId="4" hidden="1">{#N/A,#N/A,FALSE,"CCTV"}</definedName>
    <definedName name="fdf" localSheetId="19" hidden="1">{#N/A,#N/A,FALSE,"CCTV"}</definedName>
    <definedName name="fdf" localSheetId="10" hidden="1">{#N/A,#N/A,FALSE,"CCTV"}</definedName>
    <definedName name="fdf" localSheetId="9" hidden="1">{#N/A,#N/A,FALSE,"CCTV"}</definedName>
    <definedName name="fdf" localSheetId="8" hidden="1">{#N/A,#N/A,FALSE,"CCTV"}</definedName>
    <definedName name="fdf" localSheetId="3" hidden="1">{#N/A,#N/A,FALSE,"CCTV"}</definedName>
    <definedName name="fdf" localSheetId="6" hidden="1">{#N/A,#N/A,FALSE,"CCTV"}</definedName>
    <definedName name="fdf" localSheetId="7" hidden="1">{#N/A,#N/A,FALSE,"CCTV"}</definedName>
    <definedName name="fdf" localSheetId="5" hidden="1">{#N/A,#N/A,FALSE,"CCTV"}</definedName>
    <definedName name="fdf" hidden="1">{#N/A,#N/A,FALSE,"CCTV"}</definedName>
    <definedName name="FDFDF" localSheetId="18" hidden="1">{#N/A,#N/A,FALSE,"CCTV"}</definedName>
    <definedName name="FDFDF" localSheetId="11" hidden="1">{#N/A,#N/A,FALSE,"CCTV"}</definedName>
    <definedName name="FDFDF" localSheetId="1" hidden="1">{#N/A,#N/A,FALSE,"CCTV"}</definedName>
    <definedName name="FDFDF" localSheetId="2" hidden="1">{#N/A,#N/A,FALSE,"CCTV"}</definedName>
    <definedName name="FDFDF" localSheetId="4" hidden="1">{#N/A,#N/A,FALSE,"CCTV"}</definedName>
    <definedName name="FDFDF" localSheetId="19" hidden="1">{#N/A,#N/A,FALSE,"CCTV"}</definedName>
    <definedName name="FDFDF" localSheetId="10" hidden="1">{#N/A,#N/A,FALSE,"CCTV"}</definedName>
    <definedName name="FDFDF" localSheetId="9" hidden="1">{#N/A,#N/A,FALSE,"CCTV"}</definedName>
    <definedName name="FDFDF" localSheetId="8" hidden="1">{#N/A,#N/A,FALSE,"CCTV"}</definedName>
    <definedName name="FDFDF" localSheetId="3" hidden="1">{#N/A,#N/A,FALSE,"CCTV"}</definedName>
    <definedName name="FDFDF" localSheetId="6" hidden="1">{#N/A,#N/A,FALSE,"CCTV"}</definedName>
    <definedName name="FDFDF" localSheetId="7" hidden="1">{#N/A,#N/A,FALSE,"CCTV"}</definedName>
    <definedName name="FDFDF" localSheetId="5" hidden="1">{#N/A,#N/A,FALSE,"CCTV"}</definedName>
    <definedName name="FDFDF" hidden="1">{#N/A,#N/A,FALSE,"CCTV"}</definedName>
    <definedName name="fdfdfdf">#REF!</definedName>
    <definedName name="FDFDSF" localSheetId="18" hidden="1">{#N/A,#N/A,TRUE,"SUM";#N/A,#N/A,TRUE,"EE";#N/A,#N/A,TRUE,"AC";#N/A,#N/A,TRUE,"SN"}</definedName>
    <definedName name="FDFDSF" hidden="1">{#N/A,#N/A,TRUE,"SUM";#N/A,#N/A,TRUE,"EE";#N/A,#N/A,TRUE,"AC";#N/A,#N/A,TRUE,"SN"}</definedName>
    <definedName name="fdfs" localSheetId="18" hidden="1">{#N/A,#N/A,TRUE,"SUM";#N/A,#N/A,TRUE,"EE";#N/A,#N/A,TRUE,"AC";#N/A,#N/A,TRUE,"SN"}</definedName>
    <definedName name="fdfs" hidden="1">{#N/A,#N/A,TRUE,"SUM";#N/A,#N/A,TRUE,"EE";#N/A,#N/A,TRUE,"AC";#N/A,#N/A,TRUE,"SN"}</definedName>
    <definedName name="fdfsdfs" localSheetId="18" hidden="1">{#N/A,#N/A,TRUE,"SUM";#N/A,#N/A,TRUE,"EE";#N/A,#N/A,TRUE,"AC";#N/A,#N/A,TRUE,"SN"}</definedName>
    <definedName name="fdfsdfs" hidden="1">{#N/A,#N/A,TRUE,"SUM";#N/A,#N/A,TRUE,"EE";#N/A,#N/A,TRUE,"AC";#N/A,#N/A,TRUE,"SN"}</definedName>
    <definedName name="fdfsf" localSheetId="18" hidden="1">{#N/A,#N/A,FALSE,"Chi tiÆt"}</definedName>
    <definedName name="fdfsf" localSheetId="11" hidden="1">{#N/A,#N/A,FALSE,"Chi tiÆt"}</definedName>
    <definedName name="fdfsf" localSheetId="1" hidden="1">{#N/A,#N/A,FALSE,"Chi tiÆt"}</definedName>
    <definedName name="fdfsf" localSheetId="2" hidden="1">{#N/A,#N/A,FALSE,"Chi tiÆt"}</definedName>
    <definedName name="fdfsf" localSheetId="12" hidden="1">{#N/A,#N/A,FALSE,"Chi tiÆt"}</definedName>
    <definedName name="fdfsf" localSheetId="4" hidden="1">{#N/A,#N/A,FALSE,"Chi tiÆt"}</definedName>
    <definedName name="fdfsf" localSheetId="19" hidden="1">{#N/A,#N/A,FALSE,"Chi tiÆt"}</definedName>
    <definedName name="fdfsf" localSheetId="10" hidden="1">{#N/A,#N/A,FALSE,"Chi tiÆt"}</definedName>
    <definedName name="fdfsf" localSheetId="9" hidden="1">{#N/A,#N/A,FALSE,"Chi tiÆt"}</definedName>
    <definedName name="fdfsf" localSheetId="8" hidden="1">{#N/A,#N/A,FALSE,"Chi tiÆt"}</definedName>
    <definedName name="fdfsf" localSheetId="3" hidden="1">{#N/A,#N/A,FALSE,"Chi tiÆt"}</definedName>
    <definedName name="fdfsf" localSheetId="6" hidden="1">{#N/A,#N/A,FALSE,"Chi tiÆt"}</definedName>
    <definedName name="fdfsf" localSheetId="7" hidden="1">{#N/A,#N/A,FALSE,"Chi tiÆt"}</definedName>
    <definedName name="fdfsf" localSheetId="5" hidden="1">{#N/A,#N/A,FALSE,"Chi tiÆt"}</definedName>
    <definedName name="fdfsf" localSheetId="13" hidden="1">{#N/A,#N/A,FALSE,"Chi tiÆt"}</definedName>
    <definedName name="fdfsf" hidden="1">{#N/A,#N/A,FALSE,"Chi tiÆt"}</definedName>
    <definedName name="fdg" localSheetId="16" hidden="1">{"'Sheet1'!$L$16"}</definedName>
    <definedName name="fdg" localSheetId="18" hidden="1">{"'Sheet1'!$L$16"}</definedName>
    <definedName name="fdg" localSheetId="11" hidden="1">{"'Sheet1'!$L$16"}</definedName>
    <definedName name="fdg" localSheetId="1" hidden="1">{"'Sheet1'!$L$16"}</definedName>
    <definedName name="fdg" localSheetId="2" hidden="1">{"'Sheet1'!$L$16"}</definedName>
    <definedName name="fdg" localSheetId="17" hidden="1">{"'Sheet1'!$L$16"}</definedName>
    <definedName name="fdg" localSheetId="12" hidden="1">{"'Sheet1'!$L$16"}</definedName>
    <definedName name="fdg" localSheetId="4" hidden="1">{"'Sheet1'!$L$16"}</definedName>
    <definedName name="fdg" localSheetId="19" hidden="1">{"'Sheet1'!$L$16"}</definedName>
    <definedName name="fdg" localSheetId="10" hidden="1">{"'Sheet1'!$L$16"}</definedName>
    <definedName name="fdg" localSheetId="9" hidden="1">{"'Sheet1'!$L$16"}</definedName>
    <definedName name="fdg" localSheetId="8" hidden="1">{"'Sheet1'!$L$16"}</definedName>
    <definedName name="fdg" localSheetId="3" hidden="1">{"'Sheet1'!$L$16"}</definedName>
    <definedName name="fdg" localSheetId="6" hidden="1">{"'Sheet1'!$L$16"}</definedName>
    <definedName name="fdg" localSheetId="7" hidden="1">{"'Sheet1'!$L$16"}</definedName>
    <definedName name="fdg" localSheetId="5" hidden="1">{"'Sheet1'!$L$16"}</definedName>
    <definedName name="fdg" localSheetId="13" hidden="1">{"'Sheet1'!$L$16"}</definedName>
    <definedName name="fdg" hidden="1">{"'Sheet1'!$L$16"}</definedName>
    <definedName name="fdgfg" localSheetId="16" hidden="1">{"'Sheet1'!$L$16"}</definedName>
    <definedName name="fdgfg" localSheetId="18" hidden="1">{"'Sheet1'!$L$16"}</definedName>
    <definedName name="fdgfg" localSheetId="11" hidden="1">{"'Sheet1'!$L$16"}</definedName>
    <definedName name="fdgfg" localSheetId="1" hidden="1">{"'Sheet1'!$L$16"}</definedName>
    <definedName name="fdgfg" localSheetId="2" hidden="1">{"'Sheet1'!$L$16"}</definedName>
    <definedName name="fdgfg" localSheetId="17" hidden="1">{"'Sheet1'!$L$16"}</definedName>
    <definedName name="fdgfg" localSheetId="12" hidden="1">{"'Sheet1'!$L$16"}</definedName>
    <definedName name="fdgfg" localSheetId="4" hidden="1">{"'Sheet1'!$L$16"}</definedName>
    <definedName name="fdgfg" localSheetId="19" hidden="1">{"'Sheet1'!$L$16"}</definedName>
    <definedName name="fdgfg" localSheetId="10" hidden="1">{"'Sheet1'!$L$16"}</definedName>
    <definedName name="fdgfg" localSheetId="9" hidden="1">{"'Sheet1'!$L$16"}</definedName>
    <definedName name="fdgfg" localSheetId="8" hidden="1">{"'Sheet1'!$L$16"}</definedName>
    <definedName name="fdgfg" localSheetId="3" hidden="1">{"'Sheet1'!$L$16"}</definedName>
    <definedName name="fdgfg" localSheetId="6" hidden="1">{"'Sheet1'!$L$16"}</definedName>
    <definedName name="fdgfg" localSheetId="7" hidden="1">{"'Sheet1'!$L$16"}</definedName>
    <definedName name="fdgfg" localSheetId="5" hidden="1">{"'Sheet1'!$L$16"}</definedName>
    <definedName name="fdgfg" localSheetId="13" hidden="1">{"'Sheet1'!$L$16"}</definedName>
    <definedName name="fdgfg" hidden="1">{"'Sheet1'!$L$16"}</definedName>
    <definedName name="fdgk" localSheetId="18" hidden="1">{"'Sheet1'!$L$16"}</definedName>
    <definedName name="fdgk" hidden="1">{"'Sheet1'!$L$16"}</definedName>
    <definedName name="fdisdfs" localSheetId="18" hidden="1">{#N/A,#N/A,FALSE,"Mhr_Sum"}</definedName>
    <definedName name="fdisdfs" hidden="1">{#N/A,#N/A,FALSE,"Mhr_Sum"}</definedName>
    <definedName name="FDSA" localSheetId="18" hidden="1">{#N/A,#N/A,FALSE,"CCTV"}</definedName>
    <definedName name="FDSA" localSheetId="11" hidden="1">{#N/A,#N/A,FALSE,"CCTV"}</definedName>
    <definedName name="FDSA" localSheetId="1" hidden="1">{#N/A,#N/A,FALSE,"CCTV"}</definedName>
    <definedName name="FDSA" localSheetId="2" hidden="1">{#N/A,#N/A,FALSE,"CCTV"}</definedName>
    <definedName name="FDSA" localSheetId="4" hidden="1">{#N/A,#N/A,FALSE,"CCTV"}</definedName>
    <definedName name="FDSA" localSheetId="19" hidden="1">{#N/A,#N/A,FALSE,"CCTV"}</definedName>
    <definedName name="FDSA" localSheetId="10" hidden="1">{#N/A,#N/A,FALSE,"CCTV"}</definedName>
    <definedName name="FDSA" localSheetId="9" hidden="1">{#N/A,#N/A,FALSE,"CCTV"}</definedName>
    <definedName name="FDSA" localSheetId="8" hidden="1">{#N/A,#N/A,FALSE,"CCTV"}</definedName>
    <definedName name="FDSA" localSheetId="3" hidden="1">{#N/A,#N/A,FALSE,"CCTV"}</definedName>
    <definedName name="FDSA" localSheetId="6" hidden="1">{#N/A,#N/A,FALSE,"CCTV"}</definedName>
    <definedName name="FDSA" localSheetId="7" hidden="1">{#N/A,#N/A,FALSE,"CCTV"}</definedName>
    <definedName name="FDSA" localSheetId="5" hidden="1">{#N/A,#N/A,FALSE,"CCTV"}</definedName>
    <definedName name="FDSA" hidden="1">{#N/A,#N/A,FALSE,"CCTV"}</definedName>
    <definedName name="fdsfsdfd" localSheetId="18" hidden="1">{"'Sheet1'!$L$16"}</definedName>
    <definedName name="fdsfsdfd" localSheetId="11" hidden="1">{"'Sheet1'!$L$16"}</definedName>
    <definedName name="fdsfsdfd" localSheetId="1" hidden="1">{"'Sheet1'!$L$16"}</definedName>
    <definedName name="fdsfsdfd" localSheetId="2" hidden="1">{"'Sheet1'!$L$16"}</definedName>
    <definedName name="fdsfsdfd" localSheetId="12" hidden="1">{"'Sheet1'!$L$16"}</definedName>
    <definedName name="fdsfsdfd" localSheetId="4" hidden="1">{"'Sheet1'!$L$16"}</definedName>
    <definedName name="fdsfsdfd" localSheetId="19" hidden="1">{"'Sheet1'!$L$16"}</definedName>
    <definedName name="fdsfsdfd" localSheetId="10" hidden="1">{"'Sheet1'!$L$16"}</definedName>
    <definedName name="fdsfsdfd" localSheetId="9" hidden="1">{"'Sheet1'!$L$16"}</definedName>
    <definedName name="fdsfsdfd" localSheetId="8" hidden="1">{"'Sheet1'!$L$16"}</definedName>
    <definedName name="fdsfsdfd" localSheetId="3" hidden="1">{"'Sheet1'!$L$16"}</definedName>
    <definedName name="fdsfsdfd" localSheetId="6" hidden="1">{"'Sheet1'!$L$16"}</definedName>
    <definedName name="fdsfsdfd" localSheetId="7" hidden="1">{"'Sheet1'!$L$16"}</definedName>
    <definedName name="fdsfsdfd" localSheetId="5" hidden="1">{"'Sheet1'!$L$16"}</definedName>
    <definedName name="fdsfsdfd" localSheetId="13" hidden="1">{"'Sheet1'!$L$16"}</definedName>
    <definedName name="fdsfsdfd" hidden="1">{"'Sheet1'!$L$16"}</definedName>
    <definedName name="FDSG" localSheetId="18" hidden="1">{#N/A,#N/A,FALSE,"CCTV"}</definedName>
    <definedName name="FDSG" hidden="1">{#N/A,#N/A,FALSE,"CCTV"}</definedName>
    <definedName name="fe" localSheetId="18" hidden="1">{"'Sheet1'!$L$16"}</definedName>
    <definedName name="fe" hidden="1">{"'Sheet1'!$L$16"}</definedName>
    <definedName name="Fenster">#REF!</definedName>
    <definedName name="ff" localSheetId="16" hidden="1">{"'Sheet1'!$L$16"}</definedName>
    <definedName name="ff" localSheetId="18" hidden="1">{"'Sheet1'!$L$16"}</definedName>
    <definedName name="ff" localSheetId="11" hidden="1">{"'Sheet1'!$L$16"}</definedName>
    <definedName name="ff" localSheetId="1" hidden="1">{"'Sheet1'!$L$16"}</definedName>
    <definedName name="ff" localSheetId="2" hidden="1">{"'Sheet1'!$L$16"}</definedName>
    <definedName name="ff" localSheetId="17" hidden="1">{"'Sheet1'!$L$16"}</definedName>
    <definedName name="ff" localSheetId="12" hidden="1">{"'Sheet1'!$L$16"}</definedName>
    <definedName name="ff" localSheetId="4" hidden="1">{"'Sheet1'!$L$16"}</definedName>
    <definedName name="ff" localSheetId="19" hidden="1">{"'Sheet1'!$L$16"}</definedName>
    <definedName name="ff" localSheetId="10" hidden="1">{"'Sheet1'!$L$16"}</definedName>
    <definedName name="ff" localSheetId="9" hidden="1">{"'Sheet1'!$L$16"}</definedName>
    <definedName name="ff" localSheetId="8" hidden="1">{"'Sheet1'!$L$16"}</definedName>
    <definedName name="ff" localSheetId="3" hidden="1">{"'Sheet1'!$L$16"}</definedName>
    <definedName name="ff" localSheetId="6" hidden="1">{"'Sheet1'!$L$16"}</definedName>
    <definedName name="ff" localSheetId="7" hidden="1">{"'Sheet1'!$L$16"}</definedName>
    <definedName name="ff" localSheetId="5" hidden="1">{"'Sheet1'!$L$16"}</definedName>
    <definedName name="ff" localSheetId="13" hidden="1">{"'Sheet1'!$L$16"}</definedName>
    <definedName name="ff" hidden="1">{"'Sheet1'!$L$16"}</definedName>
    <definedName name="ffas" localSheetId="16" hidden="1">{"'Sheet1'!$L$16"}</definedName>
    <definedName name="ffas" localSheetId="18" hidden="1">{"'Sheet1'!$L$16"}</definedName>
    <definedName name="ffas" localSheetId="11" hidden="1">{"'Sheet1'!$L$16"}</definedName>
    <definedName name="ffas" localSheetId="1" hidden="1">{"'Sheet1'!$L$16"}</definedName>
    <definedName name="ffas" localSheetId="2" hidden="1">{"'Sheet1'!$L$16"}</definedName>
    <definedName name="ffas" localSheetId="17" hidden="1">{"'Sheet1'!$L$16"}</definedName>
    <definedName name="ffas" localSheetId="12" hidden="1">{"'Sheet1'!$L$16"}</definedName>
    <definedName name="ffas" localSheetId="4" hidden="1">{"'Sheet1'!$L$16"}</definedName>
    <definedName name="ffas" localSheetId="19" hidden="1">{"'Sheet1'!$L$16"}</definedName>
    <definedName name="ffas" localSheetId="10" hidden="1">{"'Sheet1'!$L$16"}</definedName>
    <definedName name="ffas" localSheetId="9" hidden="1">{"'Sheet1'!$L$16"}</definedName>
    <definedName name="ffas" localSheetId="8" hidden="1">{"'Sheet1'!$L$16"}</definedName>
    <definedName name="ffas" localSheetId="3" hidden="1">{"'Sheet1'!$L$16"}</definedName>
    <definedName name="ffas" localSheetId="6" hidden="1">{"'Sheet1'!$L$16"}</definedName>
    <definedName name="ffas" localSheetId="7" hidden="1">{"'Sheet1'!$L$16"}</definedName>
    <definedName name="ffas" localSheetId="5" hidden="1">{"'Sheet1'!$L$16"}</definedName>
    <definedName name="ffas" localSheetId="13" hidden="1">{"'Sheet1'!$L$16"}</definedName>
    <definedName name="ffas" hidden="1">{"'Sheet1'!$L$16"}</definedName>
    <definedName name="fff" localSheetId="18" hidden="1">{#N/A,#N/A,FALSE,"BLOW";#N/A,#N/A,FALSE,"EXPAND";#N/A,#N/A,FALSE,"DRUM";#N/A,#N/A,FALSE,"DRYER";#N/A,#N/A,FALSE,"EXCH";#N/A,#N/A,FALSE,"FILTER";#N/A,#N/A,FALSE,"FURN";#N/A,#N/A,FALSE,"AGITATE";#N/A,#N/A,FALSE,"PUMP";#N/A,#N/A,FALSE,"REACT";#N/A,#N/A,FALSE,"TANK";#N/A,#N/A,FALSE,"TOWER";#N/A,#N/A,FALSE,"GEN"}</definedName>
    <definedName name="fff" localSheetId="11" hidden="1">{#N/A,#N/A,FALSE,"CCTV"}</definedName>
    <definedName name="fff" localSheetId="1">#N/A</definedName>
    <definedName name="fff" localSheetId="2">#N/A</definedName>
    <definedName name="fff" localSheetId="4">#N/A</definedName>
    <definedName name="fff" localSheetId="19">#N/A</definedName>
    <definedName name="fff" localSheetId="10">#N/A</definedName>
    <definedName name="fff" localSheetId="9">#N/A</definedName>
    <definedName name="fff" localSheetId="8">#N/A</definedName>
    <definedName name="fff" localSheetId="3">#N/A</definedName>
    <definedName name="fff" localSheetId="6">#N/A</definedName>
    <definedName name="fff" localSheetId="7">#N/A</definedName>
    <definedName name="fff" localSheetId="5">#N/A</definedName>
    <definedName name="fff" hidden="1">{#N/A,#N/A,FALSE,"BLOW";#N/A,#N/A,FALSE,"EXPAND";#N/A,#N/A,FALSE,"DRUM";#N/A,#N/A,FALSE,"DRYER";#N/A,#N/A,FALSE,"EXCH";#N/A,#N/A,FALSE,"FILTER";#N/A,#N/A,FALSE,"FURN";#N/A,#N/A,FALSE,"AGITATE";#N/A,#N/A,FALSE,"PUMP";#N/A,#N/A,FALSE,"REACT";#N/A,#N/A,FALSE,"TANK";#N/A,#N/A,FALSE,"TOWER";#N/A,#N/A,FALSE,"GEN"}</definedName>
    <definedName name="ffffd" localSheetId="18" hidden="1">{#N/A,#N/A,TRUE,"SUM";#N/A,#N/A,TRUE,"EE";#N/A,#N/A,TRUE,"AC";#N/A,#N/A,TRUE,"SN"}</definedName>
    <definedName name="ffffd" hidden="1">{#N/A,#N/A,TRUE,"SUM";#N/A,#N/A,TRUE,"EE";#N/A,#N/A,TRUE,"AC";#N/A,#N/A,TRUE,"SN"}</definedName>
    <definedName name="fffff" localSheetId="18" hidden="1">{#N/A,#N/A,TRUE,"Basic";#N/A,#N/A,TRUE,"EXT-TABLE";#N/A,#N/A,TRUE,"STEEL";#N/A,#N/A,TRUE,"INT-Table";#N/A,#N/A,TRUE,"STEEL";#N/A,#N/A,TRUE,"Door"}</definedName>
    <definedName name="FFFFF" localSheetId="11" hidden="1">{#N/A,#N/A,FALSE,"CCTV"}</definedName>
    <definedName name="FFFFF" localSheetId="1" hidden="1">{#N/A,#N/A,FALSE,"CCTV"}</definedName>
    <definedName name="FFFFF" localSheetId="2" hidden="1">{#N/A,#N/A,FALSE,"CCTV"}</definedName>
    <definedName name="FFFFF" localSheetId="4" hidden="1">{#N/A,#N/A,FALSE,"CCTV"}</definedName>
    <definedName name="FFFFF" localSheetId="19" hidden="1">{#N/A,#N/A,FALSE,"CCTV"}</definedName>
    <definedName name="FFFFF" localSheetId="10" hidden="1">{#N/A,#N/A,FALSE,"CCTV"}</definedName>
    <definedName name="FFFFF" localSheetId="9" hidden="1">{#N/A,#N/A,FALSE,"CCTV"}</definedName>
    <definedName name="FFFFF" localSheetId="8" hidden="1">{#N/A,#N/A,FALSE,"CCTV"}</definedName>
    <definedName name="FFFFF" localSheetId="3" hidden="1">{#N/A,#N/A,FALSE,"CCTV"}</definedName>
    <definedName name="FFFFF" localSheetId="6" hidden="1">{#N/A,#N/A,FALSE,"CCTV"}</definedName>
    <definedName name="FFFFF" localSheetId="7" hidden="1">{#N/A,#N/A,FALSE,"CCTV"}</definedName>
    <definedName name="FFFFF" localSheetId="5" hidden="1">{#N/A,#N/A,FALSE,"CCTV"}</definedName>
    <definedName name="fffff" hidden="1">{#N/A,#N/A,TRUE,"Basic";#N/A,#N/A,TRUE,"EXT-TABLE";#N/A,#N/A,TRUE,"STEEL";#N/A,#N/A,TRUE,"INT-Table";#N/A,#N/A,TRUE,"STEEL";#N/A,#N/A,TRUE,"Door"}</definedName>
    <definedName name="fffff_1" localSheetId="18" hidden="1">{#N/A,#N/A,TRUE,"Basic";#N/A,#N/A,TRUE,"EXT-TABLE";#N/A,#N/A,TRUE,"STEEL";#N/A,#N/A,TRUE,"INT-Table";#N/A,#N/A,TRUE,"STEEL";#N/A,#N/A,TRUE,"Door"}</definedName>
    <definedName name="fffff_1" hidden="1">{#N/A,#N/A,TRUE,"Basic";#N/A,#N/A,TRUE,"EXT-TABLE";#N/A,#N/A,TRUE,"STEEL";#N/A,#N/A,TRUE,"INT-Table";#N/A,#N/A,TRUE,"STEEL";#N/A,#N/A,TRUE,"Door"}</definedName>
    <definedName name="fffff_1_1" localSheetId="18" hidden="1">{#N/A,#N/A,TRUE,"Basic";#N/A,#N/A,TRUE,"EXT-TABLE";#N/A,#N/A,TRUE,"STEEL";#N/A,#N/A,TRUE,"INT-Table";#N/A,#N/A,TRUE,"STEEL";#N/A,#N/A,TRUE,"Door"}</definedName>
    <definedName name="fffff_1_1" hidden="1">{#N/A,#N/A,TRUE,"Basic";#N/A,#N/A,TRUE,"EXT-TABLE";#N/A,#N/A,TRUE,"STEEL";#N/A,#N/A,TRUE,"INT-Table";#N/A,#N/A,TRUE,"STEEL";#N/A,#N/A,TRUE,"Door"}</definedName>
    <definedName name="fffff_1_2" localSheetId="18" hidden="1">{#N/A,#N/A,TRUE,"Basic";#N/A,#N/A,TRUE,"EXT-TABLE";#N/A,#N/A,TRUE,"STEEL";#N/A,#N/A,TRUE,"INT-Table";#N/A,#N/A,TRUE,"STEEL";#N/A,#N/A,TRUE,"Door"}</definedName>
    <definedName name="fffff_1_2" hidden="1">{#N/A,#N/A,TRUE,"Basic";#N/A,#N/A,TRUE,"EXT-TABLE";#N/A,#N/A,TRUE,"STEEL";#N/A,#N/A,TRUE,"INT-Table";#N/A,#N/A,TRUE,"STEEL";#N/A,#N/A,TRUE,"Door"}</definedName>
    <definedName name="fffff_2" localSheetId="18" hidden="1">{#N/A,#N/A,TRUE,"Basic";#N/A,#N/A,TRUE,"EXT-TABLE";#N/A,#N/A,TRUE,"STEEL";#N/A,#N/A,TRUE,"INT-Table";#N/A,#N/A,TRUE,"STEEL";#N/A,#N/A,TRUE,"Door"}</definedName>
    <definedName name="fffff_2" hidden="1">{#N/A,#N/A,TRUE,"Basic";#N/A,#N/A,TRUE,"EXT-TABLE";#N/A,#N/A,TRUE,"STEEL";#N/A,#N/A,TRUE,"INT-Table";#N/A,#N/A,TRUE,"STEEL";#N/A,#N/A,TRUE,"Door"}</definedName>
    <definedName name="fffff_2_1" localSheetId="18" hidden="1">{#N/A,#N/A,TRUE,"Basic";#N/A,#N/A,TRUE,"EXT-TABLE";#N/A,#N/A,TRUE,"STEEL";#N/A,#N/A,TRUE,"INT-Table";#N/A,#N/A,TRUE,"STEEL";#N/A,#N/A,TRUE,"Door"}</definedName>
    <definedName name="fffff_2_1" hidden="1">{#N/A,#N/A,TRUE,"Basic";#N/A,#N/A,TRUE,"EXT-TABLE";#N/A,#N/A,TRUE,"STEEL";#N/A,#N/A,TRUE,"INT-Table";#N/A,#N/A,TRUE,"STEEL";#N/A,#N/A,TRUE,"Door"}</definedName>
    <definedName name="fffff_2_2" localSheetId="18" hidden="1">{#N/A,#N/A,TRUE,"Basic";#N/A,#N/A,TRUE,"EXT-TABLE";#N/A,#N/A,TRUE,"STEEL";#N/A,#N/A,TRUE,"INT-Table";#N/A,#N/A,TRUE,"STEEL";#N/A,#N/A,TRUE,"Door"}</definedName>
    <definedName name="fffff_2_2" hidden="1">{#N/A,#N/A,TRUE,"Basic";#N/A,#N/A,TRUE,"EXT-TABLE";#N/A,#N/A,TRUE,"STEEL";#N/A,#N/A,TRUE,"INT-Table";#N/A,#N/A,TRUE,"STEEL";#N/A,#N/A,TRUE,"Door"}</definedName>
    <definedName name="fffff_3" localSheetId="18" hidden="1">{#N/A,#N/A,TRUE,"Basic";#N/A,#N/A,TRUE,"EXT-TABLE";#N/A,#N/A,TRUE,"STEEL";#N/A,#N/A,TRUE,"INT-Table";#N/A,#N/A,TRUE,"STEEL";#N/A,#N/A,TRUE,"Door"}</definedName>
    <definedName name="fffff_3" hidden="1">{#N/A,#N/A,TRUE,"Basic";#N/A,#N/A,TRUE,"EXT-TABLE";#N/A,#N/A,TRUE,"STEEL";#N/A,#N/A,TRUE,"INT-Table";#N/A,#N/A,TRUE,"STEEL";#N/A,#N/A,TRUE,"Door"}</definedName>
    <definedName name="fffff_3_1" localSheetId="18" hidden="1">{#N/A,#N/A,TRUE,"Basic";#N/A,#N/A,TRUE,"EXT-TABLE";#N/A,#N/A,TRUE,"STEEL";#N/A,#N/A,TRUE,"INT-Table";#N/A,#N/A,TRUE,"STEEL";#N/A,#N/A,TRUE,"Door"}</definedName>
    <definedName name="fffff_3_1" hidden="1">{#N/A,#N/A,TRUE,"Basic";#N/A,#N/A,TRUE,"EXT-TABLE";#N/A,#N/A,TRUE,"STEEL";#N/A,#N/A,TRUE,"INT-Table";#N/A,#N/A,TRUE,"STEEL";#N/A,#N/A,TRUE,"Door"}</definedName>
    <definedName name="fffff_3_2" localSheetId="18" hidden="1">{#N/A,#N/A,TRUE,"Basic";#N/A,#N/A,TRUE,"EXT-TABLE";#N/A,#N/A,TRUE,"STEEL";#N/A,#N/A,TRUE,"INT-Table";#N/A,#N/A,TRUE,"STEEL";#N/A,#N/A,TRUE,"Door"}</definedName>
    <definedName name="fffff_3_2" hidden="1">{#N/A,#N/A,TRUE,"Basic";#N/A,#N/A,TRUE,"EXT-TABLE";#N/A,#N/A,TRUE,"STEEL";#N/A,#N/A,TRUE,"INT-Table";#N/A,#N/A,TRUE,"STEEL";#N/A,#N/A,TRUE,"Door"}</definedName>
    <definedName name="fffff_4" localSheetId="18" hidden="1">{#N/A,#N/A,TRUE,"Basic";#N/A,#N/A,TRUE,"EXT-TABLE";#N/A,#N/A,TRUE,"STEEL";#N/A,#N/A,TRUE,"INT-Table";#N/A,#N/A,TRUE,"STEEL";#N/A,#N/A,TRUE,"Door"}</definedName>
    <definedName name="fffff_4" hidden="1">{#N/A,#N/A,TRUE,"Basic";#N/A,#N/A,TRUE,"EXT-TABLE";#N/A,#N/A,TRUE,"STEEL";#N/A,#N/A,TRUE,"INT-Table";#N/A,#N/A,TRUE,"STEEL";#N/A,#N/A,TRUE,"Door"}</definedName>
    <definedName name="fffff_4_1" localSheetId="18" hidden="1">{#N/A,#N/A,TRUE,"Basic";#N/A,#N/A,TRUE,"EXT-TABLE";#N/A,#N/A,TRUE,"STEEL";#N/A,#N/A,TRUE,"INT-Table";#N/A,#N/A,TRUE,"STEEL";#N/A,#N/A,TRUE,"Door"}</definedName>
    <definedName name="fffff_4_1" hidden="1">{#N/A,#N/A,TRUE,"Basic";#N/A,#N/A,TRUE,"EXT-TABLE";#N/A,#N/A,TRUE,"STEEL";#N/A,#N/A,TRUE,"INT-Table";#N/A,#N/A,TRUE,"STEEL";#N/A,#N/A,TRUE,"Door"}</definedName>
    <definedName name="fffff_4_2" localSheetId="18" hidden="1">{#N/A,#N/A,TRUE,"Basic";#N/A,#N/A,TRUE,"EXT-TABLE";#N/A,#N/A,TRUE,"STEEL";#N/A,#N/A,TRUE,"INT-Table";#N/A,#N/A,TRUE,"STEEL";#N/A,#N/A,TRUE,"Door"}</definedName>
    <definedName name="fffff_4_2" hidden="1">{#N/A,#N/A,TRUE,"Basic";#N/A,#N/A,TRUE,"EXT-TABLE";#N/A,#N/A,TRUE,"STEEL";#N/A,#N/A,TRUE,"INT-Table";#N/A,#N/A,TRUE,"STEEL";#N/A,#N/A,TRUE,"Door"}</definedName>
    <definedName name="fffff_5" localSheetId="18" hidden="1">{#N/A,#N/A,TRUE,"Basic";#N/A,#N/A,TRUE,"EXT-TABLE";#N/A,#N/A,TRUE,"STEEL";#N/A,#N/A,TRUE,"INT-Table";#N/A,#N/A,TRUE,"STEEL";#N/A,#N/A,TRUE,"Door"}</definedName>
    <definedName name="fffff_5" hidden="1">{#N/A,#N/A,TRUE,"Basic";#N/A,#N/A,TRUE,"EXT-TABLE";#N/A,#N/A,TRUE,"STEEL";#N/A,#N/A,TRUE,"INT-Table";#N/A,#N/A,TRUE,"STEEL";#N/A,#N/A,TRUE,"Door"}</definedName>
    <definedName name="fffff_5_1" localSheetId="18" hidden="1">{#N/A,#N/A,TRUE,"Basic";#N/A,#N/A,TRUE,"EXT-TABLE";#N/A,#N/A,TRUE,"STEEL";#N/A,#N/A,TRUE,"INT-Table";#N/A,#N/A,TRUE,"STEEL";#N/A,#N/A,TRUE,"Door"}</definedName>
    <definedName name="fffff_5_1" hidden="1">{#N/A,#N/A,TRUE,"Basic";#N/A,#N/A,TRUE,"EXT-TABLE";#N/A,#N/A,TRUE,"STEEL";#N/A,#N/A,TRUE,"INT-Table";#N/A,#N/A,TRUE,"STEEL";#N/A,#N/A,TRUE,"Door"}</definedName>
    <definedName name="fffff_5_2" localSheetId="18" hidden="1">{#N/A,#N/A,TRUE,"Basic";#N/A,#N/A,TRUE,"EXT-TABLE";#N/A,#N/A,TRUE,"STEEL";#N/A,#N/A,TRUE,"INT-Table";#N/A,#N/A,TRUE,"STEEL";#N/A,#N/A,TRUE,"Door"}</definedName>
    <definedName name="fffff_5_2" hidden="1">{#N/A,#N/A,TRUE,"Basic";#N/A,#N/A,TRUE,"EXT-TABLE";#N/A,#N/A,TRUE,"STEEL";#N/A,#N/A,TRUE,"INT-Table";#N/A,#N/A,TRUE,"STEEL";#N/A,#N/A,TRUE,"Door"}</definedName>
    <definedName name="ffffff" localSheetId="18" hidden="1">{#N/A,#N/A,FALSE,"CCTV"}</definedName>
    <definedName name="ffffff" localSheetId="11" hidden="1">{#N/A,#N/A,FALSE,"CCTV"}</definedName>
    <definedName name="ffffff" localSheetId="1" hidden="1">{#N/A,#N/A,FALSE,"CCTV"}</definedName>
    <definedName name="ffffff" localSheetId="2" hidden="1">{#N/A,#N/A,FALSE,"CCTV"}</definedName>
    <definedName name="ffffff" localSheetId="4" hidden="1">{#N/A,#N/A,FALSE,"CCTV"}</definedName>
    <definedName name="ffffff" localSheetId="19" hidden="1">{#N/A,#N/A,FALSE,"CCTV"}</definedName>
    <definedName name="ffffff" localSheetId="10" hidden="1">{#N/A,#N/A,FALSE,"CCTV"}</definedName>
    <definedName name="ffffff" localSheetId="9" hidden="1">{#N/A,#N/A,FALSE,"CCTV"}</definedName>
    <definedName name="ffffff" localSheetId="8" hidden="1">{#N/A,#N/A,FALSE,"CCTV"}</definedName>
    <definedName name="ffffff" localSheetId="3" hidden="1">{#N/A,#N/A,FALSE,"CCTV"}</definedName>
    <definedName name="ffffff" localSheetId="6" hidden="1">{#N/A,#N/A,FALSE,"CCTV"}</definedName>
    <definedName name="ffffff" localSheetId="7" hidden="1">{#N/A,#N/A,FALSE,"CCTV"}</definedName>
    <definedName name="ffffff" localSheetId="5" hidden="1">{#N/A,#N/A,FALSE,"CCTV"}</definedName>
    <definedName name="ffffff" hidden="1">{#N/A,#N/A,FALSE,"CCTV"}</definedName>
    <definedName name="FFFFFFFF" hidden="1">#REF!</definedName>
    <definedName name="fffffffffffffff" localSheetId="18" hidden="1">{"'Sheet1'!$L$16"}</definedName>
    <definedName name="fffffffffffffff" localSheetId="11" hidden="1">{"'Sheet1'!$L$16"}</definedName>
    <definedName name="fffffffffffffff" localSheetId="1" hidden="1">{"'Sheet1'!$L$16"}</definedName>
    <definedName name="fffffffffffffff" localSheetId="2" hidden="1">{"'Sheet1'!$L$16"}</definedName>
    <definedName name="fffffffffffffff" localSheetId="12" hidden="1">{"'Sheet1'!$L$16"}</definedName>
    <definedName name="fffffffffffffff" localSheetId="4" hidden="1">{"'Sheet1'!$L$16"}</definedName>
    <definedName name="fffffffffffffff" localSheetId="19" hidden="1">{"'Sheet1'!$L$16"}</definedName>
    <definedName name="fffffffffffffff" localSheetId="10" hidden="1">{"'Sheet1'!$L$16"}</definedName>
    <definedName name="fffffffffffffff" localSheetId="9" hidden="1">{"'Sheet1'!$L$16"}</definedName>
    <definedName name="fffffffffffffff" localSheetId="8" hidden="1">{"'Sheet1'!$L$16"}</definedName>
    <definedName name="fffffffffffffff" localSheetId="3" hidden="1">{"'Sheet1'!$L$16"}</definedName>
    <definedName name="fffffffffffffff" localSheetId="6" hidden="1">{"'Sheet1'!$L$16"}</definedName>
    <definedName name="fffffffffffffff" localSheetId="7" hidden="1">{"'Sheet1'!$L$16"}</definedName>
    <definedName name="fffffffffffffff" localSheetId="5" hidden="1">{"'Sheet1'!$L$16"}</definedName>
    <definedName name="fffffffffffffff" localSheetId="13" hidden="1">{"'Sheet1'!$L$16"}</definedName>
    <definedName name="fffffffffffffff" hidden="1">{"'Sheet1'!$L$16"}</definedName>
    <definedName name="fffffffg" localSheetId="18" hidden="1">{"'장비'!$A$3:$M$12"}</definedName>
    <definedName name="fffffffg" hidden="1">{"'장비'!$A$3:$M$12"}</definedName>
    <definedName name="ffgfg" localSheetId="18" hidden="1">{"'장비'!$A$3:$M$12"}</definedName>
    <definedName name="ffgfg" hidden="1">{"'장비'!$A$3:$M$12"}</definedName>
    <definedName name="fg" localSheetId="16" hidden="1">{"'Sheet1'!$L$16"}</definedName>
    <definedName name="fg" localSheetId="18" hidden="1">{"'Sheet1'!$L$16"}</definedName>
    <definedName name="fg" localSheetId="17" hidden="1">{"'Sheet1'!$L$16"}</definedName>
    <definedName name="fg" hidden="1">{"'Sheet1'!$L$16"}</definedName>
    <definedName name="FGF" localSheetId="18" hidden="1">{#N/A,#N/A,FALSE,"CCTV"}</definedName>
    <definedName name="FGF" localSheetId="11" hidden="1">{#N/A,#N/A,FALSE,"CCTV"}</definedName>
    <definedName name="FGF" localSheetId="1" hidden="1">{#N/A,#N/A,FALSE,"CCTV"}</definedName>
    <definedName name="FGF" localSheetId="2" hidden="1">{#N/A,#N/A,FALSE,"CCTV"}</definedName>
    <definedName name="FGF" localSheetId="4" hidden="1">{#N/A,#N/A,FALSE,"CCTV"}</definedName>
    <definedName name="FGF" localSheetId="19" hidden="1">{#N/A,#N/A,FALSE,"CCTV"}</definedName>
    <definedName name="FGF" localSheetId="10" hidden="1">{#N/A,#N/A,FALSE,"CCTV"}</definedName>
    <definedName name="FGF" localSheetId="9" hidden="1">{#N/A,#N/A,FALSE,"CCTV"}</definedName>
    <definedName name="FGF" localSheetId="8" hidden="1">{#N/A,#N/A,FALSE,"CCTV"}</definedName>
    <definedName name="FGF" localSheetId="3" hidden="1">{#N/A,#N/A,FALSE,"CCTV"}</definedName>
    <definedName name="FGF" localSheetId="6" hidden="1">{#N/A,#N/A,FALSE,"CCTV"}</definedName>
    <definedName name="FGF" localSheetId="7" hidden="1">{#N/A,#N/A,FALSE,"CCTV"}</definedName>
    <definedName name="FGF" localSheetId="5" hidden="1">{#N/A,#N/A,FALSE,"CCTV"}</definedName>
    <definedName name="FGF" hidden="1">{#N/A,#N/A,FALSE,"CCTV"}</definedName>
    <definedName name="fgfd"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localSheetId="18" hidden="1">{#N/A,#N/A,TRUE,"SUM";#N/A,#N/A,TRUE,"EE";#N/A,#N/A,TRUE,"AC";#N/A,#N/A,TRUE,"SN"}</definedName>
    <definedName name="fgff" hidden="1">{#N/A,#N/A,TRUE,"SUM";#N/A,#N/A,TRUE,"EE";#N/A,#N/A,TRUE,"AC";#N/A,#N/A,TRUE,"SN"}</definedName>
    <definedName name="fgg" localSheetId="18" hidden="1">{"'장비'!$A$3:$M$12"}</definedName>
    <definedName name="fgg" hidden="1">{"'장비'!$A$3:$M$12"}</definedName>
    <definedName name="FGGHJ" localSheetId="18" hidden="1">{#N/A,#N/A,FALSE,"CCTV"}</definedName>
    <definedName name="FGGHJ" hidden="1">{#N/A,#N/A,FALSE,"CCTV"}</definedName>
    <definedName name="FGJFG" localSheetId="18" hidden="1">{#N/A,#N/A,FALSE,"배수2"}</definedName>
    <definedName name="FGJFG" hidden="1">{#N/A,#N/A,FALSE,"배수2"}</definedName>
    <definedName name="FGJFK" localSheetId="18" hidden="1">{#N/A,#N/A,FALSE,"구조2"}</definedName>
    <definedName name="FGJFK" hidden="1">{#N/A,#N/A,FALSE,"구조2"}</definedName>
    <definedName name="FGJGFJGF" localSheetId="18" hidden="1">{#N/A,#N/A,FALSE,"포장2"}</definedName>
    <definedName name="FGJGFJGF" hidden="1">{#N/A,#N/A,FALSE,"포장2"}</definedName>
    <definedName name="FGJGFJGH" localSheetId="18" hidden="1">{#N/A,#N/A,FALSE,"구조2"}</definedName>
    <definedName name="FGJGFJGH" hidden="1">{#N/A,#N/A,FALSE,"구조2"}</definedName>
    <definedName name="FGJGFTTJGHK" localSheetId="18" hidden="1">{#N/A,#N/A,FALSE,"배수2"}</definedName>
    <definedName name="FGJGFTTJGHK" hidden="1">{#N/A,#N/A,FALSE,"배수2"}</definedName>
    <definedName name="FGJGHJ" localSheetId="18" hidden="1">{#N/A,#N/A,FALSE,"속도"}</definedName>
    <definedName name="FGJGHJ" hidden="1">{#N/A,#N/A,FALSE,"속도"}</definedName>
    <definedName name="FGJGJG" localSheetId="18" hidden="1">{#N/A,#N/A,FALSE,"배수1"}</definedName>
    <definedName name="FGJGJG" hidden="1">{#N/A,#N/A,FALSE,"배수1"}</definedName>
    <definedName name="FGJHGFJG" localSheetId="18" hidden="1">{#N/A,#N/A,FALSE,"구조2"}</definedName>
    <definedName name="FGJHGFJG" hidden="1">{#N/A,#N/A,FALSE,"구조2"}</definedName>
    <definedName name="fgtg"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localSheetId="18" hidden="1">{#N/A,#N/A,FALSE,"CCTV"}</definedName>
    <definedName name="fhgjfghfghgf" localSheetId="11" hidden="1">{#N/A,#N/A,FALSE,"CCTV"}</definedName>
    <definedName name="fhgjfghfghgf" localSheetId="1" hidden="1">{#N/A,#N/A,FALSE,"CCTV"}</definedName>
    <definedName name="fhgjfghfghgf" localSheetId="2" hidden="1">{#N/A,#N/A,FALSE,"CCTV"}</definedName>
    <definedName name="fhgjfghfghgf" localSheetId="4" hidden="1">{#N/A,#N/A,FALSE,"CCTV"}</definedName>
    <definedName name="fhgjfghfghgf" localSheetId="19" hidden="1">{#N/A,#N/A,FALSE,"CCTV"}</definedName>
    <definedName name="fhgjfghfghgf" localSheetId="10" hidden="1">{#N/A,#N/A,FALSE,"CCTV"}</definedName>
    <definedName name="fhgjfghfghgf" localSheetId="9" hidden="1">{#N/A,#N/A,FALSE,"CCTV"}</definedName>
    <definedName name="fhgjfghfghgf" localSheetId="8" hidden="1">{#N/A,#N/A,FALSE,"CCTV"}</definedName>
    <definedName name="fhgjfghfghgf" localSheetId="3" hidden="1">{#N/A,#N/A,FALSE,"CCTV"}</definedName>
    <definedName name="fhgjfghfghgf" localSheetId="6" hidden="1">{#N/A,#N/A,FALSE,"CCTV"}</definedName>
    <definedName name="fhgjfghfghgf" localSheetId="7" hidden="1">{#N/A,#N/A,FALSE,"CCTV"}</definedName>
    <definedName name="fhgjfghfghgf" localSheetId="5" hidden="1">{#N/A,#N/A,FALSE,"CCTV"}</definedName>
    <definedName name="fhgjfghfghgf" hidden="1">{#N/A,#N/A,FALSE,"CCTV"}</definedName>
    <definedName name="fi" hidden="1">#REF!</definedName>
    <definedName name="FILENAME">#REF!</definedName>
    <definedName name="filename1">#REF!</definedName>
    <definedName name="fill">#REF!</definedName>
    <definedName name="FILLED" hidden="1">#REF!</definedName>
    <definedName name="fillt" hidden="1">#REF!</definedName>
    <definedName name="Filter_Area">#REF!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ttingWeightDat">[75]WeightTable!$H:$I</definedName>
    <definedName name="FJHGJK" localSheetId="18" hidden="1">{#N/A,#N/A,FALSE,"운반시간"}</definedName>
    <definedName name="FJHGJK" hidden="1">{#N/A,#N/A,FALSE,"운반시간"}</definedName>
    <definedName name="FLG">#REF!</definedName>
    <definedName name="Floor">#REF!</definedName>
    <definedName name="Flow_Area" localSheetId="11">'[41]Noise (3)'!$O$57</definedName>
    <definedName name="Flow_Area" localSheetId="1">'[41]Noise (3)'!$O$57</definedName>
    <definedName name="Flow_Area" localSheetId="2">'[41]Noise (3)'!$O$57</definedName>
    <definedName name="Flow_Area" localSheetId="4">'[41]Noise (3)'!$O$57</definedName>
    <definedName name="Flow_Area" localSheetId="19">'[41]Noise (3)'!$O$57</definedName>
    <definedName name="Flow_Area" localSheetId="10">'[41]Noise (3)'!$O$57</definedName>
    <definedName name="Flow_Area" localSheetId="9">'[41]Noise (3)'!$O$57</definedName>
    <definedName name="Flow_Area" localSheetId="8">'[41]Noise (3)'!$O$57</definedName>
    <definedName name="Flow_Area" localSheetId="3">'[41]Noise (3)'!$O$57</definedName>
    <definedName name="Flow_Area" localSheetId="6">'[41]Noise (3)'!$O$57</definedName>
    <definedName name="Flow_Area" localSheetId="7">'[41]Noise (3)'!$O$57</definedName>
    <definedName name="Flow_Area" localSheetId="5">'[41]Noise (3)'!$O$57</definedName>
    <definedName name="Flow_Area">#REF!</definedName>
    <definedName name="Flow_Rate" localSheetId="11">'[41]Noise (3)'!$C$4</definedName>
    <definedName name="Flow_Rate" localSheetId="1">'[41]Noise (3)'!$C$4</definedName>
    <definedName name="Flow_Rate" localSheetId="2">'[41]Noise (3)'!$C$4</definedName>
    <definedName name="Flow_Rate" localSheetId="4">'[41]Noise (3)'!$C$4</definedName>
    <definedName name="Flow_Rate" localSheetId="19">'[41]Noise (3)'!$C$4</definedName>
    <definedName name="Flow_Rate" localSheetId="10">'[41]Noise (3)'!$C$4</definedName>
    <definedName name="Flow_Rate" localSheetId="9">'[41]Noise (3)'!$C$4</definedName>
    <definedName name="Flow_Rate" localSheetId="8">'[41]Noise (3)'!$C$4</definedName>
    <definedName name="Flow_Rate" localSheetId="3">'[41]Noise (3)'!$C$4</definedName>
    <definedName name="Flow_Rate" localSheetId="6">'[41]Noise (3)'!$C$4</definedName>
    <definedName name="Flow_Rate" localSheetId="7">'[41]Noise (3)'!$C$4</definedName>
    <definedName name="Flow_Rate" localSheetId="5">'[41]Noise (3)'!$C$4</definedName>
    <definedName name="Flow_Rate">#REF!</definedName>
    <definedName name="Flow_Temp" localSheetId="11">'[41]Noise (3)'!$C$5</definedName>
    <definedName name="Flow_Temp" localSheetId="1">'[41]Noise (3)'!$C$5</definedName>
    <definedName name="Flow_Temp" localSheetId="2">'[41]Noise (3)'!$C$5</definedName>
    <definedName name="Flow_Temp" localSheetId="4">'[41]Noise (3)'!$C$5</definedName>
    <definedName name="Flow_Temp" localSheetId="19">'[41]Noise (3)'!$C$5</definedName>
    <definedName name="Flow_Temp" localSheetId="10">'[41]Noise (3)'!$C$5</definedName>
    <definedName name="Flow_Temp" localSheetId="9">'[41]Noise (3)'!$C$5</definedName>
    <definedName name="Flow_Temp" localSheetId="8">'[41]Noise (3)'!$C$5</definedName>
    <definedName name="Flow_Temp" localSheetId="3">'[41]Noise (3)'!$C$5</definedName>
    <definedName name="Flow_Temp" localSheetId="6">'[41]Noise (3)'!$C$5</definedName>
    <definedName name="Flow_Temp" localSheetId="7">'[41]Noise (3)'!$C$5</definedName>
    <definedName name="Flow_Temp" localSheetId="5">'[41]Noise (3)'!$C$5</definedName>
    <definedName name="Flow_Temp">#REF!</definedName>
    <definedName name="Flowsensor">#REF!</definedName>
    <definedName name="FM1JobInfo\174xx\17464\Thermal9S9Documents\Performance\V17464_Termozulia_Rev03.dat" hidden="1">#REF!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hidden="1">#REF!</definedName>
    <definedName name="FM1ProposalWork\2011\1072\Design\Design9S9A\TRS\P9M91072A5.dat" hidden="1">#REF!</definedName>
    <definedName name="FM1ProposalWork\2012\2036\Design\Design9S9C\TRS\P9M92036C29S99M99S9Base9S9Model.tdb" hidden="1">#REF!</definedName>
    <definedName name="FM1ProposalWork\2012\2072\Design\Design9S9A\TRS\2072A_Rev059S99M99S9Option9S9A.tdb" hidden="1">#REF!</definedName>
    <definedName name="FM1ProposalWork\2012\2072\Design\Design9S9A\TRS\2072A_Rev069S99M99S9Option9S9A.tdb" hidden="1">#REF!</definedName>
    <definedName name="FM1ProposalWork\2012\2072\Design\Design9S9B\TRS\2072B_RHAtt9S99M99S9Rev00.tdb" hidden="1">#REF!</definedName>
    <definedName name="FM1ProposalWork\2012\2072\Design\Design9S9D9S9Low9S9Cost\TRS\P2072D19S99M99S9Rev00.dat" hidden="1">#REF!</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hidden="1">#REF!</definedName>
    <definedName name="FM1ProposalWork\2013\3051\Design\Design9S9G9S99M99S9Bent9S9Serrated\TRS\P3051G9S9rev09S99M99S9Base.dat" hidden="1">#REF!</definedName>
    <definedName name="FM1ProposalWork\2013\3507\Design\Design9S9D\TRS\P3507D49S99M99S9D0.dat" hidden="1">#REF!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R" localSheetId="18" hidden="1">{#N/A,#N/A,FALSE,"CCTV"}</definedName>
    <definedName name="For" localSheetId="11">'[67]Data Input'!$G$3</definedName>
    <definedName name="For" localSheetId="1">'[67]Data Input'!$G$3</definedName>
    <definedName name="For" localSheetId="2">'[67]Data Input'!$G$3</definedName>
    <definedName name="For" localSheetId="4">'[67]Data Input'!$G$3</definedName>
    <definedName name="For" localSheetId="19">'[67]Data Input'!$G$3</definedName>
    <definedName name="For" localSheetId="10">'[67]Data Input'!$G$3</definedName>
    <definedName name="For" localSheetId="9">'[67]Data Input'!$G$3</definedName>
    <definedName name="For" localSheetId="8">'[67]Data Input'!$G$3</definedName>
    <definedName name="For" localSheetId="3">'[67]Data Input'!$G$3</definedName>
    <definedName name="For" localSheetId="6">'[67]Data Input'!$G$3</definedName>
    <definedName name="For" localSheetId="7">'[67]Data Input'!$G$3</definedName>
    <definedName name="For" localSheetId="5">'[67]Data Input'!$G$3</definedName>
    <definedName name="FOR" hidden="1">{#N/A,#N/A,FALSE,"CCTV"}</definedName>
    <definedName name="FORMAT" localSheetId="18" hidden="1">{#N/A,#N/A,FALSE,"CCTV"}</definedName>
    <definedName name="FORMAT" hidden="1">{#N/A,#N/A,FALSE,"CCTV"}</definedName>
    <definedName name="FOS">#REF!</definedName>
    <definedName name="fr" localSheetId="18" hidden="1">{"'Liquid'!$A$1:$U$57"}</definedName>
    <definedName name="fr" hidden="1">{"'Liquid'!$A$1:$U$57"}</definedName>
    <definedName name="frf">#REF!</definedName>
    <definedName name="fs" localSheetId="18" hidden="1">{"'Sheet1'!$L$16"}</definedName>
    <definedName name="fs" hidden="1">{"'Sheet1'!$L$16"}</definedName>
    <definedName name="FSAFSAFSA" localSheetId="18" hidden="1">{#N/A,#N/A,FALSE,"운반시간"}</definedName>
    <definedName name="FSAFSAFSA" hidden="1">{#N/A,#N/A,FALSE,"운반시간"}</definedName>
    <definedName name="FSD" localSheetId="18" hidden="1">{#N/A,#N/A,TRUE,"Mhr_Sum"}</definedName>
    <definedName name="FSD" hidden="1">{#N/A,#N/A,TRUE,"Mhr_Sum"}</definedName>
    <definedName name="fsda" localSheetId="18" hidden="1">{#N/A,#N/A,TRUE,"Basic";#N/A,#N/A,TRUE,"EXT-TABLE";#N/A,#N/A,TRUE,"STEEL";#N/A,#N/A,TRUE,"INT-Table";#N/A,#N/A,TRUE,"STEEL";#N/A,#N/A,TRUE,"Door"}</definedName>
    <definedName name="fsda" hidden="1">{#N/A,#N/A,TRUE,"Basic";#N/A,#N/A,TRUE,"EXT-TABLE";#N/A,#N/A,TRUE,"STEEL";#N/A,#N/A,TRUE,"INT-Table";#N/A,#N/A,TRUE,"STEEL";#N/A,#N/A,TRUE,"Door"}</definedName>
    <definedName name="fsda_1" localSheetId="18" hidden="1">{#N/A,#N/A,TRUE,"Basic";#N/A,#N/A,TRUE,"EXT-TABLE";#N/A,#N/A,TRUE,"STEEL";#N/A,#N/A,TRUE,"INT-Table";#N/A,#N/A,TRUE,"STEEL";#N/A,#N/A,TRUE,"Door"}</definedName>
    <definedName name="fsda_1" hidden="1">{#N/A,#N/A,TRUE,"Basic";#N/A,#N/A,TRUE,"EXT-TABLE";#N/A,#N/A,TRUE,"STEEL";#N/A,#N/A,TRUE,"INT-Table";#N/A,#N/A,TRUE,"STEEL";#N/A,#N/A,TRUE,"Door"}</definedName>
    <definedName name="fsda_1_1" localSheetId="18" hidden="1">{#N/A,#N/A,TRUE,"Basic";#N/A,#N/A,TRUE,"EXT-TABLE";#N/A,#N/A,TRUE,"STEEL";#N/A,#N/A,TRUE,"INT-Table";#N/A,#N/A,TRUE,"STEEL";#N/A,#N/A,TRUE,"Door"}</definedName>
    <definedName name="fsda_1_1" hidden="1">{#N/A,#N/A,TRUE,"Basic";#N/A,#N/A,TRUE,"EXT-TABLE";#N/A,#N/A,TRUE,"STEEL";#N/A,#N/A,TRUE,"INT-Table";#N/A,#N/A,TRUE,"STEEL";#N/A,#N/A,TRUE,"Door"}</definedName>
    <definedName name="fsda_1_2" localSheetId="18" hidden="1">{#N/A,#N/A,TRUE,"Basic";#N/A,#N/A,TRUE,"EXT-TABLE";#N/A,#N/A,TRUE,"STEEL";#N/A,#N/A,TRUE,"INT-Table";#N/A,#N/A,TRUE,"STEEL";#N/A,#N/A,TRUE,"Door"}</definedName>
    <definedName name="fsda_1_2" hidden="1">{#N/A,#N/A,TRUE,"Basic";#N/A,#N/A,TRUE,"EXT-TABLE";#N/A,#N/A,TRUE,"STEEL";#N/A,#N/A,TRUE,"INT-Table";#N/A,#N/A,TRUE,"STEEL";#N/A,#N/A,TRUE,"Door"}</definedName>
    <definedName name="fsda_2" localSheetId="18" hidden="1">{#N/A,#N/A,TRUE,"Basic";#N/A,#N/A,TRUE,"EXT-TABLE";#N/A,#N/A,TRUE,"STEEL";#N/A,#N/A,TRUE,"INT-Table";#N/A,#N/A,TRUE,"STEEL";#N/A,#N/A,TRUE,"Door"}</definedName>
    <definedName name="fsda_2" hidden="1">{#N/A,#N/A,TRUE,"Basic";#N/A,#N/A,TRUE,"EXT-TABLE";#N/A,#N/A,TRUE,"STEEL";#N/A,#N/A,TRUE,"INT-Table";#N/A,#N/A,TRUE,"STEEL";#N/A,#N/A,TRUE,"Door"}</definedName>
    <definedName name="fsda_2_1" localSheetId="18" hidden="1">{#N/A,#N/A,TRUE,"Basic";#N/A,#N/A,TRUE,"EXT-TABLE";#N/A,#N/A,TRUE,"STEEL";#N/A,#N/A,TRUE,"INT-Table";#N/A,#N/A,TRUE,"STEEL";#N/A,#N/A,TRUE,"Door"}</definedName>
    <definedName name="fsda_2_1" hidden="1">{#N/A,#N/A,TRUE,"Basic";#N/A,#N/A,TRUE,"EXT-TABLE";#N/A,#N/A,TRUE,"STEEL";#N/A,#N/A,TRUE,"INT-Table";#N/A,#N/A,TRUE,"STEEL";#N/A,#N/A,TRUE,"Door"}</definedName>
    <definedName name="fsda_2_2" localSheetId="18" hidden="1">{#N/A,#N/A,TRUE,"Basic";#N/A,#N/A,TRUE,"EXT-TABLE";#N/A,#N/A,TRUE,"STEEL";#N/A,#N/A,TRUE,"INT-Table";#N/A,#N/A,TRUE,"STEEL";#N/A,#N/A,TRUE,"Door"}</definedName>
    <definedName name="fsda_2_2" hidden="1">{#N/A,#N/A,TRUE,"Basic";#N/A,#N/A,TRUE,"EXT-TABLE";#N/A,#N/A,TRUE,"STEEL";#N/A,#N/A,TRUE,"INT-Table";#N/A,#N/A,TRUE,"STEEL";#N/A,#N/A,TRUE,"Door"}</definedName>
    <definedName name="fsda_3" localSheetId="18" hidden="1">{#N/A,#N/A,TRUE,"Basic";#N/A,#N/A,TRUE,"EXT-TABLE";#N/A,#N/A,TRUE,"STEEL";#N/A,#N/A,TRUE,"INT-Table";#N/A,#N/A,TRUE,"STEEL";#N/A,#N/A,TRUE,"Door"}</definedName>
    <definedName name="fsda_3" hidden="1">{#N/A,#N/A,TRUE,"Basic";#N/A,#N/A,TRUE,"EXT-TABLE";#N/A,#N/A,TRUE,"STEEL";#N/A,#N/A,TRUE,"INT-Table";#N/A,#N/A,TRUE,"STEEL";#N/A,#N/A,TRUE,"Door"}</definedName>
    <definedName name="fsda_3_1" localSheetId="18" hidden="1">{#N/A,#N/A,TRUE,"Basic";#N/A,#N/A,TRUE,"EXT-TABLE";#N/A,#N/A,TRUE,"STEEL";#N/A,#N/A,TRUE,"INT-Table";#N/A,#N/A,TRUE,"STEEL";#N/A,#N/A,TRUE,"Door"}</definedName>
    <definedName name="fsda_3_1" hidden="1">{#N/A,#N/A,TRUE,"Basic";#N/A,#N/A,TRUE,"EXT-TABLE";#N/A,#N/A,TRUE,"STEEL";#N/A,#N/A,TRUE,"INT-Table";#N/A,#N/A,TRUE,"STEEL";#N/A,#N/A,TRUE,"Door"}</definedName>
    <definedName name="fsda_3_2" localSheetId="18" hidden="1">{#N/A,#N/A,TRUE,"Basic";#N/A,#N/A,TRUE,"EXT-TABLE";#N/A,#N/A,TRUE,"STEEL";#N/A,#N/A,TRUE,"INT-Table";#N/A,#N/A,TRUE,"STEEL";#N/A,#N/A,TRUE,"Door"}</definedName>
    <definedName name="fsda_3_2" hidden="1">{#N/A,#N/A,TRUE,"Basic";#N/A,#N/A,TRUE,"EXT-TABLE";#N/A,#N/A,TRUE,"STEEL";#N/A,#N/A,TRUE,"INT-Table";#N/A,#N/A,TRUE,"STEEL";#N/A,#N/A,TRUE,"Door"}</definedName>
    <definedName name="fsda_4" localSheetId="18" hidden="1">{#N/A,#N/A,TRUE,"Basic";#N/A,#N/A,TRUE,"EXT-TABLE";#N/A,#N/A,TRUE,"STEEL";#N/A,#N/A,TRUE,"INT-Table";#N/A,#N/A,TRUE,"STEEL";#N/A,#N/A,TRUE,"Door"}</definedName>
    <definedName name="fsda_4" hidden="1">{#N/A,#N/A,TRUE,"Basic";#N/A,#N/A,TRUE,"EXT-TABLE";#N/A,#N/A,TRUE,"STEEL";#N/A,#N/A,TRUE,"INT-Table";#N/A,#N/A,TRUE,"STEEL";#N/A,#N/A,TRUE,"Door"}</definedName>
    <definedName name="fsda_4_1" localSheetId="18" hidden="1">{#N/A,#N/A,TRUE,"Basic";#N/A,#N/A,TRUE,"EXT-TABLE";#N/A,#N/A,TRUE,"STEEL";#N/A,#N/A,TRUE,"INT-Table";#N/A,#N/A,TRUE,"STEEL";#N/A,#N/A,TRUE,"Door"}</definedName>
    <definedName name="fsda_4_1" hidden="1">{#N/A,#N/A,TRUE,"Basic";#N/A,#N/A,TRUE,"EXT-TABLE";#N/A,#N/A,TRUE,"STEEL";#N/A,#N/A,TRUE,"INT-Table";#N/A,#N/A,TRUE,"STEEL";#N/A,#N/A,TRUE,"Door"}</definedName>
    <definedName name="fsda_4_2" localSheetId="18" hidden="1">{#N/A,#N/A,TRUE,"Basic";#N/A,#N/A,TRUE,"EXT-TABLE";#N/A,#N/A,TRUE,"STEEL";#N/A,#N/A,TRUE,"INT-Table";#N/A,#N/A,TRUE,"STEEL";#N/A,#N/A,TRUE,"Door"}</definedName>
    <definedName name="fsda_4_2" hidden="1">{#N/A,#N/A,TRUE,"Basic";#N/A,#N/A,TRUE,"EXT-TABLE";#N/A,#N/A,TRUE,"STEEL";#N/A,#N/A,TRUE,"INT-Table";#N/A,#N/A,TRUE,"STEEL";#N/A,#N/A,TRUE,"Door"}</definedName>
    <definedName name="fsda_5" localSheetId="18" hidden="1">{#N/A,#N/A,TRUE,"Basic";#N/A,#N/A,TRUE,"EXT-TABLE";#N/A,#N/A,TRUE,"STEEL";#N/A,#N/A,TRUE,"INT-Table";#N/A,#N/A,TRUE,"STEEL";#N/A,#N/A,TRUE,"Door"}</definedName>
    <definedName name="fsda_5" hidden="1">{#N/A,#N/A,TRUE,"Basic";#N/A,#N/A,TRUE,"EXT-TABLE";#N/A,#N/A,TRUE,"STEEL";#N/A,#N/A,TRUE,"INT-Table";#N/A,#N/A,TRUE,"STEEL";#N/A,#N/A,TRUE,"Door"}</definedName>
    <definedName name="fsda_5_1" localSheetId="18" hidden="1">{#N/A,#N/A,TRUE,"Basic";#N/A,#N/A,TRUE,"EXT-TABLE";#N/A,#N/A,TRUE,"STEEL";#N/A,#N/A,TRUE,"INT-Table";#N/A,#N/A,TRUE,"STEEL";#N/A,#N/A,TRUE,"Door"}</definedName>
    <definedName name="fsda_5_1" hidden="1">{#N/A,#N/A,TRUE,"Basic";#N/A,#N/A,TRUE,"EXT-TABLE";#N/A,#N/A,TRUE,"STEEL";#N/A,#N/A,TRUE,"INT-Table";#N/A,#N/A,TRUE,"STEEL";#N/A,#N/A,TRUE,"Door"}</definedName>
    <definedName name="fsda_5_2" localSheetId="18" hidden="1">{#N/A,#N/A,TRUE,"Basic";#N/A,#N/A,TRUE,"EXT-TABLE";#N/A,#N/A,TRUE,"STEEL";#N/A,#N/A,TRUE,"INT-Table";#N/A,#N/A,TRUE,"STEEL";#N/A,#N/A,TRUE,"Door"}</definedName>
    <definedName name="fsda_5_2" hidden="1">{#N/A,#N/A,TRUE,"Basic";#N/A,#N/A,TRUE,"EXT-TABLE";#N/A,#N/A,TRUE,"STEEL";#N/A,#N/A,TRUE,"INT-Table";#N/A,#N/A,TRUE,"STEEL";#N/A,#N/A,TRUE,"Door"}</definedName>
    <definedName name="fsdaa" localSheetId="18" hidden="1">{#N/A,#N/A,TRUE,"Basic";#N/A,#N/A,TRUE,"EXT-TABLE";#N/A,#N/A,TRUE,"STEEL";#N/A,#N/A,TRUE,"INT-Table";#N/A,#N/A,TRUE,"STEEL";#N/A,#N/A,TRUE,"Door"}</definedName>
    <definedName name="fsdaa" hidden="1">{#N/A,#N/A,TRUE,"Basic";#N/A,#N/A,TRUE,"EXT-TABLE";#N/A,#N/A,TRUE,"STEEL";#N/A,#N/A,TRUE,"INT-Table";#N/A,#N/A,TRUE,"STEEL";#N/A,#N/A,TRUE,"Door"}</definedName>
    <definedName name="fsdaa_1" localSheetId="18" hidden="1">{#N/A,#N/A,TRUE,"Basic";#N/A,#N/A,TRUE,"EXT-TABLE";#N/A,#N/A,TRUE,"STEEL";#N/A,#N/A,TRUE,"INT-Table";#N/A,#N/A,TRUE,"STEEL";#N/A,#N/A,TRUE,"Door"}</definedName>
    <definedName name="fsdaa_1" hidden="1">{#N/A,#N/A,TRUE,"Basic";#N/A,#N/A,TRUE,"EXT-TABLE";#N/A,#N/A,TRUE,"STEEL";#N/A,#N/A,TRUE,"INT-Table";#N/A,#N/A,TRUE,"STEEL";#N/A,#N/A,TRUE,"Door"}</definedName>
    <definedName name="fsdaa_1_1" localSheetId="18" hidden="1">{#N/A,#N/A,TRUE,"Basic";#N/A,#N/A,TRUE,"EXT-TABLE";#N/A,#N/A,TRUE,"STEEL";#N/A,#N/A,TRUE,"INT-Table";#N/A,#N/A,TRUE,"STEEL";#N/A,#N/A,TRUE,"Door"}</definedName>
    <definedName name="fsdaa_1_1" hidden="1">{#N/A,#N/A,TRUE,"Basic";#N/A,#N/A,TRUE,"EXT-TABLE";#N/A,#N/A,TRUE,"STEEL";#N/A,#N/A,TRUE,"INT-Table";#N/A,#N/A,TRUE,"STEEL";#N/A,#N/A,TRUE,"Door"}</definedName>
    <definedName name="fsdaa_1_2" localSheetId="18" hidden="1">{#N/A,#N/A,TRUE,"Basic";#N/A,#N/A,TRUE,"EXT-TABLE";#N/A,#N/A,TRUE,"STEEL";#N/A,#N/A,TRUE,"INT-Table";#N/A,#N/A,TRUE,"STEEL";#N/A,#N/A,TRUE,"Door"}</definedName>
    <definedName name="fsdaa_1_2" hidden="1">{#N/A,#N/A,TRUE,"Basic";#N/A,#N/A,TRUE,"EXT-TABLE";#N/A,#N/A,TRUE,"STEEL";#N/A,#N/A,TRUE,"INT-Table";#N/A,#N/A,TRUE,"STEEL";#N/A,#N/A,TRUE,"Door"}</definedName>
    <definedName name="fsdaa_2" localSheetId="18" hidden="1">{#N/A,#N/A,TRUE,"Basic";#N/A,#N/A,TRUE,"EXT-TABLE";#N/A,#N/A,TRUE,"STEEL";#N/A,#N/A,TRUE,"INT-Table";#N/A,#N/A,TRUE,"STEEL";#N/A,#N/A,TRUE,"Door"}</definedName>
    <definedName name="fsdaa_2" hidden="1">{#N/A,#N/A,TRUE,"Basic";#N/A,#N/A,TRUE,"EXT-TABLE";#N/A,#N/A,TRUE,"STEEL";#N/A,#N/A,TRUE,"INT-Table";#N/A,#N/A,TRUE,"STEEL";#N/A,#N/A,TRUE,"Door"}</definedName>
    <definedName name="fsdaa_2_1" localSheetId="18" hidden="1">{#N/A,#N/A,TRUE,"Basic";#N/A,#N/A,TRUE,"EXT-TABLE";#N/A,#N/A,TRUE,"STEEL";#N/A,#N/A,TRUE,"INT-Table";#N/A,#N/A,TRUE,"STEEL";#N/A,#N/A,TRUE,"Door"}</definedName>
    <definedName name="fsdaa_2_1" hidden="1">{#N/A,#N/A,TRUE,"Basic";#N/A,#N/A,TRUE,"EXT-TABLE";#N/A,#N/A,TRUE,"STEEL";#N/A,#N/A,TRUE,"INT-Table";#N/A,#N/A,TRUE,"STEEL";#N/A,#N/A,TRUE,"Door"}</definedName>
    <definedName name="fsdaa_2_2" localSheetId="18" hidden="1">{#N/A,#N/A,TRUE,"Basic";#N/A,#N/A,TRUE,"EXT-TABLE";#N/A,#N/A,TRUE,"STEEL";#N/A,#N/A,TRUE,"INT-Table";#N/A,#N/A,TRUE,"STEEL";#N/A,#N/A,TRUE,"Door"}</definedName>
    <definedName name="fsdaa_2_2" hidden="1">{#N/A,#N/A,TRUE,"Basic";#N/A,#N/A,TRUE,"EXT-TABLE";#N/A,#N/A,TRUE,"STEEL";#N/A,#N/A,TRUE,"INT-Table";#N/A,#N/A,TRUE,"STEEL";#N/A,#N/A,TRUE,"Door"}</definedName>
    <definedName name="fsdaa_3" localSheetId="18" hidden="1">{#N/A,#N/A,TRUE,"Basic";#N/A,#N/A,TRUE,"EXT-TABLE";#N/A,#N/A,TRUE,"STEEL";#N/A,#N/A,TRUE,"INT-Table";#N/A,#N/A,TRUE,"STEEL";#N/A,#N/A,TRUE,"Door"}</definedName>
    <definedName name="fsdaa_3" hidden="1">{#N/A,#N/A,TRUE,"Basic";#N/A,#N/A,TRUE,"EXT-TABLE";#N/A,#N/A,TRUE,"STEEL";#N/A,#N/A,TRUE,"INT-Table";#N/A,#N/A,TRUE,"STEEL";#N/A,#N/A,TRUE,"Door"}</definedName>
    <definedName name="fsdaa_3_1" localSheetId="18" hidden="1">{#N/A,#N/A,TRUE,"Basic";#N/A,#N/A,TRUE,"EXT-TABLE";#N/A,#N/A,TRUE,"STEEL";#N/A,#N/A,TRUE,"INT-Table";#N/A,#N/A,TRUE,"STEEL";#N/A,#N/A,TRUE,"Door"}</definedName>
    <definedName name="fsdaa_3_1" hidden="1">{#N/A,#N/A,TRUE,"Basic";#N/A,#N/A,TRUE,"EXT-TABLE";#N/A,#N/A,TRUE,"STEEL";#N/A,#N/A,TRUE,"INT-Table";#N/A,#N/A,TRUE,"STEEL";#N/A,#N/A,TRUE,"Door"}</definedName>
    <definedName name="fsdaa_3_2" localSheetId="18" hidden="1">{#N/A,#N/A,TRUE,"Basic";#N/A,#N/A,TRUE,"EXT-TABLE";#N/A,#N/A,TRUE,"STEEL";#N/A,#N/A,TRUE,"INT-Table";#N/A,#N/A,TRUE,"STEEL";#N/A,#N/A,TRUE,"Door"}</definedName>
    <definedName name="fsdaa_3_2" hidden="1">{#N/A,#N/A,TRUE,"Basic";#N/A,#N/A,TRUE,"EXT-TABLE";#N/A,#N/A,TRUE,"STEEL";#N/A,#N/A,TRUE,"INT-Table";#N/A,#N/A,TRUE,"STEEL";#N/A,#N/A,TRUE,"Door"}</definedName>
    <definedName name="fsdaa_4" localSheetId="18" hidden="1">{#N/A,#N/A,TRUE,"Basic";#N/A,#N/A,TRUE,"EXT-TABLE";#N/A,#N/A,TRUE,"STEEL";#N/A,#N/A,TRUE,"INT-Table";#N/A,#N/A,TRUE,"STEEL";#N/A,#N/A,TRUE,"Door"}</definedName>
    <definedName name="fsdaa_4" hidden="1">{#N/A,#N/A,TRUE,"Basic";#N/A,#N/A,TRUE,"EXT-TABLE";#N/A,#N/A,TRUE,"STEEL";#N/A,#N/A,TRUE,"INT-Table";#N/A,#N/A,TRUE,"STEEL";#N/A,#N/A,TRUE,"Door"}</definedName>
    <definedName name="fsdaa_4_1" localSheetId="18" hidden="1">{#N/A,#N/A,TRUE,"Basic";#N/A,#N/A,TRUE,"EXT-TABLE";#N/A,#N/A,TRUE,"STEEL";#N/A,#N/A,TRUE,"INT-Table";#N/A,#N/A,TRUE,"STEEL";#N/A,#N/A,TRUE,"Door"}</definedName>
    <definedName name="fsdaa_4_1" hidden="1">{#N/A,#N/A,TRUE,"Basic";#N/A,#N/A,TRUE,"EXT-TABLE";#N/A,#N/A,TRUE,"STEEL";#N/A,#N/A,TRUE,"INT-Table";#N/A,#N/A,TRUE,"STEEL";#N/A,#N/A,TRUE,"Door"}</definedName>
    <definedName name="fsdaa_4_2" localSheetId="18" hidden="1">{#N/A,#N/A,TRUE,"Basic";#N/A,#N/A,TRUE,"EXT-TABLE";#N/A,#N/A,TRUE,"STEEL";#N/A,#N/A,TRUE,"INT-Table";#N/A,#N/A,TRUE,"STEEL";#N/A,#N/A,TRUE,"Door"}</definedName>
    <definedName name="fsdaa_4_2" hidden="1">{#N/A,#N/A,TRUE,"Basic";#N/A,#N/A,TRUE,"EXT-TABLE";#N/A,#N/A,TRUE,"STEEL";#N/A,#N/A,TRUE,"INT-Table";#N/A,#N/A,TRUE,"STEEL";#N/A,#N/A,TRUE,"Door"}</definedName>
    <definedName name="fsdaa_5" localSheetId="18" hidden="1">{#N/A,#N/A,TRUE,"Basic";#N/A,#N/A,TRUE,"EXT-TABLE";#N/A,#N/A,TRUE,"STEEL";#N/A,#N/A,TRUE,"INT-Table";#N/A,#N/A,TRUE,"STEEL";#N/A,#N/A,TRUE,"Door"}</definedName>
    <definedName name="fsdaa_5" hidden="1">{#N/A,#N/A,TRUE,"Basic";#N/A,#N/A,TRUE,"EXT-TABLE";#N/A,#N/A,TRUE,"STEEL";#N/A,#N/A,TRUE,"INT-Table";#N/A,#N/A,TRUE,"STEEL";#N/A,#N/A,TRUE,"Door"}</definedName>
    <definedName name="fsdaa_5_1" localSheetId="18" hidden="1">{#N/A,#N/A,TRUE,"Basic";#N/A,#N/A,TRUE,"EXT-TABLE";#N/A,#N/A,TRUE,"STEEL";#N/A,#N/A,TRUE,"INT-Table";#N/A,#N/A,TRUE,"STEEL";#N/A,#N/A,TRUE,"Door"}</definedName>
    <definedName name="fsdaa_5_1" hidden="1">{#N/A,#N/A,TRUE,"Basic";#N/A,#N/A,TRUE,"EXT-TABLE";#N/A,#N/A,TRUE,"STEEL";#N/A,#N/A,TRUE,"INT-Table";#N/A,#N/A,TRUE,"STEEL";#N/A,#N/A,TRUE,"Door"}</definedName>
    <definedName name="fsdaa_5_2" localSheetId="18"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localSheetId="18" hidden="1">{#N/A,#N/A,FALSE,"배수1"}</definedName>
    <definedName name="FSDFASDF" hidden="1">{#N/A,#N/A,FALSE,"배수1"}</definedName>
    <definedName name="fsdfdsf" localSheetId="18" hidden="1">{"'Sheet1'!$L$16"}</definedName>
    <definedName name="fsdfdsf" localSheetId="11" hidden="1">{"'Sheet1'!$L$16"}</definedName>
    <definedName name="fsdfdsf" localSheetId="1" hidden="1">{"'Sheet1'!$L$16"}</definedName>
    <definedName name="fsdfdsf" localSheetId="2" hidden="1">{"'Sheet1'!$L$16"}</definedName>
    <definedName name="fsdfdsf" localSheetId="12" hidden="1">{"'Sheet1'!$L$16"}</definedName>
    <definedName name="fsdfdsf" localSheetId="4" hidden="1">{"'Sheet1'!$L$16"}</definedName>
    <definedName name="fsdfdsf" localSheetId="19" hidden="1">{"'Sheet1'!$L$16"}</definedName>
    <definedName name="fsdfdsf" localSheetId="10" hidden="1">{"'Sheet1'!$L$16"}</definedName>
    <definedName name="fsdfdsf" localSheetId="9" hidden="1">{"'Sheet1'!$L$16"}</definedName>
    <definedName name="fsdfdsf" localSheetId="8" hidden="1">{"'Sheet1'!$L$16"}</definedName>
    <definedName name="fsdfdsf" localSheetId="3" hidden="1">{"'Sheet1'!$L$16"}</definedName>
    <definedName name="fsdfdsf" localSheetId="6" hidden="1">{"'Sheet1'!$L$16"}</definedName>
    <definedName name="fsdfdsf" localSheetId="7" hidden="1">{"'Sheet1'!$L$16"}</definedName>
    <definedName name="fsdfdsf" localSheetId="5" hidden="1">{"'Sheet1'!$L$16"}</definedName>
    <definedName name="fsdfdsf" localSheetId="13" hidden="1">{"'Sheet1'!$L$16"}</definedName>
    <definedName name="fsdfdsf" hidden="1">{"'Sheet1'!$L$16"}</definedName>
    <definedName name="FSD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localSheetId="18" hidden="1">{#N/A,#N/A,TRUE,"SUM";#N/A,#N/A,TRUE,"EE";#N/A,#N/A,TRUE,"AC";#N/A,#N/A,TRUE,"SN"}</definedName>
    <definedName name="FSDFSDF" hidden="1">{#N/A,#N/A,TRUE,"SUM";#N/A,#N/A,TRUE,"EE";#N/A,#N/A,TRUE,"AC";#N/A,#N/A,TRUE,"SN"}</definedName>
    <definedName name="FSDSAFSA" localSheetId="18" hidden="1">{#N/A,#N/A,FALSE,"2~8번"}</definedName>
    <definedName name="FSDSAFSA" hidden="1">{#N/A,#N/A,FALSE,"2~8번"}</definedName>
    <definedName name="FSF" localSheetId="18" hidden="1">{#N/A,#N/A,TRUE,"Mhr_Sum"}</definedName>
    <definedName name="FSF" hidden="1">{#N/A,#N/A,TRUE,"Mhr_Sum"}</definedName>
    <definedName name="ft" localSheetId="18" hidden="1">{"'Sheet1'!$L$16"}</definedName>
    <definedName name="ft" localSheetId="11" hidden="1">{"'Sheet1'!$L$16"}</definedName>
    <definedName name="ft" localSheetId="1" hidden="1">{"'Sheet1'!$L$16"}</definedName>
    <definedName name="ft" localSheetId="2" hidden="1">{"'Sheet1'!$L$16"}</definedName>
    <definedName name="ft" localSheetId="12" hidden="1">{"'Sheet1'!$L$16"}</definedName>
    <definedName name="ft" localSheetId="4" hidden="1">{"'Sheet1'!$L$16"}</definedName>
    <definedName name="ft" localSheetId="19" hidden="1">{"'Sheet1'!$L$16"}</definedName>
    <definedName name="ft" localSheetId="10" hidden="1">{"'Sheet1'!$L$16"}</definedName>
    <definedName name="ft" localSheetId="9" hidden="1">{"'Sheet1'!$L$16"}</definedName>
    <definedName name="ft" localSheetId="8" hidden="1">{"'Sheet1'!$L$16"}</definedName>
    <definedName name="ft" localSheetId="3" hidden="1">{"'Sheet1'!$L$16"}</definedName>
    <definedName name="ft" localSheetId="6" hidden="1">{"'Sheet1'!$L$16"}</definedName>
    <definedName name="ft" localSheetId="7" hidden="1">{"'Sheet1'!$L$16"}</definedName>
    <definedName name="ft" localSheetId="5" hidden="1">{"'Sheet1'!$L$16"}</definedName>
    <definedName name="ft" localSheetId="13" hidden="1">{"'Sheet1'!$L$16"}</definedName>
    <definedName name="ft" hidden="1">{"'Sheet1'!$L$16"}</definedName>
    <definedName name="Ft_Matl">[76]Proposal!#REF!</definedName>
    <definedName name="Ft_Zone_B">[76]Proposal!#REF!</definedName>
    <definedName name="Ft_Zone_C">[76]Proposal!#REF!</definedName>
    <definedName name="Ft_Zone_D">[76]Proposal!#REF!</definedName>
    <definedName name="Ft_Zone_E">[76]Proposal!#REF!</definedName>
    <definedName name="FTLDTmp">#REF!:#REF!:#REF!</definedName>
    <definedName name="FTsda" localSheetId="18" hidden="1">{#N/A,#N/A,TRUE,"Mhr_Sum"}</definedName>
    <definedName name="FTsda" hidden="1">{#N/A,#N/A,TRUE,"Mhr_Sum"}</definedName>
    <definedName name="FTsda2" localSheetId="18" hidden="1">{#N/A,#N/A,TRUE,"Mhr_Sum"}</definedName>
    <definedName name="FTsda2" hidden="1">{#N/A,#N/A,TRUE,"Mhr_Sum"}</definedName>
    <definedName name="FTSDF" localSheetId="18" hidden="1">{#N/A,#N/A,TRUE,"Mhr_Sum"}</definedName>
    <definedName name="FTSDF" hidden="1">{#N/A,#N/A,TRUE,"Mhr_Sum"}</definedName>
    <definedName name="FTSDF2" localSheetId="18" hidden="1">{#N/A,#N/A,TRUE,"Mhr_Sum"}</definedName>
    <definedName name="FTSDF2" hidden="1">{#N/A,#N/A,TRUE,"Mhr_Sum"}</definedName>
    <definedName name="FU">#REF!</definedName>
    <definedName name="Furniture" localSheetId="18" hidden="1">{#N/A,#N/A,TRUE,"Basic";#N/A,#N/A,TRUE,"EXT-TABLE";#N/A,#N/A,TRUE,"STEEL";#N/A,#N/A,TRUE,"INT-Table";#N/A,#N/A,TRUE,"STEEL";#N/A,#N/A,TRUE,"Door"}</definedName>
    <definedName name="Furniture" hidden="1">{#N/A,#N/A,TRUE,"Basic";#N/A,#N/A,TRUE,"EXT-TABLE";#N/A,#N/A,TRUE,"STEEL";#N/A,#N/A,TRUE,"INT-Table";#N/A,#N/A,TRUE,"STEEL";#N/A,#N/A,TRUE,"Door"}</definedName>
    <definedName name="Furniture_1" localSheetId="18" hidden="1">{#N/A,#N/A,TRUE,"Basic";#N/A,#N/A,TRUE,"EXT-TABLE";#N/A,#N/A,TRUE,"STEEL";#N/A,#N/A,TRUE,"INT-Table";#N/A,#N/A,TRUE,"STEEL";#N/A,#N/A,TRUE,"Door"}</definedName>
    <definedName name="Furniture_1" hidden="1">{#N/A,#N/A,TRUE,"Basic";#N/A,#N/A,TRUE,"EXT-TABLE";#N/A,#N/A,TRUE,"STEEL";#N/A,#N/A,TRUE,"INT-Table";#N/A,#N/A,TRUE,"STEEL";#N/A,#N/A,TRUE,"Door"}</definedName>
    <definedName name="Furniture_1_1" localSheetId="18" hidden="1">{#N/A,#N/A,TRUE,"Basic";#N/A,#N/A,TRUE,"EXT-TABLE";#N/A,#N/A,TRUE,"STEEL";#N/A,#N/A,TRUE,"INT-Table";#N/A,#N/A,TRUE,"STEEL";#N/A,#N/A,TRUE,"Door"}</definedName>
    <definedName name="Furniture_1_1" hidden="1">{#N/A,#N/A,TRUE,"Basic";#N/A,#N/A,TRUE,"EXT-TABLE";#N/A,#N/A,TRUE,"STEEL";#N/A,#N/A,TRUE,"INT-Table";#N/A,#N/A,TRUE,"STEEL";#N/A,#N/A,TRUE,"Door"}</definedName>
    <definedName name="Furniture_1_2" localSheetId="18" hidden="1">{#N/A,#N/A,TRUE,"Basic";#N/A,#N/A,TRUE,"EXT-TABLE";#N/A,#N/A,TRUE,"STEEL";#N/A,#N/A,TRUE,"INT-Table";#N/A,#N/A,TRUE,"STEEL";#N/A,#N/A,TRUE,"Door"}</definedName>
    <definedName name="Furniture_1_2" hidden="1">{#N/A,#N/A,TRUE,"Basic";#N/A,#N/A,TRUE,"EXT-TABLE";#N/A,#N/A,TRUE,"STEEL";#N/A,#N/A,TRUE,"INT-Table";#N/A,#N/A,TRUE,"STEEL";#N/A,#N/A,TRUE,"Door"}</definedName>
    <definedName name="Furniture_2" localSheetId="18" hidden="1">{#N/A,#N/A,TRUE,"Basic";#N/A,#N/A,TRUE,"EXT-TABLE";#N/A,#N/A,TRUE,"STEEL";#N/A,#N/A,TRUE,"INT-Table";#N/A,#N/A,TRUE,"STEEL";#N/A,#N/A,TRUE,"Door"}</definedName>
    <definedName name="Furniture_2" hidden="1">{#N/A,#N/A,TRUE,"Basic";#N/A,#N/A,TRUE,"EXT-TABLE";#N/A,#N/A,TRUE,"STEEL";#N/A,#N/A,TRUE,"INT-Table";#N/A,#N/A,TRUE,"STEEL";#N/A,#N/A,TRUE,"Door"}</definedName>
    <definedName name="Furniture_2_1" localSheetId="18" hidden="1">{#N/A,#N/A,TRUE,"Basic";#N/A,#N/A,TRUE,"EXT-TABLE";#N/A,#N/A,TRUE,"STEEL";#N/A,#N/A,TRUE,"INT-Table";#N/A,#N/A,TRUE,"STEEL";#N/A,#N/A,TRUE,"Door"}</definedName>
    <definedName name="Furniture_2_1" hidden="1">{#N/A,#N/A,TRUE,"Basic";#N/A,#N/A,TRUE,"EXT-TABLE";#N/A,#N/A,TRUE,"STEEL";#N/A,#N/A,TRUE,"INT-Table";#N/A,#N/A,TRUE,"STEEL";#N/A,#N/A,TRUE,"Door"}</definedName>
    <definedName name="Furniture_2_2" localSheetId="18" hidden="1">{#N/A,#N/A,TRUE,"Basic";#N/A,#N/A,TRUE,"EXT-TABLE";#N/A,#N/A,TRUE,"STEEL";#N/A,#N/A,TRUE,"INT-Table";#N/A,#N/A,TRUE,"STEEL";#N/A,#N/A,TRUE,"Door"}</definedName>
    <definedName name="Furniture_2_2" hidden="1">{#N/A,#N/A,TRUE,"Basic";#N/A,#N/A,TRUE,"EXT-TABLE";#N/A,#N/A,TRUE,"STEEL";#N/A,#N/A,TRUE,"INT-Table";#N/A,#N/A,TRUE,"STEEL";#N/A,#N/A,TRUE,"Door"}</definedName>
    <definedName name="Furniture_3" localSheetId="18" hidden="1">{#N/A,#N/A,TRUE,"Basic";#N/A,#N/A,TRUE,"EXT-TABLE";#N/A,#N/A,TRUE,"STEEL";#N/A,#N/A,TRUE,"INT-Table";#N/A,#N/A,TRUE,"STEEL";#N/A,#N/A,TRUE,"Door"}</definedName>
    <definedName name="Furniture_3" hidden="1">{#N/A,#N/A,TRUE,"Basic";#N/A,#N/A,TRUE,"EXT-TABLE";#N/A,#N/A,TRUE,"STEEL";#N/A,#N/A,TRUE,"INT-Table";#N/A,#N/A,TRUE,"STEEL";#N/A,#N/A,TRUE,"Door"}</definedName>
    <definedName name="Furniture_3_1" localSheetId="18" hidden="1">{#N/A,#N/A,TRUE,"Basic";#N/A,#N/A,TRUE,"EXT-TABLE";#N/A,#N/A,TRUE,"STEEL";#N/A,#N/A,TRUE,"INT-Table";#N/A,#N/A,TRUE,"STEEL";#N/A,#N/A,TRUE,"Door"}</definedName>
    <definedName name="Furniture_3_1" hidden="1">{#N/A,#N/A,TRUE,"Basic";#N/A,#N/A,TRUE,"EXT-TABLE";#N/A,#N/A,TRUE,"STEEL";#N/A,#N/A,TRUE,"INT-Table";#N/A,#N/A,TRUE,"STEEL";#N/A,#N/A,TRUE,"Door"}</definedName>
    <definedName name="Furniture_3_2" localSheetId="18" hidden="1">{#N/A,#N/A,TRUE,"Basic";#N/A,#N/A,TRUE,"EXT-TABLE";#N/A,#N/A,TRUE,"STEEL";#N/A,#N/A,TRUE,"INT-Table";#N/A,#N/A,TRUE,"STEEL";#N/A,#N/A,TRUE,"Door"}</definedName>
    <definedName name="Furniture_3_2" hidden="1">{#N/A,#N/A,TRUE,"Basic";#N/A,#N/A,TRUE,"EXT-TABLE";#N/A,#N/A,TRUE,"STEEL";#N/A,#N/A,TRUE,"INT-Table";#N/A,#N/A,TRUE,"STEEL";#N/A,#N/A,TRUE,"Door"}</definedName>
    <definedName name="Furniture_4" localSheetId="18" hidden="1">{#N/A,#N/A,TRUE,"Basic";#N/A,#N/A,TRUE,"EXT-TABLE";#N/A,#N/A,TRUE,"STEEL";#N/A,#N/A,TRUE,"INT-Table";#N/A,#N/A,TRUE,"STEEL";#N/A,#N/A,TRUE,"Door"}</definedName>
    <definedName name="Furniture_4" hidden="1">{#N/A,#N/A,TRUE,"Basic";#N/A,#N/A,TRUE,"EXT-TABLE";#N/A,#N/A,TRUE,"STEEL";#N/A,#N/A,TRUE,"INT-Table";#N/A,#N/A,TRUE,"STEEL";#N/A,#N/A,TRUE,"Door"}</definedName>
    <definedName name="Furniture_4_1" localSheetId="18" hidden="1">{#N/A,#N/A,TRUE,"Basic";#N/A,#N/A,TRUE,"EXT-TABLE";#N/A,#N/A,TRUE,"STEEL";#N/A,#N/A,TRUE,"INT-Table";#N/A,#N/A,TRUE,"STEEL";#N/A,#N/A,TRUE,"Door"}</definedName>
    <definedName name="Furniture_4_1" hidden="1">{#N/A,#N/A,TRUE,"Basic";#N/A,#N/A,TRUE,"EXT-TABLE";#N/A,#N/A,TRUE,"STEEL";#N/A,#N/A,TRUE,"INT-Table";#N/A,#N/A,TRUE,"STEEL";#N/A,#N/A,TRUE,"Door"}</definedName>
    <definedName name="Furniture_4_2" localSheetId="18" hidden="1">{#N/A,#N/A,TRUE,"Basic";#N/A,#N/A,TRUE,"EXT-TABLE";#N/A,#N/A,TRUE,"STEEL";#N/A,#N/A,TRUE,"INT-Table";#N/A,#N/A,TRUE,"STEEL";#N/A,#N/A,TRUE,"Door"}</definedName>
    <definedName name="Furniture_4_2" hidden="1">{#N/A,#N/A,TRUE,"Basic";#N/A,#N/A,TRUE,"EXT-TABLE";#N/A,#N/A,TRUE,"STEEL";#N/A,#N/A,TRUE,"INT-Table";#N/A,#N/A,TRUE,"STEEL";#N/A,#N/A,TRUE,"Door"}</definedName>
    <definedName name="Furniture_5" localSheetId="18" hidden="1">{#N/A,#N/A,TRUE,"Basic";#N/A,#N/A,TRUE,"EXT-TABLE";#N/A,#N/A,TRUE,"STEEL";#N/A,#N/A,TRUE,"INT-Table";#N/A,#N/A,TRUE,"STEEL";#N/A,#N/A,TRUE,"Door"}</definedName>
    <definedName name="Furniture_5" hidden="1">{#N/A,#N/A,TRUE,"Basic";#N/A,#N/A,TRUE,"EXT-TABLE";#N/A,#N/A,TRUE,"STEEL";#N/A,#N/A,TRUE,"INT-Table";#N/A,#N/A,TRUE,"STEEL";#N/A,#N/A,TRUE,"Door"}</definedName>
    <definedName name="Furniture_5_1" localSheetId="18" hidden="1">{#N/A,#N/A,TRUE,"Basic";#N/A,#N/A,TRUE,"EXT-TABLE";#N/A,#N/A,TRUE,"STEEL";#N/A,#N/A,TRUE,"INT-Table";#N/A,#N/A,TRUE,"STEEL";#N/A,#N/A,TRUE,"Door"}</definedName>
    <definedName name="Furniture_5_1" hidden="1">{#N/A,#N/A,TRUE,"Basic";#N/A,#N/A,TRUE,"EXT-TABLE";#N/A,#N/A,TRUE,"STEEL";#N/A,#N/A,TRUE,"INT-Table";#N/A,#N/A,TRUE,"STEEL";#N/A,#N/A,TRUE,"Door"}</definedName>
    <definedName name="Furniture_5_2" localSheetId="18"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 localSheetId="11">[29]Breech_Duct!$B$70</definedName>
    <definedName name="G" localSheetId="1">[29]Breech_Duct!$B$70</definedName>
    <definedName name="G" localSheetId="2">[29]Breech_Duct!$B$70</definedName>
    <definedName name="G" localSheetId="4">[29]Breech_Duct!$B$70</definedName>
    <definedName name="G" localSheetId="19">[29]Breech_Duct!$B$70</definedName>
    <definedName name="G" localSheetId="10">[29]Breech_Duct!$B$70</definedName>
    <definedName name="G" localSheetId="9">[29]Breech_Duct!$B$70</definedName>
    <definedName name="G" localSheetId="8">[29]Breech_Duct!$B$70</definedName>
    <definedName name="G" localSheetId="3">[29]Breech_Duct!$B$70</definedName>
    <definedName name="G" localSheetId="6">[29]Breech_Duct!$B$70</definedName>
    <definedName name="G" localSheetId="7">[29]Breech_Duct!$B$70</definedName>
    <definedName name="G" localSheetId="5">[29]Breech_Duct!$B$70</definedName>
    <definedName name="G">#REF!</definedName>
    <definedName name="gasgh" localSheetId="18" hidden="1">{#N/A,#N/A,FALSE,"Project Cost Summary";#N/A,#N/A,FALSE,"Man Hour Summary"}</definedName>
    <definedName name="gasgh" localSheetId="1" hidden="1">{#N/A,#N/A,FALSE,"Project Cost Summary";#N/A,#N/A,FALSE,"Man Hour Summary"}</definedName>
    <definedName name="gasgh" localSheetId="2" hidden="1">{#N/A,#N/A,FALSE,"Project Cost Summary";#N/A,#N/A,FALSE,"Man Hour Summary"}</definedName>
    <definedName name="gasgh" localSheetId="4" hidden="1">{#N/A,#N/A,FALSE,"Project Cost Summary";#N/A,#N/A,FALSE,"Man Hour Summary"}</definedName>
    <definedName name="gasgh" localSheetId="19" hidden="1">{#N/A,#N/A,FALSE,"Project Cost Summary";#N/A,#N/A,FALSE,"Man Hour Summary"}</definedName>
    <definedName name="gasgh" localSheetId="10" hidden="1">{#N/A,#N/A,FALSE,"Project Cost Summary";#N/A,#N/A,FALSE,"Man Hour Summary"}</definedName>
    <definedName name="gasgh" localSheetId="9" hidden="1">{#N/A,#N/A,FALSE,"Project Cost Summary";#N/A,#N/A,FALSE,"Man Hour Summary"}</definedName>
    <definedName name="gasgh" localSheetId="8" hidden="1">{#N/A,#N/A,FALSE,"Project Cost Summary";#N/A,#N/A,FALSE,"Man Hour Summary"}</definedName>
    <definedName name="gasgh" localSheetId="3" hidden="1">{#N/A,#N/A,FALSE,"Project Cost Summary";#N/A,#N/A,FALSE,"Man Hour Summary"}</definedName>
    <definedName name="gasgh" localSheetId="6" hidden="1">{#N/A,#N/A,FALSE,"Project Cost Summary";#N/A,#N/A,FALSE,"Man Hour Summary"}</definedName>
    <definedName name="gasgh" localSheetId="7" hidden="1">{#N/A,#N/A,FALSE,"Project Cost Summary";#N/A,#N/A,FALSE,"Man Hour Summary"}</definedName>
    <definedName name="gasgh" localSheetId="5" hidden="1">{#N/A,#N/A,FALSE,"Project Cost Summary";#N/A,#N/A,FALSE,"Man Hour Summary"}</definedName>
    <definedName name="gasgh" hidden="1">{#N/A,#N/A,FALSE,"Project Cost Summary";#N/A,#N/A,FALSE,"Man Hour Summary"}</definedName>
    <definedName name="Gasturbine1" localSheetId="11">'[41]Noise (3)'!$C$37</definedName>
    <definedName name="Gasturbine1" localSheetId="1">'[41]Noise (3)'!$C$37</definedName>
    <definedName name="Gasturbine1" localSheetId="2">'[41]Noise (3)'!$C$37</definedName>
    <definedName name="Gasturbine1" localSheetId="4">'[41]Noise (3)'!$C$37</definedName>
    <definedName name="Gasturbine1" localSheetId="19">'[41]Noise (3)'!$C$37</definedName>
    <definedName name="Gasturbine1" localSheetId="10">'[41]Noise (3)'!$C$37</definedName>
    <definedName name="Gasturbine1" localSheetId="9">'[41]Noise (3)'!$C$37</definedName>
    <definedName name="Gasturbine1" localSheetId="8">'[41]Noise (3)'!$C$37</definedName>
    <definedName name="Gasturbine1" localSheetId="3">'[41]Noise (3)'!$C$37</definedName>
    <definedName name="Gasturbine1" localSheetId="6">'[41]Noise (3)'!$C$37</definedName>
    <definedName name="Gasturbine1" localSheetId="7">'[41]Noise (3)'!$C$37</definedName>
    <definedName name="Gasturbine1" localSheetId="5">'[41]Noise (3)'!$C$37</definedName>
    <definedName name="Gasturbine1">#REF!</definedName>
    <definedName name="Gasturbines" localSheetId="11">[41]Tables!$A$80:$A$179</definedName>
    <definedName name="Gasturbines" localSheetId="1">[41]Tables!$A$80:$A$179</definedName>
    <definedName name="Gasturbines" localSheetId="2">[41]Tables!$A$80:$A$179</definedName>
    <definedName name="Gasturbines" localSheetId="4">[41]Tables!$A$80:$A$179</definedName>
    <definedName name="Gasturbines" localSheetId="19">[41]Tables!$A$80:$A$179</definedName>
    <definedName name="Gasturbines" localSheetId="10">[41]Tables!$A$80:$A$179</definedName>
    <definedName name="Gasturbines" localSheetId="9">[41]Tables!$A$80:$A$179</definedName>
    <definedName name="Gasturbines" localSheetId="8">[41]Tables!$A$80:$A$179</definedName>
    <definedName name="Gasturbines" localSheetId="3">[41]Tables!$A$80:$A$179</definedName>
    <definedName name="Gasturbines" localSheetId="6">[41]Tables!$A$80:$A$179</definedName>
    <definedName name="Gasturbines" localSheetId="7">[41]Tables!$A$80:$A$179</definedName>
    <definedName name="Gasturbines" localSheetId="5">[41]Tables!$A$80:$A$179</definedName>
    <definedName name="Gasturbines">#REF!</definedName>
    <definedName name="gate">#REF!</definedName>
    <definedName name="GD" localSheetId="18" hidden="1">{#N/A,#N/A,FALSE,"CCTV"}</definedName>
    <definedName name="GD" hidden="1">{#N/A,#N/A,FALSE,"CCTV"}</definedName>
    <definedName name="GD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1" hidden="1">[72]Z!$T$180:$AH$180</definedName>
    <definedName name="gdfg" localSheetId="2" hidden="1">[72]Z!$T$180:$AH$180</definedName>
    <definedName name="gdfg" localSheetId="4" hidden="1">[72]Z!$T$180:$AH$180</definedName>
    <definedName name="gdfg" localSheetId="19" hidden="1">[72]Z!$T$180:$AH$180</definedName>
    <definedName name="gdfg" localSheetId="10" hidden="1">[72]Z!$T$180:$AH$180</definedName>
    <definedName name="gdfg" localSheetId="9" hidden="1">[72]Z!$T$180:$AH$180</definedName>
    <definedName name="gdfg" localSheetId="8" hidden="1">[72]Z!$T$180:$AH$180</definedName>
    <definedName name="gdfg" localSheetId="3" hidden="1">[72]Z!$T$180:$AH$180</definedName>
    <definedName name="gdfg" localSheetId="6" hidden="1">[72]Z!$T$180:$AH$180</definedName>
    <definedName name="gdfg" localSheetId="7" hidden="1">[72]Z!$T$180:$AH$180</definedName>
    <definedName name="gdfg" localSheetId="5" hidden="1">[72]Z!$T$180:$AH$180</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localSheetId="18" hidden="1">{"'Sheet1'!$L$16"}</definedName>
    <definedName name="gdfgdfgdf" localSheetId="11" hidden="1">{"'Sheet1'!$L$16"}</definedName>
    <definedName name="gdfgdfgdf" localSheetId="1" hidden="1">{"'Sheet1'!$L$16"}</definedName>
    <definedName name="gdfgdfgdf" localSheetId="2" hidden="1">{"'Sheet1'!$L$16"}</definedName>
    <definedName name="gdfgdfgdf" localSheetId="12" hidden="1">{"'Sheet1'!$L$16"}</definedName>
    <definedName name="gdfgdfgdf" localSheetId="4" hidden="1">{"'Sheet1'!$L$16"}</definedName>
    <definedName name="gdfgdfgdf" localSheetId="19" hidden="1">{"'Sheet1'!$L$16"}</definedName>
    <definedName name="gdfgdfgdf" localSheetId="10" hidden="1">{"'Sheet1'!$L$16"}</definedName>
    <definedName name="gdfgdfgdf" localSheetId="9" hidden="1">{"'Sheet1'!$L$16"}</definedName>
    <definedName name="gdfgdfgdf" localSheetId="8" hidden="1">{"'Sheet1'!$L$16"}</definedName>
    <definedName name="gdfgdfgdf" localSheetId="3" hidden="1">{"'Sheet1'!$L$16"}</definedName>
    <definedName name="gdfgdfgdf" localSheetId="6" hidden="1">{"'Sheet1'!$L$16"}</definedName>
    <definedName name="gdfgdfgdf" localSheetId="7" hidden="1">{"'Sheet1'!$L$16"}</definedName>
    <definedName name="gdfgdfgdf" localSheetId="5" hidden="1">{"'Sheet1'!$L$16"}</definedName>
    <definedName name="gdfgdfgdf" localSheetId="13" hidden="1">{"'Sheet1'!$L$16"}</definedName>
    <definedName name="gdfgdfgdf" hidden="1">{"'Sheet1'!$L$16"}</definedName>
    <definedName name="G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localSheetId="18" hidden="1">{#N/A,#N/A,FALSE,"Chi tiÆt"}</definedName>
    <definedName name="gdghdhg" hidden="1">{#N/A,#N/A,FALSE,"Chi tiÆt"}</definedName>
    <definedName name="GDHS" hidden="1">#REF!</definedName>
    <definedName name="Geländer">#REF!</definedName>
    <definedName name="geom" localSheetId="11">[64]r_vali!$D$1:$IV$27</definedName>
    <definedName name="geom" localSheetId="1">[64]r_vali!$D$1:$IV$27</definedName>
    <definedName name="geom" localSheetId="2">[64]r_vali!$D$1:$IV$27</definedName>
    <definedName name="geom" localSheetId="4">[64]r_vali!$D$1:$IV$27</definedName>
    <definedName name="geom" localSheetId="19">[64]r_vali!$D$1:$IV$27</definedName>
    <definedName name="geom" localSheetId="10">[64]r_vali!$D$1:$IV$27</definedName>
    <definedName name="geom" localSheetId="9">[64]r_vali!$D$1:$IV$27</definedName>
    <definedName name="geom" localSheetId="8">[64]r_vali!$D$1:$IV$27</definedName>
    <definedName name="geom" localSheetId="3">[64]r_vali!$D$1:$IV$27</definedName>
    <definedName name="geom" localSheetId="6">[64]r_vali!$D$1:$IV$27</definedName>
    <definedName name="geom" localSheetId="7">[64]r_vali!$D$1:$IV$27</definedName>
    <definedName name="geom" localSheetId="5">[64]r_vali!$D$1:$IV$27</definedName>
    <definedName name="geom">#REF!</definedName>
    <definedName name="GF" hidden="1">#REF!</definedName>
    <definedName name="GFDG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localSheetId="18" hidden="1">{#N/A,#N/A,FALSE,"CCTV"}</definedName>
    <definedName name="gfdh" hidden="1">{#N/A,#N/A,FALSE,"CCTV"}</definedName>
    <definedName name="GFDS" localSheetId="18" hidden="1">{#N/A,#N/A,FALSE,"CCTV"}</definedName>
    <definedName name="GFDS" localSheetId="11" hidden="1">{#N/A,#N/A,FALSE,"CCTV"}</definedName>
    <definedName name="GFDS" localSheetId="1" hidden="1">{#N/A,#N/A,FALSE,"CCTV"}</definedName>
    <definedName name="GFDS" localSheetId="2" hidden="1">{#N/A,#N/A,FALSE,"CCTV"}</definedName>
    <definedName name="GFDS" localSheetId="4" hidden="1">{#N/A,#N/A,FALSE,"CCTV"}</definedName>
    <definedName name="GFDS" localSheetId="19" hidden="1">{#N/A,#N/A,FALSE,"CCTV"}</definedName>
    <definedName name="GFDS" localSheetId="10" hidden="1">{#N/A,#N/A,FALSE,"CCTV"}</definedName>
    <definedName name="GFDS" localSheetId="9" hidden="1">{#N/A,#N/A,FALSE,"CCTV"}</definedName>
    <definedName name="GFDS" localSheetId="8" hidden="1">{#N/A,#N/A,FALSE,"CCTV"}</definedName>
    <definedName name="GFDS" localSheetId="3" hidden="1">{#N/A,#N/A,FALSE,"CCTV"}</definedName>
    <definedName name="GFDS" localSheetId="6" hidden="1">{#N/A,#N/A,FALSE,"CCTV"}</definedName>
    <definedName name="GFDS" localSheetId="7" hidden="1">{#N/A,#N/A,FALSE,"CCTV"}</definedName>
    <definedName name="GFDS" localSheetId="5" hidden="1">{#N/A,#N/A,FALSE,"CCTV"}</definedName>
    <definedName name="GFDS" hidden="1">{#N/A,#N/A,FALSE,"CCTV"}</definedName>
    <definedName name="G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localSheetId="11" hidden="1">[77]차액보증!#REF!</definedName>
    <definedName name="gfgdfg" localSheetId="1" hidden="1">[77]차액보증!#REF!</definedName>
    <definedName name="gfgdfg" localSheetId="2" hidden="1">[77]차액보증!#REF!</definedName>
    <definedName name="gfgdfg" localSheetId="4" hidden="1">[77]차액보증!#REF!</definedName>
    <definedName name="gfgdfg" localSheetId="19" hidden="1">[77]차액보증!#REF!</definedName>
    <definedName name="gfgdfg" localSheetId="10" hidden="1">[77]차액보증!#REF!</definedName>
    <definedName name="gfgdfg" localSheetId="9" hidden="1">[77]차액보증!#REF!</definedName>
    <definedName name="gfgdfg" localSheetId="8" hidden="1">[77]차액보증!#REF!</definedName>
    <definedName name="gfgdfg" localSheetId="3" hidden="1">[77]차액보증!#REF!</definedName>
    <definedName name="gfgdfg" localSheetId="6" hidden="1">[77]차액보증!#REF!</definedName>
    <definedName name="gfgdfg" localSheetId="7" hidden="1">[77]차액보증!#REF!</definedName>
    <definedName name="gfgdfg" localSheetId="5" hidden="1">[77]차액보증!#REF!</definedName>
    <definedName name="gfgdfg" hidden="1">#REF!</definedName>
    <definedName name="gfhfgh" localSheetId="18" hidden="1">{#N/A,#N/A,FALSE,"Chi tiÆt"}</definedName>
    <definedName name="gfhfgh" hidden="1">{#N/A,#N/A,FALSE,"Chi tiÆt"}</definedName>
    <definedName name="GFHJ" localSheetId="18" hidden="1">{#N/A,#N/A,FALSE,"단가표지"}</definedName>
    <definedName name="GFHJ" hidden="1">{#N/A,#N/A,FALSE,"단가표지"}</definedName>
    <definedName name="gfjgfh" localSheetId="18" hidden="1">{#N/A,#N/A,FALSE,"CCTV"}</definedName>
    <definedName name="gfjgfh" localSheetId="11" hidden="1">{#N/A,#N/A,FALSE,"CCTV"}</definedName>
    <definedName name="gfjgfh" localSheetId="1" hidden="1">{#N/A,#N/A,FALSE,"CCTV"}</definedName>
    <definedName name="gfjgfh" localSheetId="2" hidden="1">{#N/A,#N/A,FALSE,"CCTV"}</definedName>
    <definedName name="gfjgfh" localSheetId="4" hidden="1">{#N/A,#N/A,FALSE,"CCTV"}</definedName>
    <definedName name="gfjgfh" localSheetId="19" hidden="1">{#N/A,#N/A,FALSE,"CCTV"}</definedName>
    <definedName name="gfjgfh" localSheetId="10" hidden="1">{#N/A,#N/A,FALSE,"CCTV"}</definedName>
    <definedName name="gfjgfh" localSheetId="9" hidden="1">{#N/A,#N/A,FALSE,"CCTV"}</definedName>
    <definedName name="gfjgfh" localSheetId="8" hidden="1">{#N/A,#N/A,FALSE,"CCTV"}</definedName>
    <definedName name="gfjgfh" localSheetId="3" hidden="1">{#N/A,#N/A,FALSE,"CCTV"}</definedName>
    <definedName name="gfjgfh" localSheetId="6" hidden="1">{#N/A,#N/A,FALSE,"CCTV"}</definedName>
    <definedName name="gfjgfh" localSheetId="7" hidden="1">{#N/A,#N/A,FALSE,"CCTV"}</definedName>
    <definedName name="gfjgfh" localSheetId="5" hidden="1">{#N/A,#N/A,FALSE,"CCTV"}</definedName>
    <definedName name="gfjgfh" hidden="1">{#N/A,#N/A,FALSE,"CCTV"}</definedName>
    <definedName name="gfjgfhfg" localSheetId="18" hidden="1">{#N/A,#N/A,FALSE,"CCTV"}</definedName>
    <definedName name="gfjgfhfg" localSheetId="11" hidden="1">{#N/A,#N/A,FALSE,"CCTV"}</definedName>
    <definedName name="gfjgfhfg" localSheetId="1" hidden="1">{#N/A,#N/A,FALSE,"CCTV"}</definedName>
    <definedName name="gfjgfhfg" localSheetId="2" hidden="1">{#N/A,#N/A,FALSE,"CCTV"}</definedName>
    <definedName name="gfjgfhfg" localSheetId="4" hidden="1">{#N/A,#N/A,FALSE,"CCTV"}</definedName>
    <definedName name="gfjgfhfg" localSheetId="19" hidden="1">{#N/A,#N/A,FALSE,"CCTV"}</definedName>
    <definedName name="gfjgfhfg" localSheetId="10" hidden="1">{#N/A,#N/A,FALSE,"CCTV"}</definedName>
    <definedName name="gfjgfhfg" localSheetId="9" hidden="1">{#N/A,#N/A,FALSE,"CCTV"}</definedName>
    <definedName name="gfjgfhfg" localSheetId="8" hidden="1">{#N/A,#N/A,FALSE,"CCTV"}</definedName>
    <definedName name="gfjgfhfg" localSheetId="3" hidden="1">{#N/A,#N/A,FALSE,"CCTV"}</definedName>
    <definedName name="gfjgfhfg" localSheetId="6" hidden="1">{#N/A,#N/A,FALSE,"CCTV"}</definedName>
    <definedName name="gfjgfhfg" localSheetId="7" hidden="1">{#N/A,#N/A,FALSE,"CCTV"}</definedName>
    <definedName name="gfjgfhfg" localSheetId="5" hidden="1">{#N/A,#N/A,FALSE,"CCTV"}</definedName>
    <definedName name="gfjgfhfg" hidden="1">{#N/A,#N/A,FALSE,"CCTV"}</definedName>
    <definedName name="GFJGFJGH" localSheetId="18" hidden="1">{#N/A,#N/A,FALSE,"2~8번"}</definedName>
    <definedName name="GFJGFJGH" hidden="1">{#N/A,#N/A,FALSE,"2~8번"}</definedName>
    <definedName name="GFJGFJRRJGH" localSheetId="18" hidden="1">{#N/A,#N/A,FALSE,"배수1"}</definedName>
    <definedName name="GFJGFJRRJGH" hidden="1">{#N/A,#N/A,FALSE,"배수1"}</definedName>
    <definedName name="GFJHGFJGF" localSheetId="18" hidden="1">{#N/A,#N/A,FALSE,"혼합골재"}</definedName>
    <definedName name="GFJHGFJGF" hidden="1">{#N/A,#N/A,FALSE,"혼합골재"}</definedName>
    <definedName name="GFRRJGH" localSheetId="18" hidden="1">{#N/A,#N/A,FALSE,"단가표지"}</definedName>
    <definedName name="GFRRJGH" hidden="1">{#N/A,#N/A,FALSE,"단가표지"}</definedName>
    <definedName name="gg">#REF!</definedName>
    <definedName name="ggg" localSheetId="18" hidden="1">{"'Sheet1'!$L$16"}</definedName>
    <definedName name="ggg" localSheetId="11" hidden="1">{"'Sheet1'!$L$16"}</definedName>
    <definedName name="ggg" localSheetId="1" hidden="1">{"'Sheet1'!$L$16"}</definedName>
    <definedName name="ggg" localSheetId="2" hidden="1">{"'Sheet1'!$L$16"}</definedName>
    <definedName name="ggg" localSheetId="12" hidden="1">{"'Sheet1'!$L$16"}</definedName>
    <definedName name="ggg" localSheetId="4" hidden="1">{"'Sheet1'!$L$16"}</definedName>
    <definedName name="ggg" localSheetId="19" hidden="1">{"'Sheet1'!$L$16"}</definedName>
    <definedName name="ggg" localSheetId="10" hidden="1">{"'Sheet1'!$L$16"}</definedName>
    <definedName name="ggg" localSheetId="9" hidden="1">{"'Sheet1'!$L$16"}</definedName>
    <definedName name="ggg" localSheetId="8" hidden="1">{"'Sheet1'!$L$16"}</definedName>
    <definedName name="ggg" localSheetId="3" hidden="1">{"'Sheet1'!$L$16"}</definedName>
    <definedName name="ggg" localSheetId="6" hidden="1">{"'Sheet1'!$L$16"}</definedName>
    <definedName name="ggg" localSheetId="7" hidden="1">{"'Sheet1'!$L$16"}</definedName>
    <definedName name="ggg" localSheetId="5" hidden="1">{"'Sheet1'!$L$16"}</definedName>
    <definedName name="ggg" localSheetId="13" hidden="1">{"'Sheet1'!$L$16"}</definedName>
    <definedName name="ggg" hidden="1">{"'Sheet1'!$L$16"}</definedName>
    <definedName name="gggg" localSheetId="16" hidden="1">{"'Sheet1'!$L$16"}</definedName>
    <definedName name="gggg" localSheetId="18" hidden="1">{"'Sheet1'!$L$16"}</definedName>
    <definedName name="gggg" localSheetId="11" hidden="1">{"'Sheet1'!$L$16"}</definedName>
    <definedName name="gggg" localSheetId="1" hidden="1">{"'Sheet1'!$L$16"}</definedName>
    <definedName name="gggg" localSheetId="2" hidden="1">{"'Sheet1'!$L$16"}</definedName>
    <definedName name="gggg" localSheetId="17" hidden="1">{"'Sheet1'!$L$16"}</definedName>
    <definedName name="gggg" localSheetId="12" hidden="1">{"'Sheet1'!$L$16"}</definedName>
    <definedName name="gggg" localSheetId="4" hidden="1">{"'Sheet1'!$L$16"}</definedName>
    <definedName name="gggg" localSheetId="19" hidden="1">{"'Sheet1'!$L$16"}</definedName>
    <definedName name="gggg" localSheetId="10" hidden="1">{"'Sheet1'!$L$16"}</definedName>
    <definedName name="gggg" localSheetId="9" hidden="1">{"'Sheet1'!$L$16"}</definedName>
    <definedName name="gggg" localSheetId="8" hidden="1">{"'Sheet1'!$L$16"}</definedName>
    <definedName name="gggg" localSheetId="3" hidden="1">{"'Sheet1'!$L$16"}</definedName>
    <definedName name="gggg" localSheetId="6" hidden="1">{"'Sheet1'!$L$16"}</definedName>
    <definedName name="gggg" localSheetId="7" hidden="1">{"'Sheet1'!$L$16"}</definedName>
    <definedName name="gggg" localSheetId="5" hidden="1">{"'Sheet1'!$L$16"}</definedName>
    <definedName name="gggg" localSheetId="13" hidden="1">{"'Sheet1'!$L$16"}</definedName>
    <definedName name="gggg" hidden="1">{"'Sheet1'!$L$16"}</definedName>
    <definedName name="ggggfd" localSheetId="11" hidden="1">[12]Spread!#REF!</definedName>
    <definedName name="ggggfd" localSheetId="1" hidden="1">[12]Spread!#REF!</definedName>
    <definedName name="ggggfd" localSheetId="2" hidden="1">[12]Spread!#REF!</definedName>
    <definedName name="ggggfd" localSheetId="4" hidden="1">[12]Spread!#REF!</definedName>
    <definedName name="ggggfd" localSheetId="19" hidden="1">[12]Spread!#REF!</definedName>
    <definedName name="ggggfd" localSheetId="10" hidden="1">[12]Spread!#REF!</definedName>
    <definedName name="ggggfd" localSheetId="9" hidden="1">[12]Spread!#REF!</definedName>
    <definedName name="ggggfd" localSheetId="8" hidden="1">[12]Spread!#REF!</definedName>
    <definedName name="ggggfd" localSheetId="3" hidden="1">[12]Spread!#REF!</definedName>
    <definedName name="ggggfd" localSheetId="6" hidden="1">[12]Spread!#REF!</definedName>
    <definedName name="ggggfd" localSheetId="7" hidden="1">[12]Spread!#REF!</definedName>
    <definedName name="ggggfd" localSheetId="5" hidden="1">[12]Spread!#REF!</definedName>
    <definedName name="ggggfd" hidden="1">#REF!</definedName>
    <definedName name="ggggg" localSheetId="18" hidden="1">{"'장비'!$A$3:$M$12"}</definedName>
    <definedName name="ggggg" hidden="1">{"'장비'!$A$3:$M$12"}</definedName>
    <definedName name="GGGGGGG" hidden="1">#REF!</definedName>
    <definedName name="ggsf" localSheetId="12">#REF!</definedName>
    <definedName name="ggsf" localSheetId="13">#REF!</definedName>
    <definedName name="ggsf">#REF!</definedName>
    <definedName name="gh" localSheetId="18" hidden="1">{"'장비'!$A$3:$M$12"}</definedName>
    <definedName name="gh" localSheetId="11" hidden="1">{#N/A,#N/A,FALSE,"Project Cost Summary";#N/A,#N/A,FALSE,"Man Hour Summary"}</definedName>
    <definedName name="gh" localSheetId="1" hidden="1">{#N/A,#N/A,FALSE,"Project Cost Summary";#N/A,#N/A,FALSE,"Man Hour Summary"}</definedName>
    <definedName name="gh" localSheetId="2" hidden="1">{#N/A,#N/A,FALSE,"Project Cost Summary";#N/A,#N/A,FALSE,"Man Hour Summary"}</definedName>
    <definedName name="gh" localSheetId="4" hidden="1">{#N/A,#N/A,FALSE,"Project Cost Summary";#N/A,#N/A,FALSE,"Man Hour Summary"}</definedName>
    <definedName name="gh" localSheetId="19" hidden="1">{#N/A,#N/A,FALSE,"Project Cost Summary";#N/A,#N/A,FALSE,"Man Hour Summary"}</definedName>
    <definedName name="gh" localSheetId="10" hidden="1">{#N/A,#N/A,FALSE,"Project Cost Summary";#N/A,#N/A,FALSE,"Man Hour Summary"}</definedName>
    <definedName name="gh" localSheetId="9" hidden="1">{#N/A,#N/A,FALSE,"Project Cost Summary";#N/A,#N/A,FALSE,"Man Hour Summary"}</definedName>
    <definedName name="gh" localSheetId="8" hidden="1">{#N/A,#N/A,FALSE,"Project Cost Summary";#N/A,#N/A,FALSE,"Man Hour Summary"}</definedName>
    <definedName name="gh" localSheetId="3" hidden="1">{#N/A,#N/A,FALSE,"Project Cost Summary";#N/A,#N/A,FALSE,"Man Hour Summary"}</definedName>
    <definedName name="gh" localSheetId="6" hidden="1">{#N/A,#N/A,FALSE,"Project Cost Summary";#N/A,#N/A,FALSE,"Man Hour Summary"}</definedName>
    <definedName name="gh" localSheetId="7" hidden="1">{#N/A,#N/A,FALSE,"Project Cost Summary";#N/A,#N/A,FALSE,"Man Hour Summary"}</definedName>
    <definedName name="gh" localSheetId="5" hidden="1">{#N/A,#N/A,FALSE,"Project Cost Summary";#N/A,#N/A,FALSE,"Man Hour Summary"}</definedName>
    <definedName name="gh" hidden="1">{"'장비'!$A$3:$M$12"}</definedName>
    <definedName name="ghj" localSheetId="18" hidden="1">{"'Sheet1'!$L$16"}</definedName>
    <definedName name="ghj" localSheetId="11" hidden="1">{"'Sheet1'!$L$16"}</definedName>
    <definedName name="ghj" localSheetId="1" hidden="1">{"'Sheet1'!$L$16"}</definedName>
    <definedName name="ghj" localSheetId="2" hidden="1">{"'Sheet1'!$L$16"}</definedName>
    <definedName name="ghj" localSheetId="12" hidden="1">{"'Sheet1'!$L$16"}</definedName>
    <definedName name="ghj" localSheetId="4" hidden="1">{"'Sheet1'!$L$16"}</definedName>
    <definedName name="ghj" localSheetId="19" hidden="1">{"'Sheet1'!$L$16"}</definedName>
    <definedName name="ghj" localSheetId="10" hidden="1">{"'Sheet1'!$L$16"}</definedName>
    <definedName name="ghj" localSheetId="9" hidden="1">{"'Sheet1'!$L$16"}</definedName>
    <definedName name="ghj" localSheetId="8" hidden="1">{"'Sheet1'!$L$16"}</definedName>
    <definedName name="ghj" localSheetId="3" hidden="1">{"'Sheet1'!$L$16"}</definedName>
    <definedName name="ghj" localSheetId="6" hidden="1">{"'Sheet1'!$L$16"}</definedName>
    <definedName name="ghj" localSheetId="7" hidden="1">{"'Sheet1'!$L$16"}</definedName>
    <definedName name="ghj" localSheetId="5" hidden="1">{"'Sheet1'!$L$16"}</definedName>
    <definedName name="ghj" localSheetId="13" hidden="1">{"'Sheet1'!$L$16"}</definedName>
    <definedName name="ghj" hidden="1">{"'Sheet1'!$L$16"}</definedName>
    <definedName name="gid" localSheetId="18" hidden="1">{"'Sheet1'!$L$16"}</definedName>
    <definedName name="gid" hidden="1">{"'Sheet1'!$L$16"}</definedName>
    <definedName name="Girostufen">#REF!</definedName>
    <definedName name="Gitterrost">#REF!</definedName>
    <definedName name="gj" localSheetId="18" hidden="1">{"'Liquid'!$A$1:$U$57"}</definedName>
    <definedName name="gj" hidden="1">{"'Liquid'!$A$1:$U$57"}</definedName>
    <definedName name="GJFGJFGJ" localSheetId="18" hidden="1">{#N/A,#N/A,FALSE,"골재소요량";#N/A,#N/A,FALSE,"골재소요량"}</definedName>
    <definedName name="GJFGJFGJ" hidden="1">{#N/A,#N/A,FALSE,"골재소요량";#N/A,#N/A,FALSE,"골재소요량"}</definedName>
    <definedName name="GJGFJGFHJ" localSheetId="18" hidden="1">{#N/A,#N/A,FALSE,"속도"}</definedName>
    <definedName name="GJGFJGFHJ" hidden="1">{#N/A,#N/A,FALSE,"속도"}</definedName>
    <definedName name="gkd" localSheetId="18" hidden="1">{"'Sheet1'!$L$16"}</definedName>
    <definedName name="gkd" hidden="1">{"'Sheet1'!$L$16"}</definedName>
    <definedName name="gl3p">#REF!</definedName>
    <definedName name="globe">#REF!</definedName>
    <definedName name="GoBack" localSheetId="1">[62]Sheet1!GoBack</definedName>
    <definedName name="GoBack" localSheetId="2">[62]Sheet1!GoBack</definedName>
    <definedName name="GoBack" localSheetId="4">[62]Sheet1!GoBack</definedName>
    <definedName name="GoBack" localSheetId="19">[62]Sheet1!GoBack</definedName>
    <definedName name="GoBack" localSheetId="10">[62]Sheet1!GoBack</definedName>
    <definedName name="GoBack" localSheetId="9">[62]Sheet1!GoBack</definedName>
    <definedName name="GoBack" localSheetId="8">[62]Sheet1!GoBack</definedName>
    <definedName name="GoBack" localSheetId="3">[62]Sheet1!GoBack</definedName>
    <definedName name="GoBack" localSheetId="6">[62]Sheet1!GoBack</definedName>
    <definedName name="GoBack" localSheetId="7">[62]Sheet1!GoBack</definedName>
    <definedName name="GoBack" localSheetId="5">[62]Sheet1!GoBack</definedName>
    <definedName name="GoBack">[62]Sheet1!GoBack</definedName>
    <definedName name="Gr">#REF!</definedName>
    <definedName name="Gr_FC_FOB_PlMat">#REF!</definedName>
    <definedName name="Gr_FC_LocTransp">#REF!</definedName>
    <definedName name="Gr_FC_OceanFr">#REF!</definedName>
    <definedName name="Groups">#REF!</definedName>
    <definedName name="GSDGSRWQR" localSheetId="18" hidden="1">{#N/A,#N/A,FALSE,"속도"}</definedName>
    <definedName name="GSDGSRWQR" hidden="1">{#N/A,#N/A,FALSE,"속도"}</definedName>
    <definedName name="gt" localSheetId="18" hidden="1">{"'Liquid'!$A$1:$U$57"}</definedName>
    <definedName name="gt" hidden="1">{"'Liquid'!$A$1:$U$57"}</definedName>
    <definedName name="GTESS" localSheetId="18" hidden="1">{#N/A,#N/A,FALSE,"Mhr_Sum"}</definedName>
    <definedName name="GTESS" hidden="1">{#N/A,#N/A,FALSE,"Mhr_Sum"}</definedName>
    <definedName name="GTOTAL" localSheetId="16" hidden="1">{"'Sheet1'!$L$16"}</definedName>
    <definedName name="GTOTAL" localSheetId="18" hidden="1">{"'Sheet1'!$L$16"}</definedName>
    <definedName name="GTOTAL" localSheetId="11" hidden="1">{"'Sheet1'!$L$16"}</definedName>
    <definedName name="GTOTAL" localSheetId="1" hidden="1">{"'Sheet1'!$L$16"}</definedName>
    <definedName name="GTOTAL" localSheetId="2" hidden="1">{"'Sheet1'!$L$16"}</definedName>
    <definedName name="GTOTAL" localSheetId="17" hidden="1">{"'Sheet1'!$L$16"}</definedName>
    <definedName name="GTOTAL" localSheetId="12" hidden="1">{"'Sheet1'!$L$16"}</definedName>
    <definedName name="GTOTAL" localSheetId="4" hidden="1">{"'Sheet1'!$L$16"}</definedName>
    <definedName name="GTOTAL" localSheetId="19" hidden="1">{"'Sheet1'!$L$16"}</definedName>
    <definedName name="GTOTAL" localSheetId="10" hidden="1">{"'Sheet1'!$L$16"}</definedName>
    <definedName name="GTOTAL" localSheetId="9" hidden="1">{"'Sheet1'!$L$16"}</definedName>
    <definedName name="GTOTAL" localSheetId="8" hidden="1">{"'Sheet1'!$L$16"}</definedName>
    <definedName name="GTOTAL" localSheetId="3" hidden="1">{"'Sheet1'!$L$16"}</definedName>
    <definedName name="GTOTAL" localSheetId="6" hidden="1">{"'Sheet1'!$L$16"}</definedName>
    <definedName name="GTOTAL" localSheetId="7" hidden="1">{"'Sheet1'!$L$16"}</definedName>
    <definedName name="GTOTAL" localSheetId="5" hidden="1">{"'Sheet1'!$L$16"}</definedName>
    <definedName name="GTOTAL" localSheetId="13" hidden="1">{"'Sheet1'!$L$16"}</definedName>
    <definedName name="GTOTAL" hidden="1">{"'Sheet1'!$L$16"}</definedName>
    <definedName name="GUESTPNT" localSheetId="1">[44]!GUESTPNT</definedName>
    <definedName name="GUESTPNT" localSheetId="2">[44]!GUESTPNT</definedName>
    <definedName name="GUESTPNT" localSheetId="4">[44]!GUESTPNT</definedName>
    <definedName name="GUESTPNT" localSheetId="19">[44]!GUESTPNT</definedName>
    <definedName name="GUESTPNT" localSheetId="10">[44]!GUESTPNT</definedName>
    <definedName name="GUESTPNT" localSheetId="9">[44]!GUESTPNT</definedName>
    <definedName name="GUESTPNT" localSheetId="8">[44]!GUESTPNT</definedName>
    <definedName name="GUESTPNT" localSheetId="3">[44]!GUESTPNT</definedName>
    <definedName name="GUESTPNT" localSheetId="6">[44]!GUESTPNT</definedName>
    <definedName name="GUESTPNT" localSheetId="7">[44]!GUESTPNT</definedName>
    <definedName name="GUESTPNT" localSheetId="5">[44]!GUESTPNT</definedName>
    <definedName name="GUESTPNT">[44]!GUESTPNT</definedName>
    <definedName name="GV" localSheetId="18" hidden="1">{#N/A,#N/A,FALSE,"CCTV"}</definedName>
    <definedName name="GV" hidden="1">{#N/A,#N/A,FALSE,"CCTV"}</definedName>
    <definedName name="h" localSheetId="18" hidden="1">{"'Sheet1'!$L$16"}</definedName>
    <definedName name="h" localSheetId="11" hidden="1">{"'Sheet1'!$L$16"}</definedName>
    <definedName name="h" localSheetId="1" hidden="1">{"'Sheet1'!$L$16"}</definedName>
    <definedName name="h" localSheetId="2" hidden="1">{"'Sheet1'!$L$16"}</definedName>
    <definedName name="h" localSheetId="12" hidden="1">{"'Sheet1'!$L$16"}</definedName>
    <definedName name="h" localSheetId="4" hidden="1">{"'Sheet1'!$L$16"}</definedName>
    <definedName name="h" localSheetId="19" hidden="1">{"'Sheet1'!$L$16"}</definedName>
    <definedName name="h" localSheetId="10" hidden="1">{"'Sheet1'!$L$16"}</definedName>
    <definedName name="h" localSheetId="9" hidden="1">{"'Sheet1'!$L$16"}</definedName>
    <definedName name="h" localSheetId="8" hidden="1">{"'Sheet1'!$L$16"}</definedName>
    <definedName name="h" localSheetId="3" hidden="1">{"'Sheet1'!$L$16"}</definedName>
    <definedName name="h" localSheetId="6" hidden="1">{"'Sheet1'!$L$16"}</definedName>
    <definedName name="h" localSheetId="7" hidden="1">{"'Sheet1'!$L$16"}</definedName>
    <definedName name="h" localSheetId="5" hidden="1">{"'Sheet1'!$L$16"}</definedName>
    <definedName name="h" localSheetId="13" hidden="1">{"'Sheet1'!$L$16"}</definedName>
    <definedName name="h" hidden="1">{"'Sheet1'!$L$16"}</definedName>
    <definedName name="HANGER_LOOKUP">#REF!</definedName>
    <definedName name="HangerMultiplier">#REF!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localSheetId="18" hidden="1">{"'Sheet1'!$L$16"}</definedName>
    <definedName name="haq" localSheetId="11" hidden="1">{"'Sheet1'!$L$16"}</definedName>
    <definedName name="haq" localSheetId="1" hidden="1">{"'Sheet1'!$L$16"}</definedName>
    <definedName name="haq" localSheetId="2" hidden="1">{"'Sheet1'!$L$16"}</definedName>
    <definedName name="haq" localSheetId="12" hidden="1">{"'Sheet1'!$L$16"}</definedName>
    <definedName name="haq" localSheetId="4" hidden="1">{"'Sheet1'!$L$16"}</definedName>
    <definedName name="haq" localSheetId="19" hidden="1">{"'Sheet1'!$L$16"}</definedName>
    <definedName name="haq" localSheetId="10" hidden="1">{"'Sheet1'!$L$16"}</definedName>
    <definedName name="haq" localSheetId="9" hidden="1">{"'Sheet1'!$L$16"}</definedName>
    <definedName name="haq" localSheetId="8" hidden="1">{"'Sheet1'!$L$16"}</definedName>
    <definedName name="haq" localSheetId="3" hidden="1">{"'Sheet1'!$L$16"}</definedName>
    <definedName name="haq" localSheetId="6" hidden="1">{"'Sheet1'!$L$16"}</definedName>
    <definedName name="haq" localSheetId="7" hidden="1">{"'Sheet1'!$L$16"}</definedName>
    <definedName name="haq" localSheetId="5" hidden="1">{"'Sheet1'!$L$16"}</definedName>
    <definedName name="haq" localSheetId="13" hidden="1">{"'Sheet1'!$L$16"}</definedName>
    <definedName name="haq" hidden="1">{"'Sheet1'!$L$16"}</definedName>
    <definedName name="Hardware" localSheetId="18" hidden="1">{#N/A,#N/A,TRUE,"Str.";#N/A,#N/A,TRUE,"Steel &amp; Roof";#N/A,#N/A,TRUE,"Arc.";#N/A,#N/A,TRUE,"Preliminary";#N/A,#N/A,TRUE,"Sum_Prelim"}</definedName>
    <definedName name="Hardware" hidden="1">{#N/A,#N/A,TRUE,"Str.";#N/A,#N/A,TRUE,"Steel &amp; Roof";#N/A,#N/A,TRUE,"Arc.";#N/A,#N/A,TRUE,"Preliminary";#N/A,#N/A,TRUE,"Sum_Prelim"}</definedName>
    <definedName name="Haspelfahrwerk">#REF!</definedName>
    <definedName name="hchair">#REF!</definedName>
    <definedName name="HCNA" localSheetId="18" hidden="1">{"'Sheet1'!$L$16"}</definedName>
    <definedName name="HCNA" localSheetId="11" hidden="1">{"'Sheet1'!$L$16"}</definedName>
    <definedName name="HCNA" localSheetId="1" hidden="1">{"'Sheet1'!$L$16"}</definedName>
    <definedName name="HCNA" localSheetId="2" hidden="1">{"'Sheet1'!$L$16"}</definedName>
    <definedName name="HCNA" localSheetId="12" hidden="1">{"'Sheet1'!$L$16"}</definedName>
    <definedName name="HCNA" localSheetId="4" hidden="1">{"'Sheet1'!$L$16"}</definedName>
    <definedName name="HCNA" localSheetId="19" hidden="1">{"'Sheet1'!$L$16"}</definedName>
    <definedName name="HCNA" localSheetId="10" hidden="1">{"'Sheet1'!$L$16"}</definedName>
    <definedName name="HCNA" localSheetId="9" hidden="1">{"'Sheet1'!$L$16"}</definedName>
    <definedName name="HCNA" localSheetId="8" hidden="1">{"'Sheet1'!$L$16"}</definedName>
    <definedName name="HCNA" localSheetId="3" hidden="1">{"'Sheet1'!$L$16"}</definedName>
    <definedName name="HCNA" localSheetId="6" hidden="1">{"'Sheet1'!$L$16"}</definedName>
    <definedName name="HCNA" localSheetId="7" hidden="1">{"'Sheet1'!$L$16"}</definedName>
    <definedName name="HCNA" localSheetId="5" hidden="1">{"'Sheet1'!$L$16"}</definedName>
    <definedName name="HCNA" localSheetId="13" hidden="1">{"'Sheet1'!$L$16"}</definedName>
    <definedName name="HCNA" hidden="1">{"'Sheet1'!$L$16"}</definedName>
    <definedName name="HDFD" localSheetId="18" hidden="1">{#N/A,#N/A,FALSE,"속도"}</definedName>
    <definedName name="HDFD" hidden="1">{#N/A,#N/A,FALSE,"속도"}</definedName>
    <definedName name="HDFJHJ" localSheetId="18" hidden="1">{#N/A,#N/A,FALSE,"Mhr_Sum"}</definedName>
    <definedName name="HDFJHJ" hidden="1">{#N/A,#N/A,FALSE,"Mhr_Sum"}</definedName>
    <definedName name="Heä_soá_laép_xaø_H">1.7</definedName>
    <definedName name="heä_soá_sình_laày">#REF!</definedName>
    <definedName name="HEADER_DRAWING_NUMBER">#REF!</definedName>
    <definedName name="HEADER_KFP_ORIGIN_KEY">#REF!</definedName>
    <definedName name="Header12">#REF!</definedName>
    <definedName name="Header12.5">#REF!</definedName>
    <definedName name="Header13">#REF!</definedName>
    <definedName name="Header13.5">#REF!</definedName>
    <definedName name="Header14">#REF!</definedName>
    <definedName name="Header15">#REF!</definedName>
    <definedName name="Header16">#REF!</definedName>
    <definedName name="HeaderH12">#REF!</definedName>
    <definedName name="HeaderH12.5">#REF!</definedName>
    <definedName name="HeaderH13">#REF!</definedName>
    <definedName name="HeaderH13.5">#REF!</definedName>
    <definedName name="HeaderH14">#REF!</definedName>
    <definedName name="HeaderH15">#REF!</definedName>
    <definedName name="HeaderH16">#REF!</definedName>
    <definedName name="HeaderLength1">#REF!</definedName>
    <definedName name="HeaderLength10">#REF!</definedName>
    <definedName name="HeaderLength11">#REF!</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ERS" localSheetId="11">'[71]DATA LISTS'!$A$4:$A$10</definedName>
    <definedName name="HEADERS" localSheetId="1">'[71]DATA LISTS'!$A$4:$A$10</definedName>
    <definedName name="HEADERS" localSheetId="2">'[71]DATA LISTS'!$A$4:$A$10</definedName>
    <definedName name="HEADERS" localSheetId="4">'[71]DATA LISTS'!$A$4:$A$10</definedName>
    <definedName name="HEADERS" localSheetId="19">'[71]DATA LISTS'!$A$4:$A$10</definedName>
    <definedName name="HEADERS" localSheetId="10">'[71]DATA LISTS'!$A$4:$A$10</definedName>
    <definedName name="HEADERS" localSheetId="9">'[71]DATA LISTS'!$A$4:$A$10</definedName>
    <definedName name="HEADERS" localSheetId="8">'[71]DATA LISTS'!$A$4:$A$10</definedName>
    <definedName name="HEADERS" localSheetId="3">'[71]DATA LISTS'!$A$4:$A$10</definedName>
    <definedName name="HEADERS" localSheetId="6">'[71]DATA LISTS'!$A$4:$A$10</definedName>
    <definedName name="HEADERS" localSheetId="7">'[71]DATA LISTS'!$A$4:$A$10</definedName>
    <definedName name="HEADERS" localSheetId="5">'[71]DATA LISTS'!$A$4:$A$10</definedName>
    <definedName name="HEADERS">#REF!</definedName>
    <definedName name="HElec" localSheetId="11">'[51]Labor Sum'!$D$58</definedName>
    <definedName name="HElec" localSheetId="1">'[51]Labor Sum'!$D$58</definedName>
    <definedName name="HElec" localSheetId="2">'[51]Labor Sum'!$D$58</definedName>
    <definedName name="HElec" localSheetId="4">'[51]Labor Sum'!$D$58</definedName>
    <definedName name="HElec" localSheetId="19">'[51]Labor Sum'!$D$58</definedName>
    <definedName name="HElec" localSheetId="10">'[51]Labor Sum'!$D$58</definedName>
    <definedName name="HElec" localSheetId="9">'[51]Labor Sum'!$D$58</definedName>
    <definedName name="HElec" localSheetId="8">'[51]Labor Sum'!$D$58</definedName>
    <definedName name="HElec" localSheetId="3">'[51]Labor Sum'!$D$58</definedName>
    <definedName name="HElec" localSheetId="6">'[51]Labor Sum'!$D$58</definedName>
    <definedName name="HElec" localSheetId="7">'[51]Labor Sum'!$D$58</definedName>
    <definedName name="HElec" localSheetId="5">'[51]Labor Sum'!$D$58</definedName>
    <definedName name="HElec">#REF!</definedName>
    <definedName name="HEPM" localSheetId="11">'[51]Labor Sum'!$L$58</definedName>
    <definedName name="HEPM" localSheetId="1">'[51]Labor Sum'!$L$58</definedName>
    <definedName name="HEPM" localSheetId="2">'[51]Labor Sum'!$L$58</definedName>
    <definedName name="HEPM" localSheetId="4">'[51]Labor Sum'!$L$58</definedName>
    <definedName name="HEPM" localSheetId="19">'[51]Labor Sum'!$L$58</definedName>
    <definedName name="HEPM" localSheetId="10">'[51]Labor Sum'!$L$58</definedName>
    <definedName name="HEPM" localSheetId="9">'[51]Labor Sum'!$L$58</definedName>
    <definedName name="HEPM" localSheetId="8">'[51]Labor Sum'!$L$58</definedName>
    <definedName name="HEPM" localSheetId="3">'[51]Labor Sum'!$L$58</definedName>
    <definedName name="HEPM" localSheetId="6">'[51]Labor Sum'!$L$58</definedName>
    <definedName name="HEPM" localSheetId="7">'[51]Labor Sum'!$L$58</definedName>
    <definedName name="HEPM" localSheetId="5">'[51]Labor Sum'!$L$58</definedName>
    <definedName name="HEPM">#REF!</definedName>
    <definedName name="HEProc" localSheetId="11">'[51]Labor Sum'!$F$58</definedName>
    <definedName name="HEProc" localSheetId="1">'[51]Labor Sum'!$F$58</definedName>
    <definedName name="HEProc" localSheetId="2">'[51]Labor Sum'!$F$58</definedName>
    <definedName name="HEProc" localSheetId="4">'[51]Labor Sum'!$F$58</definedName>
    <definedName name="HEProc" localSheetId="19">'[51]Labor Sum'!$F$58</definedName>
    <definedName name="HEProc" localSheetId="10">'[51]Labor Sum'!$F$58</definedName>
    <definedName name="HEProc" localSheetId="9">'[51]Labor Sum'!$F$58</definedName>
    <definedName name="HEProc" localSheetId="8">'[51]Labor Sum'!$F$58</definedName>
    <definedName name="HEProc" localSheetId="3">'[51]Labor Sum'!$F$58</definedName>
    <definedName name="HEProc" localSheetId="6">'[51]Labor Sum'!$F$58</definedName>
    <definedName name="HEProc" localSheetId="7">'[51]Labor Sum'!$F$58</definedName>
    <definedName name="HEProc" localSheetId="5">'[51]Labor Sum'!$F$58</definedName>
    <definedName name="HEProc">#REF!</definedName>
    <definedName name="HEQAQC" localSheetId="11">'[51]Labor Sum'!$H$58</definedName>
    <definedName name="HEQAQC" localSheetId="1">'[51]Labor Sum'!$H$58</definedName>
    <definedName name="HEQAQC" localSheetId="2">'[51]Labor Sum'!$H$58</definedName>
    <definedName name="HEQAQC" localSheetId="4">'[51]Labor Sum'!$H$58</definedName>
    <definedName name="HEQAQC" localSheetId="19">'[51]Labor Sum'!$H$58</definedName>
    <definedName name="HEQAQC" localSheetId="10">'[51]Labor Sum'!$H$58</definedName>
    <definedName name="HEQAQC" localSheetId="9">'[51]Labor Sum'!$H$58</definedName>
    <definedName name="HEQAQC" localSheetId="8">'[51]Labor Sum'!$H$58</definedName>
    <definedName name="HEQAQC" localSheetId="3">'[51]Labor Sum'!$H$58</definedName>
    <definedName name="HEQAQC" localSheetId="6">'[51]Labor Sum'!$H$58</definedName>
    <definedName name="HEQAQC" localSheetId="7">'[51]Labor Sum'!$H$58</definedName>
    <definedName name="HEQAQC" localSheetId="5">'[51]Labor Sum'!$H$58</definedName>
    <definedName name="HEQAQC">#REF!</definedName>
    <definedName name="herbert" hidden="1">#REF!</definedName>
    <definedName name="HESched" localSheetId="11">'[51]Labor Sum'!$J$58</definedName>
    <definedName name="HESched" localSheetId="1">'[51]Labor Sum'!$J$58</definedName>
    <definedName name="HESched" localSheetId="2">'[51]Labor Sum'!$J$58</definedName>
    <definedName name="HESched" localSheetId="4">'[51]Labor Sum'!$J$58</definedName>
    <definedName name="HESched" localSheetId="19">'[51]Labor Sum'!$J$58</definedName>
    <definedName name="HESched" localSheetId="10">'[51]Labor Sum'!$J$58</definedName>
    <definedName name="HESched" localSheetId="9">'[51]Labor Sum'!$J$58</definedName>
    <definedName name="HESched" localSheetId="8">'[51]Labor Sum'!$J$58</definedName>
    <definedName name="HESched" localSheetId="3">'[51]Labor Sum'!$J$58</definedName>
    <definedName name="HESched" localSheetId="6">'[51]Labor Sum'!$J$58</definedName>
    <definedName name="HESched" localSheetId="7">'[51]Labor Sum'!$J$58</definedName>
    <definedName name="HESched" localSheetId="5">'[51]Labor Sum'!$J$58</definedName>
    <definedName name="HESched">#REF!</definedName>
    <definedName name="hethongthoatnuocngoainha" localSheetId="12">#REF!</definedName>
    <definedName name="hethongthoatnuocngoainha" localSheetId="13">#REF!</definedName>
    <definedName name="hethongthoatnuocngoainha">#REF!</definedName>
    <definedName name="hf">#REF!</definedName>
    <definedName name="hfdgfdg" localSheetId="18" hidden="1">{#N/A,#N/A,FALSE,"CCTV"}</definedName>
    <definedName name="hfdgfdg" localSheetId="11" hidden="1">{#N/A,#N/A,FALSE,"CCTV"}</definedName>
    <definedName name="hfdgfdg" localSheetId="1" hidden="1">{#N/A,#N/A,FALSE,"CCTV"}</definedName>
    <definedName name="hfdgfdg" localSheetId="2" hidden="1">{#N/A,#N/A,FALSE,"CCTV"}</definedName>
    <definedName name="hfdgfdg" localSheetId="4" hidden="1">{#N/A,#N/A,FALSE,"CCTV"}</definedName>
    <definedName name="hfdgfdg" localSheetId="19" hidden="1">{#N/A,#N/A,FALSE,"CCTV"}</definedName>
    <definedName name="hfdgfdg" localSheetId="10" hidden="1">{#N/A,#N/A,FALSE,"CCTV"}</definedName>
    <definedName name="hfdgfdg" localSheetId="9" hidden="1">{#N/A,#N/A,FALSE,"CCTV"}</definedName>
    <definedName name="hfdgfdg" localSheetId="8" hidden="1">{#N/A,#N/A,FALSE,"CCTV"}</definedName>
    <definedName name="hfdgfdg" localSheetId="3" hidden="1">{#N/A,#N/A,FALSE,"CCTV"}</definedName>
    <definedName name="hfdgfdg" localSheetId="6" hidden="1">{#N/A,#N/A,FALSE,"CCTV"}</definedName>
    <definedName name="hfdgfdg" localSheetId="7" hidden="1">{#N/A,#N/A,FALSE,"CCTV"}</definedName>
    <definedName name="hfdgfdg" localSheetId="5" hidden="1">{#N/A,#N/A,FALSE,"CCTV"}</definedName>
    <definedName name="hfdgfdg" hidden="1">{#N/A,#N/A,FALSE,"CCTV"}</definedName>
    <definedName name="hfjhhjj" localSheetId="18" hidden="1">{#N/A,#N/A,FALSE,"CCTV"}</definedName>
    <definedName name="hfjhhjj" localSheetId="11" hidden="1">{#N/A,#N/A,FALSE,"CCTV"}</definedName>
    <definedName name="hfjhhjj" localSheetId="1" hidden="1">{#N/A,#N/A,FALSE,"CCTV"}</definedName>
    <definedName name="hfjhhjj" localSheetId="2" hidden="1">{#N/A,#N/A,FALSE,"CCTV"}</definedName>
    <definedName name="hfjhhjj" localSheetId="4" hidden="1">{#N/A,#N/A,FALSE,"CCTV"}</definedName>
    <definedName name="hfjhhjj" localSheetId="19" hidden="1">{#N/A,#N/A,FALSE,"CCTV"}</definedName>
    <definedName name="hfjhhjj" localSheetId="10" hidden="1">{#N/A,#N/A,FALSE,"CCTV"}</definedName>
    <definedName name="hfjhhjj" localSheetId="9" hidden="1">{#N/A,#N/A,FALSE,"CCTV"}</definedName>
    <definedName name="hfjhhjj" localSheetId="8" hidden="1">{#N/A,#N/A,FALSE,"CCTV"}</definedName>
    <definedName name="hfjhhjj" localSheetId="3" hidden="1">{#N/A,#N/A,FALSE,"CCTV"}</definedName>
    <definedName name="hfjhhjj" localSheetId="6" hidden="1">{#N/A,#N/A,FALSE,"CCTV"}</definedName>
    <definedName name="hfjhhjj" localSheetId="7" hidden="1">{#N/A,#N/A,FALSE,"CCTV"}</definedName>
    <definedName name="hfjhhjj" localSheetId="5" hidden="1">{#N/A,#N/A,FALSE,"CCTV"}</definedName>
    <definedName name="hfjhhjj" hidden="1">{#N/A,#N/A,FALSE,"CCTV"}</definedName>
    <definedName name="HGDSGJGFJGF" localSheetId="18" hidden="1">{#N/A,#N/A,FALSE,"배수2"}</definedName>
    <definedName name="HGDSGJGFJGF" hidden="1">{#N/A,#N/A,FALSE,"배수2"}</definedName>
    <definedName name="hgfhgshghsh" localSheetId="18" hidden="1">{#N/A,#N/A,FALSE,"Project Cost Summary";#N/A,#N/A,FALSE,"Man Hour Summary"}</definedName>
    <definedName name="hgfhgshghsh" localSheetId="1" hidden="1">{#N/A,#N/A,FALSE,"Project Cost Summary";#N/A,#N/A,FALSE,"Man Hour Summary"}</definedName>
    <definedName name="hgfhgshghsh" localSheetId="2" hidden="1">{#N/A,#N/A,FALSE,"Project Cost Summary";#N/A,#N/A,FALSE,"Man Hour Summary"}</definedName>
    <definedName name="hgfhgshghsh" localSheetId="4" hidden="1">{#N/A,#N/A,FALSE,"Project Cost Summary";#N/A,#N/A,FALSE,"Man Hour Summary"}</definedName>
    <definedName name="hgfhgshghsh" localSheetId="19" hidden="1">{#N/A,#N/A,FALSE,"Project Cost Summary";#N/A,#N/A,FALSE,"Man Hour Summary"}</definedName>
    <definedName name="hgfhgshghsh" localSheetId="10" hidden="1">{#N/A,#N/A,FALSE,"Project Cost Summary";#N/A,#N/A,FALSE,"Man Hour Summary"}</definedName>
    <definedName name="hgfhgshghsh" localSheetId="9" hidden="1">{#N/A,#N/A,FALSE,"Project Cost Summary";#N/A,#N/A,FALSE,"Man Hour Summary"}</definedName>
    <definedName name="hgfhgshghsh" localSheetId="8" hidden="1">{#N/A,#N/A,FALSE,"Project Cost Summary";#N/A,#N/A,FALSE,"Man Hour Summary"}</definedName>
    <definedName name="hgfhgshghsh" localSheetId="3" hidden="1">{#N/A,#N/A,FALSE,"Project Cost Summary";#N/A,#N/A,FALSE,"Man Hour Summary"}</definedName>
    <definedName name="hgfhgshghsh" localSheetId="6" hidden="1">{#N/A,#N/A,FALSE,"Project Cost Summary";#N/A,#N/A,FALSE,"Man Hour Summary"}</definedName>
    <definedName name="hgfhgshghsh" localSheetId="7" hidden="1">{#N/A,#N/A,FALSE,"Project Cost Summary";#N/A,#N/A,FALSE,"Man Hour Summary"}</definedName>
    <definedName name="hgfhgshghsh" localSheetId="5" hidden="1">{#N/A,#N/A,FALSE,"Project Cost Summary";#N/A,#N/A,FALSE,"Man Hour Summary"}</definedName>
    <definedName name="hgfhgshghsh" hidden="1">{#N/A,#N/A,FALSE,"Project Cost Summary";#N/A,#N/A,FALSE,"Man Hour Summary"}</definedName>
    <definedName name="HGHH" localSheetId="18" hidden="1">{#N/A,#N/A,FALSE,"표지목차"}</definedName>
    <definedName name="HGHH" hidden="1">{#N/A,#N/A,FALSE,"표지목차"}</definedName>
    <definedName name="hgjfgh" localSheetId="18" hidden="1">{#N/A,#N/A,FALSE,"CCTV"}</definedName>
    <definedName name="hgjfgh" localSheetId="11" hidden="1">{#N/A,#N/A,FALSE,"CCTV"}</definedName>
    <definedName name="hgjfgh" localSheetId="1" hidden="1">{#N/A,#N/A,FALSE,"CCTV"}</definedName>
    <definedName name="hgjfgh" localSheetId="2" hidden="1">{#N/A,#N/A,FALSE,"CCTV"}</definedName>
    <definedName name="hgjfgh" localSheetId="4" hidden="1">{#N/A,#N/A,FALSE,"CCTV"}</definedName>
    <definedName name="hgjfgh" localSheetId="19" hidden="1">{#N/A,#N/A,FALSE,"CCTV"}</definedName>
    <definedName name="hgjfgh" localSheetId="10" hidden="1">{#N/A,#N/A,FALSE,"CCTV"}</definedName>
    <definedName name="hgjfgh" localSheetId="9" hidden="1">{#N/A,#N/A,FALSE,"CCTV"}</definedName>
    <definedName name="hgjfgh" localSheetId="8" hidden="1">{#N/A,#N/A,FALSE,"CCTV"}</definedName>
    <definedName name="hgjfgh" localSheetId="3" hidden="1">{#N/A,#N/A,FALSE,"CCTV"}</definedName>
    <definedName name="hgjfgh" localSheetId="6" hidden="1">{#N/A,#N/A,FALSE,"CCTV"}</definedName>
    <definedName name="hgjfgh" localSheetId="7" hidden="1">{#N/A,#N/A,FALSE,"CCTV"}</definedName>
    <definedName name="hgjfgh" localSheetId="5" hidden="1">{#N/A,#N/A,FALSE,"CCTV"}</definedName>
    <definedName name="hgjfgh" hidden="1">{#N/A,#N/A,FALSE,"CCTV"}</definedName>
    <definedName name="hgjgfhgh" localSheetId="18" hidden="1">{#N/A,#N/A,FALSE,"CCTV"}</definedName>
    <definedName name="hgjgfhgh" localSheetId="11" hidden="1">{#N/A,#N/A,FALSE,"CCTV"}</definedName>
    <definedName name="hgjgfhgh" localSheetId="1" hidden="1">{#N/A,#N/A,FALSE,"CCTV"}</definedName>
    <definedName name="hgjgfhgh" localSheetId="2" hidden="1">{#N/A,#N/A,FALSE,"CCTV"}</definedName>
    <definedName name="hgjgfhgh" localSheetId="4" hidden="1">{#N/A,#N/A,FALSE,"CCTV"}</definedName>
    <definedName name="hgjgfhgh" localSheetId="19" hidden="1">{#N/A,#N/A,FALSE,"CCTV"}</definedName>
    <definedName name="hgjgfhgh" localSheetId="10" hidden="1">{#N/A,#N/A,FALSE,"CCTV"}</definedName>
    <definedName name="hgjgfhgh" localSheetId="9" hidden="1">{#N/A,#N/A,FALSE,"CCTV"}</definedName>
    <definedName name="hgjgfhgh" localSheetId="8" hidden="1">{#N/A,#N/A,FALSE,"CCTV"}</definedName>
    <definedName name="hgjgfhgh" localSheetId="3" hidden="1">{#N/A,#N/A,FALSE,"CCTV"}</definedName>
    <definedName name="hgjgfhgh" localSheetId="6" hidden="1">{#N/A,#N/A,FALSE,"CCTV"}</definedName>
    <definedName name="hgjgfhgh" localSheetId="7" hidden="1">{#N/A,#N/A,FALSE,"CCTV"}</definedName>
    <definedName name="hgjgfhgh" localSheetId="5" hidden="1">{#N/A,#N/A,FALSE,"CCTV"}</definedName>
    <definedName name="hgjgfhgh" hidden="1">{#N/A,#N/A,FALSE,"CCTV"}</definedName>
    <definedName name="hgshsh" localSheetId="18" hidden="1">{#N/A,#N/A,FALSE,"Project Cost Summary";#N/A,#N/A,FALSE,"Man Hour Summary"}</definedName>
    <definedName name="hgshsh" localSheetId="1" hidden="1">{#N/A,#N/A,FALSE,"Project Cost Summary";#N/A,#N/A,FALSE,"Man Hour Summary"}</definedName>
    <definedName name="hgshsh" localSheetId="2" hidden="1">{#N/A,#N/A,FALSE,"Project Cost Summary";#N/A,#N/A,FALSE,"Man Hour Summary"}</definedName>
    <definedName name="hgshsh" localSheetId="4" hidden="1">{#N/A,#N/A,FALSE,"Project Cost Summary";#N/A,#N/A,FALSE,"Man Hour Summary"}</definedName>
    <definedName name="hgshsh" localSheetId="19" hidden="1">{#N/A,#N/A,FALSE,"Project Cost Summary";#N/A,#N/A,FALSE,"Man Hour Summary"}</definedName>
    <definedName name="hgshsh" localSheetId="10" hidden="1">{#N/A,#N/A,FALSE,"Project Cost Summary";#N/A,#N/A,FALSE,"Man Hour Summary"}</definedName>
    <definedName name="hgshsh" localSheetId="9" hidden="1">{#N/A,#N/A,FALSE,"Project Cost Summary";#N/A,#N/A,FALSE,"Man Hour Summary"}</definedName>
    <definedName name="hgshsh" localSheetId="8" hidden="1">{#N/A,#N/A,FALSE,"Project Cost Summary";#N/A,#N/A,FALSE,"Man Hour Summary"}</definedName>
    <definedName name="hgshsh" localSheetId="3" hidden="1">{#N/A,#N/A,FALSE,"Project Cost Summary";#N/A,#N/A,FALSE,"Man Hour Summary"}</definedName>
    <definedName name="hgshsh" localSheetId="6" hidden="1">{#N/A,#N/A,FALSE,"Project Cost Summary";#N/A,#N/A,FALSE,"Man Hour Summary"}</definedName>
    <definedName name="hgshsh" localSheetId="7" hidden="1">{#N/A,#N/A,FALSE,"Project Cost Summary";#N/A,#N/A,FALSE,"Man Hour Summary"}</definedName>
    <definedName name="hgshsh" localSheetId="5" hidden="1">{#N/A,#N/A,FALSE,"Project Cost Summary";#N/A,#N/A,FALSE,"Man Hour Summary"}</definedName>
    <definedName name="hgshsh" hidden="1">{#N/A,#N/A,FALSE,"Project Cost Summary";#N/A,#N/A,FALSE,"Man Hour Summary"}</definedName>
    <definedName name="hh" localSheetId="18" hidden="1">{"'장비'!$A$3:$M$12"}</definedName>
    <definedName name="hh" localSheetId="11" hidden="1">{#N/A,#N/A,FALSE,"CCTV"}</definedName>
    <definedName name="hh" localSheetId="1" hidden="1">{#N/A,#N/A,FALSE,"CCTV"}</definedName>
    <definedName name="hh" localSheetId="2" hidden="1">{#N/A,#N/A,FALSE,"CCTV"}</definedName>
    <definedName name="hh" localSheetId="4" hidden="1">{#N/A,#N/A,FALSE,"CCTV"}</definedName>
    <definedName name="hh" localSheetId="19" hidden="1">{#N/A,#N/A,FALSE,"CCTV"}</definedName>
    <definedName name="hh" localSheetId="10" hidden="1">{#N/A,#N/A,FALSE,"CCTV"}</definedName>
    <definedName name="hh" localSheetId="9" hidden="1">{#N/A,#N/A,FALSE,"CCTV"}</definedName>
    <definedName name="hh" localSheetId="8" hidden="1">{#N/A,#N/A,FALSE,"CCTV"}</definedName>
    <definedName name="hh" localSheetId="3" hidden="1">{#N/A,#N/A,FALSE,"CCTV"}</definedName>
    <definedName name="hh" localSheetId="6" hidden="1">{#N/A,#N/A,FALSE,"CCTV"}</definedName>
    <definedName name="hh" localSheetId="7" hidden="1">{#N/A,#N/A,FALSE,"CCTV"}</definedName>
    <definedName name="hh" localSheetId="5" hidden="1">{#N/A,#N/A,FALSE,"CCTV"}</definedName>
    <definedName name="hh" hidden="1">{"'장비'!$A$3:$M$12"}</definedName>
    <definedName name="HHH" localSheetId="11" hidden="1">{#N/A,#N/A,FALSE,"CCTV"}</definedName>
    <definedName name="HHH" localSheetId="1" hidden="1">{#N/A,#N/A,FALSE,"CCTV"}</definedName>
    <definedName name="HHH" localSheetId="2" hidden="1">{#N/A,#N/A,FALSE,"CCTV"}</definedName>
    <definedName name="HHH" localSheetId="4" hidden="1">{#N/A,#N/A,FALSE,"CCTV"}</definedName>
    <definedName name="HHH" localSheetId="19" hidden="1">{#N/A,#N/A,FALSE,"CCTV"}</definedName>
    <definedName name="HHH" localSheetId="10" hidden="1">{#N/A,#N/A,FALSE,"CCTV"}</definedName>
    <definedName name="HHH" localSheetId="9" hidden="1">{#N/A,#N/A,FALSE,"CCTV"}</definedName>
    <definedName name="HHH" localSheetId="8" hidden="1">{#N/A,#N/A,FALSE,"CCTV"}</definedName>
    <definedName name="HHH" localSheetId="3" hidden="1">{#N/A,#N/A,FALSE,"CCTV"}</definedName>
    <definedName name="HHH" localSheetId="6" hidden="1">{#N/A,#N/A,FALSE,"CCTV"}</definedName>
    <definedName name="HHH" localSheetId="7" hidden="1">{#N/A,#N/A,FALSE,"CCTV"}</definedName>
    <definedName name="HHH" localSheetId="5" hidden="1">{#N/A,#N/A,FALSE,"CCTV"}</definedName>
    <definedName name="HHH" hidden="1">#REF!</definedName>
    <definedName name="HHH_1" localSheetId="18" hidden="1">{#N/A,#N/A,TRUE,"Basic";#N/A,#N/A,TRUE,"EXT-TABLE";#N/A,#N/A,TRUE,"STEEL";#N/A,#N/A,TRUE,"INT-Table";#N/A,#N/A,TRUE,"STEEL";#N/A,#N/A,TRUE,"Door"}</definedName>
    <definedName name="HHH_1" hidden="1">{#N/A,#N/A,TRUE,"Basic";#N/A,#N/A,TRUE,"EXT-TABLE";#N/A,#N/A,TRUE,"STEEL";#N/A,#N/A,TRUE,"INT-Table";#N/A,#N/A,TRUE,"STEEL";#N/A,#N/A,TRUE,"Door"}</definedName>
    <definedName name="HHH_1_1" localSheetId="18" hidden="1">{#N/A,#N/A,TRUE,"Basic";#N/A,#N/A,TRUE,"EXT-TABLE";#N/A,#N/A,TRUE,"STEEL";#N/A,#N/A,TRUE,"INT-Table";#N/A,#N/A,TRUE,"STEEL";#N/A,#N/A,TRUE,"Door"}</definedName>
    <definedName name="HHH_1_1" hidden="1">{#N/A,#N/A,TRUE,"Basic";#N/A,#N/A,TRUE,"EXT-TABLE";#N/A,#N/A,TRUE,"STEEL";#N/A,#N/A,TRUE,"INT-Table";#N/A,#N/A,TRUE,"STEEL";#N/A,#N/A,TRUE,"Door"}</definedName>
    <definedName name="HHH_1_2" localSheetId="18" hidden="1">{#N/A,#N/A,TRUE,"Basic";#N/A,#N/A,TRUE,"EXT-TABLE";#N/A,#N/A,TRUE,"STEEL";#N/A,#N/A,TRUE,"INT-Table";#N/A,#N/A,TRUE,"STEEL";#N/A,#N/A,TRUE,"Door"}</definedName>
    <definedName name="HHH_1_2" hidden="1">{#N/A,#N/A,TRUE,"Basic";#N/A,#N/A,TRUE,"EXT-TABLE";#N/A,#N/A,TRUE,"STEEL";#N/A,#N/A,TRUE,"INT-Table";#N/A,#N/A,TRUE,"STEEL";#N/A,#N/A,TRUE,"Door"}</definedName>
    <definedName name="HHH_2" localSheetId="18" hidden="1">{#N/A,#N/A,TRUE,"Basic";#N/A,#N/A,TRUE,"EXT-TABLE";#N/A,#N/A,TRUE,"STEEL";#N/A,#N/A,TRUE,"INT-Table";#N/A,#N/A,TRUE,"STEEL";#N/A,#N/A,TRUE,"Door"}</definedName>
    <definedName name="HHH_2" hidden="1">{#N/A,#N/A,TRUE,"Basic";#N/A,#N/A,TRUE,"EXT-TABLE";#N/A,#N/A,TRUE,"STEEL";#N/A,#N/A,TRUE,"INT-Table";#N/A,#N/A,TRUE,"STEEL";#N/A,#N/A,TRUE,"Door"}</definedName>
    <definedName name="HHH_2_1" localSheetId="18" hidden="1">{#N/A,#N/A,TRUE,"Basic";#N/A,#N/A,TRUE,"EXT-TABLE";#N/A,#N/A,TRUE,"STEEL";#N/A,#N/A,TRUE,"INT-Table";#N/A,#N/A,TRUE,"STEEL";#N/A,#N/A,TRUE,"Door"}</definedName>
    <definedName name="HHH_2_1" hidden="1">{#N/A,#N/A,TRUE,"Basic";#N/A,#N/A,TRUE,"EXT-TABLE";#N/A,#N/A,TRUE,"STEEL";#N/A,#N/A,TRUE,"INT-Table";#N/A,#N/A,TRUE,"STEEL";#N/A,#N/A,TRUE,"Door"}</definedName>
    <definedName name="HHH_2_2" localSheetId="18" hidden="1">{#N/A,#N/A,TRUE,"Basic";#N/A,#N/A,TRUE,"EXT-TABLE";#N/A,#N/A,TRUE,"STEEL";#N/A,#N/A,TRUE,"INT-Table";#N/A,#N/A,TRUE,"STEEL";#N/A,#N/A,TRUE,"Door"}</definedName>
    <definedName name="HHH_2_2" hidden="1">{#N/A,#N/A,TRUE,"Basic";#N/A,#N/A,TRUE,"EXT-TABLE";#N/A,#N/A,TRUE,"STEEL";#N/A,#N/A,TRUE,"INT-Table";#N/A,#N/A,TRUE,"STEEL";#N/A,#N/A,TRUE,"Door"}</definedName>
    <definedName name="HHH_3" localSheetId="18" hidden="1">{#N/A,#N/A,TRUE,"Basic";#N/A,#N/A,TRUE,"EXT-TABLE";#N/A,#N/A,TRUE,"STEEL";#N/A,#N/A,TRUE,"INT-Table";#N/A,#N/A,TRUE,"STEEL";#N/A,#N/A,TRUE,"Door"}</definedName>
    <definedName name="HHH_3" hidden="1">{#N/A,#N/A,TRUE,"Basic";#N/A,#N/A,TRUE,"EXT-TABLE";#N/A,#N/A,TRUE,"STEEL";#N/A,#N/A,TRUE,"INT-Table";#N/A,#N/A,TRUE,"STEEL";#N/A,#N/A,TRUE,"Door"}</definedName>
    <definedName name="HHH_3_1" localSheetId="18" hidden="1">{#N/A,#N/A,TRUE,"Basic";#N/A,#N/A,TRUE,"EXT-TABLE";#N/A,#N/A,TRUE,"STEEL";#N/A,#N/A,TRUE,"INT-Table";#N/A,#N/A,TRUE,"STEEL";#N/A,#N/A,TRUE,"Door"}</definedName>
    <definedName name="HHH_3_1" hidden="1">{#N/A,#N/A,TRUE,"Basic";#N/A,#N/A,TRUE,"EXT-TABLE";#N/A,#N/A,TRUE,"STEEL";#N/A,#N/A,TRUE,"INT-Table";#N/A,#N/A,TRUE,"STEEL";#N/A,#N/A,TRUE,"Door"}</definedName>
    <definedName name="HHH_3_2" localSheetId="18" hidden="1">{#N/A,#N/A,TRUE,"Basic";#N/A,#N/A,TRUE,"EXT-TABLE";#N/A,#N/A,TRUE,"STEEL";#N/A,#N/A,TRUE,"INT-Table";#N/A,#N/A,TRUE,"STEEL";#N/A,#N/A,TRUE,"Door"}</definedName>
    <definedName name="HHH_3_2" hidden="1">{#N/A,#N/A,TRUE,"Basic";#N/A,#N/A,TRUE,"EXT-TABLE";#N/A,#N/A,TRUE,"STEEL";#N/A,#N/A,TRUE,"INT-Table";#N/A,#N/A,TRUE,"STEEL";#N/A,#N/A,TRUE,"Door"}</definedName>
    <definedName name="HHH_4" localSheetId="18" hidden="1">{#N/A,#N/A,TRUE,"Basic";#N/A,#N/A,TRUE,"EXT-TABLE";#N/A,#N/A,TRUE,"STEEL";#N/A,#N/A,TRUE,"INT-Table";#N/A,#N/A,TRUE,"STEEL";#N/A,#N/A,TRUE,"Door"}</definedName>
    <definedName name="HHH_4" hidden="1">{#N/A,#N/A,TRUE,"Basic";#N/A,#N/A,TRUE,"EXT-TABLE";#N/A,#N/A,TRUE,"STEEL";#N/A,#N/A,TRUE,"INT-Table";#N/A,#N/A,TRUE,"STEEL";#N/A,#N/A,TRUE,"Door"}</definedName>
    <definedName name="HHH_4_1" localSheetId="18" hidden="1">{#N/A,#N/A,TRUE,"Basic";#N/A,#N/A,TRUE,"EXT-TABLE";#N/A,#N/A,TRUE,"STEEL";#N/A,#N/A,TRUE,"INT-Table";#N/A,#N/A,TRUE,"STEEL";#N/A,#N/A,TRUE,"Door"}</definedName>
    <definedName name="HHH_4_1" hidden="1">{#N/A,#N/A,TRUE,"Basic";#N/A,#N/A,TRUE,"EXT-TABLE";#N/A,#N/A,TRUE,"STEEL";#N/A,#N/A,TRUE,"INT-Table";#N/A,#N/A,TRUE,"STEEL";#N/A,#N/A,TRUE,"Door"}</definedName>
    <definedName name="HHH_4_2" localSheetId="18" hidden="1">{#N/A,#N/A,TRUE,"Basic";#N/A,#N/A,TRUE,"EXT-TABLE";#N/A,#N/A,TRUE,"STEEL";#N/A,#N/A,TRUE,"INT-Table";#N/A,#N/A,TRUE,"STEEL";#N/A,#N/A,TRUE,"Door"}</definedName>
    <definedName name="HHH_4_2" hidden="1">{#N/A,#N/A,TRUE,"Basic";#N/A,#N/A,TRUE,"EXT-TABLE";#N/A,#N/A,TRUE,"STEEL";#N/A,#N/A,TRUE,"INT-Table";#N/A,#N/A,TRUE,"STEEL";#N/A,#N/A,TRUE,"Door"}</definedName>
    <definedName name="HHH_5" localSheetId="18" hidden="1">{#N/A,#N/A,TRUE,"Basic";#N/A,#N/A,TRUE,"EXT-TABLE";#N/A,#N/A,TRUE,"STEEL";#N/A,#N/A,TRUE,"INT-Table";#N/A,#N/A,TRUE,"STEEL";#N/A,#N/A,TRUE,"Door"}</definedName>
    <definedName name="HHH_5" hidden="1">{#N/A,#N/A,TRUE,"Basic";#N/A,#N/A,TRUE,"EXT-TABLE";#N/A,#N/A,TRUE,"STEEL";#N/A,#N/A,TRUE,"INT-Table";#N/A,#N/A,TRUE,"STEEL";#N/A,#N/A,TRUE,"Door"}</definedName>
    <definedName name="HHH_5_1" localSheetId="18" hidden="1">{#N/A,#N/A,TRUE,"Basic";#N/A,#N/A,TRUE,"EXT-TABLE";#N/A,#N/A,TRUE,"STEEL";#N/A,#N/A,TRUE,"INT-Table";#N/A,#N/A,TRUE,"STEEL";#N/A,#N/A,TRUE,"Door"}</definedName>
    <definedName name="HHH_5_1" hidden="1">{#N/A,#N/A,TRUE,"Basic";#N/A,#N/A,TRUE,"EXT-TABLE";#N/A,#N/A,TRUE,"STEEL";#N/A,#N/A,TRUE,"INT-Table";#N/A,#N/A,TRUE,"STEEL";#N/A,#N/A,TRUE,"Door"}</definedName>
    <definedName name="HHH_5_2" localSheetId="18" hidden="1">{#N/A,#N/A,TRUE,"Basic";#N/A,#N/A,TRUE,"EXT-TABLE";#N/A,#N/A,TRUE,"STEEL";#N/A,#N/A,TRUE,"INT-Table";#N/A,#N/A,TRUE,"STEEL";#N/A,#N/A,TRUE,"Door"}</definedName>
    <definedName name="HHH_5_2" hidden="1">{#N/A,#N/A,TRUE,"Basic";#N/A,#N/A,TRUE,"EXT-TABLE";#N/A,#N/A,TRUE,"STEEL";#N/A,#N/A,TRUE,"INT-Table";#N/A,#N/A,TRUE,"STEEL";#N/A,#N/A,TRUE,"Door"}</definedName>
    <definedName name="HHHHHH" localSheetId="18" hidden="1">{#N/A,#N/A,TRUE,"SUM";#N/A,#N/A,TRUE,"EE";#N/A,#N/A,TRUE,"AC";#N/A,#N/A,TRUE,"SN"}</definedName>
    <definedName name="HHHHHH" hidden="1">{#N/A,#N/A,TRUE,"SUM";#N/A,#N/A,TRUE,"EE";#N/A,#N/A,TRUE,"AC";#N/A,#N/A,TRUE,"SN"}</definedName>
    <definedName name="HHHHHHHHHHHHHHHHHHHHH" localSheetId="18" hidden="1">{#N/A,#N/A,FALSE,"토공2"}</definedName>
    <definedName name="HHHHHHHHHHHHHHHHHHHHH" hidden="1">{#N/A,#N/A,FALSE,"토공2"}</definedName>
    <definedName name="HiddenRows" localSheetId="12">#REF!</definedName>
    <definedName name="HiddenRows" localSheetId="13">#REF!</definedName>
    <definedName name="HiddenRows">#REF!</definedName>
    <definedName name="hieu">#REF!</definedName>
    <definedName name="hj">#REF!</definedName>
    <definedName name="HMechStruct" localSheetId="11">'[51]Labor Sum'!$D$46</definedName>
    <definedName name="HMechStruct" localSheetId="1">'[51]Labor Sum'!$D$46</definedName>
    <definedName name="HMechStruct" localSheetId="2">'[51]Labor Sum'!$D$46</definedName>
    <definedName name="HMechStruct" localSheetId="4">'[51]Labor Sum'!$D$46</definedName>
    <definedName name="HMechStruct" localSheetId="19">'[51]Labor Sum'!$D$46</definedName>
    <definedName name="HMechStruct" localSheetId="10">'[51]Labor Sum'!$D$46</definedName>
    <definedName name="HMechStruct" localSheetId="9">'[51]Labor Sum'!$D$46</definedName>
    <definedName name="HMechStruct" localSheetId="8">'[51]Labor Sum'!$D$46</definedName>
    <definedName name="HMechStruct" localSheetId="3">'[51]Labor Sum'!$D$46</definedName>
    <definedName name="HMechStruct" localSheetId="6">'[51]Labor Sum'!$D$46</definedName>
    <definedName name="HMechStruct" localSheetId="7">'[51]Labor Sum'!$D$46</definedName>
    <definedName name="HMechStruct" localSheetId="5">'[51]Labor Sum'!$D$46</definedName>
    <definedName name="HMechStruct">#REF!</definedName>
    <definedName name="HMProc" localSheetId="11">'[51]Labor Sum'!$F$46</definedName>
    <definedName name="HMProc" localSheetId="1">'[51]Labor Sum'!$F$46</definedName>
    <definedName name="HMProc" localSheetId="2">'[51]Labor Sum'!$F$46</definedName>
    <definedName name="HMProc" localSheetId="4">'[51]Labor Sum'!$F$46</definedName>
    <definedName name="HMProc" localSheetId="19">'[51]Labor Sum'!$F$46</definedName>
    <definedName name="HMProc" localSheetId="10">'[51]Labor Sum'!$F$46</definedName>
    <definedName name="HMProc" localSheetId="9">'[51]Labor Sum'!$F$46</definedName>
    <definedName name="HMProc" localSheetId="8">'[51]Labor Sum'!$F$46</definedName>
    <definedName name="HMProc" localSheetId="3">'[51]Labor Sum'!$F$46</definedName>
    <definedName name="HMProc" localSheetId="6">'[51]Labor Sum'!$F$46</definedName>
    <definedName name="HMProc" localSheetId="7">'[51]Labor Sum'!$F$46</definedName>
    <definedName name="HMProc" localSheetId="5">'[51]Labor Sum'!$F$46</definedName>
    <definedName name="HMProc">#REF!</definedName>
    <definedName name="HMQAQC" localSheetId="11">'[51]Labor Sum'!$H$46</definedName>
    <definedName name="HMQAQC" localSheetId="1">'[51]Labor Sum'!$H$46</definedName>
    <definedName name="HMQAQC" localSheetId="2">'[51]Labor Sum'!$H$46</definedName>
    <definedName name="HMQAQC" localSheetId="4">'[51]Labor Sum'!$H$46</definedName>
    <definedName name="HMQAQC" localSheetId="19">'[51]Labor Sum'!$H$46</definedName>
    <definedName name="HMQAQC" localSheetId="10">'[51]Labor Sum'!$H$46</definedName>
    <definedName name="HMQAQC" localSheetId="9">'[51]Labor Sum'!$H$46</definedName>
    <definedName name="HMQAQC" localSheetId="8">'[51]Labor Sum'!$H$46</definedName>
    <definedName name="HMQAQC" localSheetId="3">'[51]Labor Sum'!$H$46</definedName>
    <definedName name="HMQAQC" localSheetId="6">'[51]Labor Sum'!$H$46</definedName>
    <definedName name="HMQAQC" localSheetId="7">'[51]Labor Sum'!$H$46</definedName>
    <definedName name="HMQAQC" localSheetId="5">'[51]Labor Sum'!$H$46</definedName>
    <definedName name="HMQAQC">#REF!</definedName>
    <definedName name="HMSched" localSheetId="11">'[51]Labor Sum'!$J$46</definedName>
    <definedName name="HMSched" localSheetId="1">'[51]Labor Sum'!$J$46</definedName>
    <definedName name="HMSched" localSheetId="2">'[51]Labor Sum'!$J$46</definedName>
    <definedName name="HMSched" localSheetId="4">'[51]Labor Sum'!$J$46</definedName>
    <definedName name="HMSched" localSheetId="19">'[51]Labor Sum'!$J$46</definedName>
    <definedName name="HMSched" localSheetId="10">'[51]Labor Sum'!$J$46</definedName>
    <definedName name="HMSched" localSheetId="9">'[51]Labor Sum'!$J$46</definedName>
    <definedName name="HMSched" localSheetId="8">'[51]Labor Sum'!$J$46</definedName>
    <definedName name="HMSched" localSheetId="3">'[51]Labor Sum'!$J$46</definedName>
    <definedName name="HMSched" localSheetId="6">'[51]Labor Sum'!$J$46</definedName>
    <definedName name="HMSched" localSheetId="7">'[51]Labor Sum'!$J$46</definedName>
    <definedName name="HMSched" localSheetId="5">'[51]Labor Sum'!$J$46</definedName>
    <definedName name="HMSched">#REF!</definedName>
    <definedName name="HN">#REF!</definedName>
    <definedName name="hoa" localSheetId="16" hidden="1">{"'Sheet1'!$L$16"}</definedName>
    <definedName name="hoa" localSheetId="18" hidden="1">{"'Sheet1'!$L$16"}</definedName>
    <definedName name="hoa" localSheetId="11" hidden="1">{"'Sheet1'!$L$16"}</definedName>
    <definedName name="hoa" localSheetId="1" hidden="1">{"'Sheet1'!$L$16"}</definedName>
    <definedName name="hoa" localSheetId="2" hidden="1">{"'Sheet1'!$L$16"}</definedName>
    <definedName name="hoa" localSheetId="17" hidden="1">{"'Sheet1'!$L$16"}</definedName>
    <definedName name="hoa" localSheetId="12" hidden="1">{"'Sheet1'!$L$16"}</definedName>
    <definedName name="hoa" localSheetId="4" hidden="1">{"'Sheet1'!$L$16"}</definedName>
    <definedName name="hoa" localSheetId="19" hidden="1">{"'Sheet1'!$L$16"}</definedName>
    <definedName name="hoa" localSheetId="10" hidden="1">{"'Sheet1'!$L$16"}</definedName>
    <definedName name="hoa" localSheetId="9" hidden="1">{"'Sheet1'!$L$16"}</definedName>
    <definedName name="hoa" localSheetId="8" hidden="1">{"'Sheet1'!$L$16"}</definedName>
    <definedName name="hoa" localSheetId="3" hidden="1">{"'Sheet1'!$L$16"}</definedName>
    <definedName name="hoa" localSheetId="6" hidden="1">{"'Sheet1'!$L$16"}</definedName>
    <definedName name="hoa" localSheetId="7" hidden="1">{"'Sheet1'!$L$16"}</definedName>
    <definedName name="hoa" localSheetId="5" hidden="1">{"'Sheet1'!$L$16"}</definedName>
    <definedName name="hoa" localSheetId="13" hidden="1">{"'Sheet1'!$L$16"}</definedName>
    <definedName name="hoa" hidden="1">{"'Sheet1'!$L$16"}</definedName>
    <definedName name="hoc" localSheetId="16" hidden="1">{"'Sheet1'!$L$16"}</definedName>
    <definedName name="hoc" localSheetId="18" hidden="1">{"'Sheet1'!$L$16"}</definedName>
    <definedName name="hoc" localSheetId="17" hidden="1">{"'Sheet1'!$L$16"}</definedName>
    <definedName name="hoc" hidden="1">{"'Sheet1'!$L$16"}</definedName>
    <definedName name="hoist_number">6</definedName>
    <definedName name="HOLE_TYPE" localSheetId="11">'[71]DATA LISTS'!$A$14:$A$17</definedName>
    <definedName name="HOLE_TYPE" localSheetId="1">'[71]DATA LISTS'!$A$14:$A$17</definedName>
    <definedName name="HOLE_TYPE" localSheetId="2">'[71]DATA LISTS'!$A$14:$A$17</definedName>
    <definedName name="HOLE_TYPE" localSheetId="4">'[71]DATA LISTS'!$A$14:$A$17</definedName>
    <definedName name="HOLE_TYPE" localSheetId="19">'[71]DATA LISTS'!$A$14:$A$17</definedName>
    <definedName name="HOLE_TYPE" localSheetId="10">'[71]DATA LISTS'!$A$14:$A$17</definedName>
    <definedName name="HOLE_TYPE" localSheetId="9">'[71]DATA LISTS'!$A$14:$A$17</definedName>
    <definedName name="HOLE_TYPE" localSheetId="8">'[71]DATA LISTS'!$A$14:$A$17</definedName>
    <definedName name="HOLE_TYPE" localSheetId="3">'[71]DATA LISTS'!$A$14:$A$17</definedName>
    <definedName name="HOLE_TYPE" localSheetId="6">'[71]DATA LISTS'!$A$14:$A$17</definedName>
    <definedName name="HOLE_TYPE" localSheetId="7">'[71]DATA LISTS'!$A$14:$A$17</definedName>
    <definedName name="HOLE_TYPE" localSheetId="5">'[71]DATA LISTS'!$A$14:$A$17</definedName>
    <definedName name="HOLE_TYPE">#REF!</definedName>
    <definedName name="HoleAngle">#REF!</definedName>
    <definedName name="HoleHeightdim">#REF!</definedName>
    <definedName name="HolePitchdim">#REF!</definedName>
    <definedName name="HOME_MANP">#REF!</definedName>
    <definedName name="HOMEOFFICE_COST">#REF!</definedName>
    <definedName name="HOUY" localSheetId="18" hidden="1">{#N/A,#N/A,FALSE,"CCTV"}</definedName>
    <definedName name="HOUY" hidden="1">{#N/A,#N/A,FALSE,"CCTV"}</definedName>
    <definedName name="HPEcDPres">#REF!</definedName>
    <definedName name="HPEcTbDPres">#REF!</definedName>
    <definedName name="HPEcV">#REF!</definedName>
    <definedName name="HPEvDPres">#REF!</definedName>
    <definedName name="HPFWDPres">#REF!</definedName>
    <definedName name="HPFWDPress">#REF!</definedName>
    <definedName name="HPSRV">#REF!</definedName>
    <definedName name="HPSysDPres">#REF!</definedName>
    <definedName name="hray1" hidden="1">#REF!</definedName>
    <definedName name="hrsgl" localSheetId="11">[65]DATA!#REF!</definedName>
    <definedName name="hrsgl" localSheetId="1">[65]DATA!#REF!</definedName>
    <definedName name="hrsgl" localSheetId="2">[65]DATA!#REF!</definedName>
    <definedName name="hrsgl" localSheetId="4">[65]DATA!#REF!</definedName>
    <definedName name="hrsgl" localSheetId="19">[65]DATA!#REF!</definedName>
    <definedName name="hrsgl" localSheetId="10">[65]DATA!#REF!</definedName>
    <definedName name="hrsgl" localSheetId="9">[65]DATA!#REF!</definedName>
    <definedName name="hrsgl" localSheetId="8">[65]DATA!#REF!</definedName>
    <definedName name="hrsgl" localSheetId="3">[65]DATA!#REF!</definedName>
    <definedName name="hrsgl" localSheetId="6">[65]DATA!#REF!</definedName>
    <definedName name="hrsgl" localSheetId="7">[65]DATA!#REF!</definedName>
    <definedName name="hrsgl" localSheetId="5">[65]DATA!#REF!</definedName>
    <definedName name="hrsgl">#REF!</definedName>
    <definedName name="hrsgw" localSheetId="11">[65]DATA!#REF!</definedName>
    <definedName name="hrsgw" localSheetId="1">[65]DATA!#REF!</definedName>
    <definedName name="hrsgw" localSheetId="2">[65]DATA!#REF!</definedName>
    <definedName name="hrsgw" localSheetId="4">[65]DATA!#REF!</definedName>
    <definedName name="hrsgw" localSheetId="19">[65]DATA!#REF!</definedName>
    <definedName name="hrsgw" localSheetId="10">[65]DATA!#REF!</definedName>
    <definedName name="hrsgw" localSheetId="9">[65]DATA!#REF!</definedName>
    <definedName name="hrsgw" localSheetId="8">[65]DATA!#REF!</definedName>
    <definedName name="hrsgw" localSheetId="3">[65]DATA!#REF!</definedName>
    <definedName name="hrsgw" localSheetId="6">[65]DATA!#REF!</definedName>
    <definedName name="hrsgw" localSheetId="7">[65]DATA!#REF!</definedName>
    <definedName name="hrsgw" localSheetId="5">[65]DATA!#REF!</definedName>
    <definedName name="hrsgw">#REF!</definedName>
    <definedName name="HSCT3">0.1</definedName>
    <definedName name="hsdc1">#REF!</definedName>
    <definedName name="HSDN">2.5</definedName>
    <definedName name="HSHH">#REF!</definedName>
    <definedName name="HSHHUT">#REF!</definedName>
    <definedName name="HSSL">#REF!</definedName>
    <definedName name="HSVC1">#REF!</definedName>
    <definedName name="HSVC2">#REF!</definedName>
    <definedName name="HSVC3">#REF!</definedName>
    <definedName name="htlm" localSheetId="18" hidden="1">{"'Sheet1'!$L$16"}</definedName>
    <definedName name="htlm" localSheetId="11" hidden="1">{"'Sheet1'!$L$16"}</definedName>
    <definedName name="htlm" localSheetId="1" hidden="1">{"'Sheet1'!$L$16"}</definedName>
    <definedName name="htlm" localSheetId="2" hidden="1">{"'Sheet1'!$L$16"}</definedName>
    <definedName name="htlm" localSheetId="12" hidden="1">{"'Sheet1'!$L$16"}</definedName>
    <definedName name="htlm" localSheetId="4" hidden="1">{"'Sheet1'!$L$16"}</definedName>
    <definedName name="htlm" localSheetId="19" hidden="1">{"'Sheet1'!$L$16"}</definedName>
    <definedName name="htlm" localSheetId="10" hidden="1">{"'Sheet1'!$L$16"}</definedName>
    <definedName name="htlm" localSheetId="9" hidden="1">{"'Sheet1'!$L$16"}</definedName>
    <definedName name="htlm" localSheetId="8" hidden="1">{"'Sheet1'!$L$16"}</definedName>
    <definedName name="htlm" localSheetId="3" hidden="1">{"'Sheet1'!$L$16"}</definedName>
    <definedName name="htlm" localSheetId="6" hidden="1">{"'Sheet1'!$L$16"}</definedName>
    <definedName name="htlm" localSheetId="7" hidden="1">{"'Sheet1'!$L$16"}</definedName>
    <definedName name="htlm" localSheetId="5" hidden="1">{"'Sheet1'!$L$16"}</definedName>
    <definedName name="htlm" localSheetId="13" hidden="1">{"'Sheet1'!$L$16"}</definedName>
    <definedName name="htlm" hidden="1">{"'Sheet1'!$L$16"}</definedName>
    <definedName name="HTML" localSheetId="18" hidden="1">{"'장비'!$A$3:$M$12"}</definedName>
    <definedName name="HTML" hidden="1">{"'장비'!$A$3:$M$12"}</definedName>
    <definedName name="HTML_AAA" localSheetId="18" hidden="1">{"'Sheet1'!$L$16"}</definedName>
    <definedName name="HTML_AAA" hidden="1">{"'Sheet1'!$L$16"}</definedName>
    <definedName name="HTML_CodePage" hidden="1">950</definedName>
    <definedName name="HTML_Control" localSheetId="16" hidden="1">{"'Sheet1'!$L$16"}</definedName>
    <definedName name="HTML_Control" localSheetId="18" hidden="1">{"'Sheet1'!$L$16"}</definedName>
    <definedName name="HTML_Control" localSheetId="11" hidden="1">{"'Sheet1'!$L$16"}</definedName>
    <definedName name="HTML_Control" localSheetId="1" hidden="1">{"'Sheet1'!$L$16"}</definedName>
    <definedName name="HTML_Control" localSheetId="2" hidden="1">{"'Sheet1'!$L$16"}</definedName>
    <definedName name="HTML_Control" localSheetId="17" hidden="1">{"'Sheet1'!$L$16"}</definedName>
    <definedName name="HTML_Control" localSheetId="12" hidden="1">{"'Sheet1'!$L$16"}</definedName>
    <definedName name="HTML_Control" localSheetId="4" hidden="1">{"'Sheet1'!$L$16"}</definedName>
    <definedName name="HTML_Control" localSheetId="19" hidden="1">{"'Sheet1'!$L$16"}</definedName>
    <definedName name="HTML_Control" localSheetId="10" hidden="1">{"'Sheet1'!$L$16"}</definedName>
    <definedName name="HTML_Control" localSheetId="9" hidden="1">{"'Sheet1'!$L$16"}</definedName>
    <definedName name="HTML_Control" localSheetId="8" hidden="1">{"'Sheet1'!$L$16"}</definedName>
    <definedName name="HTML_Control" localSheetId="3" hidden="1">{"'Sheet1'!$L$16"}</definedName>
    <definedName name="HTML_Control" localSheetId="6" hidden="1">{"'Sheet1'!$L$16"}</definedName>
    <definedName name="HTML_Control" localSheetId="7" hidden="1">{"'Sheet1'!$L$16"}</definedName>
    <definedName name="HTML_Control" localSheetId="5" hidden="1">{"'Sheet1'!$L$16"}</definedName>
    <definedName name="HTML_Control" localSheetId="13" hidden="1">{"'Sheet1'!$L$16"}</definedName>
    <definedName name="HTML_Control" hidden="1">{"'Sheet1'!$L$16"}</definedName>
    <definedName name="HTML_Control1" hidden="1">{"'ｺｽﾄ予算ﾍｯﾀﾞ'!$I$5:$K$6","'ｺｽﾄ予算ﾍｯﾀﾞ'!$A$1:$K$44"}</definedName>
    <definedName name="HTML_Control2" hidden="1">{"'Sheet1'!$A$3:$I$11"}</definedName>
    <definedName name="HTML_Controlmoi" localSheetId="18" hidden="1">{"'Sheet1'!$L$16"}</definedName>
    <definedName name="HTML_Controlmoi" localSheetId="11" hidden="1">{"'Sheet1'!$L$16"}</definedName>
    <definedName name="HTML_Controlmoi" localSheetId="1" hidden="1">{"'Sheet1'!$L$16"}</definedName>
    <definedName name="HTML_Controlmoi" localSheetId="2" hidden="1">{"'Sheet1'!$L$16"}</definedName>
    <definedName name="HTML_Controlmoi" localSheetId="12" hidden="1">{"'Sheet1'!$L$16"}</definedName>
    <definedName name="HTML_Controlmoi" localSheetId="4" hidden="1">{"'Sheet1'!$L$16"}</definedName>
    <definedName name="HTML_Controlmoi" localSheetId="19" hidden="1">{"'Sheet1'!$L$16"}</definedName>
    <definedName name="HTML_Controlmoi" localSheetId="10" hidden="1">{"'Sheet1'!$L$16"}</definedName>
    <definedName name="HTML_Controlmoi" localSheetId="9" hidden="1">{"'Sheet1'!$L$16"}</definedName>
    <definedName name="HTML_Controlmoi" localSheetId="8" hidden="1">{"'Sheet1'!$L$16"}</definedName>
    <definedName name="HTML_Controlmoi" localSheetId="3" hidden="1">{"'Sheet1'!$L$16"}</definedName>
    <definedName name="HTML_Controlmoi" localSheetId="6" hidden="1">{"'Sheet1'!$L$16"}</definedName>
    <definedName name="HTML_Controlmoi" localSheetId="7" hidden="1">{"'Sheet1'!$L$16"}</definedName>
    <definedName name="HTML_Controlmoi" localSheetId="5" hidden="1">{"'Sheet1'!$L$16"}</definedName>
    <definedName name="HTML_Controlmoi" localSheetId="13"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localSheetId="18" hidden="1">{"'Sheet1'!$L$16"}</definedName>
    <definedName name="HTMLmoi" localSheetId="11" hidden="1">{"'Sheet1'!$L$16"}</definedName>
    <definedName name="HTMLmoi" localSheetId="1" hidden="1">{"'Sheet1'!$L$16"}</definedName>
    <definedName name="HTMLmoi" localSheetId="2" hidden="1">{"'Sheet1'!$L$16"}</definedName>
    <definedName name="HTMLmoi" localSheetId="12" hidden="1">{"'Sheet1'!$L$16"}</definedName>
    <definedName name="HTMLmoi" localSheetId="4" hidden="1">{"'Sheet1'!$L$16"}</definedName>
    <definedName name="HTMLmoi" localSheetId="19" hidden="1">{"'Sheet1'!$L$16"}</definedName>
    <definedName name="HTMLmoi" localSheetId="10" hidden="1">{"'Sheet1'!$L$16"}</definedName>
    <definedName name="HTMLmoi" localSheetId="9" hidden="1">{"'Sheet1'!$L$16"}</definedName>
    <definedName name="HTMLmoi" localSheetId="8" hidden="1">{"'Sheet1'!$L$16"}</definedName>
    <definedName name="HTMLmoi" localSheetId="3" hidden="1">{"'Sheet1'!$L$16"}</definedName>
    <definedName name="HTMLmoi" localSheetId="6" hidden="1">{"'Sheet1'!$L$16"}</definedName>
    <definedName name="HTMLmoi" localSheetId="7" hidden="1">{"'Sheet1'!$L$16"}</definedName>
    <definedName name="HTMLmoi" localSheetId="5" hidden="1">{"'Sheet1'!$L$16"}</definedName>
    <definedName name="HTMLmoi" localSheetId="13" hidden="1">{"'Sheet1'!$L$16"}</definedName>
    <definedName name="HTMLmoi" hidden="1">{"'Sheet1'!$L$16"}</definedName>
    <definedName name="HTNC">#REF!</definedName>
    <definedName name="HTVL">#REF!</definedName>
    <definedName name="hu" localSheetId="18" hidden="1">{"'Sheet1'!$L$16"}</definedName>
    <definedName name="hu" localSheetId="11" hidden="1">{"'Sheet1'!$L$16"}</definedName>
    <definedName name="hu" localSheetId="1" hidden="1">{"'Sheet1'!$L$16"}</definedName>
    <definedName name="hu" localSheetId="2" hidden="1">{"'Sheet1'!$L$16"}</definedName>
    <definedName name="hu" localSheetId="12" hidden="1">{"'Sheet1'!$L$16"}</definedName>
    <definedName name="hu" localSheetId="4" hidden="1">{"'Sheet1'!$L$16"}</definedName>
    <definedName name="hu" localSheetId="19" hidden="1">{"'Sheet1'!$L$16"}</definedName>
    <definedName name="hu" localSheetId="10" hidden="1">{"'Sheet1'!$L$16"}</definedName>
    <definedName name="hu" localSheetId="9" hidden="1">{"'Sheet1'!$L$16"}</definedName>
    <definedName name="hu" localSheetId="8" hidden="1">{"'Sheet1'!$L$16"}</definedName>
    <definedName name="hu" localSheetId="3" hidden="1">{"'Sheet1'!$L$16"}</definedName>
    <definedName name="hu" localSheetId="6" hidden="1">{"'Sheet1'!$L$16"}</definedName>
    <definedName name="hu" localSheetId="7" hidden="1">{"'Sheet1'!$L$16"}</definedName>
    <definedName name="hu" localSheetId="5" hidden="1">{"'Sheet1'!$L$16"}</definedName>
    <definedName name="hu" localSheetId="13" hidden="1">{"'Sheet1'!$L$16"}</definedName>
    <definedName name="hu" hidden="1">{"'Sheet1'!$L$16"}</definedName>
    <definedName name="hugo" localSheetId="18" hidden="1">{#N/A,#N/A,TRUE,"Mhr_Sum"}</definedName>
    <definedName name="hugo" hidden="1">{#N/A,#N/A,TRUE,"Mhr_Sum"}</definedName>
    <definedName name="hui" localSheetId="18" hidden="1">{"'Sheet1'!$L$16"}</definedName>
    <definedName name="hui" localSheetId="11" hidden="1">{"'Sheet1'!$L$16"}</definedName>
    <definedName name="hui" localSheetId="1" hidden="1">{"'Sheet1'!$L$16"}</definedName>
    <definedName name="hui" localSheetId="2" hidden="1">{"'Sheet1'!$L$16"}</definedName>
    <definedName name="hui" localSheetId="12" hidden="1">{"'Sheet1'!$L$16"}</definedName>
    <definedName name="hui" localSheetId="4" hidden="1">{"'Sheet1'!$L$16"}</definedName>
    <definedName name="hui" localSheetId="19" hidden="1">{"'Sheet1'!$L$16"}</definedName>
    <definedName name="hui" localSheetId="10" hidden="1">{"'Sheet1'!$L$16"}</definedName>
    <definedName name="hui" localSheetId="9" hidden="1">{"'Sheet1'!$L$16"}</definedName>
    <definedName name="hui" localSheetId="8" hidden="1">{"'Sheet1'!$L$16"}</definedName>
    <definedName name="hui" localSheetId="3" hidden="1">{"'Sheet1'!$L$16"}</definedName>
    <definedName name="hui" localSheetId="6" hidden="1">{"'Sheet1'!$L$16"}</definedName>
    <definedName name="hui" localSheetId="7" hidden="1">{"'Sheet1'!$L$16"}</definedName>
    <definedName name="hui" localSheetId="5" hidden="1">{"'Sheet1'!$L$16"}</definedName>
    <definedName name="hui" localSheetId="13" hidden="1">{"'Sheet1'!$L$16"}</definedName>
    <definedName name="hui" hidden="1">{"'Sheet1'!$L$16"}</definedName>
    <definedName name="huon" localSheetId="18" hidden="1">{"'Sheet1'!$L$16"}</definedName>
    <definedName name="huon" hidden="1">{"'Sheet1'!$L$16"}</definedName>
    <definedName name="huy" localSheetId="16" hidden="1">{"'Sheet1'!$L$16"}</definedName>
    <definedName name="huy" localSheetId="18" hidden="1">{"'Sheet1'!$L$16"}</definedName>
    <definedName name="huy" localSheetId="11" hidden="1">{"'Sheet1'!$L$16"}</definedName>
    <definedName name="huy" localSheetId="1" hidden="1">{"'Sheet1'!$L$16"}</definedName>
    <definedName name="huy" localSheetId="2" hidden="1">{"'Sheet1'!$L$16"}</definedName>
    <definedName name="huy" localSheetId="17" hidden="1">{"'Sheet1'!$L$16"}</definedName>
    <definedName name="huy" localSheetId="12" hidden="1">{"'Sheet1'!$L$16"}</definedName>
    <definedName name="huy" localSheetId="4" hidden="1">{"'Sheet1'!$L$16"}</definedName>
    <definedName name="huy" localSheetId="19" hidden="1">{"'Sheet1'!$L$16"}</definedName>
    <definedName name="huy" localSheetId="10" hidden="1">{"'Sheet1'!$L$16"}</definedName>
    <definedName name="huy" localSheetId="9" hidden="1">{"'Sheet1'!$L$16"}</definedName>
    <definedName name="huy" localSheetId="8" hidden="1">{"'Sheet1'!$L$16"}</definedName>
    <definedName name="huy" localSheetId="3" hidden="1">{"'Sheet1'!$L$16"}</definedName>
    <definedName name="huy" localSheetId="6" hidden="1">{"'Sheet1'!$L$16"}</definedName>
    <definedName name="huy" localSheetId="7" hidden="1">{"'Sheet1'!$L$16"}</definedName>
    <definedName name="huy" localSheetId="5" hidden="1">{"'Sheet1'!$L$16"}</definedName>
    <definedName name="huy" localSheetId="13" hidden="1">{"'Sheet1'!$L$16"}</definedName>
    <definedName name="huy" hidden="1">{"'Sheet1'!$L$16"}</definedName>
    <definedName name="huy1moi" localSheetId="18" hidden="1">{"'Sheet1'!$L$16"}</definedName>
    <definedName name="huy1moi" localSheetId="11" hidden="1">{"'Sheet1'!$L$16"}</definedName>
    <definedName name="huy1moi" localSheetId="1" hidden="1">{"'Sheet1'!$L$16"}</definedName>
    <definedName name="huy1moi" localSheetId="2" hidden="1">{"'Sheet1'!$L$16"}</definedName>
    <definedName name="huy1moi" localSheetId="12" hidden="1">{"'Sheet1'!$L$16"}</definedName>
    <definedName name="huy1moi" localSheetId="4" hidden="1">{"'Sheet1'!$L$16"}</definedName>
    <definedName name="huy1moi" localSheetId="19" hidden="1">{"'Sheet1'!$L$16"}</definedName>
    <definedName name="huy1moi" localSheetId="10" hidden="1">{"'Sheet1'!$L$16"}</definedName>
    <definedName name="huy1moi" localSheetId="9" hidden="1">{"'Sheet1'!$L$16"}</definedName>
    <definedName name="huy1moi" localSheetId="8" hidden="1">{"'Sheet1'!$L$16"}</definedName>
    <definedName name="huy1moi" localSheetId="3" hidden="1">{"'Sheet1'!$L$16"}</definedName>
    <definedName name="huy1moi" localSheetId="6" hidden="1">{"'Sheet1'!$L$16"}</definedName>
    <definedName name="huy1moi" localSheetId="7" hidden="1">{"'Sheet1'!$L$16"}</definedName>
    <definedName name="huy1moi" localSheetId="5" hidden="1">{"'Sheet1'!$L$16"}</definedName>
    <definedName name="huy1moi" localSheetId="13" hidden="1">{"'Sheet1'!$L$16"}</definedName>
    <definedName name="huy1moi" hidden="1">{"'Sheet1'!$L$16"}</definedName>
    <definedName name="huymoi" localSheetId="18" hidden="1">{"'Sheet1'!$L$16"}</definedName>
    <definedName name="huymoi" localSheetId="11" hidden="1">{"'Sheet1'!$L$16"}</definedName>
    <definedName name="huymoi" localSheetId="1" hidden="1">{"'Sheet1'!$L$16"}</definedName>
    <definedName name="huymoi" localSheetId="2" hidden="1">{"'Sheet1'!$L$16"}</definedName>
    <definedName name="huymoi" localSheetId="12" hidden="1">{"'Sheet1'!$L$16"}</definedName>
    <definedName name="huymoi" localSheetId="4" hidden="1">{"'Sheet1'!$L$16"}</definedName>
    <definedName name="huymoi" localSheetId="19" hidden="1">{"'Sheet1'!$L$16"}</definedName>
    <definedName name="huymoi" localSheetId="10" hidden="1">{"'Sheet1'!$L$16"}</definedName>
    <definedName name="huymoi" localSheetId="9" hidden="1">{"'Sheet1'!$L$16"}</definedName>
    <definedName name="huymoi" localSheetId="8" hidden="1">{"'Sheet1'!$L$16"}</definedName>
    <definedName name="huymoi" localSheetId="3" hidden="1">{"'Sheet1'!$L$16"}</definedName>
    <definedName name="huymoi" localSheetId="6" hidden="1">{"'Sheet1'!$L$16"}</definedName>
    <definedName name="huymoi" localSheetId="7" hidden="1">{"'Sheet1'!$L$16"}</definedName>
    <definedName name="huymoi" localSheetId="5" hidden="1">{"'Sheet1'!$L$16"}</definedName>
    <definedName name="huymoi" localSheetId="13" hidden="1">{"'Sheet1'!$L$16"}</definedName>
    <definedName name="huymoi" hidden="1">{"'Sheet1'!$L$16"}</definedName>
    <definedName name="HV">#REF!</definedName>
    <definedName name="hvac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 hidden="1">{"'Sheet1'!$A$3:$I$11"}</definedName>
    <definedName name="I_C">#REF!</definedName>
    <definedName name="Ìag" localSheetId="18" hidden="1">{"'Sheet1'!$L$16"}</definedName>
    <definedName name="Ìag" localSheetId="11" hidden="1">{"'Sheet1'!$L$16"}</definedName>
    <definedName name="Ìag" localSheetId="1" hidden="1">{"'Sheet1'!$L$16"}</definedName>
    <definedName name="Ìag" localSheetId="2" hidden="1">{"'Sheet1'!$L$16"}</definedName>
    <definedName name="Ìag" localSheetId="12" hidden="1">{"'Sheet1'!$L$16"}</definedName>
    <definedName name="Ìag" localSheetId="4" hidden="1">{"'Sheet1'!$L$16"}</definedName>
    <definedName name="Ìag" localSheetId="19" hidden="1">{"'Sheet1'!$L$16"}</definedName>
    <definedName name="Ìag" localSheetId="10" hidden="1">{"'Sheet1'!$L$16"}</definedName>
    <definedName name="Ìag" localSheetId="9" hidden="1">{"'Sheet1'!$L$16"}</definedName>
    <definedName name="Ìag" localSheetId="8" hidden="1">{"'Sheet1'!$L$16"}</definedName>
    <definedName name="Ìag" localSheetId="3" hidden="1">{"'Sheet1'!$L$16"}</definedName>
    <definedName name="Ìag" localSheetId="6" hidden="1">{"'Sheet1'!$L$16"}</definedName>
    <definedName name="Ìag" localSheetId="7" hidden="1">{"'Sheet1'!$L$16"}</definedName>
    <definedName name="Ìag" localSheetId="5" hidden="1">{"'Sheet1'!$L$16"}</definedName>
    <definedName name="Ìag" localSheetId="13" hidden="1">{"'Sheet1'!$L$16"}</definedName>
    <definedName name="Ìag" hidden="1">{"'Sheet1'!$L$16"}</definedName>
    <definedName name="IBCYear">#REF!</definedName>
    <definedName name="IBD00110チェック仕様" hidden="1">{"'Sheet1'!$A$3:$I$11"}</definedName>
    <definedName name="IBE09000チェック仕様" hidden="1">{"'Sheet1'!$A$3:$I$11"}</definedName>
    <definedName name="ID_Stack" localSheetId="11">'[41]Noise (3)'!$C$13</definedName>
    <definedName name="ID_Stack" localSheetId="1">'[41]Noise (3)'!$C$13</definedName>
    <definedName name="ID_Stack" localSheetId="2">'[41]Noise (3)'!$C$13</definedName>
    <definedName name="ID_Stack" localSheetId="4">'[41]Noise (3)'!$C$13</definedName>
    <definedName name="ID_Stack" localSheetId="19">'[41]Noise (3)'!$C$13</definedName>
    <definedName name="ID_Stack" localSheetId="10">'[41]Noise (3)'!$C$13</definedName>
    <definedName name="ID_Stack" localSheetId="9">'[41]Noise (3)'!$C$13</definedName>
    <definedName name="ID_Stack" localSheetId="8">'[41]Noise (3)'!$C$13</definedName>
    <definedName name="ID_Stack" localSheetId="3">'[41]Noise (3)'!$C$13</definedName>
    <definedName name="ID_Stack" localSheetId="6">'[41]Noise (3)'!$C$13</definedName>
    <definedName name="ID_Stack" localSheetId="7">'[41]Noise (3)'!$C$13</definedName>
    <definedName name="ID_Stack" localSheetId="5">'[41]Noise (3)'!$C$13</definedName>
    <definedName name="ID_Stack">#REF!</definedName>
    <definedName name="IDC">#REF!</definedName>
    <definedName name="IDLAB_COST">#REF!</definedName>
    <definedName name="idr">#REF!</definedName>
    <definedName name="IGLE" hidden="1">#REF!</definedName>
    <definedName name="II" localSheetId="18" hidden="1">{#N/A,#N/A,FALSE,"JACKETS (1100 t) (1)"}</definedName>
    <definedName name="II" hidden="1">{#N/A,#N/A,FALSE,"JACKETS (1100 t) (1)"}</definedName>
    <definedName name="iiouolkll" localSheetId="18" hidden="1">{#N/A,#N/A,FALSE,"CCTV"}</definedName>
    <definedName name="iiouolkll" localSheetId="11" hidden="1">{#N/A,#N/A,FALSE,"CCTV"}</definedName>
    <definedName name="iiouolkll" localSheetId="1" hidden="1">{#N/A,#N/A,FALSE,"CCTV"}</definedName>
    <definedName name="iiouolkll" localSheetId="2" hidden="1">{#N/A,#N/A,FALSE,"CCTV"}</definedName>
    <definedName name="iiouolkll" localSheetId="4" hidden="1">{#N/A,#N/A,FALSE,"CCTV"}</definedName>
    <definedName name="iiouolkll" localSheetId="19" hidden="1">{#N/A,#N/A,FALSE,"CCTV"}</definedName>
    <definedName name="iiouolkll" localSheetId="10" hidden="1">{#N/A,#N/A,FALSE,"CCTV"}</definedName>
    <definedName name="iiouolkll" localSheetId="9" hidden="1">{#N/A,#N/A,FALSE,"CCTV"}</definedName>
    <definedName name="iiouolkll" localSheetId="8" hidden="1">{#N/A,#N/A,FALSE,"CCTV"}</definedName>
    <definedName name="iiouolkll" localSheetId="3" hidden="1">{#N/A,#N/A,FALSE,"CCTV"}</definedName>
    <definedName name="iiouolkll" localSheetId="6" hidden="1">{#N/A,#N/A,FALSE,"CCTV"}</definedName>
    <definedName name="iiouolkll" localSheetId="7" hidden="1">{#N/A,#N/A,FALSE,"CCTV"}</definedName>
    <definedName name="iiouolkll" localSheetId="5" hidden="1">{#N/A,#N/A,FALSE,"CCTV"}</definedName>
    <definedName name="iiouolkll" hidden="1">{#N/A,#N/A,FALSE,"CCTV"}</definedName>
    <definedName name="inch_mm">25.4</definedName>
    <definedName name="Incoterms">#REF!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AB">#REF!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2bay_in">#REF!</definedName>
    <definedName name="index2bay_out">#REF!</definedName>
    <definedName name="INDIRECT_COST" localSheetId="12">#REF!</definedName>
    <definedName name="INDIRECT_COST" localSheetId="13">#REF!</definedName>
    <definedName name="INDIRECT_COST">#REF!</definedName>
    <definedName name="IndirectHours">#REF!</definedName>
    <definedName name="INDMANP">#REF!</definedName>
    <definedName name="InfoDialog">"Dialogfeldrahmen 1"</definedName>
    <definedName name="InletFlowProfile" localSheetId="11">'[41]Noise (3)'!$C$33</definedName>
    <definedName name="InletFlowProfile" localSheetId="1">'[41]Noise (3)'!$C$33</definedName>
    <definedName name="InletFlowProfile" localSheetId="2">'[41]Noise (3)'!$C$33</definedName>
    <definedName name="InletFlowProfile" localSheetId="4">'[41]Noise (3)'!$C$33</definedName>
    <definedName name="InletFlowProfile" localSheetId="19">'[41]Noise (3)'!$C$33</definedName>
    <definedName name="InletFlowProfile" localSheetId="10">'[41]Noise (3)'!$C$33</definedName>
    <definedName name="InletFlowProfile" localSheetId="9">'[41]Noise (3)'!$C$33</definedName>
    <definedName name="InletFlowProfile" localSheetId="8">'[41]Noise (3)'!$C$33</definedName>
    <definedName name="InletFlowProfile" localSheetId="3">'[41]Noise (3)'!$C$33</definedName>
    <definedName name="InletFlowProfile" localSheetId="6">'[41]Noise (3)'!$C$33</definedName>
    <definedName name="InletFlowProfile" localSheetId="7">'[41]Noise (3)'!$C$33</definedName>
    <definedName name="InletFlowProfile" localSheetId="5">'[41]Noise (3)'!$C$33</definedName>
    <definedName name="InletFlowProfile">#REF!</definedName>
    <definedName name="InputData">#REF!,#REF!,#REF!,#REF!,#REF!,#REF!,#REF!</definedName>
    <definedName name="INST">'[46]S N'!$B$61:$I$78</definedName>
    <definedName name="INSU">'[46]S N'!$B$79:$I$96</definedName>
    <definedName name="insulation" localSheetId="18" hidden="1">{#N/A,#N/A,FALSE,"CCTV"}</definedName>
    <definedName name="insulation" hidden="1">{#N/A,#N/A,FALSE,"CCTV"}</definedName>
    <definedName name="InsulationMaterial" localSheetId="11">[34]DATA_LIST!$B$23:$B$34</definedName>
    <definedName name="InsulationMaterial" localSheetId="1">[34]DATA_LIST!$B$23:$B$34</definedName>
    <definedName name="InsulationMaterial" localSheetId="2">[34]DATA_LIST!$B$23:$B$34</definedName>
    <definedName name="InsulationMaterial" localSheetId="4">[34]DATA_LIST!$B$23:$B$34</definedName>
    <definedName name="InsulationMaterial" localSheetId="19">[34]DATA_LIST!$B$23:$B$34</definedName>
    <definedName name="InsulationMaterial" localSheetId="10">[34]DATA_LIST!$B$23:$B$34</definedName>
    <definedName name="InsulationMaterial" localSheetId="9">[34]DATA_LIST!$B$23:$B$34</definedName>
    <definedName name="InsulationMaterial" localSheetId="8">[34]DATA_LIST!$B$23:$B$34</definedName>
    <definedName name="InsulationMaterial" localSheetId="3">[34]DATA_LIST!$B$23:$B$34</definedName>
    <definedName name="InsulationMaterial" localSheetId="6">[34]DATA_LIST!$B$23:$B$34</definedName>
    <definedName name="InsulationMaterial" localSheetId="7">[34]DATA_LIST!$B$23:$B$34</definedName>
    <definedName name="InsulationMaterial" localSheetId="5">[34]DATA_LIST!$B$23:$B$34</definedName>
    <definedName name="InsulationMaterial">#REF!</definedName>
    <definedName name="InsulHt">#REF!</definedName>
    <definedName name="Insurance" localSheetId="11">[51]Summary!$D$23</definedName>
    <definedName name="Insurance" localSheetId="1">[51]Summary!$D$23</definedName>
    <definedName name="Insurance" localSheetId="2">[51]Summary!$D$23</definedName>
    <definedName name="Insurance" localSheetId="4">[51]Summary!$D$23</definedName>
    <definedName name="Insurance" localSheetId="19">[51]Summary!$D$23</definedName>
    <definedName name="Insurance" localSheetId="10">[51]Summary!$D$23</definedName>
    <definedName name="Insurance" localSheetId="9">[51]Summary!$D$23</definedName>
    <definedName name="Insurance" localSheetId="8">[51]Summary!$D$23</definedName>
    <definedName name="Insurance" localSheetId="3">[51]Summary!$D$23</definedName>
    <definedName name="Insurance" localSheetId="6">[51]Summary!$D$23</definedName>
    <definedName name="Insurance" localSheetId="7">[51]Summary!$D$23</definedName>
    <definedName name="Insurance" localSheetId="5">[51]Summary!$D$23</definedName>
    <definedName name="Insurance">#REF!</definedName>
    <definedName name="Int_with_adv">#REF!</definedName>
    <definedName name="Int_without_adv">#REF!</definedName>
    <definedName name="inter">#REF!</definedName>
    <definedName name="Interest_FC">#REF!</definedName>
    <definedName name="Interest_LC">#REF!</definedName>
    <definedName name="interest_on_adv">#REF!</definedName>
    <definedName name="interest_wth_adv">#REF!</definedName>
    <definedName name="INTERFACE_FORMAT_VERSION">#REF!</definedName>
    <definedName name="INTERFACE_NAME">#REF!</definedName>
    <definedName name="INTEST" localSheetId="11">[1]PP!$A$2:$N$44</definedName>
    <definedName name="INTEST" localSheetId="1">[1]PP!$A$2:$N$44</definedName>
    <definedName name="INTEST" localSheetId="2">[1]PP!$A$2:$N$44</definedName>
    <definedName name="INTEST" localSheetId="4">[1]PP!$A$2:$N$44</definedName>
    <definedName name="INTEST" localSheetId="19">[1]PP!$A$2:$N$44</definedName>
    <definedName name="INTEST" localSheetId="10">[1]PP!$A$2:$N$44</definedName>
    <definedName name="INTEST" localSheetId="9">[1]PP!$A$2:$N$44</definedName>
    <definedName name="INTEST" localSheetId="8">[1]PP!$A$2:$N$44</definedName>
    <definedName name="INTEST" localSheetId="3">[1]PP!$A$2:$N$44</definedName>
    <definedName name="INTEST" localSheetId="6">[1]PP!$A$2:$N$44</definedName>
    <definedName name="INTEST" localSheetId="7">[1]PP!$A$2:$N$44</definedName>
    <definedName name="INTEST" localSheetId="5">[1]PP!$A$2:$N$44</definedName>
    <definedName name="INTEST">#REF!</definedName>
    <definedName name="intracs" localSheetId="18"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op" localSheetId="18" hidden="1">{"'Sheet1'!$L$16"}</definedName>
    <definedName name="iop" hidden="1">{"'Sheet1'!$L$16"}</definedName>
    <definedName name="IPEcDPres">#REF!</definedName>
    <definedName name="IPEcTbDPres">#REF!</definedName>
    <definedName name="IPEcV">#REF!</definedName>
    <definedName name="IPEvDPres">#REF!</definedName>
    <definedName name="IPFWDPres">#REF!</definedName>
    <definedName name="IPFWDPress">#REF!</definedName>
    <definedName name="IPSRV">#REF!</definedName>
    <definedName name="IPSysDPres">#REF!</definedName>
    <definedName name="IPT">#N/A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18" hidden="1">{"'Sheet1'!$L$16"}</definedName>
    <definedName name="is" hidden="1">{"'Sheet1'!$L$16"}</definedName>
    <definedName name="isken">#REF!</definedName>
    <definedName name="ISO">#REF!</definedName>
    <definedName name="it" localSheetId="18" hidden="1">{"'Sheet1'!$L$16"}</definedName>
    <definedName name="it" hidden="1">{"'Sheet1'!$L$16"}</definedName>
    <definedName name="itb" localSheetId="18" hidden="1">{#N/A,#N/A,FALSE,"CCTV"}</definedName>
    <definedName name="itb" hidden="1">{#N/A,#N/A,FALSE,"CCTV"}</definedName>
    <definedName name="ItemName" localSheetId="18">'[66]Data Input'!$G$11</definedName>
    <definedName name="ItemName">'[67]Data Input'!$G$11</definedName>
    <definedName name="ItemNo" localSheetId="18">'[66]Data Input'!$D$5</definedName>
    <definedName name="ItemNo">'[67]Data Input'!$D$5</definedName>
    <definedName name="iyuuku" localSheetId="11" hidden="1">[12]Spread!#REF!</definedName>
    <definedName name="iyuuku" localSheetId="1" hidden="1">[12]Spread!#REF!</definedName>
    <definedName name="iyuuku" localSheetId="2" hidden="1">[12]Spread!#REF!</definedName>
    <definedName name="iyuuku" localSheetId="4" hidden="1">[12]Spread!#REF!</definedName>
    <definedName name="iyuuku" localSheetId="19" hidden="1">[12]Spread!#REF!</definedName>
    <definedName name="iyuuku" localSheetId="10" hidden="1">[12]Spread!#REF!</definedName>
    <definedName name="iyuuku" localSheetId="9" hidden="1">[12]Spread!#REF!</definedName>
    <definedName name="iyuuku" localSheetId="8" hidden="1">[12]Spread!#REF!</definedName>
    <definedName name="iyuuku" localSheetId="3" hidden="1">[12]Spread!#REF!</definedName>
    <definedName name="iyuuku" localSheetId="6" hidden="1">[12]Spread!#REF!</definedName>
    <definedName name="iyuuku" localSheetId="7" hidden="1">[12]Spread!#REF!</definedName>
    <definedName name="iyuuku" localSheetId="5" hidden="1">[12]Spread!#REF!</definedName>
    <definedName name="iyuuku" hidden="1">#REF!</definedName>
    <definedName name="J" localSheetId="11">[29]Breech_Duct!$B$71</definedName>
    <definedName name="j" localSheetId="1">#REF!</definedName>
    <definedName name="j" localSheetId="2">#REF!</definedName>
    <definedName name="j" localSheetId="4">#REF!</definedName>
    <definedName name="j" localSheetId="19">#REF!</definedName>
    <definedName name="j" localSheetId="10">#REF!</definedName>
    <definedName name="j" localSheetId="9">#REF!</definedName>
    <definedName name="j" localSheetId="8">#REF!</definedName>
    <definedName name="j" localSheetId="3">#REF!</definedName>
    <definedName name="j" localSheetId="6">#REF!</definedName>
    <definedName name="j" localSheetId="7">#REF!</definedName>
    <definedName name="j" localSheetId="5">#REF!</definedName>
    <definedName name="J">#REF!</definedName>
    <definedName name="JAAR_1">#REF!</definedName>
    <definedName name="JAAR_2">#REF!</definedName>
    <definedName name="janein">#REF!</definedName>
    <definedName name="jartj">#REF!</definedName>
    <definedName name="JDFHERHGFHJ" localSheetId="18" hidden="1">{#N/A,#N/A,FALSE,"포장2"}</definedName>
    <definedName name="JDFHERHGFHJ" hidden="1">{#N/A,#N/A,FALSE,"포장2"}</definedName>
    <definedName name="JDFHERHGFJFD" localSheetId="18" hidden="1">{#N/A,#N/A,FALSE,"포장1";#N/A,#N/A,FALSE,"포장1"}</definedName>
    <definedName name="JDFHERHGFJFD" hidden="1">{#N/A,#N/A,FALSE,"포장1";#N/A,#N/A,FALSE,"포장1"}</definedName>
    <definedName name="JDFHETHGFJ" localSheetId="18" hidden="1">{#N/A,#N/A,FALSE,"조골재"}</definedName>
    <definedName name="JDFHETHGFJ" hidden="1">{#N/A,#N/A,FALSE,"조골재"}</definedName>
    <definedName name="JDFHFDJDNDHT" localSheetId="18" hidden="1">{#N/A,#N/A,FALSE,"토공2"}</definedName>
    <definedName name="JDFHFDJDNDHT" hidden="1">{#N/A,#N/A,FALSE,"토공2"}</definedName>
    <definedName name="JDHDFHERHG" localSheetId="18" hidden="1">{#N/A,#N/A,FALSE,"이정표"}</definedName>
    <definedName name="JDHDFHERHG" hidden="1">{#N/A,#N/A,FALSE,"이정표"}</definedName>
    <definedName name="JDHGEHGFGJRTYJHFG" localSheetId="18" hidden="1">{#N/A,#N/A,FALSE,"구조1"}</definedName>
    <definedName name="JDHGEHGFGJRTYJHFG" hidden="1">{#N/A,#N/A,FALSE,"구조1"}</definedName>
    <definedName name="jhhhh" localSheetId="18" hidden="1">{#N/A,#N/A,FALSE,"CCTV"}</definedName>
    <definedName name="jhhhh" localSheetId="11" hidden="1">{#N/A,#N/A,FALSE,"CCTV"}</definedName>
    <definedName name="jhhhh" localSheetId="1" hidden="1">{#N/A,#N/A,FALSE,"CCTV"}</definedName>
    <definedName name="jhhhh" localSheetId="2" hidden="1">{#N/A,#N/A,FALSE,"CCTV"}</definedName>
    <definedName name="jhhhh" localSheetId="4" hidden="1">{#N/A,#N/A,FALSE,"CCTV"}</definedName>
    <definedName name="jhhhh" localSheetId="19" hidden="1">{#N/A,#N/A,FALSE,"CCTV"}</definedName>
    <definedName name="jhhhh" localSheetId="10" hidden="1">{#N/A,#N/A,FALSE,"CCTV"}</definedName>
    <definedName name="jhhhh" localSheetId="9" hidden="1">{#N/A,#N/A,FALSE,"CCTV"}</definedName>
    <definedName name="jhhhh" localSheetId="8" hidden="1">{#N/A,#N/A,FALSE,"CCTV"}</definedName>
    <definedName name="jhhhh" localSheetId="3" hidden="1">{#N/A,#N/A,FALSE,"CCTV"}</definedName>
    <definedName name="jhhhh" localSheetId="6" hidden="1">{#N/A,#N/A,FALSE,"CCTV"}</definedName>
    <definedName name="jhhhh" localSheetId="7" hidden="1">{#N/A,#N/A,FALSE,"CCTV"}</definedName>
    <definedName name="jhhhh" localSheetId="5" hidden="1">{#N/A,#N/A,FALSE,"CCTV"}</definedName>
    <definedName name="jhhhh" hidden="1">{#N/A,#N/A,FALSE,"CCTV"}</definedName>
    <definedName name="jim"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#REF!</definedName>
    <definedName name="JK" localSheetId="18" hidden="1">{#N/A,#N/A,FALSE,"CCTV"}</definedName>
    <definedName name="JK" hidden="1">{#N/A,#N/A,FALSE,"CCTV"}</definedName>
    <definedName name="JKDFSJCSDKJ" localSheetId="18" hidden="1">{#N/A,#N/A,TRUE,"SUM";#N/A,#N/A,TRUE,"EE";#N/A,#N/A,TRUE,"AC";#N/A,#N/A,TRUE,"SN"}</definedName>
    <definedName name="JKDFSJCSDKJ" hidden="1">{#N/A,#N/A,TRUE,"SUM";#N/A,#N/A,TRUE,"EE";#N/A,#N/A,TRUE,"AC";#N/A,#N/A,TRUE,"SN"}</definedName>
    <definedName name="JKE" localSheetId="18" hidden="1">{#N/A,#N/A,FALSE,"CCTV"}</definedName>
    <definedName name="JKE" hidden="1">{#N/A,#N/A,FALSE,"CCTV"}</definedName>
    <definedName name="jkh" localSheetId="18" hidden="1">{#N/A,#N/A,FALSE,"Chi tiÆt"}</definedName>
    <definedName name="jkh" hidden="1">{#N/A,#N/A,FALSE,"Chi tiÆt"}</definedName>
    <definedName name="jkjk" localSheetId="18" hidden="1">{"'Sheet1'!$L$16"}</definedName>
    <definedName name="jkjk" localSheetId="11" hidden="1">{"'Sheet1'!$L$16"}</definedName>
    <definedName name="jkjk" localSheetId="1" hidden="1">{"'Sheet1'!$L$16"}</definedName>
    <definedName name="jkjk" localSheetId="2" hidden="1">{"'Sheet1'!$L$16"}</definedName>
    <definedName name="jkjk" localSheetId="12" hidden="1">{"'Sheet1'!$L$16"}</definedName>
    <definedName name="jkjk" localSheetId="4" hidden="1">{"'Sheet1'!$L$16"}</definedName>
    <definedName name="jkjk" localSheetId="19" hidden="1">{"'Sheet1'!$L$16"}</definedName>
    <definedName name="jkjk" localSheetId="10" hidden="1">{"'Sheet1'!$L$16"}</definedName>
    <definedName name="jkjk" localSheetId="9" hidden="1">{"'Sheet1'!$L$16"}</definedName>
    <definedName name="jkjk" localSheetId="8" hidden="1">{"'Sheet1'!$L$16"}</definedName>
    <definedName name="jkjk" localSheetId="3" hidden="1">{"'Sheet1'!$L$16"}</definedName>
    <definedName name="jkjk" localSheetId="6" hidden="1">{"'Sheet1'!$L$16"}</definedName>
    <definedName name="jkjk" localSheetId="7" hidden="1">{"'Sheet1'!$L$16"}</definedName>
    <definedName name="jkjk" localSheetId="5" hidden="1">{"'Sheet1'!$L$16"}</definedName>
    <definedName name="jkjk" localSheetId="13" hidden="1">{"'Sheet1'!$L$16"}</definedName>
    <definedName name="jkjk" hidden="1">{"'Sheet1'!$L$16"}</definedName>
    <definedName name="JKKIO" localSheetId="18" hidden="1">{#N/A,#N/A,FALSE,"CCTV"}</definedName>
    <definedName name="JKKIO" hidden="1">{#N/A,#N/A,FALSE,"CCTV"}</definedName>
    <definedName name="JM_10">#REF!</definedName>
    <definedName name="JM_11">#REF!</definedName>
    <definedName name="Job">#REF!</definedName>
    <definedName name="JobNo" localSheetId="18">'[66]Data Input'!$D$3</definedName>
    <definedName name="JobNo">'[67]Data Input'!$D$3</definedName>
    <definedName name="JointSpacing">#REF!</definedName>
    <definedName name="k" localSheetId="18" hidden="1">{"Offgrid",#N/A,FALSE,"OFFGRID";"Region",#N/A,FALSE,"REGION";"Offgrid -2",#N/A,FALSE,"OFFGRID";"WTP",#N/A,FALSE,"WTP";"WTP -2",#N/A,FALSE,"WTP";"Project",#N/A,FALSE,"PROJECT";"Summary -2",#N/A,FALSE,"SUMMARY"}</definedName>
    <definedName name="k" localSheetId="11"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12" hidden="1">{"Offgrid",#N/A,FALSE,"OFFGRID";"Region",#N/A,FALSE,"REGION";"Offgrid -2",#N/A,FALSE,"OFFGRID";"WTP",#N/A,FALSE,"WTP";"WTP -2",#N/A,FALSE,"WTP";"Project",#N/A,FALSE,"PROJECT";"Summary -2",#N/A,FALSE,"SUMMARY"}</definedName>
    <definedName name="k" localSheetId="4" hidden="1">{"Offgrid",#N/A,FALSE,"OFFGRID";"Region",#N/A,FALSE,"REGION";"Offgrid -2",#N/A,FALSE,"OFFGRID";"WTP",#N/A,FALSE,"WTP";"WTP -2",#N/A,FALSE,"WTP";"Project",#N/A,FALSE,"PROJECT";"Summary -2",#N/A,FALSE,"SUMMARY"}</definedName>
    <definedName name="k" localSheetId="19" hidden="1">{"Offgrid",#N/A,FALSE,"OFFGRID";"Region",#N/A,FALSE,"REGION";"Offgrid -2",#N/A,FALSE,"OFFGRID";"WTP",#N/A,FALSE,"WTP";"WTP -2",#N/A,FALSE,"WTP";"Project",#N/A,FALSE,"PROJECT";"Summary -2",#N/A,FALSE,"SUMMARY"}</definedName>
    <definedName name="k" localSheetId="10" hidden="1">{"Offgrid",#N/A,FALSE,"OFFGRID";"Region",#N/A,FALSE,"REGION";"Offgrid -2",#N/A,FALSE,"OFFGRID";"WTP",#N/A,FALSE,"WTP";"WTP -2",#N/A,FALSE,"WTP";"Project",#N/A,FALSE,"PROJECT";"Summary -2",#N/A,FALSE,"SUMMARY"}</definedName>
    <definedName name="k" localSheetId="9" hidden="1">{"Offgrid",#N/A,FALSE,"OFFGRID";"Region",#N/A,FALSE,"REGION";"Offgrid -2",#N/A,FALSE,"OFFGRID";"WTP",#N/A,FALSE,"WTP";"WTP -2",#N/A,FALSE,"WTP";"Project",#N/A,FALSE,"PROJECT";"Summary -2",#N/A,FALSE,"SUMMARY"}</definedName>
    <definedName name="k" localSheetId="8" hidden="1">{"Offgrid",#N/A,FALSE,"OFFGRID";"Region",#N/A,FALSE,"REGION";"Offgrid -2",#N/A,FALSE,"OFFGRID";"WTP",#N/A,FALSE,"WTP";"WTP -2",#N/A,FALSE,"WTP";"Project",#N/A,FALSE,"PROJECT";"Summary -2",#N/A,FALSE,"SUMMARY"}</definedName>
    <definedName name="k" localSheetId="3" hidden="1">{"Offgrid",#N/A,FALSE,"OFFGRID";"Region",#N/A,FALSE,"REGION";"Offgrid -2",#N/A,FALSE,"OFFGRID";"WTP",#N/A,FALSE,"WTP";"WTP -2",#N/A,FALSE,"WTP";"Project",#N/A,FALSE,"PROJECT";"Summary -2",#N/A,FALSE,"SUMMARY"}</definedName>
    <definedName name="k" localSheetId="6" hidden="1">{"Offgrid",#N/A,FALSE,"OFFGRID";"Region",#N/A,FALSE,"REGION";"Offgrid -2",#N/A,FALSE,"OFFGRID";"WTP",#N/A,FALSE,"WTP";"WTP -2",#N/A,FALSE,"WTP";"Project",#N/A,FALSE,"PROJECT";"Summary -2",#N/A,FALSE,"SUMMARY"}</definedName>
    <definedName name="k" localSheetId="7" hidden="1">{"Offgrid",#N/A,FALSE,"OFFGRID";"Region",#N/A,FALSE,"REGION";"Offgrid -2",#N/A,FALSE,"OFFGRID";"WTP",#N/A,FALSE,"WTP";"WTP -2",#N/A,FALSE,"WTP";"Project",#N/A,FALSE,"PROJECT";"Summary -2",#N/A,FALSE,"SUMMARY"}</definedName>
    <definedName name="k" localSheetId="5" hidden="1">{"Offgrid",#N/A,FALSE,"OFFGRID";"Region",#N/A,FALSE,"REGION";"Offgrid -2",#N/A,FALSE,"OFFGRID";"WTP",#N/A,FALSE,"WTP";"WTP -2",#N/A,FALSE,"WTP";"Project",#N/A,FALSE,"PROJECT";"Summary -2",#N/A,FALSE,"SUMMARY"}</definedName>
    <definedName name="k" localSheetId="13"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alkulation_DB">#REF!</definedName>
    <definedName name="Kalkulationsdatenbank">#REF!</definedName>
    <definedName name="KalkVersion">#REF!</definedName>
    <definedName name="KBALackierung">#REF!</definedName>
    <definedName name="KDJU" localSheetId="18" hidden="1">{"'장비'!$A$3:$M$12"}</definedName>
    <definedName name="KDJU" hidden="1">{"'장비'!$A$3:$M$12"}</definedName>
    <definedName name="KFGHYH" localSheetId="18" hidden="1">{#N/A,#N/A,FALSE,"혼합골재"}</definedName>
    <definedName name="KFGHYH" hidden="1">{#N/A,#N/A,FALSE,"혼합골재"}</definedName>
    <definedName name="KFGJGFJGHGRJGH" localSheetId="18" hidden="1">{#N/A,#N/A,FALSE,"부대1"}</definedName>
    <definedName name="KFGJGFJGHGRJGH" hidden="1">{#N/A,#N/A,FALSE,"부대1"}</definedName>
    <definedName name="KFGJREYDFHFD" localSheetId="18" hidden="1">{#N/A,#N/A,FALSE,"속도"}</definedName>
    <definedName name="KFGJREYDFHFD" hidden="1">{#N/A,#N/A,FALSE,"속도"}</definedName>
    <definedName name="Kg">0.4536</definedName>
    <definedName name="KGFJHGJGH" localSheetId="18" hidden="1">{#N/A,#N/A,FALSE,"2~8번"}</definedName>
    <definedName name="KGFJHGJGH" hidden="1">{#N/A,#N/A,FALSE,"2~8번"}</definedName>
    <definedName name="kghlgh" localSheetId="18" hidden="1">{#N/A,#N/A,FALSE,"CCTV"}</definedName>
    <definedName name="kghlgh" localSheetId="11" hidden="1">{#N/A,#N/A,FALSE,"CCTV"}</definedName>
    <definedName name="kghlgh" localSheetId="1" hidden="1">{#N/A,#N/A,FALSE,"CCTV"}</definedName>
    <definedName name="kghlgh" localSheetId="2" hidden="1">{#N/A,#N/A,FALSE,"CCTV"}</definedName>
    <definedName name="kghlgh" localSheetId="4" hidden="1">{#N/A,#N/A,FALSE,"CCTV"}</definedName>
    <definedName name="kghlgh" localSheetId="19" hidden="1">{#N/A,#N/A,FALSE,"CCTV"}</definedName>
    <definedName name="kghlgh" localSheetId="10" hidden="1">{#N/A,#N/A,FALSE,"CCTV"}</definedName>
    <definedName name="kghlgh" localSheetId="9" hidden="1">{#N/A,#N/A,FALSE,"CCTV"}</definedName>
    <definedName name="kghlgh" localSheetId="8" hidden="1">{#N/A,#N/A,FALSE,"CCTV"}</definedName>
    <definedName name="kghlgh" localSheetId="3" hidden="1">{#N/A,#N/A,FALSE,"CCTV"}</definedName>
    <definedName name="kghlgh" localSheetId="6" hidden="1">{#N/A,#N/A,FALSE,"CCTV"}</definedName>
    <definedName name="kghlgh" localSheetId="7" hidden="1">{#N/A,#N/A,FALSE,"CCTV"}</definedName>
    <definedName name="kghlgh" localSheetId="5" hidden="1">{#N/A,#N/A,FALSE,"CCTV"}</definedName>
    <definedName name="kghlgh" hidden="1">{#N/A,#N/A,FALSE,"CCTV"}</definedName>
    <definedName name="khongtruotgia" localSheetId="18" hidden="1">{"'Sheet1'!$L$16"}</definedName>
    <definedName name="khongtruotgia" localSheetId="11" hidden="1">{"'Sheet1'!$L$16"}</definedName>
    <definedName name="khongtruotgia" localSheetId="1" hidden="1">{"'Sheet1'!$L$16"}</definedName>
    <definedName name="khongtruotgia" localSheetId="2" hidden="1">{"'Sheet1'!$L$16"}</definedName>
    <definedName name="khongtruotgia" localSheetId="12" hidden="1">{"'Sheet1'!$L$16"}</definedName>
    <definedName name="khongtruotgia" localSheetId="4" hidden="1">{"'Sheet1'!$L$16"}</definedName>
    <definedName name="khongtruotgia" localSheetId="19" hidden="1">{"'Sheet1'!$L$16"}</definedName>
    <definedName name="khongtruotgia" localSheetId="10" hidden="1">{"'Sheet1'!$L$16"}</definedName>
    <definedName name="khongtruotgia" localSheetId="9" hidden="1">{"'Sheet1'!$L$16"}</definedName>
    <definedName name="khongtruotgia" localSheetId="8" hidden="1">{"'Sheet1'!$L$16"}</definedName>
    <definedName name="khongtruotgia" localSheetId="3" hidden="1">{"'Sheet1'!$L$16"}</definedName>
    <definedName name="khongtruotgia" localSheetId="6" hidden="1">{"'Sheet1'!$L$16"}</definedName>
    <definedName name="khongtruotgia" localSheetId="7" hidden="1">{"'Sheet1'!$L$16"}</definedName>
    <definedName name="khongtruotgia" localSheetId="5" hidden="1">{"'Sheet1'!$L$16"}</definedName>
    <definedName name="khongtruotgia" localSheetId="13" hidden="1">{"'Sheet1'!$L$16"}</definedName>
    <definedName name="khongtruotgia" hidden="1">{"'Sheet1'!$L$16"}</definedName>
    <definedName name="kitz"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localSheetId="18" hidden="1">{#N/A,#N/A,FALSE,"CCTV"}</definedName>
    <definedName name="kiulil" localSheetId="11" hidden="1">{#N/A,#N/A,FALSE,"CCTV"}</definedName>
    <definedName name="kiulil" localSheetId="1" hidden="1">{#N/A,#N/A,FALSE,"CCTV"}</definedName>
    <definedName name="kiulil" localSheetId="2" hidden="1">{#N/A,#N/A,FALSE,"CCTV"}</definedName>
    <definedName name="kiulil" localSheetId="4" hidden="1">{#N/A,#N/A,FALSE,"CCTV"}</definedName>
    <definedName name="kiulil" localSheetId="19" hidden="1">{#N/A,#N/A,FALSE,"CCTV"}</definedName>
    <definedName name="kiulil" localSheetId="10" hidden="1">{#N/A,#N/A,FALSE,"CCTV"}</definedName>
    <definedName name="kiulil" localSheetId="9" hidden="1">{#N/A,#N/A,FALSE,"CCTV"}</definedName>
    <definedName name="kiulil" localSheetId="8" hidden="1">{#N/A,#N/A,FALSE,"CCTV"}</definedName>
    <definedName name="kiulil" localSheetId="3" hidden="1">{#N/A,#N/A,FALSE,"CCTV"}</definedName>
    <definedName name="kiulil" localSheetId="6" hidden="1">{#N/A,#N/A,FALSE,"CCTV"}</definedName>
    <definedName name="kiulil" localSheetId="7" hidden="1">{#N/A,#N/A,FALSE,"CCTV"}</definedName>
    <definedName name="kiulil" localSheetId="5" hidden="1">{#N/A,#N/A,FALSE,"CCTV"}</definedName>
    <definedName name="kiulil" hidden="1">{#N/A,#N/A,FALSE,"CCTV"}</definedName>
    <definedName name="kj" hidden="1">#REF!</definedName>
    <definedName name="kjfkl" localSheetId="18" hidden="1">{#N/A,#N/A,FALSE,"HO Rates";#N/A,#N/A,FALSE,"HO Sum"}</definedName>
    <definedName name="kjfkl" localSheetId="11" hidden="1">{#N/A,#N/A,FALSE,"HO Rates";#N/A,#N/A,FALSE,"HO Sum"}</definedName>
    <definedName name="kjfkl" localSheetId="1" hidden="1">{#N/A,#N/A,FALSE,"HO Rates";#N/A,#N/A,FALSE,"HO Sum"}</definedName>
    <definedName name="kjfkl" localSheetId="2" hidden="1">{#N/A,#N/A,FALSE,"HO Rates";#N/A,#N/A,FALSE,"HO Sum"}</definedName>
    <definedName name="kjfkl" localSheetId="4" hidden="1">{#N/A,#N/A,FALSE,"HO Rates";#N/A,#N/A,FALSE,"HO Sum"}</definedName>
    <definedName name="kjfkl" localSheetId="19" hidden="1">{#N/A,#N/A,FALSE,"HO Rates";#N/A,#N/A,FALSE,"HO Sum"}</definedName>
    <definedName name="kjfkl" localSheetId="10" hidden="1">{#N/A,#N/A,FALSE,"HO Rates";#N/A,#N/A,FALSE,"HO Sum"}</definedName>
    <definedName name="kjfkl" localSheetId="9" hidden="1">{#N/A,#N/A,FALSE,"HO Rates";#N/A,#N/A,FALSE,"HO Sum"}</definedName>
    <definedName name="kjfkl" localSheetId="8" hidden="1">{#N/A,#N/A,FALSE,"HO Rates";#N/A,#N/A,FALSE,"HO Sum"}</definedName>
    <definedName name="kjfkl" localSheetId="3" hidden="1">{#N/A,#N/A,FALSE,"HO Rates";#N/A,#N/A,FALSE,"HO Sum"}</definedName>
    <definedName name="kjfkl" localSheetId="6" hidden="1">{#N/A,#N/A,FALSE,"HO Rates";#N/A,#N/A,FALSE,"HO Sum"}</definedName>
    <definedName name="kjfkl" localSheetId="7" hidden="1">{#N/A,#N/A,FALSE,"HO Rates";#N/A,#N/A,FALSE,"HO Sum"}</definedName>
    <definedName name="kjfkl" localSheetId="5" hidden="1">{#N/A,#N/A,FALSE,"HO Rates";#N/A,#N/A,FALSE,"HO Sum"}</definedName>
    <definedName name="kjfkl" hidden="1">{#N/A,#N/A,FALSE,"HO Rates";#N/A,#N/A,FALSE,"HO Sum"}</definedName>
    <definedName name="KJGHJG" localSheetId="18" hidden="1">{#N/A,#N/A,FALSE,"배수2"}</definedName>
    <definedName name="KJGHJG" hidden="1">{#N/A,#N/A,FALSE,"배수2"}</definedName>
    <definedName name="kjh" localSheetId="18" hidden="1">{#N/A,#N/A,FALSE,"Chi tiÆt"}</definedName>
    <definedName name="kjh" hidden="1">{#N/A,#N/A,FALSE,"Chi tiÆt"}</definedName>
    <definedName name="kjhlh" localSheetId="18" hidden="1">{#N/A,#N/A,FALSE,"CCTV"}</definedName>
    <definedName name="kjhlh" localSheetId="11" hidden="1">{#N/A,#N/A,FALSE,"CCTV"}</definedName>
    <definedName name="kjhlh" localSheetId="1" hidden="1">{#N/A,#N/A,FALSE,"CCTV"}</definedName>
    <definedName name="kjhlh" localSheetId="2" hidden="1">{#N/A,#N/A,FALSE,"CCTV"}</definedName>
    <definedName name="kjhlh" localSheetId="4" hidden="1">{#N/A,#N/A,FALSE,"CCTV"}</definedName>
    <definedName name="kjhlh" localSheetId="19" hidden="1">{#N/A,#N/A,FALSE,"CCTV"}</definedName>
    <definedName name="kjhlh" localSheetId="10" hidden="1">{#N/A,#N/A,FALSE,"CCTV"}</definedName>
    <definedName name="kjhlh" localSheetId="9" hidden="1">{#N/A,#N/A,FALSE,"CCTV"}</definedName>
    <definedName name="kjhlh" localSheetId="8" hidden="1">{#N/A,#N/A,FALSE,"CCTV"}</definedName>
    <definedName name="kjhlh" localSheetId="3" hidden="1">{#N/A,#N/A,FALSE,"CCTV"}</definedName>
    <definedName name="kjhlh" localSheetId="6" hidden="1">{#N/A,#N/A,FALSE,"CCTV"}</definedName>
    <definedName name="kjhlh" localSheetId="7" hidden="1">{#N/A,#N/A,FALSE,"CCTV"}</definedName>
    <definedName name="kjhlh" localSheetId="5" hidden="1">{#N/A,#N/A,FALSE,"CCTV"}</definedName>
    <definedName name="kjhlh" hidden="1">{#N/A,#N/A,FALSE,"CCTV"}</definedName>
    <definedName name="kjhljhk" localSheetId="18" hidden="1">{#N/A,#N/A,FALSE,"CCTV"}</definedName>
    <definedName name="kjhljhk" localSheetId="11" hidden="1">{#N/A,#N/A,FALSE,"CCTV"}</definedName>
    <definedName name="kjhljhk" localSheetId="1" hidden="1">{#N/A,#N/A,FALSE,"CCTV"}</definedName>
    <definedName name="kjhljhk" localSheetId="2" hidden="1">{#N/A,#N/A,FALSE,"CCTV"}</definedName>
    <definedName name="kjhljhk" localSheetId="4" hidden="1">{#N/A,#N/A,FALSE,"CCTV"}</definedName>
    <definedName name="kjhljhk" localSheetId="19" hidden="1">{#N/A,#N/A,FALSE,"CCTV"}</definedName>
    <definedName name="kjhljhk" localSheetId="10" hidden="1">{#N/A,#N/A,FALSE,"CCTV"}</definedName>
    <definedName name="kjhljhk" localSheetId="9" hidden="1">{#N/A,#N/A,FALSE,"CCTV"}</definedName>
    <definedName name="kjhljhk" localSheetId="8" hidden="1">{#N/A,#N/A,FALSE,"CCTV"}</definedName>
    <definedName name="kjhljhk" localSheetId="3" hidden="1">{#N/A,#N/A,FALSE,"CCTV"}</definedName>
    <definedName name="kjhljhk" localSheetId="6" hidden="1">{#N/A,#N/A,FALSE,"CCTV"}</definedName>
    <definedName name="kjhljhk" localSheetId="7" hidden="1">{#N/A,#N/A,FALSE,"CCTV"}</definedName>
    <definedName name="kjhljhk" localSheetId="5" hidden="1">{#N/A,#N/A,FALSE,"CCTV"}</definedName>
    <definedName name="kjhljhk" hidden="1">{#N/A,#N/A,FALSE,"CCTV"}</definedName>
    <definedName name="kjkgh" localSheetId="18" hidden="1">{"'장비'!$A$3:$M$12"}</definedName>
    <definedName name="kjkgh" hidden="1">{"'장비'!$A$3:$M$12"}</definedName>
    <definedName name="KK" localSheetId="18" hidden="1">{#N/A,#N/A,FALSE,"포장2"}</definedName>
    <definedName name="KK" hidden="1">{#N/A,#N/A,FALSE,"포장2"}</definedName>
    <definedName name="KKK" localSheetId="18" hidden="1">{#N/A,#N/A,FALSE,"CCTV"}</definedName>
    <definedName name="KKK" localSheetId="1" hidden="1">{#N/A,#N/A,FALSE,"CCTV"}</definedName>
    <definedName name="KKK" localSheetId="2" hidden="1">{#N/A,#N/A,FALSE,"CCTV"}</definedName>
    <definedName name="KKK" localSheetId="4" hidden="1">{#N/A,#N/A,FALSE,"CCTV"}</definedName>
    <definedName name="KKK" localSheetId="19" hidden="1">{#N/A,#N/A,FALSE,"CCTV"}</definedName>
    <definedName name="KKK" localSheetId="10" hidden="1">{#N/A,#N/A,FALSE,"CCTV"}</definedName>
    <definedName name="KKK" localSheetId="9" hidden="1">{#N/A,#N/A,FALSE,"CCTV"}</definedName>
    <definedName name="KKK" localSheetId="8" hidden="1">{#N/A,#N/A,FALSE,"CCTV"}</definedName>
    <definedName name="KKK" localSheetId="3" hidden="1">{#N/A,#N/A,FALSE,"CCTV"}</definedName>
    <definedName name="KKK" localSheetId="6" hidden="1">{#N/A,#N/A,FALSE,"CCTV"}</definedName>
    <definedName name="KKK" localSheetId="7" hidden="1">{#N/A,#N/A,FALSE,"CCTV"}</definedName>
    <definedName name="KKK" localSheetId="5" hidden="1">{#N/A,#N/A,FALSE,"CCTV"}</definedName>
    <definedName name="KKK" hidden="1">{#N/A,#N/A,FALSE,"CCTV"}</definedName>
    <definedName name="kkkk" localSheetId="16" hidden="1">{"'Sheet1'!$L$16"}</definedName>
    <definedName name="kkkk" localSheetId="18" hidden="1">{"'Sheet1'!$L$16"}</definedName>
    <definedName name="kkkk" localSheetId="11" hidden="1">{"'Sheet1'!$L$16"}</definedName>
    <definedName name="kkkk" localSheetId="1" hidden="1">{"'Sheet1'!$L$16"}</definedName>
    <definedName name="kkkk" localSheetId="2" hidden="1">{"'Sheet1'!$L$16"}</definedName>
    <definedName name="kkkk" localSheetId="17" hidden="1">{"'Sheet1'!$L$16"}</definedName>
    <definedName name="kkkk" localSheetId="12" hidden="1">{"'Sheet1'!$L$16"}</definedName>
    <definedName name="kkkk" localSheetId="4" hidden="1">{"'Sheet1'!$L$16"}</definedName>
    <definedName name="kkkk" localSheetId="19" hidden="1">{"'Sheet1'!$L$16"}</definedName>
    <definedName name="kkkk" localSheetId="10" hidden="1">{"'Sheet1'!$L$16"}</definedName>
    <definedName name="kkkk" localSheetId="9" hidden="1">{"'Sheet1'!$L$16"}</definedName>
    <definedName name="kkkk" localSheetId="8" hidden="1">{"'Sheet1'!$L$16"}</definedName>
    <definedName name="kkkk" localSheetId="3" hidden="1">{"'Sheet1'!$L$16"}</definedName>
    <definedName name="kkkk" localSheetId="6" hidden="1">{"'Sheet1'!$L$16"}</definedName>
    <definedName name="kkkk" localSheetId="7" hidden="1">{"'Sheet1'!$L$16"}</definedName>
    <definedName name="kkkk" localSheetId="5" hidden="1">{"'Sheet1'!$L$16"}</definedName>
    <definedName name="kkkk" localSheetId="13" hidden="1">{"'Sheet1'!$L$16"}</definedName>
    <definedName name="kkkk" hidden="1">{"'Sheet1'!$L$16"}</definedName>
    <definedName name="KKKKK" hidden="1">#REF!</definedName>
    <definedName name="KKPP" localSheetId="18" hidden="1">{#N/A,#N/A,TRUE,"SUM";#N/A,#N/A,TRUE,"EE";#N/A,#N/A,TRUE,"AC";#N/A,#N/A,TRUE,"SN"}</definedName>
    <definedName name="KKPP" hidden="1">{#N/A,#N/A,TRUE,"SUM";#N/A,#N/A,TRUE,"EE";#N/A,#N/A,TRUE,"AC";#N/A,#N/A,TRUE,"SN"}</definedName>
    <definedName name="klar" localSheetId="18" hidden="1">{#N/A,#N/A,TRUE,"WKG";#N/A,#N/A,TRUE,"AuslDat";#N/A,#N/A,TRUE,"Konst";#N/A,#N/A,TRUE,"max_erf_Md";#N/A,#N/A,TRUE,"Graph";#N/A,#N/A,TRUE,"Kräfte"}</definedName>
    <definedName name="klar" localSheetId="11" hidden="1">{#N/A,#N/A,TRUE,"WKG";#N/A,#N/A,TRUE,"AuslDat";#N/A,#N/A,TRUE,"Konst";#N/A,#N/A,TRUE,"max_erf_Md";#N/A,#N/A,TRUE,"Graph";#N/A,#N/A,TRUE,"Kräfte"}</definedName>
    <definedName name="klar" localSheetId="1" hidden="1">{#N/A,#N/A,TRUE,"WKG";#N/A,#N/A,TRUE,"AuslDat";#N/A,#N/A,TRUE,"Konst";#N/A,#N/A,TRUE,"max_erf_Md";#N/A,#N/A,TRUE,"Graph";#N/A,#N/A,TRUE,"Kräfte"}</definedName>
    <definedName name="klar" localSheetId="2" hidden="1">{#N/A,#N/A,TRUE,"WKG";#N/A,#N/A,TRUE,"AuslDat";#N/A,#N/A,TRUE,"Konst";#N/A,#N/A,TRUE,"max_erf_Md";#N/A,#N/A,TRUE,"Graph";#N/A,#N/A,TRUE,"Kräfte"}</definedName>
    <definedName name="klar" localSheetId="4" hidden="1">{#N/A,#N/A,TRUE,"WKG";#N/A,#N/A,TRUE,"AuslDat";#N/A,#N/A,TRUE,"Konst";#N/A,#N/A,TRUE,"max_erf_Md";#N/A,#N/A,TRUE,"Graph";#N/A,#N/A,TRUE,"Kräfte"}</definedName>
    <definedName name="klar" localSheetId="19" hidden="1">{#N/A,#N/A,TRUE,"WKG";#N/A,#N/A,TRUE,"AuslDat";#N/A,#N/A,TRUE,"Konst";#N/A,#N/A,TRUE,"max_erf_Md";#N/A,#N/A,TRUE,"Graph";#N/A,#N/A,TRUE,"Kräfte"}</definedName>
    <definedName name="klar" localSheetId="10" hidden="1">{#N/A,#N/A,TRUE,"WKG";#N/A,#N/A,TRUE,"AuslDat";#N/A,#N/A,TRUE,"Konst";#N/A,#N/A,TRUE,"max_erf_Md";#N/A,#N/A,TRUE,"Graph";#N/A,#N/A,TRUE,"Kräfte"}</definedName>
    <definedName name="klar" localSheetId="9" hidden="1">{#N/A,#N/A,TRUE,"WKG";#N/A,#N/A,TRUE,"AuslDat";#N/A,#N/A,TRUE,"Konst";#N/A,#N/A,TRUE,"max_erf_Md";#N/A,#N/A,TRUE,"Graph";#N/A,#N/A,TRUE,"Kräfte"}</definedName>
    <definedName name="klar" localSheetId="8" hidden="1">{#N/A,#N/A,TRUE,"WKG";#N/A,#N/A,TRUE,"AuslDat";#N/A,#N/A,TRUE,"Konst";#N/A,#N/A,TRUE,"max_erf_Md";#N/A,#N/A,TRUE,"Graph";#N/A,#N/A,TRUE,"Kräfte"}</definedName>
    <definedName name="klar" localSheetId="3" hidden="1">{#N/A,#N/A,TRUE,"WKG";#N/A,#N/A,TRUE,"AuslDat";#N/A,#N/A,TRUE,"Konst";#N/A,#N/A,TRUE,"max_erf_Md";#N/A,#N/A,TRUE,"Graph";#N/A,#N/A,TRUE,"Kräfte"}</definedName>
    <definedName name="klar" localSheetId="6" hidden="1">{#N/A,#N/A,TRUE,"WKG";#N/A,#N/A,TRUE,"AuslDat";#N/A,#N/A,TRUE,"Konst";#N/A,#N/A,TRUE,"max_erf_Md";#N/A,#N/A,TRUE,"Graph";#N/A,#N/A,TRUE,"Kräfte"}</definedName>
    <definedName name="klar" localSheetId="7" hidden="1">{#N/A,#N/A,TRUE,"WKG";#N/A,#N/A,TRUE,"AuslDat";#N/A,#N/A,TRUE,"Konst";#N/A,#N/A,TRUE,"max_erf_Md";#N/A,#N/A,TRUE,"Graph";#N/A,#N/A,TRUE,"Kräfte"}</definedName>
    <definedName name="klar" localSheetId="5" hidden="1">{#N/A,#N/A,TRUE,"WKG";#N/A,#N/A,TRUE,"AuslDat";#N/A,#N/A,TRUE,"Konst";#N/A,#N/A,TRUE,"max_erf_Md";#N/A,#N/A,TRUE,"Graph";#N/A,#N/A,TRUE,"Kräfte"}</definedName>
    <definedName name="klar" hidden="1">{#N/A,#N/A,TRUE,"WKG";#N/A,#N/A,TRUE,"AuslDat";#N/A,#N/A,TRUE,"Konst";#N/A,#N/A,TRUE,"max_erf_Md";#N/A,#N/A,TRUE,"Graph";#N/A,#N/A,TRUE,"Kräfte"}</definedName>
    <definedName name="KLduonggiaods" localSheetId="18" hidden="1">{"'Sheet1'!$L$16"}</definedName>
    <definedName name="KLduonggiaods" localSheetId="11" hidden="1">{"'Sheet1'!$L$16"}</definedName>
    <definedName name="KLduonggiaods" localSheetId="1" hidden="1">{"'Sheet1'!$L$16"}</definedName>
    <definedName name="KLduonggiaods" localSheetId="2" hidden="1">{"'Sheet1'!$L$16"}</definedName>
    <definedName name="KLduonggiaods" localSheetId="12" hidden="1">{"'Sheet1'!$L$16"}</definedName>
    <definedName name="KLduonggiaods" localSheetId="4" hidden="1">{"'Sheet1'!$L$16"}</definedName>
    <definedName name="KLduonggiaods" localSheetId="19" hidden="1">{"'Sheet1'!$L$16"}</definedName>
    <definedName name="KLduonggiaods" localSheetId="10" hidden="1">{"'Sheet1'!$L$16"}</definedName>
    <definedName name="KLduonggiaods" localSheetId="9" hidden="1">{"'Sheet1'!$L$16"}</definedName>
    <definedName name="KLduonggiaods" localSheetId="8" hidden="1">{"'Sheet1'!$L$16"}</definedName>
    <definedName name="KLduonggiaods" localSheetId="3" hidden="1">{"'Sheet1'!$L$16"}</definedName>
    <definedName name="KLduonggiaods" localSheetId="6" hidden="1">{"'Sheet1'!$L$16"}</definedName>
    <definedName name="KLduonggiaods" localSheetId="7" hidden="1">{"'Sheet1'!$L$16"}</definedName>
    <definedName name="KLduonggiaods" localSheetId="5" hidden="1">{"'Sheet1'!$L$16"}</definedName>
    <definedName name="KLduonggiaods" localSheetId="13" hidden="1">{"'Sheet1'!$L$16"}</definedName>
    <definedName name="KLduonggiaods" hidden="1">{"'Sheet1'!$L$16"}</definedName>
    <definedName name="klhkl" hidden="1">#REF!</definedName>
    <definedName name="KO" localSheetId="18" hidden="1">{"'Liquid'!$A$1:$U$57"}</definedName>
    <definedName name="KO" hidden="1">{"'Liquid'!$A$1:$U$57"}</definedName>
    <definedName name="KOPER" localSheetId="18" hidden="1">{"'Liquid'!$A$1:$U$57"}</definedName>
    <definedName name="KOPER" hidden="1">{"'Liquid'!$A$1:$U$57"}</definedName>
    <definedName name="Kostenart">#REF!</definedName>
    <definedName name="kp1ph">#REF!</definedName>
    <definedName name="Kprim">#REF!</definedName>
    <definedName name="ksbn" localSheetId="18" hidden="1">{"'Sheet1'!$L$16"}</definedName>
    <definedName name="ksbn" localSheetId="11" hidden="1">{"'Sheet1'!$L$16"}</definedName>
    <definedName name="ksbn" localSheetId="1" hidden="1">{"'Sheet1'!$L$16"}</definedName>
    <definedName name="ksbn" localSheetId="2" hidden="1">{"'Sheet1'!$L$16"}</definedName>
    <definedName name="ksbn" localSheetId="12" hidden="1">{"'Sheet1'!$L$16"}</definedName>
    <definedName name="ksbn" localSheetId="4" hidden="1">{"'Sheet1'!$L$16"}</definedName>
    <definedName name="ksbn" localSheetId="19" hidden="1">{"'Sheet1'!$L$16"}</definedName>
    <definedName name="ksbn" localSheetId="10" hidden="1">{"'Sheet1'!$L$16"}</definedName>
    <definedName name="ksbn" localSheetId="9" hidden="1">{"'Sheet1'!$L$16"}</definedName>
    <definedName name="ksbn" localSheetId="8" hidden="1">{"'Sheet1'!$L$16"}</definedName>
    <definedName name="ksbn" localSheetId="3" hidden="1">{"'Sheet1'!$L$16"}</definedName>
    <definedName name="ksbn" localSheetId="6" hidden="1">{"'Sheet1'!$L$16"}</definedName>
    <definedName name="ksbn" localSheetId="7" hidden="1">{"'Sheet1'!$L$16"}</definedName>
    <definedName name="ksbn" localSheetId="5" hidden="1">{"'Sheet1'!$L$16"}</definedName>
    <definedName name="ksbn" localSheetId="13" hidden="1">{"'Sheet1'!$L$16"}</definedName>
    <definedName name="ksbn" hidden="1">{"'Sheet1'!$L$16"}</definedName>
    <definedName name="KSD">#REF!</definedName>
    <definedName name="KSDA" localSheetId="18" hidden="1">{"'Sheet1'!$L$16"}</definedName>
    <definedName name="KSDA" localSheetId="11" hidden="1">{"'Sheet1'!$L$16"}</definedName>
    <definedName name="KSDA" localSheetId="1" hidden="1">{"'Sheet1'!$L$16"}</definedName>
    <definedName name="KSDA" localSheetId="2" hidden="1">{"'Sheet1'!$L$16"}</definedName>
    <definedName name="KSDA" localSheetId="12" hidden="1">{"'Sheet1'!$L$16"}</definedName>
    <definedName name="KSDA" localSheetId="4" hidden="1">{"'Sheet1'!$L$16"}</definedName>
    <definedName name="KSDA" localSheetId="19" hidden="1">{"'Sheet1'!$L$16"}</definedName>
    <definedName name="KSDA" localSheetId="10" hidden="1">{"'Sheet1'!$L$16"}</definedName>
    <definedName name="KSDA" localSheetId="9" hidden="1">{"'Sheet1'!$L$16"}</definedName>
    <definedName name="KSDA" localSheetId="8" hidden="1">{"'Sheet1'!$L$16"}</definedName>
    <definedName name="KSDA" localSheetId="3" hidden="1">{"'Sheet1'!$L$16"}</definedName>
    <definedName name="KSDA" localSheetId="6" hidden="1">{"'Sheet1'!$L$16"}</definedName>
    <definedName name="KSDA" localSheetId="7" hidden="1">{"'Sheet1'!$L$16"}</definedName>
    <definedName name="KSDA" localSheetId="5" hidden="1">{"'Sheet1'!$L$16"}</definedName>
    <definedName name="KSDA" localSheetId="13" hidden="1">{"'Sheet1'!$L$16"}</definedName>
    <definedName name="KSDA" hidden="1">{"'Sheet1'!$L$16"}</definedName>
    <definedName name="kshn" localSheetId="18" hidden="1">{"'Sheet1'!$L$16"}</definedName>
    <definedName name="kshn" localSheetId="11" hidden="1">{"'Sheet1'!$L$16"}</definedName>
    <definedName name="kshn" localSheetId="1" hidden="1">{"'Sheet1'!$L$16"}</definedName>
    <definedName name="kshn" localSheetId="2" hidden="1">{"'Sheet1'!$L$16"}</definedName>
    <definedName name="kshn" localSheetId="12" hidden="1">{"'Sheet1'!$L$16"}</definedName>
    <definedName name="kshn" localSheetId="4" hidden="1">{"'Sheet1'!$L$16"}</definedName>
    <definedName name="kshn" localSheetId="19" hidden="1">{"'Sheet1'!$L$16"}</definedName>
    <definedName name="kshn" localSheetId="10" hidden="1">{"'Sheet1'!$L$16"}</definedName>
    <definedName name="kshn" localSheetId="9" hidden="1">{"'Sheet1'!$L$16"}</definedName>
    <definedName name="kshn" localSheetId="8" hidden="1">{"'Sheet1'!$L$16"}</definedName>
    <definedName name="kshn" localSheetId="3" hidden="1">{"'Sheet1'!$L$16"}</definedName>
    <definedName name="kshn" localSheetId="6" hidden="1">{"'Sheet1'!$L$16"}</definedName>
    <definedName name="kshn" localSheetId="7" hidden="1">{"'Sheet1'!$L$16"}</definedName>
    <definedName name="kshn" localSheetId="5" hidden="1">{"'Sheet1'!$L$16"}</definedName>
    <definedName name="kshn" localSheetId="13" hidden="1">{"'Sheet1'!$L$16"}</definedName>
    <definedName name="kshn" hidden="1">{"'Sheet1'!$L$16"}</definedName>
    <definedName name="ksls" localSheetId="18" hidden="1">{"'Sheet1'!$L$16"}</definedName>
    <definedName name="ksls" localSheetId="11" hidden="1">{"'Sheet1'!$L$16"}</definedName>
    <definedName name="ksls" localSheetId="1" hidden="1">{"'Sheet1'!$L$16"}</definedName>
    <definedName name="ksls" localSheetId="2" hidden="1">{"'Sheet1'!$L$16"}</definedName>
    <definedName name="ksls" localSheetId="12" hidden="1">{"'Sheet1'!$L$16"}</definedName>
    <definedName name="ksls" localSheetId="4" hidden="1">{"'Sheet1'!$L$16"}</definedName>
    <definedName name="ksls" localSheetId="19" hidden="1">{"'Sheet1'!$L$16"}</definedName>
    <definedName name="ksls" localSheetId="10" hidden="1">{"'Sheet1'!$L$16"}</definedName>
    <definedName name="ksls" localSheetId="9" hidden="1">{"'Sheet1'!$L$16"}</definedName>
    <definedName name="ksls" localSheetId="8" hidden="1">{"'Sheet1'!$L$16"}</definedName>
    <definedName name="ksls" localSheetId="3" hidden="1">{"'Sheet1'!$L$16"}</definedName>
    <definedName name="ksls" localSheetId="6" hidden="1">{"'Sheet1'!$L$16"}</definedName>
    <definedName name="ksls" localSheetId="7" hidden="1">{"'Sheet1'!$L$16"}</definedName>
    <definedName name="ksls" localSheetId="5" hidden="1">{"'Sheet1'!$L$16"}</definedName>
    <definedName name="ksls" localSheetId="13" hidden="1">{"'Sheet1'!$L$16"}</definedName>
    <definedName name="ksls" hidden="1">{"'Sheet1'!$L$16"}</definedName>
    <definedName name="KT">#REF!</definedName>
    <definedName name="ktf" localSheetId="11" hidden="1">#N/A</definedName>
    <definedName name="ktf" localSheetId="1" hidden="1">#N/A</definedName>
    <definedName name="ktf" localSheetId="2" hidden="1">#N/A</definedName>
    <definedName name="ktf" localSheetId="4" hidden="1">#N/A</definedName>
    <definedName name="ktf" localSheetId="19" hidden="1">#N/A</definedName>
    <definedName name="ktf" localSheetId="10" hidden="1">#N/A</definedName>
    <definedName name="ktf" localSheetId="9" hidden="1">#N/A</definedName>
    <definedName name="ktf" localSheetId="8" hidden="1">#N/A</definedName>
    <definedName name="ktf" localSheetId="3" hidden="1">#N/A</definedName>
    <definedName name="ktf" localSheetId="6" hidden="1">#N/A</definedName>
    <definedName name="ktf" localSheetId="7" hidden="1">#N/A</definedName>
    <definedName name="ktf" localSheetId="5" hidden="1">#N/A</definedName>
    <definedName name="ktf" hidden="1">#REF!</definedName>
    <definedName name="kty" localSheetId="11" hidden="1">#N/A</definedName>
    <definedName name="kty" localSheetId="1" hidden="1">#N/A</definedName>
    <definedName name="kty" localSheetId="2" hidden="1">#N/A</definedName>
    <definedName name="kty" localSheetId="4" hidden="1">#N/A</definedName>
    <definedName name="kty" localSheetId="19" hidden="1">#N/A</definedName>
    <definedName name="kty" localSheetId="10" hidden="1">#N/A</definedName>
    <definedName name="kty" localSheetId="9" hidden="1">#N/A</definedName>
    <definedName name="kty" localSheetId="8" hidden="1">#N/A</definedName>
    <definedName name="kty" localSheetId="3" hidden="1">#N/A</definedName>
    <definedName name="kty" localSheetId="6" hidden="1">#N/A</definedName>
    <definedName name="kty" localSheetId="7" hidden="1">#N/A</definedName>
    <definedName name="kty" localSheetId="5" hidden="1">#N/A</definedName>
    <definedName name="kty" hidden="1">#REF!</definedName>
    <definedName name="KUR">#REF!</definedName>
    <definedName name="KW">[37]작성기준!$C$23</definedName>
    <definedName name="l" localSheetId="1" hidden="1">{"'Sheet1'!$A$3:$I$11"}</definedName>
    <definedName name="l" localSheetId="2" hidden="1">{"'Sheet1'!$A$3:$I$11"}</definedName>
    <definedName name="l" localSheetId="4" hidden="1">{"'Sheet1'!$A$3:$I$11"}</definedName>
    <definedName name="l" localSheetId="19" hidden="1">{"'Sheet1'!$A$3:$I$11"}</definedName>
    <definedName name="l" localSheetId="10" hidden="1">{"'Sheet1'!$A$3:$I$11"}</definedName>
    <definedName name="l" localSheetId="9" hidden="1">{"'Sheet1'!$A$3:$I$11"}</definedName>
    <definedName name="l" localSheetId="8" hidden="1">{"'Sheet1'!$A$3:$I$11"}</definedName>
    <definedName name="l" localSheetId="3" hidden="1">{"'Sheet1'!$A$3:$I$11"}</definedName>
    <definedName name="l" localSheetId="6" hidden="1">{"'Sheet1'!$A$3:$I$11"}</definedName>
    <definedName name="l" localSheetId="7" hidden="1">{"'Sheet1'!$A$3:$I$11"}</definedName>
    <definedName name="l" localSheetId="5" hidden="1">{"'Sheet1'!$A$3:$I$11"}</definedName>
    <definedName name="L">#REF!</definedName>
    <definedName name="L_" localSheetId="11">[29]Breech_Duct!$B$74</definedName>
    <definedName name="L_" localSheetId="1">[29]Breech_Duct!$B$74</definedName>
    <definedName name="L_" localSheetId="2">[29]Breech_Duct!$B$74</definedName>
    <definedName name="L_" localSheetId="4">[29]Breech_Duct!$B$74</definedName>
    <definedName name="L_" localSheetId="19">[29]Breech_Duct!$B$74</definedName>
    <definedName name="L_" localSheetId="10">[29]Breech_Duct!$B$74</definedName>
    <definedName name="L_" localSheetId="9">[29]Breech_Duct!$B$74</definedName>
    <definedName name="L_" localSheetId="8">[29]Breech_Duct!$B$74</definedName>
    <definedName name="L_" localSheetId="3">[29]Breech_Duct!$B$74</definedName>
    <definedName name="L_" localSheetId="6">[29]Breech_Duct!$B$74</definedName>
    <definedName name="L_" localSheetId="7">[29]Breech_Duct!$B$74</definedName>
    <definedName name="L_" localSheetId="5">[29]Breech_Duct!$B$74</definedName>
    <definedName name="L_">#REF!</definedName>
    <definedName name="LA">#REF!</definedName>
    <definedName name="Labor" localSheetId="11">[51]Summary!$K$11</definedName>
    <definedName name="Labor" localSheetId="1">[51]Summary!$K$11</definedName>
    <definedName name="Labor" localSheetId="2">[51]Summary!$K$11</definedName>
    <definedName name="Labor" localSheetId="4">[51]Summary!$K$11</definedName>
    <definedName name="Labor" localSheetId="19">[51]Summary!$K$11</definedName>
    <definedName name="Labor" localSheetId="10">[51]Summary!$K$11</definedName>
    <definedName name="Labor" localSheetId="9">[51]Summary!$K$11</definedName>
    <definedName name="Labor" localSheetId="8">[51]Summary!$K$11</definedName>
    <definedName name="Labor" localSheetId="3">[51]Summary!$K$11</definedName>
    <definedName name="Labor" localSheetId="6">[51]Summary!$K$11</definedName>
    <definedName name="Labor" localSheetId="7">[51]Summary!$K$11</definedName>
    <definedName name="Labor" localSheetId="5">[51]Summary!$K$11</definedName>
    <definedName name="Labor">#REF!</definedName>
    <definedName name="Labor_add" localSheetId="11">[78]Summary!$D$59</definedName>
    <definedName name="Labor_add" localSheetId="1">[78]Summary!$D$59</definedName>
    <definedName name="Labor_add" localSheetId="2">[78]Summary!$D$59</definedName>
    <definedName name="Labor_add" localSheetId="4">[78]Summary!$D$59</definedName>
    <definedName name="Labor_add" localSheetId="19">[78]Summary!$D$59</definedName>
    <definedName name="Labor_add" localSheetId="10">[78]Summary!$D$59</definedName>
    <definedName name="Labor_add" localSheetId="9">[78]Summary!$D$59</definedName>
    <definedName name="Labor_add" localSheetId="8">[78]Summary!$D$59</definedName>
    <definedName name="Labor_add" localSheetId="3">[78]Summary!$D$59</definedName>
    <definedName name="Labor_add" localSheetId="6">[78]Summary!$D$59</definedName>
    <definedName name="Labor_add" localSheetId="7">[78]Summary!$D$59</definedName>
    <definedName name="Labor_add" localSheetId="5">[78]Summary!$D$59</definedName>
    <definedName name="Labor_add">#REF!</definedName>
    <definedName name="LackierungsflächeKBA">#REF!</definedName>
    <definedName name="Lackierungspreise">#REF!</definedName>
    <definedName name="LadderCount">#REF!</definedName>
    <definedName name="Ladders">#REF!</definedName>
    <definedName name="LadderSelect">#REF!</definedName>
    <definedName name="lam" localSheetId="18" hidden="1">{"'Sheet1'!$L$16"}</definedName>
    <definedName name="lam" localSheetId="11" hidden="1">{"'Sheet1'!$L$16"}</definedName>
    <definedName name="lam" localSheetId="1" hidden="1">{"'Sheet1'!$L$16"}</definedName>
    <definedName name="lam" localSheetId="2" hidden="1">{"'Sheet1'!$L$16"}</definedName>
    <definedName name="lam" localSheetId="12" hidden="1">{"'Sheet1'!$L$16"}</definedName>
    <definedName name="lam" localSheetId="4" hidden="1">{"'Sheet1'!$L$16"}</definedName>
    <definedName name="lam" localSheetId="19" hidden="1">{"'Sheet1'!$L$16"}</definedName>
    <definedName name="lam" localSheetId="10" hidden="1">{"'Sheet1'!$L$16"}</definedName>
    <definedName name="lam" localSheetId="9" hidden="1">{"'Sheet1'!$L$16"}</definedName>
    <definedName name="lam" localSheetId="8" hidden="1">{"'Sheet1'!$L$16"}</definedName>
    <definedName name="lam" localSheetId="3" hidden="1">{"'Sheet1'!$L$16"}</definedName>
    <definedName name="lam" localSheetId="6" hidden="1">{"'Sheet1'!$L$16"}</definedName>
    <definedName name="lam" localSheetId="7" hidden="1">{"'Sheet1'!$L$16"}</definedName>
    <definedName name="lam" localSheetId="5" hidden="1">{"'Sheet1'!$L$16"}</definedName>
    <definedName name="lam" localSheetId="13" hidden="1">{"'Sheet1'!$L$16"}</definedName>
    <definedName name="lam" hidden="1">{"'Sheet1'!$L$16"}</definedName>
    <definedName name="Länder">#REF!</definedName>
    <definedName name="LandingCount">#REF!</definedName>
    <definedName name="Landings">#REF!</definedName>
    <definedName name="langson" localSheetId="18" hidden="1">{"'Sheet1'!$L$16"}</definedName>
    <definedName name="langson" localSheetId="11" hidden="1">{"'Sheet1'!$L$16"}</definedName>
    <definedName name="langson" localSheetId="1" hidden="1">{"'Sheet1'!$L$16"}</definedName>
    <definedName name="langson" localSheetId="2" hidden="1">{"'Sheet1'!$L$16"}</definedName>
    <definedName name="langson" localSheetId="12" hidden="1">{"'Sheet1'!$L$16"}</definedName>
    <definedName name="langson" localSheetId="4" hidden="1">{"'Sheet1'!$L$16"}</definedName>
    <definedName name="langson" localSheetId="19" hidden="1">{"'Sheet1'!$L$16"}</definedName>
    <definedName name="langson" localSheetId="10" hidden="1">{"'Sheet1'!$L$16"}</definedName>
    <definedName name="langson" localSheetId="9" hidden="1">{"'Sheet1'!$L$16"}</definedName>
    <definedName name="langson" localSheetId="8" hidden="1">{"'Sheet1'!$L$16"}</definedName>
    <definedName name="langson" localSheetId="3" hidden="1">{"'Sheet1'!$L$16"}</definedName>
    <definedName name="langson" localSheetId="6" hidden="1">{"'Sheet1'!$L$16"}</definedName>
    <definedName name="langson" localSheetId="7" hidden="1">{"'Sheet1'!$L$16"}</definedName>
    <definedName name="langson" localSheetId="5" hidden="1">{"'Sheet1'!$L$16"}</definedName>
    <definedName name="langson" localSheetId="13" hidden="1">{"'Sheet1'!$L$16"}</definedName>
    <definedName name="langson" hidden="1">{"'Sheet1'!$L$16"}</definedName>
    <definedName name="LANGUAGE_VERSION">#REF!</definedName>
    <definedName name="LC">#REF!</definedName>
    <definedName name="LC_SC">#REF!</definedName>
    <definedName name="LEE" localSheetId="18" hidden="1">{#N/A,#N/A,TRUE,"Basic";#N/A,#N/A,TRUE,"EXT-TABLE";#N/A,#N/A,TRUE,"STEEL";#N/A,#N/A,TRUE,"INT-Table";#N/A,#N/A,TRUE,"STEEL";#N/A,#N/A,TRUE,"Door"}</definedName>
    <definedName name="LEE" hidden="1">{#N/A,#N/A,TRUE,"Basic";#N/A,#N/A,TRUE,"EXT-TABLE";#N/A,#N/A,TRUE,"STEEL";#N/A,#N/A,TRUE,"INT-Table";#N/A,#N/A,TRUE,"STEEL";#N/A,#N/A,TRUE,"Door"}</definedName>
    <definedName name="LEE_1" localSheetId="18" hidden="1">{#N/A,#N/A,TRUE,"Basic";#N/A,#N/A,TRUE,"EXT-TABLE";#N/A,#N/A,TRUE,"STEEL";#N/A,#N/A,TRUE,"INT-Table";#N/A,#N/A,TRUE,"STEEL";#N/A,#N/A,TRUE,"Door"}</definedName>
    <definedName name="LEE_1" hidden="1">{#N/A,#N/A,TRUE,"Basic";#N/A,#N/A,TRUE,"EXT-TABLE";#N/A,#N/A,TRUE,"STEEL";#N/A,#N/A,TRUE,"INT-Table";#N/A,#N/A,TRUE,"STEEL";#N/A,#N/A,TRUE,"Door"}</definedName>
    <definedName name="LEE_1_1" localSheetId="18" hidden="1">{#N/A,#N/A,TRUE,"Basic";#N/A,#N/A,TRUE,"EXT-TABLE";#N/A,#N/A,TRUE,"STEEL";#N/A,#N/A,TRUE,"INT-Table";#N/A,#N/A,TRUE,"STEEL";#N/A,#N/A,TRUE,"Door"}</definedName>
    <definedName name="LEE_1_1" hidden="1">{#N/A,#N/A,TRUE,"Basic";#N/A,#N/A,TRUE,"EXT-TABLE";#N/A,#N/A,TRUE,"STEEL";#N/A,#N/A,TRUE,"INT-Table";#N/A,#N/A,TRUE,"STEEL";#N/A,#N/A,TRUE,"Door"}</definedName>
    <definedName name="LEE_1_2" localSheetId="18" hidden="1">{#N/A,#N/A,TRUE,"Basic";#N/A,#N/A,TRUE,"EXT-TABLE";#N/A,#N/A,TRUE,"STEEL";#N/A,#N/A,TRUE,"INT-Table";#N/A,#N/A,TRUE,"STEEL";#N/A,#N/A,TRUE,"Door"}</definedName>
    <definedName name="LEE_1_2" hidden="1">{#N/A,#N/A,TRUE,"Basic";#N/A,#N/A,TRUE,"EXT-TABLE";#N/A,#N/A,TRUE,"STEEL";#N/A,#N/A,TRUE,"INT-Table";#N/A,#N/A,TRUE,"STEEL";#N/A,#N/A,TRUE,"Door"}</definedName>
    <definedName name="LEE_2" localSheetId="18" hidden="1">{#N/A,#N/A,TRUE,"Basic";#N/A,#N/A,TRUE,"EXT-TABLE";#N/A,#N/A,TRUE,"STEEL";#N/A,#N/A,TRUE,"INT-Table";#N/A,#N/A,TRUE,"STEEL";#N/A,#N/A,TRUE,"Door"}</definedName>
    <definedName name="LEE_2" hidden="1">{#N/A,#N/A,TRUE,"Basic";#N/A,#N/A,TRUE,"EXT-TABLE";#N/A,#N/A,TRUE,"STEEL";#N/A,#N/A,TRUE,"INT-Table";#N/A,#N/A,TRUE,"STEEL";#N/A,#N/A,TRUE,"Door"}</definedName>
    <definedName name="LEE_2_1" localSheetId="18" hidden="1">{#N/A,#N/A,TRUE,"Basic";#N/A,#N/A,TRUE,"EXT-TABLE";#N/A,#N/A,TRUE,"STEEL";#N/A,#N/A,TRUE,"INT-Table";#N/A,#N/A,TRUE,"STEEL";#N/A,#N/A,TRUE,"Door"}</definedName>
    <definedName name="LEE_2_1" hidden="1">{#N/A,#N/A,TRUE,"Basic";#N/A,#N/A,TRUE,"EXT-TABLE";#N/A,#N/A,TRUE,"STEEL";#N/A,#N/A,TRUE,"INT-Table";#N/A,#N/A,TRUE,"STEEL";#N/A,#N/A,TRUE,"Door"}</definedName>
    <definedName name="LEE_2_2" localSheetId="18" hidden="1">{#N/A,#N/A,TRUE,"Basic";#N/A,#N/A,TRUE,"EXT-TABLE";#N/A,#N/A,TRUE,"STEEL";#N/A,#N/A,TRUE,"INT-Table";#N/A,#N/A,TRUE,"STEEL";#N/A,#N/A,TRUE,"Door"}</definedName>
    <definedName name="LEE_2_2" hidden="1">{#N/A,#N/A,TRUE,"Basic";#N/A,#N/A,TRUE,"EXT-TABLE";#N/A,#N/A,TRUE,"STEEL";#N/A,#N/A,TRUE,"INT-Table";#N/A,#N/A,TRUE,"STEEL";#N/A,#N/A,TRUE,"Door"}</definedName>
    <definedName name="LEE_3" localSheetId="18" hidden="1">{#N/A,#N/A,TRUE,"Basic";#N/A,#N/A,TRUE,"EXT-TABLE";#N/A,#N/A,TRUE,"STEEL";#N/A,#N/A,TRUE,"INT-Table";#N/A,#N/A,TRUE,"STEEL";#N/A,#N/A,TRUE,"Door"}</definedName>
    <definedName name="LEE_3" hidden="1">{#N/A,#N/A,TRUE,"Basic";#N/A,#N/A,TRUE,"EXT-TABLE";#N/A,#N/A,TRUE,"STEEL";#N/A,#N/A,TRUE,"INT-Table";#N/A,#N/A,TRUE,"STEEL";#N/A,#N/A,TRUE,"Door"}</definedName>
    <definedName name="LEE_3_1" localSheetId="18" hidden="1">{#N/A,#N/A,TRUE,"Basic";#N/A,#N/A,TRUE,"EXT-TABLE";#N/A,#N/A,TRUE,"STEEL";#N/A,#N/A,TRUE,"INT-Table";#N/A,#N/A,TRUE,"STEEL";#N/A,#N/A,TRUE,"Door"}</definedName>
    <definedName name="LEE_3_1" hidden="1">{#N/A,#N/A,TRUE,"Basic";#N/A,#N/A,TRUE,"EXT-TABLE";#N/A,#N/A,TRUE,"STEEL";#N/A,#N/A,TRUE,"INT-Table";#N/A,#N/A,TRUE,"STEEL";#N/A,#N/A,TRUE,"Door"}</definedName>
    <definedName name="LEE_3_2" localSheetId="18" hidden="1">{#N/A,#N/A,TRUE,"Basic";#N/A,#N/A,TRUE,"EXT-TABLE";#N/A,#N/A,TRUE,"STEEL";#N/A,#N/A,TRUE,"INT-Table";#N/A,#N/A,TRUE,"STEEL";#N/A,#N/A,TRUE,"Door"}</definedName>
    <definedName name="LEE_3_2" hidden="1">{#N/A,#N/A,TRUE,"Basic";#N/A,#N/A,TRUE,"EXT-TABLE";#N/A,#N/A,TRUE,"STEEL";#N/A,#N/A,TRUE,"INT-Table";#N/A,#N/A,TRUE,"STEEL";#N/A,#N/A,TRUE,"Door"}</definedName>
    <definedName name="LEE_4" localSheetId="18" hidden="1">{#N/A,#N/A,TRUE,"Basic";#N/A,#N/A,TRUE,"EXT-TABLE";#N/A,#N/A,TRUE,"STEEL";#N/A,#N/A,TRUE,"INT-Table";#N/A,#N/A,TRUE,"STEEL";#N/A,#N/A,TRUE,"Door"}</definedName>
    <definedName name="LEE_4" hidden="1">{#N/A,#N/A,TRUE,"Basic";#N/A,#N/A,TRUE,"EXT-TABLE";#N/A,#N/A,TRUE,"STEEL";#N/A,#N/A,TRUE,"INT-Table";#N/A,#N/A,TRUE,"STEEL";#N/A,#N/A,TRUE,"Door"}</definedName>
    <definedName name="LEE_4_1" localSheetId="18" hidden="1">{#N/A,#N/A,TRUE,"Basic";#N/A,#N/A,TRUE,"EXT-TABLE";#N/A,#N/A,TRUE,"STEEL";#N/A,#N/A,TRUE,"INT-Table";#N/A,#N/A,TRUE,"STEEL";#N/A,#N/A,TRUE,"Door"}</definedName>
    <definedName name="LEE_4_1" hidden="1">{#N/A,#N/A,TRUE,"Basic";#N/A,#N/A,TRUE,"EXT-TABLE";#N/A,#N/A,TRUE,"STEEL";#N/A,#N/A,TRUE,"INT-Table";#N/A,#N/A,TRUE,"STEEL";#N/A,#N/A,TRUE,"Door"}</definedName>
    <definedName name="LEE_4_2" localSheetId="18" hidden="1">{#N/A,#N/A,TRUE,"Basic";#N/A,#N/A,TRUE,"EXT-TABLE";#N/A,#N/A,TRUE,"STEEL";#N/A,#N/A,TRUE,"INT-Table";#N/A,#N/A,TRUE,"STEEL";#N/A,#N/A,TRUE,"Door"}</definedName>
    <definedName name="LEE_4_2" hidden="1">{#N/A,#N/A,TRUE,"Basic";#N/A,#N/A,TRUE,"EXT-TABLE";#N/A,#N/A,TRUE,"STEEL";#N/A,#N/A,TRUE,"INT-Table";#N/A,#N/A,TRUE,"STEEL";#N/A,#N/A,TRUE,"Door"}</definedName>
    <definedName name="LEE_5" localSheetId="18" hidden="1">{#N/A,#N/A,TRUE,"Basic";#N/A,#N/A,TRUE,"EXT-TABLE";#N/A,#N/A,TRUE,"STEEL";#N/A,#N/A,TRUE,"INT-Table";#N/A,#N/A,TRUE,"STEEL";#N/A,#N/A,TRUE,"Door"}</definedName>
    <definedName name="LEE_5" hidden="1">{#N/A,#N/A,TRUE,"Basic";#N/A,#N/A,TRUE,"EXT-TABLE";#N/A,#N/A,TRUE,"STEEL";#N/A,#N/A,TRUE,"INT-Table";#N/A,#N/A,TRUE,"STEEL";#N/A,#N/A,TRUE,"Door"}</definedName>
    <definedName name="LEE_5_1" localSheetId="18" hidden="1">{#N/A,#N/A,TRUE,"Basic";#N/A,#N/A,TRUE,"EXT-TABLE";#N/A,#N/A,TRUE,"STEEL";#N/A,#N/A,TRUE,"INT-Table";#N/A,#N/A,TRUE,"STEEL";#N/A,#N/A,TRUE,"Door"}</definedName>
    <definedName name="LEE_5_1" hidden="1">{#N/A,#N/A,TRUE,"Basic";#N/A,#N/A,TRUE,"EXT-TABLE";#N/A,#N/A,TRUE,"STEEL";#N/A,#N/A,TRUE,"INT-Table";#N/A,#N/A,TRUE,"STEEL";#N/A,#N/A,TRUE,"Door"}</definedName>
    <definedName name="LEE_5_2" localSheetId="18" hidden="1">{#N/A,#N/A,TRUE,"Basic";#N/A,#N/A,TRUE,"EXT-TABLE";#N/A,#N/A,TRUE,"STEEL";#N/A,#N/A,TRUE,"INT-Table";#N/A,#N/A,TRUE,"STEEL";#N/A,#N/A,TRUE,"Door"}</definedName>
    <definedName name="LEE_5_2" hidden="1">{#N/A,#N/A,TRUE,"Basic";#N/A,#N/A,TRUE,"EXT-TABLE";#N/A,#N/A,TRUE,"STEEL";#N/A,#N/A,TRUE,"INT-Table";#N/A,#N/A,TRUE,"STEEL";#N/A,#N/A,TRUE,"Door"}</definedName>
    <definedName name="lef">#REF!</definedName>
    <definedName name="Letter" localSheetId="18" hidden="1">{#N/A,#N/A,TRUE,"Str.";#N/A,#N/A,TRUE,"Steel &amp; Roof";#N/A,#N/A,TRUE,"Arc.";#N/A,#N/A,TRUE,"Preliminary";#N/A,#N/A,TRUE,"Sum_Prelim"}</definedName>
    <definedName name="Letter" hidden="1">{#N/A,#N/A,TRUE,"Str.";#N/A,#N/A,TRUE,"Steel &amp; Roof";#N/A,#N/A,TRUE,"Arc.";#N/A,#N/A,TRUE,"Preliminary";#N/A,#N/A,TRUE,"Sum_Prelim"}</definedName>
    <definedName name="Leuchten">#REF!</definedName>
    <definedName name="level1" localSheetId="18" hidden="1">{"'장비'!$A$3:$M$12"}</definedName>
    <definedName name="level1" hidden="1">{"'장비'!$A$3:$M$12"}</definedName>
    <definedName name="LF" localSheetId="18" hidden="1">{#N/A,#N/A,TRUE,"Mhr_Sum"}</definedName>
    <definedName name="LF" localSheetId="11" hidden="1">{#N/A,#N/A,TRUE,"Mhr_Sum"}</definedName>
    <definedName name="LF" localSheetId="1" hidden="1">{#N/A,#N/A,TRUE,"Mhr_Sum"}</definedName>
    <definedName name="LF" localSheetId="2" hidden="1">{#N/A,#N/A,TRUE,"Mhr_Sum"}</definedName>
    <definedName name="LF" localSheetId="4" hidden="1">{#N/A,#N/A,TRUE,"Mhr_Sum"}</definedName>
    <definedName name="LF" localSheetId="19" hidden="1">{#N/A,#N/A,TRUE,"Mhr_Sum"}</definedName>
    <definedName name="LF" localSheetId="10" hidden="1">{#N/A,#N/A,TRUE,"Mhr_Sum"}</definedName>
    <definedName name="LF" localSheetId="9" hidden="1">{#N/A,#N/A,TRUE,"Mhr_Sum"}</definedName>
    <definedName name="LF" localSheetId="8" hidden="1">{#N/A,#N/A,TRUE,"Mhr_Sum"}</definedName>
    <definedName name="LF" localSheetId="3" hidden="1">{#N/A,#N/A,TRUE,"Mhr_Sum"}</definedName>
    <definedName name="LF" localSheetId="6" hidden="1">{#N/A,#N/A,TRUE,"Mhr_Sum"}</definedName>
    <definedName name="LF" localSheetId="7" hidden="1">{#N/A,#N/A,TRUE,"Mhr_Sum"}</definedName>
    <definedName name="LF" localSheetId="5" hidden="1">{#N/A,#N/A,TRUE,"Mhr_Sum"}</definedName>
    <definedName name="LF" hidden="1">{#N/A,#N/A,TRUE,"Mhr_Sum"}</definedName>
    <definedName name="LFKFJFO" localSheetId="18" hidden="1">{#N/A,#N/A,FALSE,"CCTV"}</definedName>
    <definedName name="LFKFJFO" hidden="1">{#N/A,#N/A,FALSE,"CCTV"}</definedName>
    <definedName name="lfwt">#REF!</definedName>
    <definedName name="Lg_Guide" localSheetId="11">'[41]Noise (3)'!$C$42</definedName>
    <definedName name="Lg_Guide" localSheetId="1">'[41]Noise (3)'!$C$42</definedName>
    <definedName name="Lg_Guide" localSheetId="2">'[41]Noise (3)'!$C$42</definedName>
    <definedName name="Lg_Guide" localSheetId="4">'[41]Noise (3)'!$C$42</definedName>
    <definedName name="Lg_Guide" localSheetId="19">'[41]Noise (3)'!$C$42</definedName>
    <definedName name="Lg_Guide" localSheetId="10">'[41]Noise (3)'!$C$42</definedName>
    <definedName name="Lg_Guide" localSheetId="9">'[41]Noise (3)'!$C$42</definedName>
    <definedName name="Lg_Guide" localSheetId="8">'[41]Noise (3)'!$C$42</definedName>
    <definedName name="Lg_Guide" localSheetId="3">'[41]Noise (3)'!$C$42</definedName>
    <definedName name="Lg_Guide" localSheetId="6">'[41]Noise (3)'!$C$42</definedName>
    <definedName name="Lg_Guide" localSheetId="7">'[41]Noise (3)'!$C$42</definedName>
    <definedName name="Lg_Guide" localSheetId="5">'[41]Noise (3)'!$C$42</definedName>
    <definedName name="Lg_Guide">#REF!</definedName>
    <definedName name="Lg_Profile" localSheetId="11">'[41]Noise (3)'!$C$41</definedName>
    <definedName name="Lg_Profile" localSheetId="1">'[41]Noise (3)'!$C$41</definedName>
    <definedName name="Lg_Profile" localSheetId="2">'[41]Noise (3)'!$C$41</definedName>
    <definedName name="Lg_Profile" localSheetId="4">'[41]Noise (3)'!$C$41</definedName>
    <definedName name="Lg_Profile" localSheetId="19">'[41]Noise (3)'!$C$41</definedName>
    <definedName name="Lg_Profile" localSheetId="10">'[41]Noise (3)'!$C$41</definedName>
    <definedName name="Lg_Profile" localSheetId="9">'[41]Noise (3)'!$C$41</definedName>
    <definedName name="Lg_Profile" localSheetId="8">'[41]Noise (3)'!$C$41</definedName>
    <definedName name="Lg_Profile" localSheetId="3">'[41]Noise (3)'!$C$41</definedName>
    <definedName name="Lg_Profile" localSheetId="6">'[41]Noise (3)'!$C$41</definedName>
    <definedName name="Lg_Profile" localSheetId="7">'[41]Noise (3)'!$C$41</definedName>
    <definedName name="Lg_Profile" localSheetId="5">'[41]Noise (3)'!$C$41</definedName>
    <definedName name="Lg_Profile">#REF!</definedName>
    <definedName name="Lg_Total" localSheetId="11">'[41]Noise (3)'!$C$43</definedName>
    <definedName name="Lg_Total" localSheetId="1">'[41]Noise (3)'!$C$43</definedName>
    <definedName name="Lg_Total" localSheetId="2">'[41]Noise (3)'!$C$43</definedName>
    <definedName name="Lg_Total" localSheetId="4">'[41]Noise (3)'!$C$43</definedName>
    <definedName name="Lg_Total" localSheetId="19">'[41]Noise (3)'!$C$43</definedName>
    <definedName name="Lg_Total" localSheetId="10">'[41]Noise (3)'!$C$43</definedName>
    <definedName name="Lg_Total" localSheetId="9">'[41]Noise (3)'!$C$43</definedName>
    <definedName name="Lg_Total" localSheetId="8">'[41]Noise (3)'!$C$43</definedName>
    <definedName name="Lg_Total" localSheetId="3">'[41]Noise (3)'!$C$43</definedName>
    <definedName name="Lg_Total" localSheetId="6">'[41]Noise (3)'!$C$43</definedName>
    <definedName name="Lg_Total" localSheetId="7">'[41]Noise (3)'!$C$43</definedName>
    <definedName name="Lg_Total" localSheetId="5">'[41]Noise (3)'!$C$43</definedName>
    <definedName name="Lg_Total">#REF!</definedName>
    <definedName name="lhpd" localSheetId="11">[65]DATA!#REF!</definedName>
    <definedName name="lhpd" localSheetId="1">[65]DATA!#REF!</definedName>
    <definedName name="lhpd" localSheetId="2">[65]DATA!#REF!</definedName>
    <definedName name="lhpd" localSheetId="4">[65]DATA!#REF!</definedName>
    <definedName name="lhpd" localSheetId="19">[65]DATA!#REF!</definedName>
    <definedName name="lhpd" localSheetId="10">[65]DATA!#REF!</definedName>
    <definedName name="lhpd" localSheetId="9">[65]DATA!#REF!</definedName>
    <definedName name="lhpd" localSheetId="8">[65]DATA!#REF!</definedName>
    <definedName name="lhpd" localSheetId="3">[65]DATA!#REF!</definedName>
    <definedName name="lhpd" localSheetId="6">[65]DATA!#REF!</definedName>
    <definedName name="lhpd" localSheetId="7">[65]DATA!#REF!</definedName>
    <definedName name="lhpd" localSheetId="5">[65]DATA!#REF!</definedName>
    <definedName name="lhpd">#REF!</definedName>
    <definedName name="light">"Picture 1"</definedName>
    <definedName name="limcount" hidden="1">3</definedName>
    <definedName name="LINE1">#REF!</definedName>
    <definedName name="LINE2">#REF!</definedName>
    <definedName name="LINE3">#REF!</definedName>
    <definedName name="LinerThickness" localSheetId="11">[34]DATA_LIST!$C$4:$C$8</definedName>
    <definedName name="LinerThickness" localSheetId="1">[34]DATA_LIST!$C$4:$C$8</definedName>
    <definedName name="LinerThickness" localSheetId="2">[34]DATA_LIST!$C$4:$C$8</definedName>
    <definedName name="LinerThickness" localSheetId="4">[34]DATA_LIST!$C$4:$C$8</definedName>
    <definedName name="LinerThickness" localSheetId="19">[34]DATA_LIST!$C$4:$C$8</definedName>
    <definedName name="LinerThickness" localSheetId="10">[34]DATA_LIST!$C$4:$C$8</definedName>
    <definedName name="LinerThickness" localSheetId="9">[34]DATA_LIST!$C$4:$C$8</definedName>
    <definedName name="LinerThickness" localSheetId="8">[34]DATA_LIST!$C$4:$C$8</definedName>
    <definedName name="LinerThickness" localSheetId="3">[34]DATA_LIST!$C$4:$C$8</definedName>
    <definedName name="LinerThickness" localSheetId="6">[34]DATA_LIST!$C$4:$C$8</definedName>
    <definedName name="LinerThickness" localSheetId="7">[34]DATA_LIST!$C$4:$C$8</definedName>
    <definedName name="LinerThickness" localSheetId="5">[34]DATA_LIST!$C$4:$C$8</definedName>
    <definedName name="LinerThickness">#REF!</definedName>
    <definedName name="list" localSheetId="18" hidden="1">{#N/A,#N/A,TRUE,"Basic";#N/A,#N/A,TRUE,"EXT-TABLE";#N/A,#N/A,TRUE,"STEEL";#N/A,#N/A,TRUE,"INT-Table";#N/A,#N/A,TRUE,"STEEL";#N/A,#N/A,TRUE,"Door"}</definedName>
    <definedName name="list" hidden="1">{#N/A,#N/A,TRUE,"Basic";#N/A,#N/A,TRUE,"EXT-TABLE";#N/A,#N/A,TRUE,"STEEL";#N/A,#N/A,TRUE,"INT-Table";#N/A,#N/A,TRUE,"STEEL";#N/A,#N/A,TRUE,"Door"}</definedName>
    <definedName name="list_1" localSheetId="18" hidden="1">{#N/A,#N/A,TRUE,"Basic";#N/A,#N/A,TRUE,"EXT-TABLE";#N/A,#N/A,TRUE,"STEEL";#N/A,#N/A,TRUE,"INT-Table";#N/A,#N/A,TRUE,"STEEL";#N/A,#N/A,TRUE,"Door"}</definedName>
    <definedName name="list_1" hidden="1">{#N/A,#N/A,TRUE,"Basic";#N/A,#N/A,TRUE,"EXT-TABLE";#N/A,#N/A,TRUE,"STEEL";#N/A,#N/A,TRUE,"INT-Table";#N/A,#N/A,TRUE,"STEEL";#N/A,#N/A,TRUE,"Door"}</definedName>
    <definedName name="list_1_1" localSheetId="18" hidden="1">{#N/A,#N/A,TRUE,"Basic";#N/A,#N/A,TRUE,"EXT-TABLE";#N/A,#N/A,TRUE,"STEEL";#N/A,#N/A,TRUE,"INT-Table";#N/A,#N/A,TRUE,"STEEL";#N/A,#N/A,TRUE,"Door"}</definedName>
    <definedName name="list_1_1" hidden="1">{#N/A,#N/A,TRUE,"Basic";#N/A,#N/A,TRUE,"EXT-TABLE";#N/A,#N/A,TRUE,"STEEL";#N/A,#N/A,TRUE,"INT-Table";#N/A,#N/A,TRUE,"STEEL";#N/A,#N/A,TRUE,"Door"}</definedName>
    <definedName name="list_1_2" localSheetId="18" hidden="1">{#N/A,#N/A,TRUE,"Basic";#N/A,#N/A,TRUE,"EXT-TABLE";#N/A,#N/A,TRUE,"STEEL";#N/A,#N/A,TRUE,"INT-Table";#N/A,#N/A,TRUE,"STEEL";#N/A,#N/A,TRUE,"Door"}</definedName>
    <definedName name="list_1_2" hidden="1">{#N/A,#N/A,TRUE,"Basic";#N/A,#N/A,TRUE,"EXT-TABLE";#N/A,#N/A,TRUE,"STEEL";#N/A,#N/A,TRUE,"INT-Table";#N/A,#N/A,TRUE,"STEEL";#N/A,#N/A,TRUE,"Door"}</definedName>
    <definedName name="list_2" localSheetId="18" hidden="1">{#N/A,#N/A,TRUE,"Basic";#N/A,#N/A,TRUE,"EXT-TABLE";#N/A,#N/A,TRUE,"STEEL";#N/A,#N/A,TRUE,"INT-Table";#N/A,#N/A,TRUE,"STEEL";#N/A,#N/A,TRUE,"Door"}</definedName>
    <definedName name="list_2" hidden="1">{#N/A,#N/A,TRUE,"Basic";#N/A,#N/A,TRUE,"EXT-TABLE";#N/A,#N/A,TRUE,"STEEL";#N/A,#N/A,TRUE,"INT-Table";#N/A,#N/A,TRUE,"STEEL";#N/A,#N/A,TRUE,"Door"}</definedName>
    <definedName name="list_2_1" localSheetId="18" hidden="1">{#N/A,#N/A,TRUE,"Basic";#N/A,#N/A,TRUE,"EXT-TABLE";#N/A,#N/A,TRUE,"STEEL";#N/A,#N/A,TRUE,"INT-Table";#N/A,#N/A,TRUE,"STEEL";#N/A,#N/A,TRUE,"Door"}</definedName>
    <definedName name="list_2_1" hidden="1">{#N/A,#N/A,TRUE,"Basic";#N/A,#N/A,TRUE,"EXT-TABLE";#N/A,#N/A,TRUE,"STEEL";#N/A,#N/A,TRUE,"INT-Table";#N/A,#N/A,TRUE,"STEEL";#N/A,#N/A,TRUE,"Door"}</definedName>
    <definedName name="list_2_2" localSheetId="18" hidden="1">{#N/A,#N/A,TRUE,"Basic";#N/A,#N/A,TRUE,"EXT-TABLE";#N/A,#N/A,TRUE,"STEEL";#N/A,#N/A,TRUE,"INT-Table";#N/A,#N/A,TRUE,"STEEL";#N/A,#N/A,TRUE,"Door"}</definedName>
    <definedName name="list_2_2" hidden="1">{#N/A,#N/A,TRUE,"Basic";#N/A,#N/A,TRUE,"EXT-TABLE";#N/A,#N/A,TRUE,"STEEL";#N/A,#N/A,TRUE,"INT-Table";#N/A,#N/A,TRUE,"STEEL";#N/A,#N/A,TRUE,"Door"}</definedName>
    <definedName name="list_3" localSheetId="18" hidden="1">{#N/A,#N/A,TRUE,"Basic";#N/A,#N/A,TRUE,"EXT-TABLE";#N/A,#N/A,TRUE,"STEEL";#N/A,#N/A,TRUE,"INT-Table";#N/A,#N/A,TRUE,"STEEL";#N/A,#N/A,TRUE,"Door"}</definedName>
    <definedName name="list_3" hidden="1">{#N/A,#N/A,TRUE,"Basic";#N/A,#N/A,TRUE,"EXT-TABLE";#N/A,#N/A,TRUE,"STEEL";#N/A,#N/A,TRUE,"INT-Table";#N/A,#N/A,TRUE,"STEEL";#N/A,#N/A,TRUE,"Door"}</definedName>
    <definedName name="list_3_1" localSheetId="18" hidden="1">{#N/A,#N/A,TRUE,"Basic";#N/A,#N/A,TRUE,"EXT-TABLE";#N/A,#N/A,TRUE,"STEEL";#N/A,#N/A,TRUE,"INT-Table";#N/A,#N/A,TRUE,"STEEL";#N/A,#N/A,TRUE,"Door"}</definedName>
    <definedName name="list_3_1" hidden="1">{#N/A,#N/A,TRUE,"Basic";#N/A,#N/A,TRUE,"EXT-TABLE";#N/A,#N/A,TRUE,"STEEL";#N/A,#N/A,TRUE,"INT-Table";#N/A,#N/A,TRUE,"STEEL";#N/A,#N/A,TRUE,"Door"}</definedName>
    <definedName name="list_3_2" localSheetId="18" hidden="1">{#N/A,#N/A,TRUE,"Basic";#N/A,#N/A,TRUE,"EXT-TABLE";#N/A,#N/A,TRUE,"STEEL";#N/A,#N/A,TRUE,"INT-Table";#N/A,#N/A,TRUE,"STEEL";#N/A,#N/A,TRUE,"Door"}</definedName>
    <definedName name="list_3_2" hidden="1">{#N/A,#N/A,TRUE,"Basic";#N/A,#N/A,TRUE,"EXT-TABLE";#N/A,#N/A,TRUE,"STEEL";#N/A,#N/A,TRUE,"INT-Table";#N/A,#N/A,TRUE,"STEEL";#N/A,#N/A,TRUE,"Door"}</definedName>
    <definedName name="list_4" localSheetId="18" hidden="1">{#N/A,#N/A,TRUE,"Basic";#N/A,#N/A,TRUE,"EXT-TABLE";#N/A,#N/A,TRUE,"STEEL";#N/A,#N/A,TRUE,"INT-Table";#N/A,#N/A,TRUE,"STEEL";#N/A,#N/A,TRUE,"Door"}</definedName>
    <definedName name="list_4" hidden="1">{#N/A,#N/A,TRUE,"Basic";#N/A,#N/A,TRUE,"EXT-TABLE";#N/A,#N/A,TRUE,"STEEL";#N/A,#N/A,TRUE,"INT-Table";#N/A,#N/A,TRUE,"STEEL";#N/A,#N/A,TRUE,"Door"}</definedName>
    <definedName name="list_4_1" localSheetId="18" hidden="1">{#N/A,#N/A,TRUE,"Basic";#N/A,#N/A,TRUE,"EXT-TABLE";#N/A,#N/A,TRUE,"STEEL";#N/A,#N/A,TRUE,"INT-Table";#N/A,#N/A,TRUE,"STEEL";#N/A,#N/A,TRUE,"Door"}</definedName>
    <definedName name="list_4_1" hidden="1">{#N/A,#N/A,TRUE,"Basic";#N/A,#N/A,TRUE,"EXT-TABLE";#N/A,#N/A,TRUE,"STEEL";#N/A,#N/A,TRUE,"INT-Table";#N/A,#N/A,TRUE,"STEEL";#N/A,#N/A,TRUE,"Door"}</definedName>
    <definedName name="list_4_2" localSheetId="18" hidden="1">{#N/A,#N/A,TRUE,"Basic";#N/A,#N/A,TRUE,"EXT-TABLE";#N/A,#N/A,TRUE,"STEEL";#N/A,#N/A,TRUE,"INT-Table";#N/A,#N/A,TRUE,"STEEL";#N/A,#N/A,TRUE,"Door"}</definedName>
    <definedName name="list_4_2" hidden="1">{#N/A,#N/A,TRUE,"Basic";#N/A,#N/A,TRUE,"EXT-TABLE";#N/A,#N/A,TRUE,"STEEL";#N/A,#N/A,TRUE,"INT-Table";#N/A,#N/A,TRUE,"STEEL";#N/A,#N/A,TRUE,"Door"}</definedName>
    <definedName name="list_5" localSheetId="18" hidden="1">{#N/A,#N/A,TRUE,"Basic";#N/A,#N/A,TRUE,"EXT-TABLE";#N/A,#N/A,TRUE,"STEEL";#N/A,#N/A,TRUE,"INT-Table";#N/A,#N/A,TRUE,"STEEL";#N/A,#N/A,TRUE,"Door"}</definedName>
    <definedName name="list_5" hidden="1">{#N/A,#N/A,TRUE,"Basic";#N/A,#N/A,TRUE,"EXT-TABLE";#N/A,#N/A,TRUE,"STEEL";#N/A,#N/A,TRUE,"INT-Table";#N/A,#N/A,TRUE,"STEEL";#N/A,#N/A,TRUE,"Door"}</definedName>
    <definedName name="list_5_1" localSheetId="18" hidden="1">{#N/A,#N/A,TRUE,"Basic";#N/A,#N/A,TRUE,"EXT-TABLE";#N/A,#N/A,TRUE,"STEEL";#N/A,#N/A,TRUE,"INT-Table";#N/A,#N/A,TRUE,"STEEL";#N/A,#N/A,TRUE,"Door"}</definedName>
    <definedName name="list_5_1" hidden="1">{#N/A,#N/A,TRUE,"Basic";#N/A,#N/A,TRUE,"EXT-TABLE";#N/A,#N/A,TRUE,"STEEL";#N/A,#N/A,TRUE,"INT-Table";#N/A,#N/A,TRUE,"STEEL";#N/A,#N/A,TRUE,"Door"}</definedName>
    <definedName name="list_5_2" localSheetId="18" hidden="1">{#N/A,#N/A,TRUE,"Basic";#N/A,#N/A,TRUE,"EXT-TABLE";#N/A,#N/A,TRUE,"STEEL";#N/A,#N/A,TRUE,"INT-Table";#N/A,#N/A,TRUE,"STEEL";#N/A,#N/A,TRUE,"Door"}</definedName>
    <definedName name="list_5_2" hidden="1">{#N/A,#N/A,TRUE,"Basic";#N/A,#N/A,TRUE,"EXT-TABLE";#N/A,#N/A,TRUE,"STEEL";#N/A,#N/A,TRUE,"INT-Table";#N/A,#N/A,TRUE,"STEEL";#N/A,#N/A,TRUE,"Door"}</definedName>
    <definedName name="list01" localSheetId="18" hidden="1">{#N/A,#N/A,TRUE,"Basic";#N/A,#N/A,TRUE,"EXT-TABLE";#N/A,#N/A,TRUE,"STEEL";#N/A,#N/A,TRUE,"INT-Table";#N/A,#N/A,TRUE,"STEEL";#N/A,#N/A,TRUE,"Door"}</definedName>
    <definedName name="list01" hidden="1">{#N/A,#N/A,TRUE,"Basic";#N/A,#N/A,TRUE,"EXT-TABLE";#N/A,#N/A,TRUE,"STEEL";#N/A,#N/A,TRUE,"INT-Table";#N/A,#N/A,TRUE,"STEEL";#N/A,#N/A,TRUE,"Door"}</definedName>
    <definedName name="list01_1" localSheetId="18" hidden="1">{#N/A,#N/A,TRUE,"Basic";#N/A,#N/A,TRUE,"EXT-TABLE";#N/A,#N/A,TRUE,"STEEL";#N/A,#N/A,TRUE,"INT-Table";#N/A,#N/A,TRUE,"STEEL";#N/A,#N/A,TRUE,"Door"}</definedName>
    <definedName name="list01_1" hidden="1">{#N/A,#N/A,TRUE,"Basic";#N/A,#N/A,TRUE,"EXT-TABLE";#N/A,#N/A,TRUE,"STEEL";#N/A,#N/A,TRUE,"INT-Table";#N/A,#N/A,TRUE,"STEEL";#N/A,#N/A,TRUE,"Door"}</definedName>
    <definedName name="list01_1_1" localSheetId="18" hidden="1">{#N/A,#N/A,TRUE,"Basic";#N/A,#N/A,TRUE,"EXT-TABLE";#N/A,#N/A,TRUE,"STEEL";#N/A,#N/A,TRUE,"INT-Table";#N/A,#N/A,TRUE,"STEEL";#N/A,#N/A,TRUE,"Door"}</definedName>
    <definedName name="list01_1_1" hidden="1">{#N/A,#N/A,TRUE,"Basic";#N/A,#N/A,TRUE,"EXT-TABLE";#N/A,#N/A,TRUE,"STEEL";#N/A,#N/A,TRUE,"INT-Table";#N/A,#N/A,TRUE,"STEEL";#N/A,#N/A,TRUE,"Door"}</definedName>
    <definedName name="list01_1_2" localSheetId="18" hidden="1">{#N/A,#N/A,TRUE,"Basic";#N/A,#N/A,TRUE,"EXT-TABLE";#N/A,#N/A,TRUE,"STEEL";#N/A,#N/A,TRUE,"INT-Table";#N/A,#N/A,TRUE,"STEEL";#N/A,#N/A,TRUE,"Door"}</definedName>
    <definedName name="list01_1_2" hidden="1">{#N/A,#N/A,TRUE,"Basic";#N/A,#N/A,TRUE,"EXT-TABLE";#N/A,#N/A,TRUE,"STEEL";#N/A,#N/A,TRUE,"INT-Table";#N/A,#N/A,TRUE,"STEEL";#N/A,#N/A,TRUE,"Door"}</definedName>
    <definedName name="list01_2" localSheetId="18" hidden="1">{#N/A,#N/A,TRUE,"Basic";#N/A,#N/A,TRUE,"EXT-TABLE";#N/A,#N/A,TRUE,"STEEL";#N/A,#N/A,TRUE,"INT-Table";#N/A,#N/A,TRUE,"STEEL";#N/A,#N/A,TRUE,"Door"}</definedName>
    <definedName name="list01_2" hidden="1">{#N/A,#N/A,TRUE,"Basic";#N/A,#N/A,TRUE,"EXT-TABLE";#N/A,#N/A,TRUE,"STEEL";#N/A,#N/A,TRUE,"INT-Table";#N/A,#N/A,TRUE,"STEEL";#N/A,#N/A,TRUE,"Door"}</definedName>
    <definedName name="list01_2_1" localSheetId="18" hidden="1">{#N/A,#N/A,TRUE,"Basic";#N/A,#N/A,TRUE,"EXT-TABLE";#N/A,#N/A,TRUE,"STEEL";#N/A,#N/A,TRUE,"INT-Table";#N/A,#N/A,TRUE,"STEEL";#N/A,#N/A,TRUE,"Door"}</definedName>
    <definedName name="list01_2_1" hidden="1">{#N/A,#N/A,TRUE,"Basic";#N/A,#N/A,TRUE,"EXT-TABLE";#N/A,#N/A,TRUE,"STEEL";#N/A,#N/A,TRUE,"INT-Table";#N/A,#N/A,TRUE,"STEEL";#N/A,#N/A,TRUE,"Door"}</definedName>
    <definedName name="list01_2_2" localSheetId="18" hidden="1">{#N/A,#N/A,TRUE,"Basic";#N/A,#N/A,TRUE,"EXT-TABLE";#N/A,#N/A,TRUE,"STEEL";#N/A,#N/A,TRUE,"INT-Table";#N/A,#N/A,TRUE,"STEEL";#N/A,#N/A,TRUE,"Door"}</definedName>
    <definedName name="list01_2_2" hidden="1">{#N/A,#N/A,TRUE,"Basic";#N/A,#N/A,TRUE,"EXT-TABLE";#N/A,#N/A,TRUE,"STEEL";#N/A,#N/A,TRUE,"INT-Table";#N/A,#N/A,TRUE,"STEEL";#N/A,#N/A,TRUE,"Door"}</definedName>
    <definedName name="list01_3" localSheetId="18" hidden="1">{#N/A,#N/A,TRUE,"Basic";#N/A,#N/A,TRUE,"EXT-TABLE";#N/A,#N/A,TRUE,"STEEL";#N/A,#N/A,TRUE,"INT-Table";#N/A,#N/A,TRUE,"STEEL";#N/A,#N/A,TRUE,"Door"}</definedName>
    <definedName name="list01_3" hidden="1">{#N/A,#N/A,TRUE,"Basic";#N/A,#N/A,TRUE,"EXT-TABLE";#N/A,#N/A,TRUE,"STEEL";#N/A,#N/A,TRUE,"INT-Table";#N/A,#N/A,TRUE,"STEEL";#N/A,#N/A,TRUE,"Door"}</definedName>
    <definedName name="list01_3_1" localSheetId="18" hidden="1">{#N/A,#N/A,TRUE,"Basic";#N/A,#N/A,TRUE,"EXT-TABLE";#N/A,#N/A,TRUE,"STEEL";#N/A,#N/A,TRUE,"INT-Table";#N/A,#N/A,TRUE,"STEEL";#N/A,#N/A,TRUE,"Door"}</definedName>
    <definedName name="list01_3_1" hidden="1">{#N/A,#N/A,TRUE,"Basic";#N/A,#N/A,TRUE,"EXT-TABLE";#N/A,#N/A,TRUE,"STEEL";#N/A,#N/A,TRUE,"INT-Table";#N/A,#N/A,TRUE,"STEEL";#N/A,#N/A,TRUE,"Door"}</definedName>
    <definedName name="list01_3_2" localSheetId="18" hidden="1">{#N/A,#N/A,TRUE,"Basic";#N/A,#N/A,TRUE,"EXT-TABLE";#N/A,#N/A,TRUE,"STEEL";#N/A,#N/A,TRUE,"INT-Table";#N/A,#N/A,TRUE,"STEEL";#N/A,#N/A,TRUE,"Door"}</definedName>
    <definedName name="list01_3_2" hidden="1">{#N/A,#N/A,TRUE,"Basic";#N/A,#N/A,TRUE,"EXT-TABLE";#N/A,#N/A,TRUE,"STEEL";#N/A,#N/A,TRUE,"INT-Table";#N/A,#N/A,TRUE,"STEEL";#N/A,#N/A,TRUE,"Door"}</definedName>
    <definedName name="list01_4" localSheetId="18" hidden="1">{#N/A,#N/A,TRUE,"Basic";#N/A,#N/A,TRUE,"EXT-TABLE";#N/A,#N/A,TRUE,"STEEL";#N/A,#N/A,TRUE,"INT-Table";#N/A,#N/A,TRUE,"STEEL";#N/A,#N/A,TRUE,"Door"}</definedName>
    <definedName name="list01_4" hidden="1">{#N/A,#N/A,TRUE,"Basic";#N/A,#N/A,TRUE,"EXT-TABLE";#N/A,#N/A,TRUE,"STEEL";#N/A,#N/A,TRUE,"INT-Table";#N/A,#N/A,TRUE,"STEEL";#N/A,#N/A,TRUE,"Door"}</definedName>
    <definedName name="list01_4_1" localSheetId="18" hidden="1">{#N/A,#N/A,TRUE,"Basic";#N/A,#N/A,TRUE,"EXT-TABLE";#N/A,#N/A,TRUE,"STEEL";#N/A,#N/A,TRUE,"INT-Table";#N/A,#N/A,TRUE,"STEEL";#N/A,#N/A,TRUE,"Door"}</definedName>
    <definedName name="list01_4_1" hidden="1">{#N/A,#N/A,TRUE,"Basic";#N/A,#N/A,TRUE,"EXT-TABLE";#N/A,#N/A,TRUE,"STEEL";#N/A,#N/A,TRUE,"INT-Table";#N/A,#N/A,TRUE,"STEEL";#N/A,#N/A,TRUE,"Door"}</definedName>
    <definedName name="list01_4_2" localSheetId="18" hidden="1">{#N/A,#N/A,TRUE,"Basic";#N/A,#N/A,TRUE,"EXT-TABLE";#N/A,#N/A,TRUE,"STEEL";#N/A,#N/A,TRUE,"INT-Table";#N/A,#N/A,TRUE,"STEEL";#N/A,#N/A,TRUE,"Door"}</definedName>
    <definedName name="list01_4_2" hidden="1">{#N/A,#N/A,TRUE,"Basic";#N/A,#N/A,TRUE,"EXT-TABLE";#N/A,#N/A,TRUE,"STEEL";#N/A,#N/A,TRUE,"INT-Table";#N/A,#N/A,TRUE,"STEEL";#N/A,#N/A,TRUE,"Door"}</definedName>
    <definedName name="list01_5" localSheetId="18" hidden="1">{#N/A,#N/A,TRUE,"Basic";#N/A,#N/A,TRUE,"EXT-TABLE";#N/A,#N/A,TRUE,"STEEL";#N/A,#N/A,TRUE,"INT-Table";#N/A,#N/A,TRUE,"STEEL";#N/A,#N/A,TRUE,"Door"}</definedName>
    <definedName name="list01_5" hidden="1">{#N/A,#N/A,TRUE,"Basic";#N/A,#N/A,TRUE,"EXT-TABLE";#N/A,#N/A,TRUE,"STEEL";#N/A,#N/A,TRUE,"INT-Table";#N/A,#N/A,TRUE,"STEEL";#N/A,#N/A,TRUE,"Door"}</definedName>
    <definedName name="list01_5_1" localSheetId="18" hidden="1">{#N/A,#N/A,TRUE,"Basic";#N/A,#N/A,TRUE,"EXT-TABLE";#N/A,#N/A,TRUE,"STEEL";#N/A,#N/A,TRUE,"INT-Table";#N/A,#N/A,TRUE,"STEEL";#N/A,#N/A,TRUE,"Door"}</definedName>
    <definedName name="list01_5_1" hidden="1">{#N/A,#N/A,TRUE,"Basic";#N/A,#N/A,TRUE,"EXT-TABLE";#N/A,#N/A,TRUE,"STEEL";#N/A,#N/A,TRUE,"INT-Table";#N/A,#N/A,TRUE,"STEEL";#N/A,#N/A,TRUE,"Door"}</definedName>
    <definedName name="list01_5_2" localSheetId="18" hidden="1">{#N/A,#N/A,TRUE,"Basic";#N/A,#N/A,TRUE,"EXT-TABLE";#N/A,#N/A,TRUE,"STEEL";#N/A,#N/A,TRUE,"INT-Table";#N/A,#N/A,TRUE,"STEEL";#N/A,#N/A,TRUE,"Door"}</definedName>
    <definedName name="list01_5_2" hidden="1">{#N/A,#N/A,TRUE,"Basic";#N/A,#N/A,TRUE,"EXT-TABLE";#N/A,#N/A,TRUE,"STEEL";#N/A,#N/A,TRUE,"INT-Table";#N/A,#N/A,TRUE,"STEEL";#N/A,#N/A,TRUE,"Door"}</definedName>
    <definedName name="list02" localSheetId="18" hidden="1">{#N/A,#N/A,TRUE,"Basic";#N/A,#N/A,TRUE,"EXT-TABLE";#N/A,#N/A,TRUE,"STEEL";#N/A,#N/A,TRUE,"INT-Table";#N/A,#N/A,TRUE,"STEEL";#N/A,#N/A,TRUE,"Door"}</definedName>
    <definedName name="list02" hidden="1">{#N/A,#N/A,TRUE,"Basic";#N/A,#N/A,TRUE,"EXT-TABLE";#N/A,#N/A,TRUE,"STEEL";#N/A,#N/A,TRUE,"INT-Table";#N/A,#N/A,TRUE,"STEEL";#N/A,#N/A,TRUE,"Door"}</definedName>
    <definedName name="list02_1" localSheetId="18" hidden="1">{#N/A,#N/A,TRUE,"Basic";#N/A,#N/A,TRUE,"EXT-TABLE";#N/A,#N/A,TRUE,"STEEL";#N/A,#N/A,TRUE,"INT-Table";#N/A,#N/A,TRUE,"STEEL";#N/A,#N/A,TRUE,"Door"}</definedName>
    <definedName name="list02_1" hidden="1">{#N/A,#N/A,TRUE,"Basic";#N/A,#N/A,TRUE,"EXT-TABLE";#N/A,#N/A,TRUE,"STEEL";#N/A,#N/A,TRUE,"INT-Table";#N/A,#N/A,TRUE,"STEEL";#N/A,#N/A,TRUE,"Door"}</definedName>
    <definedName name="list02_1_1" localSheetId="18" hidden="1">{#N/A,#N/A,TRUE,"Basic";#N/A,#N/A,TRUE,"EXT-TABLE";#N/A,#N/A,TRUE,"STEEL";#N/A,#N/A,TRUE,"INT-Table";#N/A,#N/A,TRUE,"STEEL";#N/A,#N/A,TRUE,"Door"}</definedName>
    <definedName name="list02_1_1" hidden="1">{#N/A,#N/A,TRUE,"Basic";#N/A,#N/A,TRUE,"EXT-TABLE";#N/A,#N/A,TRUE,"STEEL";#N/A,#N/A,TRUE,"INT-Table";#N/A,#N/A,TRUE,"STEEL";#N/A,#N/A,TRUE,"Door"}</definedName>
    <definedName name="list02_1_2" localSheetId="18" hidden="1">{#N/A,#N/A,TRUE,"Basic";#N/A,#N/A,TRUE,"EXT-TABLE";#N/A,#N/A,TRUE,"STEEL";#N/A,#N/A,TRUE,"INT-Table";#N/A,#N/A,TRUE,"STEEL";#N/A,#N/A,TRUE,"Door"}</definedName>
    <definedName name="list02_1_2" hidden="1">{#N/A,#N/A,TRUE,"Basic";#N/A,#N/A,TRUE,"EXT-TABLE";#N/A,#N/A,TRUE,"STEEL";#N/A,#N/A,TRUE,"INT-Table";#N/A,#N/A,TRUE,"STEEL";#N/A,#N/A,TRUE,"Door"}</definedName>
    <definedName name="list02_2" localSheetId="18" hidden="1">{#N/A,#N/A,TRUE,"Basic";#N/A,#N/A,TRUE,"EXT-TABLE";#N/A,#N/A,TRUE,"STEEL";#N/A,#N/A,TRUE,"INT-Table";#N/A,#N/A,TRUE,"STEEL";#N/A,#N/A,TRUE,"Door"}</definedName>
    <definedName name="list02_2" hidden="1">{#N/A,#N/A,TRUE,"Basic";#N/A,#N/A,TRUE,"EXT-TABLE";#N/A,#N/A,TRUE,"STEEL";#N/A,#N/A,TRUE,"INT-Table";#N/A,#N/A,TRUE,"STEEL";#N/A,#N/A,TRUE,"Door"}</definedName>
    <definedName name="list02_2_1" localSheetId="18" hidden="1">{#N/A,#N/A,TRUE,"Basic";#N/A,#N/A,TRUE,"EXT-TABLE";#N/A,#N/A,TRUE,"STEEL";#N/A,#N/A,TRUE,"INT-Table";#N/A,#N/A,TRUE,"STEEL";#N/A,#N/A,TRUE,"Door"}</definedName>
    <definedName name="list02_2_1" hidden="1">{#N/A,#N/A,TRUE,"Basic";#N/A,#N/A,TRUE,"EXT-TABLE";#N/A,#N/A,TRUE,"STEEL";#N/A,#N/A,TRUE,"INT-Table";#N/A,#N/A,TRUE,"STEEL";#N/A,#N/A,TRUE,"Door"}</definedName>
    <definedName name="list02_2_2" localSheetId="18" hidden="1">{#N/A,#N/A,TRUE,"Basic";#N/A,#N/A,TRUE,"EXT-TABLE";#N/A,#N/A,TRUE,"STEEL";#N/A,#N/A,TRUE,"INT-Table";#N/A,#N/A,TRUE,"STEEL";#N/A,#N/A,TRUE,"Door"}</definedName>
    <definedName name="list02_2_2" hidden="1">{#N/A,#N/A,TRUE,"Basic";#N/A,#N/A,TRUE,"EXT-TABLE";#N/A,#N/A,TRUE,"STEEL";#N/A,#N/A,TRUE,"INT-Table";#N/A,#N/A,TRUE,"STEEL";#N/A,#N/A,TRUE,"Door"}</definedName>
    <definedName name="list02_3" localSheetId="18" hidden="1">{#N/A,#N/A,TRUE,"Basic";#N/A,#N/A,TRUE,"EXT-TABLE";#N/A,#N/A,TRUE,"STEEL";#N/A,#N/A,TRUE,"INT-Table";#N/A,#N/A,TRUE,"STEEL";#N/A,#N/A,TRUE,"Door"}</definedName>
    <definedName name="list02_3" hidden="1">{#N/A,#N/A,TRUE,"Basic";#N/A,#N/A,TRUE,"EXT-TABLE";#N/A,#N/A,TRUE,"STEEL";#N/A,#N/A,TRUE,"INT-Table";#N/A,#N/A,TRUE,"STEEL";#N/A,#N/A,TRUE,"Door"}</definedName>
    <definedName name="list02_3_1" localSheetId="18" hidden="1">{#N/A,#N/A,TRUE,"Basic";#N/A,#N/A,TRUE,"EXT-TABLE";#N/A,#N/A,TRUE,"STEEL";#N/A,#N/A,TRUE,"INT-Table";#N/A,#N/A,TRUE,"STEEL";#N/A,#N/A,TRUE,"Door"}</definedName>
    <definedName name="list02_3_1" hidden="1">{#N/A,#N/A,TRUE,"Basic";#N/A,#N/A,TRUE,"EXT-TABLE";#N/A,#N/A,TRUE,"STEEL";#N/A,#N/A,TRUE,"INT-Table";#N/A,#N/A,TRUE,"STEEL";#N/A,#N/A,TRUE,"Door"}</definedName>
    <definedName name="list02_3_2" localSheetId="18" hidden="1">{#N/A,#N/A,TRUE,"Basic";#N/A,#N/A,TRUE,"EXT-TABLE";#N/A,#N/A,TRUE,"STEEL";#N/A,#N/A,TRUE,"INT-Table";#N/A,#N/A,TRUE,"STEEL";#N/A,#N/A,TRUE,"Door"}</definedName>
    <definedName name="list02_3_2" hidden="1">{#N/A,#N/A,TRUE,"Basic";#N/A,#N/A,TRUE,"EXT-TABLE";#N/A,#N/A,TRUE,"STEEL";#N/A,#N/A,TRUE,"INT-Table";#N/A,#N/A,TRUE,"STEEL";#N/A,#N/A,TRUE,"Door"}</definedName>
    <definedName name="list02_4" localSheetId="18" hidden="1">{#N/A,#N/A,TRUE,"Basic";#N/A,#N/A,TRUE,"EXT-TABLE";#N/A,#N/A,TRUE,"STEEL";#N/A,#N/A,TRUE,"INT-Table";#N/A,#N/A,TRUE,"STEEL";#N/A,#N/A,TRUE,"Door"}</definedName>
    <definedName name="list02_4" hidden="1">{#N/A,#N/A,TRUE,"Basic";#N/A,#N/A,TRUE,"EXT-TABLE";#N/A,#N/A,TRUE,"STEEL";#N/A,#N/A,TRUE,"INT-Table";#N/A,#N/A,TRUE,"STEEL";#N/A,#N/A,TRUE,"Door"}</definedName>
    <definedName name="list02_4_1" localSheetId="18" hidden="1">{#N/A,#N/A,TRUE,"Basic";#N/A,#N/A,TRUE,"EXT-TABLE";#N/A,#N/A,TRUE,"STEEL";#N/A,#N/A,TRUE,"INT-Table";#N/A,#N/A,TRUE,"STEEL";#N/A,#N/A,TRUE,"Door"}</definedName>
    <definedName name="list02_4_1" hidden="1">{#N/A,#N/A,TRUE,"Basic";#N/A,#N/A,TRUE,"EXT-TABLE";#N/A,#N/A,TRUE,"STEEL";#N/A,#N/A,TRUE,"INT-Table";#N/A,#N/A,TRUE,"STEEL";#N/A,#N/A,TRUE,"Door"}</definedName>
    <definedName name="list02_4_2" localSheetId="18" hidden="1">{#N/A,#N/A,TRUE,"Basic";#N/A,#N/A,TRUE,"EXT-TABLE";#N/A,#N/A,TRUE,"STEEL";#N/A,#N/A,TRUE,"INT-Table";#N/A,#N/A,TRUE,"STEEL";#N/A,#N/A,TRUE,"Door"}</definedName>
    <definedName name="list02_4_2" hidden="1">{#N/A,#N/A,TRUE,"Basic";#N/A,#N/A,TRUE,"EXT-TABLE";#N/A,#N/A,TRUE,"STEEL";#N/A,#N/A,TRUE,"INT-Table";#N/A,#N/A,TRUE,"STEEL";#N/A,#N/A,TRUE,"Door"}</definedName>
    <definedName name="list02_5" localSheetId="18" hidden="1">{#N/A,#N/A,TRUE,"Basic";#N/A,#N/A,TRUE,"EXT-TABLE";#N/A,#N/A,TRUE,"STEEL";#N/A,#N/A,TRUE,"INT-Table";#N/A,#N/A,TRUE,"STEEL";#N/A,#N/A,TRUE,"Door"}</definedName>
    <definedName name="list02_5" hidden="1">{#N/A,#N/A,TRUE,"Basic";#N/A,#N/A,TRUE,"EXT-TABLE";#N/A,#N/A,TRUE,"STEEL";#N/A,#N/A,TRUE,"INT-Table";#N/A,#N/A,TRUE,"STEEL";#N/A,#N/A,TRUE,"Door"}</definedName>
    <definedName name="list02_5_1" localSheetId="18" hidden="1">{#N/A,#N/A,TRUE,"Basic";#N/A,#N/A,TRUE,"EXT-TABLE";#N/A,#N/A,TRUE,"STEEL";#N/A,#N/A,TRUE,"INT-Table";#N/A,#N/A,TRUE,"STEEL";#N/A,#N/A,TRUE,"Door"}</definedName>
    <definedName name="list02_5_1" hidden="1">{#N/A,#N/A,TRUE,"Basic";#N/A,#N/A,TRUE,"EXT-TABLE";#N/A,#N/A,TRUE,"STEEL";#N/A,#N/A,TRUE,"INT-Table";#N/A,#N/A,TRUE,"STEEL";#N/A,#N/A,TRUE,"Door"}</definedName>
    <definedName name="list02_5_2" localSheetId="18" hidden="1">{#N/A,#N/A,TRUE,"Basic";#N/A,#N/A,TRUE,"EXT-TABLE";#N/A,#N/A,TRUE,"STEEL";#N/A,#N/A,TRUE,"INT-Table";#N/A,#N/A,TRUE,"STEEL";#N/A,#N/A,TRUE,"Door"}</definedName>
    <definedName name="list02_5_2" hidden="1">{#N/A,#N/A,TRUE,"Basic";#N/A,#N/A,TRUE,"EXT-TABLE";#N/A,#N/A,TRUE,"STEEL";#N/A,#N/A,TRUE,"INT-Table";#N/A,#N/A,TRUE,"STEEL";#N/A,#N/A,TRUE,"Door"}</definedName>
    <definedName name="listeStatut">#REF!</definedName>
    <definedName name="ljkㅏㅎ" localSheetId="18" hidden="1">{#N/A,#N/A,FALSE,"2~8번"}</definedName>
    <definedName name="ljkㅏㅎ" hidden="1">{#N/A,#N/A,FALSE,"2~8번"}</definedName>
    <definedName name="lk" localSheetId="18" hidden="1">{#N/A,#N/A,FALSE,"CCTV"}</definedName>
    <definedName name="LK" localSheetId="11" hidden="1">{#N/A,#N/A,FALSE,"CCTV"}</definedName>
    <definedName name="LK" localSheetId="1" hidden="1">{#N/A,#N/A,FALSE,"CCTV"}</definedName>
    <definedName name="LK" localSheetId="2" hidden="1">{#N/A,#N/A,FALSE,"CCTV"}</definedName>
    <definedName name="LK" localSheetId="4" hidden="1">{#N/A,#N/A,FALSE,"CCTV"}</definedName>
    <definedName name="LK" localSheetId="19" hidden="1">{#N/A,#N/A,FALSE,"CCTV"}</definedName>
    <definedName name="LK" localSheetId="10" hidden="1">{#N/A,#N/A,FALSE,"CCTV"}</definedName>
    <definedName name="LK" localSheetId="9" hidden="1">{#N/A,#N/A,FALSE,"CCTV"}</definedName>
    <definedName name="LK" localSheetId="8" hidden="1">{#N/A,#N/A,FALSE,"CCTV"}</definedName>
    <definedName name="LK" localSheetId="3" hidden="1">{#N/A,#N/A,FALSE,"CCTV"}</definedName>
    <definedName name="LK" localSheetId="6" hidden="1">{#N/A,#N/A,FALSE,"CCTV"}</definedName>
    <definedName name="LK" localSheetId="7" hidden="1">{#N/A,#N/A,FALSE,"CCTV"}</definedName>
    <definedName name="LK" localSheetId="5" hidden="1">{#N/A,#N/A,FALSE,"CCTV"}</definedName>
    <definedName name="lk" hidden="1">{#N/A,#N/A,FALSE,"CCTV"}</definedName>
    <definedName name="LKGDSAEF" localSheetId="18" hidden="1">{#N/A,#N/A,FALSE,"CCTV"}</definedName>
    <definedName name="LKGDSAEF" localSheetId="1" hidden="1">{#N/A,#N/A,FALSE,"CCTV"}</definedName>
    <definedName name="LKGDSAEF" localSheetId="2" hidden="1">{#N/A,#N/A,FALSE,"CCTV"}</definedName>
    <definedName name="LKGDSAEF" localSheetId="4" hidden="1">{#N/A,#N/A,FALSE,"CCTV"}</definedName>
    <definedName name="LKGDSAEF" localSheetId="19" hidden="1">{#N/A,#N/A,FALSE,"CCTV"}</definedName>
    <definedName name="LKGDSAEF" localSheetId="10" hidden="1">{#N/A,#N/A,FALSE,"CCTV"}</definedName>
    <definedName name="LKGDSAEF" localSheetId="9" hidden="1">{#N/A,#N/A,FALSE,"CCTV"}</definedName>
    <definedName name="LKGDSAEF" localSheetId="8" hidden="1">{#N/A,#N/A,FALSE,"CCTV"}</definedName>
    <definedName name="LKGDSAEF" localSheetId="3" hidden="1">{#N/A,#N/A,FALSE,"CCTV"}</definedName>
    <definedName name="LKGDSAEF" localSheetId="6" hidden="1">{#N/A,#N/A,FALSE,"CCTV"}</definedName>
    <definedName name="LKGDSAEF" localSheetId="7" hidden="1">{#N/A,#N/A,FALSE,"CCTV"}</definedName>
    <definedName name="LKGDSAEF" localSheetId="5" hidden="1">{#N/A,#N/A,FALSE,"CCTV"}</definedName>
    <definedName name="LKGDSAEF" hidden="1">{#N/A,#N/A,FALSE,"CCTV"}</definedName>
    <definedName name="LKJHKU" localSheetId="18" hidden="1">{#N/A,#N/A,FALSE,"CCTV"}</definedName>
    <definedName name="LKJHKU" hidden="1">{#N/A,#N/A,FALSE,"CCTV"}</definedName>
    <definedName name="lklhlkjl" localSheetId="18" hidden="1">{#N/A,#N/A,FALSE,"CCTV"}</definedName>
    <definedName name="lklhlkjl" localSheetId="11" hidden="1">{#N/A,#N/A,FALSE,"CCTV"}</definedName>
    <definedName name="lklhlkjl" localSheetId="1" hidden="1">{#N/A,#N/A,FALSE,"CCTV"}</definedName>
    <definedName name="lklhlkjl" localSheetId="2" hidden="1">{#N/A,#N/A,FALSE,"CCTV"}</definedName>
    <definedName name="lklhlkjl" localSheetId="4" hidden="1">{#N/A,#N/A,FALSE,"CCTV"}</definedName>
    <definedName name="lklhlkjl" localSheetId="19" hidden="1">{#N/A,#N/A,FALSE,"CCTV"}</definedName>
    <definedName name="lklhlkjl" localSheetId="10" hidden="1">{#N/A,#N/A,FALSE,"CCTV"}</definedName>
    <definedName name="lklhlkjl" localSheetId="9" hidden="1">{#N/A,#N/A,FALSE,"CCTV"}</definedName>
    <definedName name="lklhlkjl" localSheetId="8" hidden="1">{#N/A,#N/A,FALSE,"CCTV"}</definedName>
    <definedName name="lklhlkjl" localSheetId="3" hidden="1">{#N/A,#N/A,FALSE,"CCTV"}</definedName>
    <definedName name="lklhlkjl" localSheetId="6" hidden="1">{#N/A,#N/A,FALSE,"CCTV"}</definedName>
    <definedName name="lklhlkjl" localSheetId="7" hidden="1">{#N/A,#N/A,FALSE,"CCTV"}</definedName>
    <definedName name="lklhlkjl" localSheetId="5" hidden="1">{#N/A,#N/A,FALSE,"CCTV"}</definedName>
    <definedName name="lklhlkjl" hidden="1">{#N/A,#N/A,FALSE,"CCTV"}</definedName>
    <definedName name="llklkl" localSheetId="18" hidden="1">{#N/A,#N/A,FALSE,"HO Sum";#N/A,#N/A,FALSE,"HO Rates";#N/A,#N/A,FALSE,"Co Sum";#N/A,#N/A,FALSE,"Clients Office";#N/A,#N/A,FALSE,"Field Sum";#N/A,#N/A,FALSE,"Field Rates"}</definedName>
    <definedName name="llklkl" localSheetId="11" hidden="1">{#N/A,#N/A,FALSE,"HO Sum";#N/A,#N/A,FALSE,"HO Rates";#N/A,#N/A,FALSE,"Co Sum";#N/A,#N/A,FALSE,"Clients Office";#N/A,#N/A,FALSE,"Field Sum";#N/A,#N/A,FALSE,"Field Rates"}</definedName>
    <definedName name="llklkl" localSheetId="1" hidden="1">{#N/A,#N/A,FALSE,"HO Sum";#N/A,#N/A,FALSE,"HO Rates";#N/A,#N/A,FALSE,"Co Sum";#N/A,#N/A,FALSE,"Clients Office";#N/A,#N/A,FALSE,"Field Sum";#N/A,#N/A,FALSE,"Field Rates"}</definedName>
    <definedName name="llklkl" localSheetId="2" hidden="1">{#N/A,#N/A,FALSE,"HO Sum";#N/A,#N/A,FALSE,"HO Rates";#N/A,#N/A,FALSE,"Co Sum";#N/A,#N/A,FALSE,"Clients Office";#N/A,#N/A,FALSE,"Field Sum";#N/A,#N/A,FALSE,"Field Rates"}</definedName>
    <definedName name="llklkl" localSheetId="4" hidden="1">{#N/A,#N/A,FALSE,"HO Sum";#N/A,#N/A,FALSE,"HO Rates";#N/A,#N/A,FALSE,"Co Sum";#N/A,#N/A,FALSE,"Clients Office";#N/A,#N/A,FALSE,"Field Sum";#N/A,#N/A,FALSE,"Field Rates"}</definedName>
    <definedName name="llklkl" localSheetId="19" hidden="1">{#N/A,#N/A,FALSE,"HO Sum";#N/A,#N/A,FALSE,"HO Rates";#N/A,#N/A,FALSE,"Co Sum";#N/A,#N/A,FALSE,"Clients Office";#N/A,#N/A,FALSE,"Field Sum";#N/A,#N/A,FALSE,"Field Rates"}</definedName>
    <definedName name="llklkl" localSheetId="10" hidden="1">{#N/A,#N/A,FALSE,"HO Sum";#N/A,#N/A,FALSE,"HO Rates";#N/A,#N/A,FALSE,"Co Sum";#N/A,#N/A,FALSE,"Clients Office";#N/A,#N/A,FALSE,"Field Sum";#N/A,#N/A,FALSE,"Field Rates"}</definedName>
    <definedName name="llklkl" localSheetId="9" hidden="1">{#N/A,#N/A,FALSE,"HO Sum";#N/A,#N/A,FALSE,"HO Rates";#N/A,#N/A,FALSE,"Co Sum";#N/A,#N/A,FALSE,"Clients Office";#N/A,#N/A,FALSE,"Field Sum";#N/A,#N/A,FALSE,"Field Rates"}</definedName>
    <definedName name="llklkl" localSheetId="8" hidden="1">{#N/A,#N/A,FALSE,"HO Sum";#N/A,#N/A,FALSE,"HO Rates";#N/A,#N/A,FALSE,"Co Sum";#N/A,#N/A,FALSE,"Clients Office";#N/A,#N/A,FALSE,"Field Sum";#N/A,#N/A,FALSE,"Field Rates"}</definedName>
    <definedName name="llklkl" localSheetId="3" hidden="1">{#N/A,#N/A,FALSE,"HO Sum";#N/A,#N/A,FALSE,"HO Rates";#N/A,#N/A,FALSE,"Co Sum";#N/A,#N/A,FALSE,"Clients Office";#N/A,#N/A,FALSE,"Field Sum";#N/A,#N/A,FALSE,"Field Rates"}</definedName>
    <definedName name="llklkl" localSheetId="6" hidden="1">{#N/A,#N/A,FALSE,"HO Sum";#N/A,#N/A,FALSE,"HO Rates";#N/A,#N/A,FALSE,"Co Sum";#N/A,#N/A,FALSE,"Clients Office";#N/A,#N/A,FALSE,"Field Sum";#N/A,#N/A,FALSE,"Field Rates"}</definedName>
    <definedName name="llklkl" localSheetId="7" hidden="1">{#N/A,#N/A,FALSE,"HO Sum";#N/A,#N/A,FALSE,"HO Rates";#N/A,#N/A,FALSE,"Co Sum";#N/A,#N/A,FALSE,"Clients Office";#N/A,#N/A,FALSE,"Field Sum";#N/A,#N/A,FALSE,"Field Rates"}</definedName>
    <definedName name="llklkl" localSheetId="5" hidden="1">{#N/A,#N/A,FALSE,"HO Sum";#N/A,#N/A,FALSE,"HO Rates";#N/A,#N/A,FALSE,"Co Sum";#N/A,#N/A,FALSE,"Clients Office";#N/A,#N/A,FALSE,"Field Sum";#N/A,#N/A,FALSE,"Field Rates"}</definedName>
    <definedName name="llklkl" hidden="1">{#N/A,#N/A,FALSE,"HO Sum";#N/A,#N/A,FALSE,"HO Rates";#N/A,#N/A,FALSE,"Co Sum";#N/A,#N/A,FALSE,"Clients Office";#N/A,#N/A,FALSE,"Field Sum";#N/A,#N/A,FALSE,"Field Rates"}</definedName>
    <definedName name="lll" localSheetId="18" hidden="1">{"'Liquid'!$A$1:$U$57"}</definedName>
    <definedName name="lll" localSheetId="11" hidden="1">{#N/A,#N/A,FALSE,"CCTV"}</definedName>
    <definedName name="lll" localSheetId="1" hidden="1">{#N/A,#N/A,FALSE,"CCTV"}</definedName>
    <definedName name="lll" localSheetId="2" hidden="1">{#N/A,#N/A,FALSE,"CCTV"}</definedName>
    <definedName name="lll" localSheetId="4" hidden="1">{#N/A,#N/A,FALSE,"CCTV"}</definedName>
    <definedName name="lll" localSheetId="19" hidden="1">{#N/A,#N/A,FALSE,"CCTV"}</definedName>
    <definedName name="lll" localSheetId="10" hidden="1">{#N/A,#N/A,FALSE,"CCTV"}</definedName>
    <definedName name="lll" localSheetId="9" hidden="1">{#N/A,#N/A,FALSE,"CCTV"}</definedName>
    <definedName name="lll" localSheetId="8" hidden="1">{#N/A,#N/A,FALSE,"CCTV"}</definedName>
    <definedName name="lll" localSheetId="3" hidden="1">{#N/A,#N/A,FALSE,"CCTV"}</definedName>
    <definedName name="lll" localSheetId="6" hidden="1">{#N/A,#N/A,FALSE,"CCTV"}</definedName>
    <definedName name="lll" localSheetId="7" hidden="1">{#N/A,#N/A,FALSE,"CCTV"}</definedName>
    <definedName name="lll" localSheetId="5" hidden="1">{#N/A,#N/A,FALSE,"CCTV"}</definedName>
    <definedName name="lll" hidden="1">{"'Liquid'!$A$1:$U$57"}</definedName>
    <definedName name="LLLL" localSheetId="18" hidden="1">{#N/A,#N/A,FALSE,"CCTV"}</definedName>
    <definedName name="LLLL" localSheetId="11" hidden="1">{#N/A,#N/A,FALSE,"CCTV"}</definedName>
    <definedName name="LLLL" localSheetId="1" hidden="1">{#N/A,#N/A,FALSE,"CCTV"}</definedName>
    <definedName name="LLLL" localSheetId="2" hidden="1">{#N/A,#N/A,FALSE,"CCTV"}</definedName>
    <definedName name="LLLL" localSheetId="4" hidden="1">{#N/A,#N/A,FALSE,"CCTV"}</definedName>
    <definedName name="LLLL" localSheetId="19" hidden="1">{#N/A,#N/A,FALSE,"CCTV"}</definedName>
    <definedName name="LLLL" localSheetId="10" hidden="1">{#N/A,#N/A,FALSE,"CCTV"}</definedName>
    <definedName name="LLLL" localSheetId="9" hidden="1">{#N/A,#N/A,FALSE,"CCTV"}</definedName>
    <definedName name="LLLL" localSheetId="8" hidden="1">{#N/A,#N/A,FALSE,"CCTV"}</definedName>
    <definedName name="LLLL" localSheetId="3" hidden="1">{#N/A,#N/A,FALSE,"CCTV"}</definedName>
    <definedName name="LLLL" localSheetId="6" hidden="1">{#N/A,#N/A,FALSE,"CCTV"}</definedName>
    <definedName name="LLLL" localSheetId="7" hidden="1">{#N/A,#N/A,FALSE,"CCTV"}</definedName>
    <definedName name="LLLL" localSheetId="5" hidden="1">{#N/A,#N/A,FALSE,"CCTV"}</definedName>
    <definedName name="LLLL" hidden="1">{#N/A,#N/A,FALSE,"CCTV"}</definedName>
    <definedName name="llpd" localSheetId="11">[65]DATA!#REF!</definedName>
    <definedName name="llpd" localSheetId="1">[65]DATA!#REF!</definedName>
    <definedName name="llpd" localSheetId="2">[65]DATA!#REF!</definedName>
    <definedName name="llpd" localSheetId="4">[65]DATA!#REF!</definedName>
    <definedName name="llpd" localSheetId="19">[65]DATA!#REF!</definedName>
    <definedName name="llpd" localSheetId="10">[65]DATA!#REF!</definedName>
    <definedName name="llpd" localSheetId="9">[65]DATA!#REF!</definedName>
    <definedName name="llpd" localSheetId="8">[65]DATA!#REF!</definedName>
    <definedName name="llpd" localSheetId="3">[65]DATA!#REF!</definedName>
    <definedName name="llpd" localSheetId="6">[65]DATA!#REF!</definedName>
    <definedName name="llpd" localSheetId="7">[65]DATA!#REF!</definedName>
    <definedName name="llpd" localSheetId="5">[65]DATA!#REF!</definedName>
    <definedName name="llpd">#REF!</definedName>
    <definedName name="Lmk">#REF!</definedName>
    <definedName name="LOC" hidden="1">#N/A</definedName>
    <definedName name="loda" localSheetId="18" hidden="1">{#N/A,#N/A,TRUE,"Mhr_Sum"}</definedName>
    <definedName name="loda" localSheetId="11" hidden="1">{#N/A,#N/A,TRUE,"Mhr_Sum"}</definedName>
    <definedName name="loda" localSheetId="1" hidden="1">{#N/A,#N/A,TRUE,"Mhr_Sum"}</definedName>
    <definedName name="loda" localSheetId="2" hidden="1">{#N/A,#N/A,TRUE,"Mhr_Sum"}</definedName>
    <definedName name="loda" localSheetId="4" hidden="1">{#N/A,#N/A,TRUE,"Mhr_Sum"}</definedName>
    <definedName name="loda" localSheetId="19" hidden="1">{#N/A,#N/A,TRUE,"Mhr_Sum"}</definedName>
    <definedName name="loda" localSheetId="10" hidden="1">{#N/A,#N/A,TRUE,"Mhr_Sum"}</definedName>
    <definedName name="loda" localSheetId="9" hidden="1">{#N/A,#N/A,TRUE,"Mhr_Sum"}</definedName>
    <definedName name="loda" localSheetId="8" hidden="1">{#N/A,#N/A,TRUE,"Mhr_Sum"}</definedName>
    <definedName name="loda" localSheetId="3" hidden="1">{#N/A,#N/A,TRUE,"Mhr_Sum"}</definedName>
    <definedName name="loda" localSheetId="6" hidden="1">{#N/A,#N/A,TRUE,"Mhr_Sum"}</definedName>
    <definedName name="loda" localSheetId="7" hidden="1">{#N/A,#N/A,TRUE,"Mhr_Sum"}</definedName>
    <definedName name="loda" localSheetId="5" hidden="1">{#N/A,#N/A,TRUE,"Mhr_Sum"}</definedName>
    <definedName name="loda" hidden="1">{#N/A,#N/A,TRUE,"Mhr_Sum"}</definedName>
    <definedName name="LOON">#REF!</definedName>
    <definedName name="löông">'[79]622'!#REF!</definedName>
    <definedName name="loose_steel_separate_p">#REF!</definedName>
    <definedName name="loose_struct_ship_data">#REF!</definedName>
    <definedName name="LOP" localSheetId="11">[1]PP!$IC$6</definedName>
    <definedName name="LOP" localSheetId="1">[1]PP!$IC$6</definedName>
    <definedName name="LOP" localSheetId="2">[1]PP!$IC$6</definedName>
    <definedName name="LOP" localSheetId="4">[1]PP!$IC$6</definedName>
    <definedName name="LOP" localSheetId="19">[1]PP!$IC$6</definedName>
    <definedName name="LOP" localSheetId="10">[1]PP!$IC$6</definedName>
    <definedName name="LOP" localSheetId="9">[1]PP!$IC$6</definedName>
    <definedName name="LOP" localSheetId="8">[1]PP!$IC$6</definedName>
    <definedName name="LOP" localSheetId="3">[1]PP!$IC$6</definedName>
    <definedName name="LOP" localSheetId="6">[1]PP!$IC$6</definedName>
    <definedName name="LOP" localSheetId="7">[1]PP!$IC$6</definedName>
    <definedName name="LOP" localSheetId="5">[1]PP!$IC$6</definedName>
    <definedName name="LOP">#REF!</definedName>
    <definedName name="Lower_Noz">#REF!</definedName>
    <definedName name="LowerNoz" localSheetId="11">'[80]HEADER &amp; NOZZLES'!$O$189:$Q$236</definedName>
    <definedName name="LowerNoz" localSheetId="1">'[80]HEADER &amp; NOZZLES'!$O$189:$Q$236</definedName>
    <definedName name="LowerNoz" localSheetId="2">'[80]HEADER &amp; NOZZLES'!$O$189:$Q$236</definedName>
    <definedName name="LowerNoz" localSheetId="4">'[80]HEADER &amp; NOZZLES'!$O$189:$Q$236</definedName>
    <definedName name="LowerNoz" localSheetId="19">'[80]HEADER &amp; NOZZLES'!$O$189:$Q$236</definedName>
    <definedName name="LowerNoz" localSheetId="10">'[80]HEADER &amp; NOZZLES'!$O$189:$Q$236</definedName>
    <definedName name="LowerNoz" localSheetId="9">'[80]HEADER &amp; NOZZLES'!$O$189:$Q$236</definedName>
    <definedName name="LowerNoz" localSheetId="8">'[80]HEADER &amp; NOZZLES'!$O$189:$Q$236</definedName>
    <definedName name="LowerNoz" localSheetId="3">'[80]HEADER &amp; NOZZLES'!$O$189:$Q$236</definedName>
    <definedName name="LowerNoz" localSheetId="6">'[80]HEADER &amp; NOZZLES'!$O$189:$Q$236</definedName>
    <definedName name="LowerNoz" localSheetId="7">'[80]HEADER &amp; NOZZLES'!$O$189:$Q$236</definedName>
    <definedName name="LowerNoz" localSheetId="5">'[80]HEADER &amp; NOZZLES'!$O$189:$Q$236</definedName>
    <definedName name="LowerNoz">#REF!</definedName>
    <definedName name="LPEcDPres">#REF!</definedName>
    <definedName name="LPEcTbDPres">#REF!</definedName>
    <definedName name="LPEcV">#REF!</definedName>
    <definedName name="LPEvDPres">#REF!</definedName>
    <definedName name="LPFWDPRes">#REF!</definedName>
    <definedName name="LPFWDPRess">#REF!</definedName>
    <definedName name="LPR" localSheetId="11">[1]PP!$IG$1</definedName>
    <definedName name="LPR" localSheetId="1">[1]PP!$IG$1</definedName>
    <definedName name="LPR" localSheetId="2">[1]PP!$IG$1</definedName>
    <definedName name="LPR" localSheetId="4">[1]PP!$IG$1</definedName>
    <definedName name="LPR" localSheetId="19">[1]PP!$IG$1</definedName>
    <definedName name="LPR" localSheetId="10">[1]PP!$IG$1</definedName>
    <definedName name="LPR" localSheetId="9">[1]PP!$IG$1</definedName>
    <definedName name="LPR" localSheetId="8">[1]PP!$IG$1</definedName>
    <definedName name="LPR" localSheetId="3">[1]PP!$IG$1</definedName>
    <definedName name="LPR" localSheetId="6">[1]PP!$IG$1</definedName>
    <definedName name="LPR" localSheetId="7">[1]PP!$IG$1</definedName>
    <definedName name="LPR" localSheetId="5">[1]PP!$IG$1</definedName>
    <definedName name="LPR">#REF!</definedName>
    <definedName name="LPSRV">#REF!</definedName>
    <definedName name="LPSysDPres">#REF!</definedName>
    <definedName name="Lt." localSheetId="18" hidden="1">{#N/A,#N/A,TRUE,"Str.";#N/A,#N/A,TRUE,"Steel &amp; Roof";#N/A,#N/A,TRUE,"Arc.";#N/A,#N/A,TRUE,"Preliminary";#N/A,#N/A,TRUE,"Sum_Prelim"}</definedName>
    <definedName name="Lt." hidden="1">{#N/A,#N/A,TRUE,"Str.";#N/A,#N/A,TRUE,"Steel &amp; Roof";#N/A,#N/A,TRUE,"Arc.";#N/A,#N/A,TRUE,"Preliminary";#N/A,#N/A,TRUE,"Sum_Prelim"}</definedName>
    <definedName name="Luftkanal">#REF!</definedName>
    <definedName name="Lüftungsart">#REF!</definedName>
    <definedName name="lugoljgb.ikf" localSheetId="18" hidden="1">{#N/A,#N/A,FALSE,"HO Sum";#N/A,#N/A,FALSE,"HO Rates";#N/A,#N/A,FALSE,"Co Sum";#N/A,#N/A,FALSE,"Clients Office";#N/A,#N/A,FALSE,"Field Sum";#N/A,#N/A,FALSE,"Field Rates"}</definedName>
    <definedName name="lugoljgb.ikf" localSheetId="11" hidden="1">{#N/A,#N/A,FALSE,"HO Sum";#N/A,#N/A,FALSE,"HO Rates";#N/A,#N/A,FALSE,"Co Sum";#N/A,#N/A,FALSE,"Clients Office";#N/A,#N/A,FALSE,"Field Sum";#N/A,#N/A,FALSE,"Field Rates"}</definedName>
    <definedName name="lugoljgb.ikf" localSheetId="1" hidden="1">{#N/A,#N/A,FALSE,"HO Sum";#N/A,#N/A,FALSE,"HO Rates";#N/A,#N/A,FALSE,"Co Sum";#N/A,#N/A,FALSE,"Clients Office";#N/A,#N/A,FALSE,"Field Sum";#N/A,#N/A,FALSE,"Field Rates"}</definedName>
    <definedName name="lugoljgb.ikf" localSheetId="2" hidden="1">{#N/A,#N/A,FALSE,"HO Sum";#N/A,#N/A,FALSE,"HO Rates";#N/A,#N/A,FALSE,"Co Sum";#N/A,#N/A,FALSE,"Clients Office";#N/A,#N/A,FALSE,"Field Sum";#N/A,#N/A,FALSE,"Field Rates"}</definedName>
    <definedName name="lugoljgb.ikf" localSheetId="4" hidden="1">{#N/A,#N/A,FALSE,"HO Sum";#N/A,#N/A,FALSE,"HO Rates";#N/A,#N/A,FALSE,"Co Sum";#N/A,#N/A,FALSE,"Clients Office";#N/A,#N/A,FALSE,"Field Sum";#N/A,#N/A,FALSE,"Field Rates"}</definedName>
    <definedName name="lugoljgb.ikf" localSheetId="19" hidden="1">{#N/A,#N/A,FALSE,"HO Sum";#N/A,#N/A,FALSE,"HO Rates";#N/A,#N/A,FALSE,"Co Sum";#N/A,#N/A,FALSE,"Clients Office";#N/A,#N/A,FALSE,"Field Sum";#N/A,#N/A,FALSE,"Field Rates"}</definedName>
    <definedName name="lugoljgb.ikf" localSheetId="10" hidden="1">{#N/A,#N/A,FALSE,"HO Sum";#N/A,#N/A,FALSE,"HO Rates";#N/A,#N/A,FALSE,"Co Sum";#N/A,#N/A,FALSE,"Clients Office";#N/A,#N/A,FALSE,"Field Sum";#N/A,#N/A,FALSE,"Field Rates"}</definedName>
    <definedName name="lugoljgb.ikf" localSheetId="9" hidden="1">{#N/A,#N/A,FALSE,"HO Sum";#N/A,#N/A,FALSE,"HO Rates";#N/A,#N/A,FALSE,"Co Sum";#N/A,#N/A,FALSE,"Clients Office";#N/A,#N/A,FALSE,"Field Sum";#N/A,#N/A,FALSE,"Field Rates"}</definedName>
    <definedName name="lugoljgb.ikf" localSheetId="8" hidden="1">{#N/A,#N/A,FALSE,"HO Sum";#N/A,#N/A,FALSE,"HO Rates";#N/A,#N/A,FALSE,"Co Sum";#N/A,#N/A,FALSE,"Clients Office";#N/A,#N/A,FALSE,"Field Sum";#N/A,#N/A,FALSE,"Field Rates"}</definedName>
    <definedName name="lugoljgb.ikf" localSheetId="3" hidden="1">{#N/A,#N/A,FALSE,"HO Sum";#N/A,#N/A,FALSE,"HO Rates";#N/A,#N/A,FALSE,"Co Sum";#N/A,#N/A,FALSE,"Clients Office";#N/A,#N/A,FALSE,"Field Sum";#N/A,#N/A,FALSE,"Field Rates"}</definedName>
    <definedName name="lugoljgb.ikf" localSheetId="6" hidden="1">{#N/A,#N/A,FALSE,"HO Sum";#N/A,#N/A,FALSE,"HO Rates";#N/A,#N/A,FALSE,"Co Sum";#N/A,#N/A,FALSE,"Clients Office";#N/A,#N/A,FALSE,"Field Sum";#N/A,#N/A,FALSE,"Field Rates"}</definedName>
    <definedName name="lugoljgb.ikf" localSheetId="7" hidden="1">{#N/A,#N/A,FALSE,"HO Sum";#N/A,#N/A,FALSE,"HO Rates";#N/A,#N/A,FALSE,"Co Sum";#N/A,#N/A,FALSE,"Clients Office";#N/A,#N/A,FALSE,"Field Sum";#N/A,#N/A,FALSE,"Field Rates"}</definedName>
    <definedName name="lugoljgb.ikf" localSheetId="5" hidden="1">{#N/A,#N/A,FALSE,"HO Sum";#N/A,#N/A,FALSE,"HO Rates";#N/A,#N/A,FALSE,"Co Sum";#N/A,#N/A,FALSE,"Clients Office";#N/A,#N/A,FALSE,"Field Sum";#N/A,#N/A,FALSE,"Field Rates"}</definedName>
    <definedName name="lugoljgb.ikf" hidden="1">{#N/A,#N/A,FALSE,"HO Sum";#N/A,#N/A,FALSE,"HO Rates";#N/A,#N/A,FALSE,"Co Sum";#N/A,#N/A,FALSE,"Clients Office";#N/A,#N/A,FALSE,"Field Sum";#N/A,#N/A,FALSE,"Field Rates"}</definedName>
    <definedName name="m">#REF!</definedName>
    <definedName name="M1_">#N/A</definedName>
    <definedName name="M12ba3p">#REF!</definedName>
    <definedName name="M12bb1p">#REF!</definedName>
    <definedName name="M12cbnc">#REF!</definedName>
    <definedName name="M12cbvl">#REF!</definedName>
    <definedName name="M14bb1p">#REF!</definedName>
    <definedName name="M2_">#N/A</definedName>
    <definedName name="m8aanc">#REF!</definedName>
    <definedName name="m8aavl">#REF!</definedName>
    <definedName name="MA_CS" localSheetId="11">[81]MATERIALS!$A$2:$C$9523</definedName>
    <definedName name="MA_CS" localSheetId="1">[81]MATERIALS!$A$2:$C$9523</definedName>
    <definedName name="MA_CS" localSheetId="2">[81]MATERIALS!$A$2:$C$9523</definedName>
    <definedName name="MA_CS" localSheetId="4">[81]MATERIALS!$A$2:$C$9523</definedName>
    <definedName name="MA_CS" localSheetId="19">[81]MATERIALS!$A$2:$C$9523</definedName>
    <definedName name="MA_CS" localSheetId="10">[81]MATERIALS!$A$2:$C$9523</definedName>
    <definedName name="MA_CS" localSheetId="9">[81]MATERIALS!$A$2:$C$9523</definedName>
    <definedName name="MA_CS" localSheetId="8">[81]MATERIALS!$A$2:$C$9523</definedName>
    <definedName name="MA_CS" localSheetId="3">[81]MATERIALS!$A$2:$C$9523</definedName>
    <definedName name="MA_CS" localSheetId="6">[81]MATERIALS!$A$2:$C$9523</definedName>
    <definedName name="MA_CS" localSheetId="7">[81]MATERIALS!$A$2:$C$9523</definedName>
    <definedName name="MA_CS" localSheetId="5">[81]MATERIALS!$A$2:$C$9523</definedName>
    <definedName name="MA_CS">#REF!</definedName>
    <definedName name="Ma3pnc">#REF!</definedName>
    <definedName name="Ma3pvl">#REF!</definedName>
    <definedName name="Maa3pnc">#REF!</definedName>
    <definedName name="Maa3pvl">#REF!</definedName>
    <definedName name="MACHINERY">#REF!</definedName>
    <definedName name="Macro2">#REF!</definedName>
    <definedName name="mahang_tondk">#REF!</definedName>
    <definedName name="Main_Shell_ID">3400</definedName>
    <definedName name="MAJ_CON_EQP">#REF!</definedName>
    <definedName name="Makrodatenbank">#REF!</definedName>
    <definedName name="Makroliste">#REF!</definedName>
    <definedName name="MANG">#REF!</definedName>
    <definedName name="Manp." localSheetId="18" hidden="1">{#N/A,#N/A,FALSE,"CCTV"}</definedName>
    <definedName name="Manp." hidden="1">{#N/A,#N/A,FALSE,"CCTV"}</definedName>
    <definedName name="Manpnew" localSheetId="18" hidden="1">{#N/A,#N/A,FALSE,"CCTV"}</definedName>
    <definedName name="Manpnew" hidden="1">{#N/A,#N/A,FALSE,"CCTV"}</definedName>
    <definedName name="MANPOWER2" localSheetId="1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9"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0"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9"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7"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5"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 localSheetId="11">[51]Summary!$D$18</definedName>
    <definedName name="Markup" localSheetId="1">[51]Summary!$D$18</definedName>
    <definedName name="Markup" localSheetId="2">[51]Summary!$D$18</definedName>
    <definedName name="Markup" localSheetId="4">[51]Summary!$D$18</definedName>
    <definedName name="Markup" localSheetId="19">[51]Summary!$D$18</definedName>
    <definedName name="Markup" localSheetId="10">[51]Summary!$D$18</definedName>
    <definedName name="Markup" localSheetId="9">[51]Summary!$D$18</definedName>
    <definedName name="Markup" localSheetId="8">[51]Summary!$D$18</definedName>
    <definedName name="Markup" localSheetId="3">[51]Summary!$D$18</definedName>
    <definedName name="Markup" localSheetId="6">[51]Summary!$D$18</definedName>
    <definedName name="Markup" localSheetId="7">[51]Summary!$D$18</definedName>
    <definedName name="Markup" localSheetId="5">[51]Summary!$D$18</definedName>
    <definedName name="Markup">#REF!</definedName>
    <definedName name="MAS" localSheetId="18" hidden="1">{#N/A,#N/A,FALSE,"Project Cost Summary";#N/A,#N/A,FALSE,"Man Hour Summary"}</definedName>
    <definedName name="MAS" localSheetId="1" hidden="1">{#N/A,#N/A,FALSE,"Project Cost Summary";#N/A,#N/A,FALSE,"Man Hour Summary"}</definedName>
    <definedName name="MAS" localSheetId="2" hidden="1">{#N/A,#N/A,FALSE,"Project Cost Summary";#N/A,#N/A,FALSE,"Man Hour Summary"}</definedName>
    <definedName name="MAS" localSheetId="4" hidden="1">{#N/A,#N/A,FALSE,"Project Cost Summary";#N/A,#N/A,FALSE,"Man Hour Summary"}</definedName>
    <definedName name="MAS" localSheetId="19" hidden="1">{#N/A,#N/A,FALSE,"Project Cost Summary";#N/A,#N/A,FALSE,"Man Hour Summary"}</definedName>
    <definedName name="MAS" localSheetId="10" hidden="1">{#N/A,#N/A,FALSE,"Project Cost Summary";#N/A,#N/A,FALSE,"Man Hour Summary"}</definedName>
    <definedName name="MAS" localSheetId="9" hidden="1">{#N/A,#N/A,FALSE,"Project Cost Summary";#N/A,#N/A,FALSE,"Man Hour Summary"}</definedName>
    <definedName name="MAS" localSheetId="8" hidden="1">{#N/A,#N/A,FALSE,"Project Cost Summary";#N/A,#N/A,FALSE,"Man Hour Summary"}</definedName>
    <definedName name="MAS" localSheetId="3" hidden="1">{#N/A,#N/A,FALSE,"Project Cost Summary";#N/A,#N/A,FALSE,"Man Hour Summary"}</definedName>
    <definedName name="MAS" localSheetId="6" hidden="1">{#N/A,#N/A,FALSE,"Project Cost Summary";#N/A,#N/A,FALSE,"Man Hour Summary"}</definedName>
    <definedName name="MAS" localSheetId="7" hidden="1">{#N/A,#N/A,FALSE,"Project Cost Summary";#N/A,#N/A,FALSE,"Man Hour Summary"}</definedName>
    <definedName name="MAS" localSheetId="5" hidden="1">{#N/A,#N/A,FALSE,"Project Cost Summary";#N/A,#N/A,FALSE,"Man Hour Summary"}</definedName>
    <definedName name="MAS" hidden="1">{#N/A,#N/A,FALSE,"Project Cost Summary";#N/A,#N/A,FALSE,"Man Hour Summary"}</definedName>
    <definedName name="MASVT">[32]Tables!$C$2:$AA$14</definedName>
    <definedName name="Material_Baffle" localSheetId="11">[34]DATA_LIST!#REF!</definedName>
    <definedName name="Material_Baffle" localSheetId="1">[34]DATA_LIST!#REF!</definedName>
    <definedName name="Material_Baffle" localSheetId="2">[34]DATA_LIST!#REF!</definedName>
    <definedName name="Material_Baffle" localSheetId="4">[34]DATA_LIST!#REF!</definedName>
    <definedName name="Material_Baffle" localSheetId="19">[34]DATA_LIST!#REF!</definedName>
    <definedName name="Material_Baffle" localSheetId="10">[34]DATA_LIST!#REF!</definedName>
    <definedName name="Material_Baffle" localSheetId="9">[34]DATA_LIST!#REF!</definedName>
    <definedName name="Material_Baffle" localSheetId="8">[34]DATA_LIST!#REF!</definedName>
    <definedName name="Material_Baffle" localSheetId="3">[34]DATA_LIST!#REF!</definedName>
    <definedName name="Material_Baffle" localSheetId="6">[34]DATA_LIST!#REF!</definedName>
    <definedName name="Material_Baffle" localSheetId="7">[34]DATA_LIST!#REF!</definedName>
    <definedName name="Material_Baffle" localSheetId="5">[34]DATA_LIST!#REF!</definedName>
    <definedName name="Material_Baffle">#REF!</definedName>
    <definedName name="Material_Baffles" localSheetId="11">[34]DATA_LIST!$G$4:$G$11</definedName>
    <definedName name="Material_Baffles" localSheetId="1">[34]DATA_LIST!$G$4:$G$11</definedName>
    <definedName name="Material_Baffles" localSheetId="2">[34]DATA_LIST!$G$4:$G$11</definedName>
    <definedName name="Material_Baffles" localSheetId="4">[34]DATA_LIST!$G$4:$G$11</definedName>
    <definedName name="Material_Baffles" localSheetId="19">[34]DATA_LIST!$G$4:$G$11</definedName>
    <definedName name="Material_Baffles" localSheetId="10">[34]DATA_LIST!$G$4:$G$11</definedName>
    <definedName name="Material_Baffles" localSheetId="9">[34]DATA_LIST!$G$4:$G$11</definedName>
    <definedName name="Material_Baffles" localSheetId="8">[34]DATA_LIST!$G$4:$G$11</definedName>
    <definedName name="Material_Baffles" localSheetId="3">[34]DATA_LIST!$G$4:$G$11</definedName>
    <definedName name="Material_Baffles" localSheetId="6">[34]DATA_LIST!$G$4:$G$11</definedName>
    <definedName name="Material_Baffles" localSheetId="7">[34]DATA_LIST!$G$4:$G$11</definedName>
    <definedName name="Material_Baffles" localSheetId="5">[34]DATA_LIST!$G$4:$G$11</definedName>
    <definedName name="Material_Baffles">#REF!</definedName>
    <definedName name="Material_Liners" localSheetId="11">[34]DATA_LIST!$H$4:$H$11</definedName>
    <definedName name="Material_Liners" localSheetId="1">[34]DATA_LIST!$H$4:$H$11</definedName>
    <definedName name="Material_Liners" localSheetId="2">[34]DATA_LIST!$H$4:$H$11</definedName>
    <definedName name="Material_Liners" localSheetId="4">[34]DATA_LIST!$H$4:$H$11</definedName>
    <definedName name="Material_Liners" localSheetId="19">[34]DATA_LIST!$H$4:$H$11</definedName>
    <definedName name="Material_Liners" localSheetId="10">[34]DATA_LIST!$H$4:$H$11</definedName>
    <definedName name="Material_Liners" localSheetId="9">[34]DATA_LIST!$H$4:$H$11</definedName>
    <definedName name="Material_Liners" localSheetId="8">[34]DATA_LIST!$H$4:$H$11</definedName>
    <definedName name="Material_Liners" localSheetId="3">[34]DATA_LIST!$H$4:$H$11</definedName>
    <definedName name="Material_Liners" localSheetId="6">[34]DATA_LIST!$H$4:$H$11</definedName>
    <definedName name="Material_Liners" localSheetId="7">[34]DATA_LIST!$H$4:$H$11</definedName>
    <definedName name="Material_Liners" localSheetId="5">[34]DATA_LIST!$H$4:$H$11</definedName>
    <definedName name="Material_Liners">#REF!</definedName>
    <definedName name="Material1" localSheetId="18" hidden="1">{#N/A,#N/A,TRUE,"Mhr_Sum"}</definedName>
    <definedName name="Material1" localSheetId="11" hidden="1">{#N/A,#N/A,TRUE,"Mhr_Sum"}</definedName>
    <definedName name="Material1" localSheetId="1" hidden="1">{#N/A,#N/A,TRUE,"Mhr_Sum"}</definedName>
    <definedName name="Material1" localSheetId="2" hidden="1">{#N/A,#N/A,TRUE,"Mhr_Sum"}</definedName>
    <definedName name="Material1" localSheetId="4" hidden="1">{#N/A,#N/A,TRUE,"Mhr_Sum"}</definedName>
    <definedName name="Material1" localSheetId="19" hidden="1">{#N/A,#N/A,TRUE,"Mhr_Sum"}</definedName>
    <definedName name="Material1" localSheetId="10" hidden="1">{#N/A,#N/A,TRUE,"Mhr_Sum"}</definedName>
    <definedName name="Material1" localSheetId="9" hidden="1">{#N/A,#N/A,TRUE,"Mhr_Sum"}</definedName>
    <definedName name="Material1" localSheetId="8" hidden="1">{#N/A,#N/A,TRUE,"Mhr_Sum"}</definedName>
    <definedName name="Material1" localSheetId="3" hidden="1">{#N/A,#N/A,TRUE,"Mhr_Sum"}</definedName>
    <definedName name="Material1" localSheetId="6" hidden="1">{#N/A,#N/A,TRUE,"Mhr_Sum"}</definedName>
    <definedName name="Material1" localSheetId="7" hidden="1">{#N/A,#N/A,TRUE,"Mhr_Sum"}</definedName>
    <definedName name="Material1" localSheetId="5" hidden="1">{#N/A,#N/A,TRUE,"Mhr_Sum"}</definedName>
    <definedName name="Material1" hidden="1">{#N/A,#N/A,TRUE,"Mhr_Sum"}</definedName>
    <definedName name="MaterialMatrix_1" localSheetId="11">[71]DATA_REFERENCE!$D$3:$F$16</definedName>
    <definedName name="MaterialMatrix_1" localSheetId="1">[71]DATA_REFERENCE!$D$3:$F$16</definedName>
    <definedName name="MaterialMatrix_1" localSheetId="2">[71]DATA_REFERENCE!$D$3:$F$16</definedName>
    <definedName name="MaterialMatrix_1" localSheetId="4">[71]DATA_REFERENCE!$D$3:$F$16</definedName>
    <definedName name="MaterialMatrix_1" localSheetId="19">[71]DATA_REFERENCE!$D$3:$F$16</definedName>
    <definedName name="MaterialMatrix_1" localSheetId="10">[71]DATA_REFERENCE!$D$3:$F$16</definedName>
    <definedName name="MaterialMatrix_1" localSheetId="9">[71]DATA_REFERENCE!$D$3:$F$16</definedName>
    <definedName name="MaterialMatrix_1" localSheetId="8">[71]DATA_REFERENCE!$D$3:$F$16</definedName>
    <definedName name="MaterialMatrix_1" localSheetId="3">[71]DATA_REFERENCE!$D$3:$F$16</definedName>
    <definedName name="MaterialMatrix_1" localSheetId="6">[71]DATA_REFERENCE!$D$3:$F$16</definedName>
    <definedName name="MaterialMatrix_1" localSheetId="7">[71]DATA_REFERENCE!$D$3:$F$16</definedName>
    <definedName name="MaterialMatrix_1" localSheetId="5">[71]DATA_REFERENCE!$D$3:$F$16</definedName>
    <definedName name="MaterialMatrix_1">#REF!</definedName>
    <definedName name="MaterialMatrix_2" localSheetId="11">[71]DATA_REFERENCE!$I$4:$K$9</definedName>
    <definedName name="MaterialMatrix_2" localSheetId="1">[71]DATA_REFERENCE!$I$4:$K$9</definedName>
    <definedName name="MaterialMatrix_2" localSheetId="2">[71]DATA_REFERENCE!$I$4:$K$9</definedName>
    <definedName name="MaterialMatrix_2" localSheetId="4">[71]DATA_REFERENCE!$I$4:$K$9</definedName>
    <definedName name="MaterialMatrix_2" localSheetId="19">[71]DATA_REFERENCE!$I$4:$K$9</definedName>
    <definedName name="MaterialMatrix_2" localSheetId="10">[71]DATA_REFERENCE!$I$4:$K$9</definedName>
    <definedName name="MaterialMatrix_2" localSheetId="9">[71]DATA_REFERENCE!$I$4:$K$9</definedName>
    <definedName name="MaterialMatrix_2" localSheetId="8">[71]DATA_REFERENCE!$I$4:$K$9</definedName>
    <definedName name="MaterialMatrix_2" localSheetId="3">[71]DATA_REFERENCE!$I$4:$K$9</definedName>
    <definedName name="MaterialMatrix_2" localSheetId="6">[71]DATA_REFERENCE!$I$4:$K$9</definedName>
    <definedName name="MaterialMatrix_2" localSheetId="7">[71]DATA_REFERENCE!$I$4:$K$9</definedName>
    <definedName name="MaterialMatrix_2" localSheetId="5">[71]DATA_REFERENCE!$I$4:$K$9</definedName>
    <definedName name="MaterialMatrix_2">#REF!</definedName>
    <definedName name="MATL_Rate">#REF!</definedName>
    <definedName name="mau">#REF!</definedName>
    <definedName name="max" localSheetId="11">[82]Renf_flat_center!#REF!</definedName>
    <definedName name="max" localSheetId="1">[82]Renf_flat_center!#REF!</definedName>
    <definedName name="max" localSheetId="2">[82]Renf_flat_center!#REF!</definedName>
    <definedName name="max" localSheetId="4">[82]Renf_flat_center!#REF!</definedName>
    <definedName name="max" localSheetId="19">[82]Renf_flat_center!#REF!</definedName>
    <definedName name="max" localSheetId="10">[82]Renf_flat_center!#REF!</definedName>
    <definedName name="max" localSheetId="9">[82]Renf_flat_center!#REF!</definedName>
    <definedName name="max" localSheetId="8">[82]Renf_flat_center!#REF!</definedName>
    <definedName name="max" localSheetId="3">[82]Renf_flat_center!#REF!</definedName>
    <definedName name="max" localSheetId="6">[82]Renf_flat_center!#REF!</definedName>
    <definedName name="max" localSheetId="7">[82]Renf_flat_center!#REF!</definedName>
    <definedName name="max" localSheetId="5">[82]Renf_flat_center!#REF!</definedName>
    <definedName name="max">#REF!</definedName>
    <definedName name="max_col_pitch">#REF!</definedName>
    <definedName name="Max_Ship_Lg" localSheetId="11">'[41]Noise (3)'!$O$46</definedName>
    <definedName name="Max_Ship_Lg" localSheetId="1">'[41]Noise (3)'!$O$46</definedName>
    <definedName name="Max_Ship_Lg" localSheetId="2">'[41]Noise (3)'!$O$46</definedName>
    <definedName name="Max_Ship_Lg" localSheetId="4">'[41]Noise (3)'!$O$46</definedName>
    <definedName name="Max_Ship_Lg" localSheetId="19">'[41]Noise (3)'!$O$46</definedName>
    <definedName name="Max_Ship_Lg" localSheetId="10">'[41]Noise (3)'!$O$46</definedName>
    <definedName name="Max_Ship_Lg" localSheetId="9">'[41]Noise (3)'!$O$46</definedName>
    <definedName name="Max_Ship_Lg" localSheetId="8">'[41]Noise (3)'!$O$46</definedName>
    <definedName name="Max_Ship_Lg" localSheetId="3">'[41]Noise (3)'!$O$46</definedName>
    <definedName name="Max_Ship_Lg" localSheetId="6">'[41]Noise (3)'!$O$46</definedName>
    <definedName name="Max_Ship_Lg" localSheetId="7">'[41]Noise (3)'!$O$46</definedName>
    <definedName name="Max_Ship_Lg" localSheetId="5">'[41]Noise (3)'!$O$46</definedName>
    <definedName name="Max_Ship_Lg">#REF!</definedName>
    <definedName name="Maximum_Wind_Deflection">#REF!</definedName>
    <definedName name="Mba1p">#REF!</definedName>
    <definedName name="Mba3p">#REF!</definedName>
    <definedName name="Mbb3p">#REF!</definedName>
    <definedName name="Mbn1p">#REF!</definedName>
    <definedName name="MCCO" localSheetId="18" hidden="1">{#N/A,#N/A,FALSE,"CCTV"}</definedName>
    <definedName name="MCCO" hidden="1">{#N/A,#N/A,FALSE,"CCTV"}</definedName>
    <definedName name="MCCO10" localSheetId="18" hidden="1">{#N/A,#N/A,FALSE,"CCTV"}</definedName>
    <definedName name="MCCO10" hidden="1">{#N/A,#N/A,FALSE,"CCTV"}</definedName>
    <definedName name="MCCO11" localSheetId="18" hidden="1">{#N/A,#N/A,FALSE,"CCTV"}</definedName>
    <definedName name="MCCO11" hidden="1">{#N/A,#N/A,FALSE,"CCTV"}</definedName>
    <definedName name="MCCO12" localSheetId="18" hidden="1">{#N/A,#N/A,FALSE,"CCTV"}</definedName>
    <definedName name="MCCO12" hidden="1">{#N/A,#N/A,FALSE,"CCTV"}</definedName>
    <definedName name="MCCO13" localSheetId="18" hidden="1">{#N/A,#N/A,FALSE,"CCTV"}</definedName>
    <definedName name="MCCO13" hidden="1">{#N/A,#N/A,FALSE,"CCTV"}</definedName>
    <definedName name="MCCO3" localSheetId="18" hidden="1">{#N/A,#N/A,FALSE,"CCTV"}</definedName>
    <definedName name="MCCO3" hidden="1">{#N/A,#N/A,FALSE,"CCTV"}</definedName>
    <definedName name="MCCO4" localSheetId="18" hidden="1">{#N/A,#N/A,FALSE,"CCTV"}</definedName>
    <definedName name="MCCO4" hidden="1">{#N/A,#N/A,FALSE,"CCTV"}</definedName>
    <definedName name="MCCO5" localSheetId="18" hidden="1">{#N/A,#N/A,FALSE,"CCTV"}</definedName>
    <definedName name="MCCO5" hidden="1">{#N/A,#N/A,FALSE,"CCTV"}</definedName>
    <definedName name="MCCO6" localSheetId="18" hidden="1">{#N/A,#N/A,FALSE,"CCTV"}</definedName>
    <definedName name="MCCO6" hidden="1">{#N/A,#N/A,FALSE,"CCTV"}</definedName>
    <definedName name="MCCO7" localSheetId="18" hidden="1">{#N/A,#N/A,FALSE,"CCTV"}</definedName>
    <definedName name="MCCO7" hidden="1">{#N/A,#N/A,FALSE,"CCTV"}</definedName>
    <definedName name="MCCO8" localSheetId="18" hidden="1">{#N/A,#N/A,FALSE,"CCTV"}</definedName>
    <definedName name="MCCO8" hidden="1">{#N/A,#N/A,FALSE,"CCTV"}</definedName>
    <definedName name="MCCO9" localSheetId="18" hidden="1">{#N/A,#N/A,FALSE,"CCTV"}</definedName>
    <definedName name="MCCO9" hidden="1">{#N/A,#N/A,FALSE,"CCTV"}</definedName>
    <definedName name="MCCOÙ" localSheetId="18" hidden="1">{#N/A,#N/A,FALSE,"CCTV"}</definedName>
    <definedName name="MCCOÙ" hidden="1">{#N/A,#N/A,FALSE,"CCTV"}</definedName>
    <definedName name="MCEL">#REF!</definedName>
    <definedName name="MCFO">#REF!</definedName>
    <definedName name="MCWT">#REF!</definedName>
    <definedName name="MDR_">#REF!</definedName>
    <definedName name="measurement">#REF!</definedName>
    <definedName name="Mechanical" localSheetId="11">[51]Summary!$C$11</definedName>
    <definedName name="Mechanical" localSheetId="1">[51]Summary!$C$11</definedName>
    <definedName name="Mechanical" localSheetId="2">[51]Summary!$C$11</definedName>
    <definedName name="Mechanical" localSheetId="4">[51]Summary!$C$11</definedName>
    <definedName name="Mechanical" localSheetId="19">[51]Summary!$C$11</definedName>
    <definedName name="Mechanical" localSheetId="10">[51]Summary!$C$11</definedName>
    <definedName name="Mechanical" localSheetId="9">[51]Summary!$C$11</definedName>
    <definedName name="Mechanical" localSheetId="8">[51]Summary!$C$11</definedName>
    <definedName name="Mechanical" localSheetId="3">[51]Summary!$C$11</definedName>
    <definedName name="Mechanical" localSheetId="6">[51]Summary!$C$11</definedName>
    <definedName name="Mechanical" localSheetId="7">[51]Summary!$C$11</definedName>
    <definedName name="Mechanical" localSheetId="5">[51]Summary!$C$11</definedName>
    <definedName name="Mechanical">#REF!</definedName>
    <definedName name="MENU" localSheetId="11">[1]PP!$HV$2:$IA$2</definedName>
    <definedName name="MENU" localSheetId="1">[1]PP!$HV$2:$IA$2</definedName>
    <definedName name="MENU" localSheetId="2">[1]PP!$HV$2:$IA$2</definedName>
    <definedName name="MENU" localSheetId="4">[1]PP!$HV$2:$IA$2</definedName>
    <definedName name="MENU" localSheetId="19">[1]PP!$HV$2:$IA$2</definedName>
    <definedName name="MENU" localSheetId="10">[1]PP!$HV$2:$IA$2</definedName>
    <definedName name="MENU" localSheetId="9">[1]PP!$HV$2:$IA$2</definedName>
    <definedName name="MENU" localSheetId="8">[1]PP!$HV$2:$IA$2</definedName>
    <definedName name="MENU" localSheetId="3">[1]PP!$HV$2:$IA$2</definedName>
    <definedName name="MENU" localSheetId="6">[1]PP!$HV$2:$IA$2</definedName>
    <definedName name="MENU" localSheetId="7">[1]PP!$HV$2:$IA$2</definedName>
    <definedName name="MENU" localSheetId="5">[1]PP!$HV$2:$IA$2</definedName>
    <definedName name="MENU">#REF!</definedName>
    <definedName name="MES_10">#REF!</definedName>
    <definedName name="MES_11">#REF!</definedName>
    <definedName name="MES0">#REF!</definedName>
    <definedName name="MES0_1">#REF!</definedName>
    <definedName name="MES0_2">#REF!</definedName>
    <definedName name="MES10_1">#REF!</definedName>
    <definedName name="MES10_2">#REF!</definedName>
    <definedName name="MES20_1">#REF!</definedName>
    <definedName name="MES20_2">#REF!</definedName>
    <definedName name="MES40_1">#REF!</definedName>
    <definedName name="MES40_2">#REF!</definedName>
    <definedName name="Metallbau">#REF!</definedName>
    <definedName name="metering" hidden="1">#REF!</definedName>
    <definedName name="MF">#REF!</definedName>
    <definedName name="MG_A">#REF!</definedName>
    <definedName name="mGrd">#REF!</definedName>
    <definedName name="mh">#REF!</definedName>
    <definedName name="min" localSheetId="11">[82]Renf_flat_center!#REF!</definedName>
    <definedName name="min" localSheetId="1">[82]Renf_flat_center!#REF!</definedName>
    <definedName name="min" localSheetId="2">[82]Renf_flat_center!#REF!</definedName>
    <definedName name="min" localSheetId="4">[82]Renf_flat_center!#REF!</definedName>
    <definedName name="min" localSheetId="19">[82]Renf_flat_center!#REF!</definedName>
    <definedName name="min" localSheetId="10">[82]Renf_flat_center!#REF!</definedName>
    <definedName name="min" localSheetId="9">[82]Renf_flat_center!#REF!</definedName>
    <definedName name="min" localSheetId="8">[82]Renf_flat_center!#REF!</definedName>
    <definedName name="min" localSheetId="3">[82]Renf_flat_center!#REF!</definedName>
    <definedName name="min" localSheetId="6">[82]Renf_flat_center!#REF!</definedName>
    <definedName name="min" localSheetId="7">[82]Renf_flat_center!#REF!</definedName>
    <definedName name="min" localSheetId="5">[82]Renf_flat_center!#REF!</definedName>
    <definedName name="min">#REF!</definedName>
    <definedName name="minA20A21">#REF!</definedName>
    <definedName name="MinAvgWallFactor">#REF!</definedName>
    <definedName name="Mineralwolle">#REF!</definedName>
    <definedName name="minS1S">#REF!</definedName>
    <definedName name="minS1S2">#REF!</definedName>
    <definedName name="Misc">[58]costing_Misc!$B$7:$N$20</definedName>
    <definedName name="Misc.ID">#REF!</definedName>
    <definedName name="MM" localSheetId="18" hidden="1">{#N/A,#N/A,FALSE,"단가표지"}</definedName>
    <definedName name="MM" hidden="1">{#N/A,#N/A,FALSE,"단가표지"}</definedName>
    <definedName name="MM3_to_M3">0.000001</definedName>
    <definedName name="mmm" localSheetId="18" hidden="1">{"EqList",#N/A,FALSE,"Process"}</definedName>
    <definedName name="mmm" localSheetId="11" hidden="1">{"EqList",#N/A,FALSE,"Process"}</definedName>
    <definedName name="mmm" localSheetId="1" hidden="1">{"EqList",#N/A,FALSE,"Process"}</definedName>
    <definedName name="mmm" localSheetId="2" hidden="1">{"EqList",#N/A,FALSE,"Process"}</definedName>
    <definedName name="mmm" localSheetId="4" hidden="1">{"EqList",#N/A,FALSE,"Process"}</definedName>
    <definedName name="mmm" localSheetId="19" hidden="1">{"EqList",#N/A,FALSE,"Process"}</definedName>
    <definedName name="mmm" localSheetId="10" hidden="1">{"EqList",#N/A,FALSE,"Process"}</definedName>
    <definedName name="mmm" localSheetId="9" hidden="1">{"EqList",#N/A,FALSE,"Process"}</definedName>
    <definedName name="mmm" localSheetId="8" hidden="1">{"EqList",#N/A,FALSE,"Process"}</definedName>
    <definedName name="mmm" localSheetId="3" hidden="1">{"EqList",#N/A,FALSE,"Process"}</definedName>
    <definedName name="mmm" localSheetId="6" hidden="1">{"EqList",#N/A,FALSE,"Process"}</definedName>
    <definedName name="mmm" localSheetId="7" hidden="1">{"EqList",#N/A,FALSE,"Process"}</definedName>
    <definedName name="mmm" localSheetId="5" hidden="1">{"EqList",#N/A,FALSE,"Process"}</definedName>
    <definedName name="mmm" hidden="1">{"EqList",#N/A,FALSE,"Process"}</definedName>
    <definedName name="mmmm" localSheetId="18" hidden="1">{"'장비'!$A$3:$M$12"}</definedName>
    <definedName name="mmmm" hidden="1">{"'장비'!$A$3:$M$12"}</definedName>
    <definedName name="mmmmm" localSheetId="18" hidden="1">{#N/A,#N/A,FALSE,"CCTV"}</definedName>
    <definedName name="mmmmm" localSheetId="11" hidden="1">{#N/A,#N/A,FALSE,"CCTV"}</definedName>
    <definedName name="mmmmm" localSheetId="1" hidden="1">{#N/A,#N/A,FALSE,"CCTV"}</definedName>
    <definedName name="mmmmm" localSheetId="2" hidden="1">{#N/A,#N/A,FALSE,"CCTV"}</definedName>
    <definedName name="mmmmm" localSheetId="4" hidden="1">{#N/A,#N/A,FALSE,"CCTV"}</definedName>
    <definedName name="mmmmm" localSheetId="19" hidden="1">{#N/A,#N/A,FALSE,"CCTV"}</definedName>
    <definedName name="mmmmm" localSheetId="10" hidden="1">{#N/A,#N/A,FALSE,"CCTV"}</definedName>
    <definedName name="mmmmm" localSheetId="9" hidden="1">{#N/A,#N/A,FALSE,"CCTV"}</definedName>
    <definedName name="mmmmm" localSheetId="8" hidden="1">{#N/A,#N/A,FALSE,"CCTV"}</definedName>
    <definedName name="mmmmm" localSheetId="3" hidden="1">{#N/A,#N/A,FALSE,"CCTV"}</definedName>
    <definedName name="mmmmm" localSheetId="6" hidden="1">{#N/A,#N/A,FALSE,"CCTV"}</definedName>
    <definedName name="mmmmm" localSheetId="7" hidden="1">{#N/A,#N/A,FALSE,"CCTV"}</definedName>
    <definedName name="mmmmm" localSheetId="5" hidden="1">{#N/A,#N/A,FALSE,"CCTV"}</definedName>
    <definedName name="mmmmm" hidden="1">{#N/A,#N/A,FALSE,"CCTV"}</definedName>
    <definedName name="mn" localSheetId="18" hidden="1">{"'Sheet1'!$L$16"}</definedName>
    <definedName name="MN" localSheetId="11" hidden="1">{#N/A,#N/A,FALSE,"CCTV"}</definedName>
    <definedName name="MN" localSheetId="1">#REF!</definedName>
    <definedName name="MN" localSheetId="2">#REF!</definedName>
    <definedName name="MN" localSheetId="4">#REF!</definedName>
    <definedName name="MN" localSheetId="19">#REF!</definedName>
    <definedName name="MN" localSheetId="10">#REF!</definedName>
    <definedName name="MN" localSheetId="9">#REF!</definedName>
    <definedName name="MN" localSheetId="8">#REF!</definedName>
    <definedName name="MN" localSheetId="3">#REF!</definedName>
    <definedName name="MN" localSheetId="6">#REF!</definedName>
    <definedName name="MN" localSheetId="7">#REF!</definedName>
    <definedName name="MN" localSheetId="5">#REF!</definedName>
    <definedName name="mn" hidden="1">{"'Sheet1'!$L$16"}</definedName>
    <definedName name="MNummern">#REF!</definedName>
    <definedName name="mo" localSheetId="18" hidden="1">{"'Sheet1'!$L$16"}</definedName>
    <definedName name="mo" localSheetId="11" hidden="1">{"'Sheet1'!$L$16"}</definedName>
    <definedName name="mo" localSheetId="1" hidden="1">{"'Sheet1'!$L$16"}</definedName>
    <definedName name="mo" localSheetId="2" hidden="1">{"'Sheet1'!$L$16"}</definedName>
    <definedName name="mo" localSheetId="12" hidden="1">{"'Sheet1'!$L$16"}</definedName>
    <definedName name="mo" localSheetId="4" hidden="1">{"'Sheet1'!$L$16"}</definedName>
    <definedName name="mo" localSheetId="19" hidden="1">{"'Sheet1'!$L$16"}</definedName>
    <definedName name="mo" localSheetId="10" hidden="1">{"'Sheet1'!$L$16"}</definedName>
    <definedName name="mo" localSheetId="9" hidden="1">{"'Sheet1'!$L$16"}</definedName>
    <definedName name="mo" localSheetId="8" hidden="1">{"'Sheet1'!$L$16"}</definedName>
    <definedName name="mo" localSheetId="3" hidden="1">{"'Sheet1'!$L$16"}</definedName>
    <definedName name="mo" localSheetId="6" hidden="1">{"'Sheet1'!$L$16"}</definedName>
    <definedName name="mo" localSheetId="7" hidden="1">{"'Sheet1'!$L$16"}</definedName>
    <definedName name="mo" localSheetId="5" hidden="1">{"'Sheet1'!$L$16"}</definedName>
    <definedName name="mo" localSheetId="13" hidden="1">{"'Sheet1'!$L$16"}</definedName>
    <definedName name="mo" hidden="1">{"'Sheet1'!$L$16"}</definedName>
    <definedName name="MOBFC">#REF!</definedName>
    <definedName name="MOBFO">#REF!</definedName>
    <definedName name="Mobilkran">#REF!</definedName>
    <definedName name="MOBLC">#REF!</definedName>
    <definedName name="module_ship_data">#REF!</definedName>
    <definedName name="moi" localSheetId="16" hidden="1">{"'Sheet1'!$L$16"}</definedName>
    <definedName name="moi" localSheetId="18" hidden="1">{"'Sheet1'!$L$16"}</definedName>
    <definedName name="moi" localSheetId="11" hidden="1">{"'Sheet1'!$L$16"}</definedName>
    <definedName name="moi" localSheetId="1" hidden="1">{"'Sheet1'!$L$16"}</definedName>
    <definedName name="moi" localSheetId="2" hidden="1">{"'Sheet1'!$L$16"}</definedName>
    <definedName name="moi" localSheetId="17" hidden="1">{"'Sheet1'!$L$16"}</definedName>
    <definedName name="moi" localSheetId="12" hidden="1">{"'Sheet1'!$L$16"}</definedName>
    <definedName name="moi" localSheetId="4" hidden="1">{"'Sheet1'!$L$16"}</definedName>
    <definedName name="moi" localSheetId="19" hidden="1">{"'Sheet1'!$L$16"}</definedName>
    <definedName name="moi" localSheetId="10" hidden="1">{"'Sheet1'!$L$16"}</definedName>
    <definedName name="moi" localSheetId="9" hidden="1">{"'Sheet1'!$L$16"}</definedName>
    <definedName name="moi" localSheetId="8" hidden="1">{"'Sheet1'!$L$16"}</definedName>
    <definedName name="moi" localSheetId="3" hidden="1">{"'Sheet1'!$L$16"}</definedName>
    <definedName name="moi" localSheetId="6" hidden="1">{"'Sheet1'!$L$16"}</definedName>
    <definedName name="moi" localSheetId="7" hidden="1">{"'Sheet1'!$L$16"}</definedName>
    <definedName name="moi" localSheetId="5" hidden="1">{"'Sheet1'!$L$16"}</definedName>
    <definedName name="moi" localSheetId="13" hidden="1">{"'Sheet1'!$L$16"}</definedName>
    <definedName name="moi" hidden="1">{"'Sheet1'!$L$16"}</definedName>
    <definedName name="MONITORPNT" localSheetId="1">[44]!MONITORPNT</definedName>
    <definedName name="MONITORPNT" localSheetId="2">[44]!MONITORPNT</definedName>
    <definedName name="MONITORPNT" localSheetId="4">[44]!MONITORPNT</definedName>
    <definedName name="MONITORPNT" localSheetId="19">[44]!MONITORPNT</definedName>
    <definedName name="MONITORPNT" localSheetId="10">[44]!MONITORPNT</definedName>
    <definedName name="MONITORPNT" localSheetId="9">[44]!MONITORPNT</definedName>
    <definedName name="MONITORPNT" localSheetId="8">[44]!MONITORPNT</definedName>
    <definedName name="MONITORPNT" localSheetId="3">[44]!MONITORPNT</definedName>
    <definedName name="MONITORPNT" localSheetId="6">[44]!MONITORPNT</definedName>
    <definedName name="MONITORPNT" localSheetId="7">[44]!MONITORPNT</definedName>
    <definedName name="MONITORPNT" localSheetId="5">[44]!MONITORPNT</definedName>
    <definedName name="MONITORPNT">[44]!MONITORPNT</definedName>
    <definedName name="MOV">[58]costing_MOV!$B$7:$O$35</definedName>
    <definedName name="MP" localSheetId="18" hidden="1">{#N/A,#N/A,FALSE,"CCTV"}</definedName>
    <definedName name="MP" hidden="1">{#N/A,#N/A,FALSE,"CCTV"}</definedName>
    <definedName name="MPFC">#REF!</definedName>
    <definedName name="MPFO">#REF!</definedName>
    <definedName name="MPLC">#REF!</definedName>
    <definedName name="MPrice" localSheetId="11">'[51]Labor Sum'!$C$31</definedName>
    <definedName name="MPrice" localSheetId="1">'[51]Labor Sum'!$C$31</definedName>
    <definedName name="MPrice" localSheetId="2">'[51]Labor Sum'!$C$31</definedName>
    <definedName name="MPrice" localSheetId="4">'[51]Labor Sum'!$C$31</definedName>
    <definedName name="MPrice" localSheetId="19">'[51]Labor Sum'!$C$31</definedName>
    <definedName name="MPrice" localSheetId="10">'[51]Labor Sum'!$C$31</definedName>
    <definedName name="MPrice" localSheetId="9">'[51]Labor Sum'!$C$31</definedName>
    <definedName name="MPrice" localSheetId="8">'[51]Labor Sum'!$C$31</definedName>
    <definedName name="MPrice" localSheetId="3">'[51]Labor Sum'!$C$31</definedName>
    <definedName name="MPrice" localSheetId="6">'[51]Labor Sum'!$C$31</definedName>
    <definedName name="MPrice" localSheetId="7">'[51]Labor Sum'!$C$31</definedName>
    <definedName name="MPrice" localSheetId="5">'[51]Labor Sum'!$C$31</definedName>
    <definedName name="MPrice">#REF!</definedName>
    <definedName name="MPS">#REF!</definedName>
    <definedName name="MpwrDistrRev"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ate">#REF!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TMAC12">#REF!</definedName>
    <definedName name="mtram">#REF!</definedName>
    <definedName name="Mu">[83]BEAM!$AF$11</definedName>
    <definedName name="N" localSheetId="11">[29]Breech_Duct!$B$83</definedName>
    <definedName name="N" localSheetId="1">#REF!</definedName>
    <definedName name="N" localSheetId="2">#REF!</definedName>
    <definedName name="N" localSheetId="4">#REF!</definedName>
    <definedName name="N" localSheetId="19">#REF!</definedName>
    <definedName name="N" localSheetId="10">#REF!</definedName>
    <definedName name="N" localSheetId="9">#REF!</definedName>
    <definedName name="N" localSheetId="8">#REF!</definedName>
    <definedName name="N" localSheetId="3">#REF!</definedName>
    <definedName name="N" localSheetId="6">#REF!</definedName>
    <definedName name="N" localSheetId="7">#REF!</definedName>
    <definedName name="N" localSheetId="5">#REF!</definedName>
    <definedName name="N">#REF!</definedName>
    <definedName name="n_bays">#REF!</definedName>
    <definedName name="n_evase_roof_sec">#REF!</definedName>
    <definedName name="n_mod_deep">#REF!</definedName>
    <definedName name="n_wide">#REF!</definedName>
    <definedName name="N_XUAT">[84]NHAP!$C$5:$I$704</definedName>
    <definedName name="n1pig">#REF!</definedName>
    <definedName name="n1pind">#REF!</definedName>
    <definedName name="n1ping">#REF!</definedName>
    <definedName name="n1pint">#REF!</definedName>
    <definedName name="nam" localSheetId="18" hidden="1">{"'Sheet1'!$L$16"}</definedName>
    <definedName name="nam" localSheetId="11" hidden="1">{"'Sheet1'!$L$16"}</definedName>
    <definedName name="nam" localSheetId="1" hidden="1">{"'Sheet1'!$L$16"}</definedName>
    <definedName name="nam" localSheetId="2" hidden="1">{"'Sheet1'!$L$16"}</definedName>
    <definedName name="nam" localSheetId="12" hidden="1">{"'Sheet1'!$L$16"}</definedName>
    <definedName name="nam" localSheetId="4" hidden="1">{"'Sheet1'!$L$16"}</definedName>
    <definedName name="nam" localSheetId="19" hidden="1">{"'Sheet1'!$L$16"}</definedName>
    <definedName name="nam" localSheetId="10" hidden="1">{"'Sheet1'!$L$16"}</definedName>
    <definedName name="nam" localSheetId="9" hidden="1">{"'Sheet1'!$L$16"}</definedName>
    <definedName name="nam" localSheetId="8" hidden="1">{"'Sheet1'!$L$16"}</definedName>
    <definedName name="nam" localSheetId="3" hidden="1">{"'Sheet1'!$L$16"}</definedName>
    <definedName name="nam" localSheetId="6" hidden="1">{"'Sheet1'!$L$16"}</definedName>
    <definedName name="nam" localSheetId="7" hidden="1">{"'Sheet1'!$L$16"}</definedName>
    <definedName name="nam" localSheetId="5" hidden="1">{"'Sheet1'!$L$16"}</definedName>
    <definedName name="nam" localSheetId="13" hidden="1">{"'Sheet1'!$L$16"}</definedName>
    <definedName name="nam" hidden="1">{"'Sheet1'!$L$16"}</definedName>
    <definedName name="NBCHAUD">#REF!</definedName>
    <definedName name="NBPAS">#REF!</definedName>
    <definedName name="NC" localSheetId="18" hidden="1">{"'Liquid'!$A$1:$U$57"}</definedName>
    <definedName name="nc" localSheetId="11">#REF!</definedName>
    <definedName name="nc" localSheetId="1">#REF!</definedName>
    <definedName name="nc" localSheetId="2">#REF!</definedName>
    <definedName name="nc" localSheetId="4">#REF!</definedName>
    <definedName name="nc" localSheetId="19">#REF!</definedName>
    <definedName name="nc" localSheetId="10">#REF!</definedName>
    <definedName name="nc" localSheetId="9">#REF!</definedName>
    <definedName name="nc" localSheetId="8">#REF!</definedName>
    <definedName name="nc" localSheetId="3">#REF!</definedName>
    <definedName name="nc" localSheetId="6">#REF!</definedName>
    <definedName name="nc" localSheetId="7">#REF!</definedName>
    <definedName name="nc" localSheetId="5">#REF!</definedName>
    <definedName name="NC" hidden="1">{"'Liquid'!$A$1:$U$57"}</definedName>
    <definedName name="nc1p">#REF!</definedName>
    <definedName name="nc3p">#REF!</definedName>
    <definedName name="NCBD100">#REF!</definedName>
    <definedName name="NCBD200">#REF!</definedName>
    <definedName name="NCBD250">#REF!</definedName>
    <definedName name="NCNV">#REF!</definedName>
    <definedName name="NCT">#REF!</definedName>
    <definedName name="nctram">#REF!</definedName>
    <definedName name="NCVC100">#REF!</definedName>
    <definedName name="NCVC200">#REF!</definedName>
    <definedName name="NCVC250">#REF!</definedName>
    <definedName name="NCVC3P">#REF!</definedName>
    <definedName name="Ne" localSheetId="18" hidden="1">{"'Sheet1'!$L$16"}</definedName>
    <definedName name="Ne" localSheetId="11" hidden="1">{"'Sheet1'!$L$16"}</definedName>
    <definedName name="Ne" localSheetId="1" hidden="1">{"'Sheet1'!$L$16"}</definedName>
    <definedName name="Ne" localSheetId="2" hidden="1">{"'Sheet1'!$L$16"}</definedName>
    <definedName name="Ne" localSheetId="12" hidden="1">{"'Sheet1'!$L$16"}</definedName>
    <definedName name="Ne" localSheetId="4" hidden="1">{"'Sheet1'!$L$16"}</definedName>
    <definedName name="Ne" localSheetId="19" hidden="1">{"'Sheet1'!$L$16"}</definedName>
    <definedName name="Ne" localSheetId="10" hidden="1">{"'Sheet1'!$L$16"}</definedName>
    <definedName name="Ne" localSheetId="9" hidden="1">{"'Sheet1'!$L$16"}</definedName>
    <definedName name="Ne" localSheetId="8" hidden="1">{"'Sheet1'!$L$16"}</definedName>
    <definedName name="Ne" localSheetId="3" hidden="1">{"'Sheet1'!$L$16"}</definedName>
    <definedName name="Ne" localSheetId="6" hidden="1">{"'Sheet1'!$L$16"}</definedName>
    <definedName name="Ne" localSheetId="7" hidden="1">{"'Sheet1'!$L$16"}</definedName>
    <definedName name="Ne" localSheetId="5" hidden="1">{"'Sheet1'!$L$16"}</definedName>
    <definedName name="Ne" localSheetId="13" hidden="1">{"'Sheet1'!$L$16"}</definedName>
    <definedName name="Ne" hidden="1">{"'Sheet1'!$L$16"}</definedName>
    <definedName name="needle">#REF!</definedName>
    <definedName name="nego_5">0.95</definedName>
    <definedName name="Nego율">0.98</definedName>
    <definedName name="NET">#REF!</definedName>
    <definedName name="NET_1">#REF!</definedName>
    <definedName name="NET_ANA">#REF!</definedName>
    <definedName name="NET_ANA_1">#REF!</definedName>
    <definedName name="NET_ANA_2">#REF!</definedName>
    <definedName name="Net_marg">#REF!</definedName>
    <definedName name="Net_Margin_EFC">#REF!</definedName>
    <definedName name="Net_Margin_ELC">#REF!</definedName>
    <definedName name="Net_Margin_Spp">#REF!</definedName>
    <definedName name="new" localSheetId="18" hidden="1">{#N/A,#N/A,FALSE,"Clients Office";#N/A,#N/A,FALSE,"Co Sum"}</definedName>
    <definedName name="new" localSheetId="11" hidden="1">{#N/A,#N/A,FALSE,"Clients Office";#N/A,#N/A,FALSE,"Co Sum"}</definedName>
    <definedName name="new" localSheetId="1" hidden="1">{#N/A,#N/A,FALSE,"Clients Office";#N/A,#N/A,FALSE,"Co Sum"}</definedName>
    <definedName name="new" localSheetId="2" hidden="1">{#N/A,#N/A,FALSE,"Clients Office";#N/A,#N/A,FALSE,"Co Sum"}</definedName>
    <definedName name="new" localSheetId="4" hidden="1">{#N/A,#N/A,FALSE,"Clients Office";#N/A,#N/A,FALSE,"Co Sum"}</definedName>
    <definedName name="new" localSheetId="19" hidden="1">{#N/A,#N/A,FALSE,"Clients Office";#N/A,#N/A,FALSE,"Co Sum"}</definedName>
    <definedName name="new" localSheetId="10" hidden="1">{#N/A,#N/A,FALSE,"Clients Office";#N/A,#N/A,FALSE,"Co Sum"}</definedName>
    <definedName name="new" localSheetId="9" hidden="1">{#N/A,#N/A,FALSE,"Clients Office";#N/A,#N/A,FALSE,"Co Sum"}</definedName>
    <definedName name="new" localSheetId="8" hidden="1">{#N/A,#N/A,FALSE,"Clients Office";#N/A,#N/A,FALSE,"Co Sum"}</definedName>
    <definedName name="new" localSheetId="3" hidden="1">{#N/A,#N/A,FALSE,"Clients Office";#N/A,#N/A,FALSE,"Co Sum"}</definedName>
    <definedName name="new" localSheetId="6" hidden="1">{#N/A,#N/A,FALSE,"Clients Office";#N/A,#N/A,FALSE,"Co Sum"}</definedName>
    <definedName name="new" localSheetId="7" hidden="1">{#N/A,#N/A,FALSE,"Clients Office";#N/A,#N/A,FALSE,"Co Sum"}</definedName>
    <definedName name="new" localSheetId="5" hidden="1">{#N/A,#N/A,FALSE,"Clients Office";#N/A,#N/A,FALSE,"Co Sum"}</definedName>
    <definedName name="new" hidden="1">{#N/A,#N/A,FALSE,"Clients Office";#N/A,#N/A,FALSE,"Co Sum"}</definedName>
    <definedName name="NEWNAME" localSheetId="18" hidden="1">{#N/A,#N/A,FALSE,"CCTV"}</definedName>
    <definedName name="NEWNAME" localSheetId="11" hidden="1">{#N/A,#N/A,FALSE,"CCTV"}</definedName>
    <definedName name="NEWNAME" localSheetId="1" hidden="1">{#N/A,#N/A,FALSE,"CCTV"}</definedName>
    <definedName name="NEWNAME" localSheetId="2" hidden="1">{#N/A,#N/A,FALSE,"CCTV"}</definedName>
    <definedName name="NEWNAME" localSheetId="4" hidden="1">{#N/A,#N/A,FALSE,"CCTV"}</definedName>
    <definedName name="NEWNAME" localSheetId="19" hidden="1">{#N/A,#N/A,FALSE,"CCTV"}</definedName>
    <definedName name="NEWNAME" localSheetId="10" hidden="1">{#N/A,#N/A,FALSE,"CCTV"}</definedName>
    <definedName name="NEWNAME" localSheetId="9" hidden="1">{#N/A,#N/A,FALSE,"CCTV"}</definedName>
    <definedName name="NEWNAME" localSheetId="8" hidden="1">{#N/A,#N/A,FALSE,"CCTV"}</definedName>
    <definedName name="NEWNAME" localSheetId="3" hidden="1">{#N/A,#N/A,FALSE,"CCTV"}</definedName>
    <definedName name="NEWNAME" localSheetId="6" hidden="1">{#N/A,#N/A,FALSE,"CCTV"}</definedName>
    <definedName name="NEWNAME" localSheetId="7" hidden="1">{#N/A,#N/A,FALSE,"CCTV"}</definedName>
    <definedName name="NEWNAME" localSheetId="5" hidden="1">{#N/A,#N/A,FALSE,"CCTV"}</definedName>
    <definedName name="NEWNAME" hidden="1">{#N/A,#N/A,FALSE,"CCTV"}</definedName>
    <definedName name="ngu" localSheetId="18" hidden="1">{"'Sheet1'!$L$16"}</definedName>
    <definedName name="ngu" localSheetId="11" hidden="1">{"'Sheet1'!$L$16"}</definedName>
    <definedName name="ngu" localSheetId="1" hidden="1">{"'Sheet1'!$L$16"}</definedName>
    <definedName name="ngu" localSheetId="2" hidden="1">{"'Sheet1'!$L$16"}</definedName>
    <definedName name="ngu" localSheetId="12" hidden="1">{"'Sheet1'!$L$16"}</definedName>
    <definedName name="ngu" localSheetId="4" hidden="1">{"'Sheet1'!$L$16"}</definedName>
    <definedName name="ngu" localSheetId="19" hidden="1">{"'Sheet1'!$L$16"}</definedName>
    <definedName name="ngu" localSheetId="10" hidden="1">{"'Sheet1'!$L$16"}</definedName>
    <definedName name="ngu" localSheetId="9" hidden="1">{"'Sheet1'!$L$16"}</definedName>
    <definedName name="ngu" localSheetId="8" hidden="1">{"'Sheet1'!$L$16"}</definedName>
    <definedName name="ngu" localSheetId="3" hidden="1">{"'Sheet1'!$L$16"}</definedName>
    <definedName name="ngu" localSheetId="6" hidden="1">{"'Sheet1'!$L$16"}</definedName>
    <definedName name="ngu" localSheetId="7" hidden="1">{"'Sheet1'!$L$16"}</definedName>
    <definedName name="ngu" localSheetId="5" hidden="1">{"'Sheet1'!$L$16"}</definedName>
    <definedName name="ngu" localSheetId="13" hidden="1">{"'Sheet1'!$L$16"}</definedName>
    <definedName name="ngu" hidden="1">{"'Sheet1'!$L$16"}</definedName>
    <definedName name="nhappppppppp" localSheetId="18" hidden="1">{"'Sheet1'!$L$16"}</definedName>
    <definedName name="nhappppppppp" localSheetId="11" hidden="1">{"'Sheet1'!$L$16"}</definedName>
    <definedName name="nhappppppppp" localSheetId="1" hidden="1">{"'Sheet1'!$L$16"}</definedName>
    <definedName name="nhappppppppp" localSheetId="2" hidden="1">{"'Sheet1'!$L$16"}</definedName>
    <definedName name="nhappppppppp" localSheetId="12" hidden="1">{"'Sheet1'!$L$16"}</definedName>
    <definedName name="nhappppppppp" localSheetId="4" hidden="1">{"'Sheet1'!$L$16"}</definedName>
    <definedName name="nhappppppppp" localSheetId="19" hidden="1">{"'Sheet1'!$L$16"}</definedName>
    <definedName name="nhappppppppp" localSheetId="10" hidden="1">{"'Sheet1'!$L$16"}</definedName>
    <definedName name="nhappppppppp" localSheetId="9" hidden="1">{"'Sheet1'!$L$16"}</definedName>
    <definedName name="nhappppppppp" localSheetId="8" hidden="1">{"'Sheet1'!$L$16"}</definedName>
    <definedName name="nhappppppppp" localSheetId="3" hidden="1">{"'Sheet1'!$L$16"}</definedName>
    <definedName name="nhappppppppp" localSheetId="6" hidden="1">{"'Sheet1'!$L$16"}</definedName>
    <definedName name="nhappppppppp" localSheetId="7" hidden="1">{"'Sheet1'!$L$16"}</definedName>
    <definedName name="nhappppppppp" localSheetId="5" hidden="1">{"'Sheet1'!$L$16"}</definedName>
    <definedName name="nhappppppppp" localSheetId="13" hidden="1">{"'Sheet1'!$L$16"}</definedName>
    <definedName name="nhappppppppp" hidden="1">{"'Sheet1'!$L$16"}</definedName>
    <definedName name="nhn">#REF!</definedName>
    <definedName name="nhole">#REF!</definedName>
    <definedName name="nholes1">#REF!</definedName>
    <definedName name="NHP">#REF!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knk" localSheetId="18" hidden="1">{#N/A,#N/A,FALSE,"CCTV"}</definedName>
    <definedName name="nkknk" localSheetId="11" hidden="1">{#N/A,#N/A,FALSE,"CCTV"}</definedName>
    <definedName name="nkknk" localSheetId="1" hidden="1">{#N/A,#N/A,FALSE,"CCTV"}</definedName>
    <definedName name="nkknk" localSheetId="2" hidden="1">{#N/A,#N/A,FALSE,"CCTV"}</definedName>
    <definedName name="nkknk" localSheetId="4" hidden="1">{#N/A,#N/A,FALSE,"CCTV"}</definedName>
    <definedName name="nkknk" localSheetId="19" hidden="1">{#N/A,#N/A,FALSE,"CCTV"}</definedName>
    <definedName name="nkknk" localSheetId="10" hidden="1">{#N/A,#N/A,FALSE,"CCTV"}</definedName>
    <definedName name="nkknk" localSheetId="9" hidden="1">{#N/A,#N/A,FALSE,"CCTV"}</definedName>
    <definedName name="nkknk" localSheetId="8" hidden="1">{#N/A,#N/A,FALSE,"CCTV"}</definedName>
    <definedName name="nkknk" localSheetId="3" hidden="1">{#N/A,#N/A,FALSE,"CCTV"}</definedName>
    <definedName name="nkknk" localSheetId="6" hidden="1">{#N/A,#N/A,FALSE,"CCTV"}</definedName>
    <definedName name="nkknk" localSheetId="7" hidden="1">{#N/A,#N/A,FALSE,"CCTV"}</definedName>
    <definedName name="nkknk" localSheetId="5" hidden="1">{#N/A,#N/A,FALSE,"CCTV"}</definedName>
    <definedName name="nkknk" hidden="1">{#N/A,#N/A,FALSE,"CCTV"}</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n">#REF!</definedName>
    <definedName name="nn1p">#REF!</definedName>
    <definedName name="nn3p">#REF!</definedName>
    <definedName name="nnn" localSheetId="18" hidden="1">{"'Sheet1'!$L$16"}</definedName>
    <definedName name="nnn" localSheetId="11" hidden="1">{"'Sheet1'!$L$16"}</definedName>
    <definedName name="nnn" localSheetId="1" hidden="1">{"'Sheet1'!$L$16"}</definedName>
    <definedName name="nnn" localSheetId="2" hidden="1">{"'Sheet1'!$L$16"}</definedName>
    <definedName name="nnn" localSheetId="12" hidden="1">{"'Sheet1'!$L$16"}</definedName>
    <definedName name="nnn" localSheetId="4" hidden="1">{"'Sheet1'!$L$16"}</definedName>
    <definedName name="nnn" localSheetId="19" hidden="1">{"'Sheet1'!$L$16"}</definedName>
    <definedName name="nnn" localSheetId="10" hidden="1">{"'Sheet1'!$L$16"}</definedName>
    <definedName name="nnn" localSheetId="9" hidden="1">{"'Sheet1'!$L$16"}</definedName>
    <definedName name="nnn" localSheetId="8" hidden="1">{"'Sheet1'!$L$16"}</definedName>
    <definedName name="nnn" localSheetId="3" hidden="1">{"'Sheet1'!$L$16"}</definedName>
    <definedName name="nnn" localSheetId="6" hidden="1">{"'Sheet1'!$L$16"}</definedName>
    <definedName name="nnn" localSheetId="7" hidden="1">{"'Sheet1'!$L$16"}</definedName>
    <definedName name="nnn" localSheetId="5" hidden="1">{"'Sheet1'!$L$16"}</definedName>
    <definedName name="nnn" localSheetId="13" hidden="1">{"'Sheet1'!$L$16"}</definedName>
    <definedName name="nnn" hidden="1">{"'Sheet1'!$L$16"}</definedName>
    <definedName name="nnnc3p">#REF!</definedName>
    <definedName name="nnvl3p">#REF!</definedName>
    <definedName name="NoHole">#REF!</definedName>
    <definedName name="nomj2">#REF!</definedName>
    <definedName name="nomp1">#REF!</definedName>
    <definedName name="nomp2">#REF!</definedName>
    <definedName name="NoOfCC">#REF!</definedName>
    <definedName name="NOTE" localSheetId="18" hidden="1">{#N/A,#N/A,TRUE,"총괄"}</definedName>
    <definedName name="NOTE" hidden="1">{#N/A,#N/A,TRUE,"총괄"}</definedName>
    <definedName name="NTC">#REF!</definedName>
    <definedName name="ntcc">#REF!</definedName>
    <definedName name="ntt">#REF!</definedName>
    <definedName name="Num_Units">#REF!</definedName>
    <definedName name="NumberUnits" localSheetId="11">'[41]Input (1)'!$B$14</definedName>
    <definedName name="NumberUnits" localSheetId="1">'[41]Input (1)'!$B$14</definedName>
    <definedName name="NumberUnits" localSheetId="2">'[41]Input (1)'!$B$14</definedName>
    <definedName name="NumberUnits" localSheetId="4">'[41]Input (1)'!$B$14</definedName>
    <definedName name="NumberUnits" localSheetId="19">'[41]Input (1)'!$B$14</definedName>
    <definedName name="NumberUnits" localSheetId="10">'[41]Input (1)'!$B$14</definedName>
    <definedName name="NumberUnits" localSheetId="9">'[41]Input (1)'!$B$14</definedName>
    <definedName name="NumberUnits" localSheetId="8">'[41]Input (1)'!$B$14</definedName>
    <definedName name="NumberUnits" localSheetId="3">'[41]Input (1)'!$B$14</definedName>
    <definedName name="NumberUnits" localSheetId="6">'[41]Input (1)'!$B$14</definedName>
    <definedName name="NumberUnits" localSheetId="7">'[41]Input (1)'!$B$14</definedName>
    <definedName name="NumberUnits" localSheetId="5">'[41]Input (1)'!$B$14</definedName>
    <definedName name="NumberUnits">#REF!</definedName>
    <definedName name="NUOCHKHOAN" localSheetId="18" hidden="1">{"'Sheet1'!$L$16"}</definedName>
    <definedName name="NUOCHKHOAN" localSheetId="11" hidden="1">{"'Sheet1'!$L$16"}</definedName>
    <definedName name="NUOCHKHOAN" localSheetId="1" hidden="1">{"'Sheet1'!$L$16"}</definedName>
    <definedName name="NUOCHKHOAN" localSheetId="2" hidden="1">{"'Sheet1'!$L$16"}</definedName>
    <definedName name="NUOCHKHOAN" localSheetId="12" hidden="1">{"'Sheet1'!$L$16"}</definedName>
    <definedName name="NUOCHKHOAN" localSheetId="4" hidden="1">{"'Sheet1'!$L$16"}</definedName>
    <definedName name="NUOCHKHOAN" localSheetId="19" hidden="1">{"'Sheet1'!$L$16"}</definedName>
    <definedName name="NUOCHKHOAN" localSheetId="10" hidden="1">{"'Sheet1'!$L$16"}</definedName>
    <definedName name="NUOCHKHOAN" localSheetId="9" hidden="1">{"'Sheet1'!$L$16"}</definedName>
    <definedName name="NUOCHKHOAN" localSheetId="8" hidden="1">{"'Sheet1'!$L$16"}</definedName>
    <definedName name="NUOCHKHOAN" localSheetId="3" hidden="1">{"'Sheet1'!$L$16"}</definedName>
    <definedName name="NUOCHKHOAN" localSheetId="6" hidden="1">{"'Sheet1'!$L$16"}</definedName>
    <definedName name="NUOCHKHOAN" localSheetId="7" hidden="1">{"'Sheet1'!$L$16"}</definedName>
    <definedName name="NUOCHKHOAN" localSheetId="5" hidden="1">{"'Sheet1'!$L$16"}</definedName>
    <definedName name="NUOCHKHOAN" localSheetId="13" hidden="1">{"'Sheet1'!$L$16"}</definedName>
    <definedName name="NUOCHKHOAN" hidden="1">{"'Sheet1'!$L$16"}</definedName>
    <definedName name="NUOCHKHOANMOI" localSheetId="18" hidden="1">{"'Sheet1'!$L$16"}</definedName>
    <definedName name="NUOCHKHOANMOI" localSheetId="11" hidden="1">{"'Sheet1'!$L$16"}</definedName>
    <definedName name="NUOCHKHOANMOI" localSheetId="1" hidden="1">{"'Sheet1'!$L$16"}</definedName>
    <definedName name="NUOCHKHOANMOI" localSheetId="2" hidden="1">{"'Sheet1'!$L$16"}</definedName>
    <definedName name="NUOCHKHOANMOI" localSheetId="12" hidden="1">{"'Sheet1'!$L$16"}</definedName>
    <definedName name="NUOCHKHOANMOI" localSheetId="4" hidden="1">{"'Sheet1'!$L$16"}</definedName>
    <definedName name="NUOCHKHOANMOI" localSheetId="19" hidden="1">{"'Sheet1'!$L$16"}</definedName>
    <definedName name="NUOCHKHOANMOI" localSheetId="10" hidden="1">{"'Sheet1'!$L$16"}</definedName>
    <definedName name="NUOCHKHOANMOI" localSheetId="9" hidden="1">{"'Sheet1'!$L$16"}</definedName>
    <definedName name="NUOCHKHOANMOI" localSheetId="8" hidden="1">{"'Sheet1'!$L$16"}</definedName>
    <definedName name="NUOCHKHOANMOI" localSheetId="3" hidden="1">{"'Sheet1'!$L$16"}</definedName>
    <definedName name="NUOCHKHOANMOI" localSheetId="6" hidden="1">{"'Sheet1'!$L$16"}</definedName>
    <definedName name="NUOCHKHOANMOI" localSheetId="7" hidden="1">{"'Sheet1'!$L$16"}</definedName>
    <definedName name="NUOCHKHOANMOI" localSheetId="5" hidden="1">{"'Sheet1'!$L$16"}</definedName>
    <definedName name="NUOCHKHOANMOI" localSheetId="13" hidden="1">{"'Sheet1'!$L$16"}</definedName>
    <definedName name="NUOCHKHOANMOI" hidden="1">{"'Sheet1'!$L$16"}</definedName>
    <definedName name="NVH">#REF!</definedName>
    <definedName name="o" localSheetId="18" hidden="1">{"'Liquid'!$A$1:$U$57"}</definedName>
    <definedName name="O"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1" hidden="1">{#N/A,#N/A,FALSE,"１）背景";#N/A,#N/A,FALSE,"２）前提事項";#N/A,#N/A,FALSE,"３）優先順位";#N/A,#N/A,FALSE,"４）改善サマリー";#N/A,#N/A,FALSE,"５）懸念-1";#N/A,#N/A,FALSE,"５）懸念-2";#N/A,#N/A,FALSE,"５）懸念-3";#N/A,#N/A,FALSE,"５）懸念-4";#N/A,#N/A,FALSE,"６）組織図";#N/A,#N/A,FALSE,"６）スケジュール"}</definedName>
    <definedName name="o" localSheetId="2" hidden="1">{#N/A,#N/A,FALSE,"１）背景";#N/A,#N/A,FALSE,"２）前提事項";#N/A,#N/A,FALSE,"３）優先順位";#N/A,#N/A,FALSE,"４）改善サマリー";#N/A,#N/A,FALSE,"５）懸念-1";#N/A,#N/A,FALSE,"５）懸念-2";#N/A,#N/A,FALSE,"５）懸念-3";#N/A,#N/A,FALSE,"５）懸念-4";#N/A,#N/A,FALSE,"６）組織図";#N/A,#N/A,FALSE,"６）スケジュール"}</definedName>
    <definedName name="o" localSheetId="4" hidden="1">{#N/A,#N/A,FALSE,"１）背景";#N/A,#N/A,FALSE,"２）前提事項";#N/A,#N/A,FALSE,"３）優先順位";#N/A,#N/A,FALSE,"４）改善サマリー";#N/A,#N/A,FALSE,"５）懸念-1";#N/A,#N/A,FALSE,"５）懸念-2";#N/A,#N/A,FALSE,"５）懸念-3";#N/A,#N/A,FALSE,"５）懸念-4";#N/A,#N/A,FALSE,"６）組織図";#N/A,#N/A,FALSE,"６）スケジュール"}</definedName>
    <definedName name="o" localSheetId="19" hidden="1">{#N/A,#N/A,FALSE,"１）背景";#N/A,#N/A,FALSE,"２）前提事項";#N/A,#N/A,FALSE,"３）優先順位";#N/A,#N/A,FALSE,"４）改善サマリー";#N/A,#N/A,FALSE,"５）懸念-1";#N/A,#N/A,FALSE,"５）懸念-2";#N/A,#N/A,FALSE,"５）懸念-3";#N/A,#N/A,FALSE,"５）懸念-4";#N/A,#N/A,FALSE,"６）組織図";#N/A,#N/A,FALSE,"６）スケジュール"}</definedName>
    <definedName name="o" localSheetId="10" hidden="1">{#N/A,#N/A,FALSE,"１）背景";#N/A,#N/A,FALSE,"２）前提事項";#N/A,#N/A,FALSE,"３）優先順位";#N/A,#N/A,FALSE,"４）改善サマリー";#N/A,#N/A,FALSE,"５）懸念-1";#N/A,#N/A,FALSE,"５）懸念-2";#N/A,#N/A,FALSE,"５）懸念-3";#N/A,#N/A,FALSE,"５）懸念-4";#N/A,#N/A,FALSE,"６）組織図";#N/A,#N/A,FALSE,"６）スケジュール"}</definedName>
    <definedName name="o" localSheetId="9" hidden="1">{#N/A,#N/A,FALSE,"１）背景";#N/A,#N/A,FALSE,"２）前提事項";#N/A,#N/A,FALSE,"３）優先順位";#N/A,#N/A,FALSE,"４）改善サマリー";#N/A,#N/A,FALSE,"５）懸念-1";#N/A,#N/A,FALSE,"５）懸念-2";#N/A,#N/A,FALSE,"５）懸念-3";#N/A,#N/A,FALSE,"５）懸念-4";#N/A,#N/A,FALSE,"６）組織図";#N/A,#N/A,FALSE,"６）スケジュール"}</definedName>
    <definedName name="o" localSheetId="8" hidden="1">{#N/A,#N/A,FALSE,"１）背景";#N/A,#N/A,FALSE,"２）前提事項";#N/A,#N/A,FALSE,"３）優先順位";#N/A,#N/A,FALSE,"４）改善サマリー";#N/A,#N/A,FALSE,"５）懸念-1";#N/A,#N/A,FALSE,"５）懸念-2";#N/A,#N/A,FALSE,"５）懸念-3";#N/A,#N/A,FALSE,"５）懸念-4";#N/A,#N/A,FALSE,"６）組織図";#N/A,#N/A,FALSE,"６）スケジュール"}</definedName>
    <definedName name="o" localSheetId="3" hidden="1">{#N/A,#N/A,FALSE,"１）背景";#N/A,#N/A,FALSE,"２）前提事項";#N/A,#N/A,FALSE,"３）優先順位";#N/A,#N/A,FALSE,"４）改善サマリー";#N/A,#N/A,FALSE,"５）懸念-1";#N/A,#N/A,FALSE,"５）懸念-2";#N/A,#N/A,FALSE,"５）懸念-3";#N/A,#N/A,FALSE,"５）懸念-4";#N/A,#N/A,FALSE,"６）組織図";#N/A,#N/A,FALSE,"６）スケジュール"}</definedName>
    <definedName name="o" localSheetId="6" hidden="1">{#N/A,#N/A,FALSE,"１）背景";#N/A,#N/A,FALSE,"２）前提事項";#N/A,#N/A,FALSE,"３）優先順位";#N/A,#N/A,FALSE,"４）改善サマリー";#N/A,#N/A,FALSE,"５）懸念-1";#N/A,#N/A,FALSE,"５）懸念-2";#N/A,#N/A,FALSE,"５）懸念-3";#N/A,#N/A,FALSE,"５）懸念-4";#N/A,#N/A,FALSE,"６）組織図";#N/A,#N/A,FALSE,"６）スケジュール"}</definedName>
    <definedName name="o" localSheetId="7" hidden="1">{#N/A,#N/A,FALSE,"１）背景";#N/A,#N/A,FALSE,"２）前提事項";#N/A,#N/A,FALSE,"３）優先順位";#N/A,#N/A,FALSE,"４）改善サマリー";#N/A,#N/A,FALSE,"５）懸念-1";#N/A,#N/A,FALSE,"５）懸念-2";#N/A,#N/A,FALSE,"５）懸念-3";#N/A,#N/A,FALSE,"５）懸念-4";#N/A,#N/A,FALSE,"６）組織図";#N/A,#N/A,FALSE,"６）スケジュール"}</definedName>
    <definedName name="o" localSheetId="5" hidden="1">{#N/A,#N/A,FALSE,"１）背景";#N/A,#N/A,FALSE,"２）前提事項";#N/A,#N/A,FALSE,"３）優先順位";#N/A,#N/A,FALSE,"４）改善サマリー";#N/A,#N/A,FALSE,"５）懸念-1";#N/A,#N/A,FALSE,"５）懸念-2";#N/A,#N/A,FALSE,"５）懸念-3";#N/A,#N/A,FALSE,"５）懸念-4";#N/A,#N/A,FALSE,"６）組織図";#N/A,#N/A,FALSE,"６）スケジュール"}</definedName>
    <definedName name="o" hidden="1">{"'Liquid'!$A$1:$U$57"}</definedName>
    <definedName name="O.C.31.12.14_Desglosado" localSheetId="11">'[71]ESTADIST(PTS.)'!$B$4:$B$13</definedName>
    <definedName name="O.C.31.12.14_Desglosado" localSheetId="1">'[71]ESTADIST(PTS.)'!$B$4:$B$13</definedName>
    <definedName name="O.C.31.12.14_Desglosado" localSheetId="2">'[71]ESTADIST(PTS.)'!$B$4:$B$13</definedName>
    <definedName name="O.C.31.12.14_Desglosado" localSheetId="4">'[71]ESTADIST(PTS.)'!$B$4:$B$13</definedName>
    <definedName name="O.C.31.12.14_Desglosado" localSheetId="19">'[71]ESTADIST(PTS.)'!$B$4:$B$13</definedName>
    <definedName name="O.C.31.12.14_Desglosado" localSheetId="10">'[71]ESTADIST(PTS.)'!$B$4:$B$13</definedName>
    <definedName name="O.C.31.12.14_Desglosado" localSheetId="9">'[71]ESTADIST(PTS.)'!$B$4:$B$13</definedName>
    <definedName name="O.C.31.12.14_Desglosado" localSheetId="8">'[71]ESTADIST(PTS.)'!$B$4:$B$13</definedName>
    <definedName name="O.C.31.12.14_Desglosado" localSheetId="3">'[71]ESTADIST(PTS.)'!$B$4:$B$13</definedName>
    <definedName name="O.C.31.12.14_Desglosado" localSheetId="6">'[71]ESTADIST(PTS.)'!$B$4:$B$13</definedName>
    <definedName name="O.C.31.12.14_Desglosado" localSheetId="7">'[71]ESTADIST(PTS.)'!$B$4:$B$13</definedName>
    <definedName name="O.C.31.12.14_Desglosado" localSheetId="5">'[71]ESTADIST(PTS.)'!$B$4:$B$13</definedName>
    <definedName name="O.C.31.12.14_Desglosado">#REF!</definedName>
    <definedName name="O_SCOPE_DATA">#REF!</definedName>
    <definedName name="ocf" hidden="1">#REF!</definedName>
    <definedName name="OD" localSheetId="11">[52]PipeSummary!$AJ$10:$AJ$28</definedName>
    <definedName name="OD" localSheetId="1">[52]PipeSummary!$AJ$10:$AJ$28</definedName>
    <definedName name="OD" localSheetId="2">[52]PipeSummary!$AJ$10:$AJ$28</definedName>
    <definedName name="OD" localSheetId="4">[52]PipeSummary!$AJ$10:$AJ$28</definedName>
    <definedName name="OD" localSheetId="19">[52]PipeSummary!$AJ$10:$AJ$28</definedName>
    <definedName name="OD" localSheetId="10">[52]PipeSummary!$AJ$10:$AJ$28</definedName>
    <definedName name="OD" localSheetId="9">[52]PipeSummary!$AJ$10:$AJ$28</definedName>
    <definedName name="OD" localSheetId="8">[52]PipeSummary!$AJ$10:$AJ$28</definedName>
    <definedName name="OD" localSheetId="3">[52]PipeSummary!$AJ$10:$AJ$28</definedName>
    <definedName name="OD" localSheetId="6">[52]PipeSummary!$AJ$10:$AJ$28</definedName>
    <definedName name="OD" localSheetId="7">[52]PipeSummary!$AJ$10:$AJ$28</definedName>
    <definedName name="OD" localSheetId="5">[52]PipeSummary!$AJ$10:$AJ$28</definedName>
    <definedName name="OD">#REF!</definedName>
    <definedName name="ODC">#REF!</definedName>
    <definedName name="ODH" localSheetId="11" hidden="1">#N/A</definedName>
    <definedName name="ODH" localSheetId="1" hidden="1">#N/A</definedName>
    <definedName name="ODH" localSheetId="2" hidden="1">#N/A</definedName>
    <definedName name="ODH" localSheetId="4" hidden="1">#N/A</definedName>
    <definedName name="ODH" localSheetId="19" hidden="1">#N/A</definedName>
    <definedName name="ODH" localSheetId="10" hidden="1">#N/A</definedName>
    <definedName name="ODH" localSheetId="9" hidden="1">#N/A</definedName>
    <definedName name="ODH" localSheetId="8" hidden="1">#N/A</definedName>
    <definedName name="ODH" localSheetId="3" hidden="1">#N/A</definedName>
    <definedName name="ODH" localSheetId="6" hidden="1">#N/A</definedName>
    <definedName name="ODH" localSheetId="7" hidden="1">#N/A</definedName>
    <definedName name="ODH" localSheetId="5" hidden="1">#N/A</definedName>
    <definedName name="ODH" hidden="1">#REF!</definedName>
    <definedName name="oililui" localSheetId="18" hidden="1">{#N/A,#N/A,FALSE,"CCTV"}</definedName>
    <definedName name="oililui" localSheetId="11" hidden="1">{#N/A,#N/A,FALSE,"CCTV"}</definedName>
    <definedName name="oililui" localSheetId="1" hidden="1">{#N/A,#N/A,FALSE,"CCTV"}</definedName>
    <definedName name="oililui" localSheetId="2" hidden="1">{#N/A,#N/A,FALSE,"CCTV"}</definedName>
    <definedName name="oililui" localSheetId="4" hidden="1">{#N/A,#N/A,FALSE,"CCTV"}</definedName>
    <definedName name="oililui" localSheetId="19" hidden="1">{#N/A,#N/A,FALSE,"CCTV"}</definedName>
    <definedName name="oililui" localSheetId="10" hidden="1">{#N/A,#N/A,FALSE,"CCTV"}</definedName>
    <definedName name="oililui" localSheetId="9" hidden="1">{#N/A,#N/A,FALSE,"CCTV"}</definedName>
    <definedName name="oililui" localSheetId="8" hidden="1">{#N/A,#N/A,FALSE,"CCTV"}</definedName>
    <definedName name="oililui" localSheetId="3" hidden="1">{#N/A,#N/A,FALSE,"CCTV"}</definedName>
    <definedName name="oililui" localSheetId="6" hidden="1">{#N/A,#N/A,FALSE,"CCTV"}</definedName>
    <definedName name="oililui" localSheetId="7" hidden="1">{#N/A,#N/A,FALSE,"CCTV"}</definedName>
    <definedName name="oililui" localSheetId="5" hidden="1">{#N/A,#N/A,FALSE,"CCTV"}</definedName>
    <definedName name="oililui" hidden="1">{#N/A,#N/A,FALSE,"CCTV"}</definedName>
    <definedName name="OK" hidden="1">#REF!</definedName>
    <definedName name="olf" localSheetId="18" hidden="1">{#N/A,#N/A,FALSE,"HO Rates";#N/A,#N/A,FALSE,"HO Sum"}</definedName>
    <definedName name="olf" localSheetId="11" hidden="1">{#N/A,#N/A,FALSE,"HO Rates";#N/A,#N/A,FALSE,"HO Sum"}</definedName>
    <definedName name="olf" localSheetId="1" hidden="1">{#N/A,#N/A,FALSE,"HO Rates";#N/A,#N/A,FALSE,"HO Sum"}</definedName>
    <definedName name="olf" localSheetId="2" hidden="1">{#N/A,#N/A,FALSE,"HO Rates";#N/A,#N/A,FALSE,"HO Sum"}</definedName>
    <definedName name="olf" localSheetId="4" hidden="1">{#N/A,#N/A,FALSE,"HO Rates";#N/A,#N/A,FALSE,"HO Sum"}</definedName>
    <definedName name="olf" localSheetId="19" hidden="1">{#N/A,#N/A,FALSE,"HO Rates";#N/A,#N/A,FALSE,"HO Sum"}</definedName>
    <definedName name="olf" localSheetId="10" hidden="1">{#N/A,#N/A,FALSE,"HO Rates";#N/A,#N/A,FALSE,"HO Sum"}</definedName>
    <definedName name="olf" localSheetId="9" hidden="1">{#N/A,#N/A,FALSE,"HO Rates";#N/A,#N/A,FALSE,"HO Sum"}</definedName>
    <definedName name="olf" localSheetId="8" hidden="1">{#N/A,#N/A,FALSE,"HO Rates";#N/A,#N/A,FALSE,"HO Sum"}</definedName>
    <definedName name="olf" localSheetId="3" hidden="1">{#N/A,#N/A,FALSE,"HO Rates";#N/A,#N/A,FALSE,"HO Sum"}</definedName>
    <definedName name="olf" localSheetId="6" hidden="1">{#N/A,#N/A,FALSE,"HO Rates";#N/A,#N/A,FALSE,"HO Sum"}</definedName>
    <definedName name="olf" localSheetId="7" hidden="1">{#N/A,#N/A,FALSE,"HO Rates";#N/A,#N/A,FALSE,"HO Sum"}</definedName>
    <definedName name="olf" localSheetId="5" hidden="1">{#N/A,#N/A,FALSE,"HO Rates";#N/A,#N/A,FALSE,"HO Sum"}</definedName>
    <definedName name="olf" hidden="1">{#N/A,#N/A,FALSE,"HO Rates";#N/A,#N/A,FALSE,"HO Sum"}</definedName>
    <definedName name="OM1FO">#REF!</definedName>
    <definedName name="OM2FO">#REF!</definedName>
    <definedName name="OneBigHole">#REF!</definedName>
    <definedName name="oo" localSheetId="18" hidden="1">{"'Liquid'!$A$1:$U$57"}</definedName>
    <definedName name="oo" hidden="1">{"'Liquid'!$A$1:$U$57"}</definedName>
    <definedName name="oper">#REF!</definedName>
    <definedName name="oper.">#REF!</definedName>
    <definedName name="Option">#REF!</definedName>
    <definedName name="OrderTable" localSheetId="12">#REF!</definedName>
    <definedName name="OrderTable" localSheetId="13">#REF!</definedName>
    <definedName name="OrderTable">#REF!</definedName>
    <definedName name="Organiz" localSheetId="18" hidden="1">{#N/A,#N/A,FALSE,"CCTV"}</definedName>
    <definedName name="Organiz" hidden="1">{#N/A,#N/A,FALSE,"CCTV"}</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localSheetId="18" hidden="1">{#N/A,#N/A,FALSE,"CCTV"}</definedName>
    <definedName name="OSBL" localSheetId="11" hidden="1">{#N/A,#N/A,FALSE,"CCTV"}</definedName>
    <definedName name="OSBL" localSheetId="1" hidden="1">{#N/A,#N/A,FALSE,"CCTV"}</definedName>
    <definedName name="OSBL" localSheetId="2" hidden="1">{#N/A,#N/A,FALSE,"CCTV"}</definedName>
    <definedName name="OSBL" localSheetId="4" hidden="1">{#N/A,#N/A,FALSE,"CCTV"}</definedName>
    <definedName name="OSBL" localSheetId="19" hidden="1">{#N/A,#N/A,FALSE,"CCTV"}</definedName>
    <definedName name="OSBL" localSheetId="10" hidden="1">{#N/A,#N/A,FALSE,"CCTV"}</definedName>
    <definedName name="OSBL" localSheetId="9" hidden="1">{#N/A,#N/A,FALSE,"CCTV"}</definedName>
    <definedName name="OSBL" localSheetId="8" hidden="1">{#N/A,#N/A,FALSE,"CCTV"}</definedName>
    <definedName name="OSBL" localSheetId="3" hidden="1">{#N/A,#N/A,FALSE,"CCTV"}</definedName>
    <definedName name="OSBL" localSheetId="6" hidden="1">{#N/A,#N/A,FALSE,"CCTV"}</definedName>
    <definedName name="OSBL" localSheetId="7" hidden="1">{#N/A,#N/A,FALSE,"CCTV"}</definedName>
    <definedName name="OSBL" localSheetId="5" hidden="1">{#N/A,#N/A,FALSE,"CCTV"}</definedName>
    <definedName name="OSBL" hidden="1">{#N/A,#N/A,FALSE,"CCTV"}</definedName>
    <definedName name="Other" localSheetId="11">[51]Summary!$D$20</definedName>
    <definedName name="Other" localSheetId="1">[51]Summary!$D$20</definedName>
    <definedName name="Other" localSheetId="2">[51]Summary!$D$20</definedName>
    <definedName name="Other" localSheetId="4">[51]Summary!$D$20</definedName>
    <definedName name="Other" localSheetId="19">[51]Summary!$D$20</definedName>
    <definedName name="Other" localSheetId="10">[51]Summary!$D$20</definedName>
    <definedName name="Other" localSheetId="9">[51]Summary!$D$20</definedName>
    <definedName name="Other" localSheetId="8">[51]Summary!$D$20</definedName>
    <definedName name="Other" localSheetId="3">[51]Summary!$D$20</definedName>
    <definedName name="Other" localSheetId="6">[51]Summary!$D$20</definedName>
    <definedName name="Other" localSheetId="7">[51]Summary!$D$20</definedName>
    <definedName name="Other" localSheetId="5">[51]Summary!$D$20</definedName>
    <definedName name="Other">#REF!</definedName>
    <definedName name="OtherTotal" localSheetId="11">[51]Summary!$M$11</definedName>
    <definedName name="OtherTotal" localSheetId="1">[51]Summary!$M$11</definedName>
    <definedName name="OtherTotal" localSheetId="2">[51]Summary!$M$11</definedName>
    <definedName name="OtherTotal" localSheetId="4">[51]Summary!$M$11</definedName>
    <definedName name="OtherTotal" localSheetId="19">[51]Summary!$M$11</definedName>
    <definedName name="OtherTotal" localSheetId="10">[51]Summary!$M$11</definedName>
    <definedName name="OtherTotal" localSheetId="9">[51]Summary!$M$11</definedName>
    <definedName name="OtherTotal" localSheetId="8">[51]Summary!$M$11</definedName>
    <definedName name="OtherTotal" localSheetId="3">[51]Summary!$M$11</definedName>
    <definedName name="OtherTotal" localSheetId="6">[51]Summary!$M$11</definedName>
    <definedName name="OtherTotal" localSheetId="7">[51]Summary!$M$11</definedName>
    <definedName name="OtherTotal" localSheetId="5">[51]Summary!$M$11</definedName>
    <definedName name="OtherTotal">#REF!</definedName>
    <definedName name="OutletFlowProfile" localSheetId="11">'[41]Noise (3)'!$C$34</definedName>
    <definedName name="OutletFlowProfile" localSheetId="1">'[41]Noise (3)'!$C$34</definedName>
    <definedName name="OutletFlowProfile" localSheetId="2">'[41]Noise (3)'!$C$34</definedName>
    <definedName name="OutletFlowProfile" localSheetId="4">'[41]Noise (3)'!$C$34</definedName>
    <definedName name="OutletFlowProfile" localSheetId="19">'[41]Noise (3)'!$C$34</definedName>
    <definedName name="OutletFlowProfile" localSheetId="10">'[41]Noise (3)'!$C$34</definedName>
    <definedName name="OutletFlowProfile" localSheetId="9">'[41]Noise (3)'!$C$34</definedName>
    <definedName name="OutletFlowProfile" localSheetId="8">'[41]Noise (3)'!$C$34</definedName>
    <definedName name="OutletFlowProfile" localSheetId="3">'[41]Noise (3)'!$C$34</definedName>
    <definedName name="OutletFlowProfile" localSheetId="6">'[41]Noise (3)'!$C$34</definedName>
    <definedName name="OutletFlowProfile" localSheetId="7">'[41]Noise (3)'!$C$34</definedName>
    <definedName name="OutletFlowProfile" localSheetId="5">'[41]Noise (3)'!$C$34</definedName>
    <definedName name="OutletFlowProfile">#REF!</definedName>
    <definedName name="OvalWeight">#REF!</definedName>
    <definedName name="OVER">#REF!</definedName>
    <definedName name="overhau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 localSheetId="11">[29]Breech_Duct!$B$80</definedName>
    <definedName name="P" localSheetId="1">[29]Breech_Duct!$B$80</definedName>
    <definedName name="P" localSheetId="2">[29]Breech_Duct!$B$80</definedName>
    <definedName name="P" localSheetId="4">[29]Breech_Duct!$B$80</definedName>
    <definedName name="P" localSheetId="19">[29]Breech_Duct!$B$80</definedName>
    <definedName name="P" localSheetId="10">[29]Breech_Duct!$B$80</definedName>
    <definedName name="P" localSheetId="9">[29]Breech_Duct!$B$80</definedName>
    <definedName name="P" localSheetId="8">[29]Breech_Duct!$B$80</definedName>
    <definedName name="P" localSheetId="3">[29]Breech_Duct!$B$80</definedName>
    <definedName name="P" localSheetId="6">[29]Breech_Duct!$B$80</definedName>
    <definedName name="P" localSheetId="7">[29]Breech_Duct!$B$80</definedName>
    <definedName name="P" localSheetId="5">[29]Breech_Duct!$B$80</definedName>
    <definedName name="P">#REF!</definedName>
    <definedName name="PA" localSheetId="18" hidden="1">{#N/A,#N/A,FALSE,"CCTV"}</definedName>
    <definedName name="PA" localSheetId="1">#REF!</definedName>
    <definedName name="PA" localSheetId="2">#REF!</definedName>
    <definedName name="PA" localSheetId="4">#REF!</definedName>
    <definedName name="PA" localSheetId="19">#REF!</definedName>
    <definedName name="PA" localSheetId="10">#REF!</definedName>
    <definedName name="PA" localSheetId="9">#REF!</definedName>
    <definedName name="PA" localSheetId="8">#REF!</definedName>
    <definedName name="PA" localSheetId="3">#REF!</definedName>
    <definedName name="PA" localSheetId="6">#REF!</definedName>
    <definedName name="PA" localSheetId="7">#REF!</definedName>
    <definedName name="PA" localSheetId="5">#REF!</definedName>
    <definedName name="PA" hidden="1">{#N/A,#N/A,FALSE,"CCTV"}</definedName>
    <definedName name="pac">#REF!</definedName>
    <definedName name="pac_value">#REF!</definedName>
    <definedName name="PACFC">#REF!</definedName>
    <definedName name="PACFO">#REF!</definedName>
    <definedName name="PACLC">#REF!</definedName>
    <definedName name="PACS">#REF!</definedName>
    <definedName name="PAFC">#REF!</definedName>
    <definedName name="pag.12">#REF!</definedName>
    <definedName name="PAG_1">#REF!</definedName>
    <definedName name="PAG_2">#REF!</definedName>
    <definedName name="PAG_3">#REF!</definedName>
    <definedName name="PAG_4">#REF!</definedName>
    <definedName name="PAG_5">#REF!</definedName>
    <definedName name="pag_6">#REF!</definedName>
    <definedName name="PAG3.1">#REF!</definedName>
    <definedName name="PAG3.2">#REF!</definedName>
    <definedName name="PAG5.1">#REF!</definedName>
    <definedName name="PAG5.2">#REF!</definedName>
    <definedName name="PAG5.3">#REF!</definedName>
    <definedName name="Page.5">[85]Civil!#REF!</definedName>
    <definedName name="PAIII_" localSheetId="18" hidden="1">{"'Sheet1'!$L$16"}</definedName>
    <definedName name="PAIII_" localSheetId="11" hidden="1">{"'Sheet1'!$L$16"}</definedName>
    <definedName name="PAIII_" localSheetId="1" hidden="1">{"'Sheet1'!$L$16"}</definedName>
    <definedName name="PAIII_" localSheetId="2" hidden="1">{"'Sheet1'!$L$16"}</definedName>
    <definedName name="PAIII_" localSheetId="12" hidden="1">{"'Sheet1'!$L$16"}</definedName>
    <definedName name="PAIII_" localSheetId="4" hidden="1">{"'Sheet1'!$L$16"}</definedName>
    <definedName name="PAIII_" localSheetId="19" hidden="1">{"'Sheet1'!$L$16"}</definedName>
    <definedName name="PAIII_" localSheetId="10" hidden="1">{"'Sheet1'!$L$16"}</definedName>
    <definedName name="PAIII_" localSheetId="9" hidden="1">{"'Sheet1'!$L$16"}</definedName>
    <definedName name="PAIII_" localSheetId="8" hidden="1">{"'Sheet1'!$L$16"}</definedName>
    <definedName name="PAIII_" localSheetId="3" hidden="1">{"'Sheet1'!$L$16"}</definedName>
    <definedName name="PAIII_" localSheetId="6" hidden="1">{"'Sheet1'!$L$16"}</definedName>
    <definedName name="PAIII_" localSheetId="7" hidden="1">{"'Sheet1'!$L$16"}</definedName>
    <definedName name="PAIII_" localSheetId="5" hidden="1">{"'Sheet1'!$L$16"}</definedName>
    <definedName name="PAIII_" localSheetId="13" hidden="1">{"'Sheet1'!$L$16"}</definedName>
    <definedName name="PAIII_" hidden="1">{"'Sheet1'!$L$16"}</definedName>
    <definedName name="paint" localSheetId="18" hidden="1">#REF!</definedName>
    <definedName name="PAINT">'[46]S N'!$B$97:$I$109</definedName>
    <definedName name="Pal_Workbook_GUID" hidden="1">"1K572AYA1TTSFA6HMZ5Y69VZ"</definedName>
    <definedName name="PALC">#REF!</definedName>
    <definedName name="Panel" localSheetId="18" hidden="1">{#N/A,#N/A,TRUE,"Basic";#N/A,#N/A,TRUE,"EXT-TABLE";#N/A,#N/A,TRUE,"STEEL";#N/A,#N/A,TRUE,"INT-Table";#N/A,#N/A,TRUE,"STEEL";#N/A,#N/A,TRUE,"Door"}</definedName>
    <definedName name="Panel" hidden="1">{#N/A,#N/A,TRUE,"Basic";#N/A,#N/A,TRUE,"EXT-TABLE";#N/A,#N/A,TRUE,"STEEL";#N/A,#N/A,TRUE,"INT-Table";#N/A,#N/A,TRUE,"STEEL";#N/A,#N/A,TRUE,"Door"}</definedName>
    <definedName name="Panel_1" localSheetId="18" hidden="1">{#N/A,#N/A,TRUE,"Basic";#N/A,#N/A,TRUE,"EXT-TABLE";#N/A,#N/A,TRUE,"STEEL";#N/A,#N/A,TRUE,"INT-Table";#N/A,#N/A,TRUE,"STEEL";#N/A,#N/A,TRUE,"Door"}</definedName>
    <definedName name="Panel_1" hidden="1">{#N/A,#N/A,TRUE,"Basic";#N/A,#N/A,TRUE,"EXT-TABLE";#N/A,#N/A,TRUE,"STEEL";#N/A,#N/A,TRUE,"INT-Table";#N/A,#N/A,TRUE,"STEEL";#N/A,#N/A,TRUE,"Door"}</definedName>
    <definedName name="Panel_1_1" localSheetId="18" hidden="1">{#N/A,#N/A,TRUE,"Basic";#N/A,#N/A,TRUE,"EXT-TABLE";#N/A,#N/A,TRUE,"STEEL";#N/A,#N/A,TRUE,"INT-Table";#N/A,#N/A,TRUE,"STEEL";#N/A,#N/A,TRUE,"Door"}</definedName>
    <definedName name="Panel_1_1" hidden="1">{#N/A,#N/A,TRUE,"Basic";#N/A,#N/A,TRUE,"EXT-TABLE";#N/A,#N/A,TRUE,"STEEL";#N/A,#N/A,TRUE,"INT-Table";#N/A,#N/A,TRUE,"STEEL";#N/A,#N/A,TRUE,"Door"}</definedName>
    <definedName name="Panel_1_2" localSheetId="18" hidden="1">{#N/A,#N/A,TRUE,"Basic";#N/A,#N/A,TRUE,"EXT-TABLE";#N/A,#N/A,TRUE,"STEEL";#N/A,#N/A,TRUE,"INT-Table";#N/A,#N/A,TRUE,"STEEL";#N/A,#N/A,TRUE,"Door"}</definedName>
    <definedName name="Panel_1_2" hidden="1">{#N/A,#N/A,TRUE,"Basic";#N/A,#N/A,TRUE,"EXT-TABLE";#N/A,#N/A,TRUE,"STEEL";#N/A,#N/A,TRUE,"INT-Table";#N/A,#N/A,TRUE,"STEEL";#N/A,#N/A,TRUE,"Door"}</definedName>
    <definedName name="Panel_2" localSheetId="18" hidden="1">{#N/A,#N/A,TRUE,"Basic";#N/A,#N/A,TRUE,"EXT-TABLE";#N/A,#N/A,TRUE,"STEEL";#N/A,#N/A,TRUE,"INT-Table";#N/A,#N/A,TRUE,"STEEL";#N/A,#N/A,TRUE,"Door"}</definedName>
    <definedName name="Panel_2" hidden="1">{#N/A,#N/A,TRUE,"Basic";#N/A,#N/A,TRUE,"EXT-TABLE";#N/A,#N/A,TRUE,"STEEL";#N/A,#N/A,TRUE,"INT-Table";#N/A,#N/A,TRUE,"STEEL";#N/A,#N/A,TRUE,"Door"}</definedName>
    <definedName name="Panel_2_1" localSheetId="18" hidden="1">{#N/A,#N/A,TRUE,"Basic";#N/A,#N/A,TRUE,"EXT-TABLE";#N/A,#N/A,TRUE,"STEEL";#N/A,#N/A,TRUE,"INT-Table";#N/A,#N/A,TRUE,"STEEL";#N/A,#N/A,TRUE,"Door"}</definedName>
    <definedName name="Panel_2_1" hidden="1">{#N/A,#N/A,TRUE,"Basic";#N/A,#N/A,TRUE,"EXT-TABLE";#N/A,#N/A,TRUE,"STEEL";#N/A,#N/A,TRUE,"INT-Table";#N/A,#N/A,TRUE,"STEEL";#N/A,#N/A,TRUE,"Door"}</definedName>
    <definedName name="Panel_2_2" localSheetId="18" hidden="1">{#N/A,#N/A,TRUE,"Basic";#N/A,#N/A,TRUE,"EXT-TABLE";#N/A,#N/A,TRUE,"STEEL";#N/A,#N/A,TRUE,"INT-Table";#N/A,#N/A,TRUE,"STEEL";#N/A,#N/A,TRUE,"Door"}</definedName>
    <definedName name="Panel_2_2" hidden="1">{#N/A,#N/A,TRUE,"Basic";#N/A,#N/A,TRUE,"EXT-TABLE";#N/A,#N/A,TRUE,"STEEL";#N/A,#N/A,TRUE,"INT-Table";#N/A,#N/A,TRUE,"STEEL";#N/A,#N/A,TRUE,"Door"}</definedName>
    <definedName name="Panel_3" localSheetId="18" hidden="1">{#N/A,#N/A,TRUE,"Basic";#N/A,#N/A,TRUE,"EXT-TABLE";#N/A,#N/A,TRUE,"STEEL";#N/A,#N/A,TRUE,"INT-Table";#N/A,#N/A,TRUE,"STEEL";#N/A,#N/A,TRUE,"Door"}</definedName>
    <definedName name="Panel_3" hidden="1">{#N/A,#N/A,TRUE,"Basic";#N/A,#N/A,TRUE,"EXT-TABLE";#N/A,#N/A,TRUE,"STEEL";#N/A,#N/A,TRUE,"INT-Table";#N/A,#N/A,TRUE,"STEEL";#N/A,#N/A,TRUE,"Door"}</definedName>
    <definedName name="Panel_3_1" localSheetId="18" hidden="1">{#N/A,#N/A,TRUE,"Basic";#N/A,#N/A,TRUE,"EXT-TABLE";#N/A,#N/A,TRUE,"STEEL";#N/A,#N/A,TRUE,"INT-Table";#N/A,#N/A,TRUE,"STEEL";#N/A,#N/A,TRUE,"Door"}</definedName>
    <definedName name="Panel_3_1" hidden="1">{#N/A,#N/A,TRUE,"Basic";#N/A,#N/A,TRUE,"EXT-TABLE";#N/A,#N/A,TRUE,"STEEL";#N/A,#N/A,TRUE,"INT-Table";#N/A,#N/A,TRUE,"STEEL";#N/A,#N/A,TRUE,"Door"}</definedName>
    <definedName name="Panel_3_2" localSheetId="18" hidden="1">{#N/A,#N/A,TRUE,"Basic";#N/A,#N/A,TRUE,"EXT-TABLE";#N/A,#N/A,TRUE,"STEEL";#N/A,#N/A,TRUE,"INT-Table";#N/A,#N/A,TRUE,"STEEL";#N/A,#N/A,TRUE,"Door"}</definedName>
    <definedName name="Panel_3_2" hidden="1">{#N/A,#N/A,TRUE,"Basic";#N/A,#N/A,TRUE,"EXT-TABLE";#N/A,#N/A,TRUE,"STEEL";#N/A,#N/A,TRUE,"INT-Table";#N/A,#N/A,TRUE,"STEEL";#N/A,#N/A,TRUE,"Door"}</definedName>
    <definedName name="Panel_4" localSheetId="18" hidden="1">{#N/A,#N/A,TRUE,"Basic";#N/A,#N/A,TRUE,"EXT-TABLE";#N/A,#N/A,TRUE,"STEEL";#N/A,#N/A,TRUE,"INT-Table";#N/A,#N/A,TRUE,"STEEL";#N/A,#N/A,TRUE,"Door"}</definedName>
    <definedName name="Panel_4" hidden="1">{#N/A,#N/A,TRUE,"Basic";#N/A,#N/A,TRUE,"EXT-TABLE";#N/A,#N/A,TRUE,"STEEL";#N/A,#N/A,TRUE,"INT-Table";#N/A,#N/A,TRUE,"STEEL";#N/A,#N/A,TRUE,"Door"}</definedName>
    <definedName name="Panel_4_1" localSheetId="18" hidden="1">{#N/A,#N/A,TRUE,"Basic";#N/A,#N/A,TRUE,"EXT-TABLE";#N/A,#N/A,TRUE,"STEEL";#N/A,#N/A,TRUE,"INT-Table";#N/A,#N/A,TRUE,"STEEL";#N/A,#N/A,TRUE,"Door"}</definedName>
    <definedName name="Panel_4_1" hidden="1">{#N/A,#N/A,TRUE,"Basic";#N/A,#N/A,TRUE,"EXT-TABLE";#N/A,#N/A,TRUE,"STEEL";#N/A,#N/A,TRUE,"INT-Table";#N/A,#N/A,TRUE,"STEEL";#N/A,#N/A,TRUE,"Door"}</definedName>
    <definedName name="Panel_4_2" localSheetId="18" hidden="1">{#N/A,#N/A,TRUE,"Basic";#N/A,#N/A,TRUE,"EXT-TABLE";#N/A,#N/A,TRUE,"STEEL";#N/A,#N/A,TRUE,"INT-Table";#N/A,#N/A,TRUE,"STEEL";#N/A,#N/A,TRUE,"Door"}</definedName>
    <definedName name="Panel_4_2" hidden="1">{#N/A,#N/A,TRUE,"Basic";#N/A,#N/A,TRUE,"EXT-TABLE";#N/A,#N/A,TRUE,"STEEL";#N/A,#N/A,TRUE,"INT-Table";#N/A,#N/A,TRUE,"STEEL";#N/A,#N/A,TRUE,"Door"}</definedName>
    <definedName name="Panel_5" localSheetId="18" hidden="1">{#N/A,#N/A,TRUE,"Basic";#N/A,#N/A,TRUE,"EXT-TABLE";#N/A,#N/A,TRUE,"STEEL";#N/A,#N/A,TRUE,"INT-Table";#N/A,#N/A,TRUE,"STEEL";#N/A,#N/A,TRUE,"Door"}</definedName>
    <definedName name="Panel_5" hidden="1">{#N/A,#N/A,TRUE,"Basic";#N/A,#N/A,TRUE,"EXT-TABLE";#N/A,#N/A,TRUE,"STEEL";#N/A,#N/A,TRUE,"INT-Table";#N/A,#N/A,TRUE,"STEEL";#N/A,#N/A,TRUE,"Door"}</definedName>
    <definedName name="Panel_5_1" localSheetId="18" hidden="1">{#N/A,#N/A,TRUE,"Basic";#N/A,#N/A,TRUE,"EXT-TABLE";#N/A,#N/A,TRUE,"STEEL";#N/A,#N/A,TRUE,"INT-Table";#N/A,#N/A,TRUE,"STEEL";#N/A,#N/A,TRUE,"Door"}</definedName>
    <definedName name="Panel_5_1" hidden="1">{#N/A,#N/A,TRUE,"Basic";#N/A,#N/A,TRUE,"EXT-TABLE";#N/A,#N/A,TRUE,"STEEL";#N/A,#N/A,TRUE,"INT-Table";#N/A,#N/A,TRUE,"STEEL";#N/A,#N/A,TRUE,"Door"}</definedName>
    <definedName name="Panel_5_2" localSheetId="18" hidden="1">{#N/A,#N/A,TRUE,"Basic";#N/A,#N/A,TRUE,"EXT-TABLE";#N/A,#N/A,TRUE,"STEEL";#N/A,#N/A,TRUE,"INT-Table";#N/A,#N/A,TRUE,"STEEL";#N/A,#N/A,TRUE,"Door"}</definedName>
    <definedName name="Panel_5_2" hidden="1">{#N/A,#N/A,TRUE,"Basic";#N/A,#N/A,TRUE,"EXT-TABLE";#N/A,#N/A,TRUE,"STEEL";#N/A,#N/A,TRUE,"INT-Table";#N/A,#N/A,TRUE,"STEEL";#N/A,#N/A,TRUE,"Door"}</definedName>
    <definedName name="Panel_Area" localSheetId="11">'[41]Noise (3)'!$O$56</definedName>
    <definedName name="Panel_Area" localSheetId="1">'[41]Noise (3)'!$O$56</definedName>
    <definedName name="Panel_Area" localSheetId="2">'[41]Noise (3)'!$O$56</definedName>
    <definedName name="Panel_Area" localSheetId="4">'[41]Noise (3)'!$O$56</definedName>
    <definedName name="Panel_Area" localSheetId="19">'[41]Noise (3)'!$O$56</definedName>
    <definedName name="Panel_Area" localSheetId="10">'[41]Noise (3)'!$O$56</definedName>
    <definedName name="Panel_Area" localSheetId="9">'[41]Noise (3)'!$O$56</definedName>
    <definedName name="Panel_Area" localSheetId="8">'[41]Noise (3)'!$O$56</definedName>
    <definedName name="Panel_Area" localSheetId="3">'[41]Noise (3)'!$O$56</definedName>
    <definedName name="Panel_Area" localSheetId="6">'[41]Noise (3)'!$O$56</definedName>
    <definedName name="Panel_Area" localSheetId="7">'[41]Noise (3)'!$O$56</definedName>
    <definedName name="Panel_Area" localSheetId="5">'[41]Noise (3)'!$O$56</definedName>
    <definedName name="Panel_Area">#REF!</definedName>
    <definedName name="Panelgewichte">#REF!</definedName>
    <definedName name="Panicbar">#REF!</definedName>
    <definedName name="PANNELLO">#REF!</definedName>
    <definedName name="park" localSheetId="18" hidden="1">{#N/A,#N/A,FALSE,"CCTV"}</definedName>
    <definedName name="park" hidden="1">{#N/A,#N/A,FALSE,"CCTV"}</definedName>
    <definedName name="PAY_FC">#REF!</definedName>
    <definedName name="PAY_LC">#REF!</definedName>
    <definedName name="PAY_SUP">#REF!</definedName>
    <definedName name="PaymentBreakdown" localSheetId="18" hidden="1">{#N/A,#N/A,FALSE,"CCTV"}</definedName>
    <definedName name="PaymentBreakdown" hidden="1">{#N/A,#N/A,FALSE,"CCTV"}</definedName>
    <definedName name="PB">#REF!</definedName>
    <definedName name="PC">#REF!</definedName>
    <definedName name="PCNO">[86]현황CODE!$A$2:$A$82</definedName>
    <definedName name="PCNO1">[86]손익현황!$A$5:$A$91</definedName>
    <definedName name="Pct_Open_Actual" localSheetId="11">'[41]Noise (3)'!$C$46</definedName>
    <definedName name="Pct_Open_Actual" localSheetId="1">'[41]Noise (3)'!$C$46</definedName>
    <definedName name="Pct_Open_Actual" localSheetId="2">'[41]Noise (3)'!$C$46</definedName>
    <definedName name="Pct_Open_Actual" localSheetId="4">'[41]Noise (3)'!$C$46</definedName>
    <definedName name="Pct_Open_Actual" localSheetId="19">'[41]Noise (3)'!$C$46</definedName>
    <definedName name="Pct_Open_Actual" localSheetId="10">'[41]Noise (3)'!$C$46</definedName>
    <definedName name="Pct_Open_Actual" localSheetId="9">'[41]Noise (3)'!$C$46</definedName>
    <definedName name="Pct_Open_Actual" localSheetId="8">'[41]Noise (3)'!$C$46</definedName>
    <definedName name="Pct_Open_Actual" localSheetId="3">'[41]Noise (3)'!$C$46</definedName>
    <definedName name="Pct_Open_Actual" localSheetId="6">'[41]Noise (3)'!$C$46</definedName>
    <definedName name="Pct_Open_Actual" localSheetId="7">'[41]Noise (3)'!$C$46</definedName>
    <definedName name="Pct_Open_Actual" localSheetId="5">'[41]Noise (3)'!$C$46</definedName>
    <definedName name="Pct_Open_Actual">#REF!</definedName>
    <definedName name="Pct_Open_Nom" localSheetId="11">'[41]Noise (3)'!$C$15</definedName>
    <definedName name="Pct_Open_Nom" localSheetId="1">'[41]Noise (3)'!$C$15</definedName>
    <definedName name="Pct_Open_Nom" localSheetId="2">'[41]Noise (3)'!$C$15</definedName>
    <definedName name="Pct_Open_Nom" localSheetId="4">'[41]Noise (3)'!$C$15</definedName>
    <definedName name="Pct_Open_Nom" localSheetId="19">'[41]Noise (3)'!$C$15</definedName>
    <definedName name="Pct_Open_Nom" localSheetId="10">'[41]Noise (3)'!$C$15</definedName>
    <definedName name="Pct_Open_Nom" localSheetId="9">'[41]Noise (3)'!$C$15</definedName>
    <definedName name="Pct_Open_Nom" localSheetId="8">'[41]Noise (3)'!$C$15</definedName>
    <definedName name="Pct_Open_Nom" localSheetId="3">'[41]Noise (3)'!$C$15</definedName>
    <definedName name="Pct_Open_Nom" localSheetId="6">'[41]Noise (3)'!$C$15</definedName>
    <definedName name="Pct_Open_Nom" localSheetId="7">'[41]Noise (3)'!$C$15</definedName>
    <definedName name="Pct_Open_Nom" localSheetId="5">'[41]Noise (3)'!$C$15</definedName>
    <definedName name="Pct_Open_Nom">#REF!</definedName>
    <definedName name="PCV" localSheetId="18" hidden="1">{"'Liquid'!$A$1:$U$57"}</definedName>
    <definedName name="PCV" hidden="1">{"'Liquid'!$A$1:$U$57"}</definedName>
    <definedName name="PedTop">#REF!</definedName>
    <definedName name="PEJM">#REF!</definedName>
    <definedName name="Pérdida_de_carga_chimenea_de_bypass">#REF!</definedName>
    <definedName name="Pérdida_de_carga_en_caldera">#REF!</definedName>
    <definedName name="peroxide" localSheetId="18" hidden="1">{#N/A,#N/A,FALSE,"CCTV"}</definedName>
    <definedName name="peroxide" localSheetId="11" hidden="1">{#N/A,#N/A,FALSE,"CCTV"}</definedName>
    <definedName name="peroxide" localSheetId="1" hidden="1">{#N/A,#N/A,FALSE,"CCTV"}</definedName>
    <definedName name="peroxide" localSheetId="2" hidden="1">{#N/A,#N/A,FALSE,"CCTV"}</definedName>
    <definedName name="peroxide" localSheetId="4" hidden="1">{#N/A,#N/A,FALSE,"CCTV"}</definedName>
    <definedName name="peroxide" localSheetId="19" hidden="1">{#N/A,#N/A,FALSE,"CCTV"}</definedName>
    <definedName name="peroxide" localSheetId="10" hidden="1">{#N/A,#N/A,FALSE,"CCTV"}</definedName>
    <definedName name="peroxide" localSheetId="9" hidden="1">{#N/A,#N/A,FALSE,"CCTV"}</definedName>
    <definedName name="peroxide" localSheetId="8" hidden="1">{#N/A,#N/A,FALSE,"CCTV"}</definedName>
    <definedName name="peroxide" localSheetId="3" hidden="1">{#N/A,#N/A,FALSE,"CCTV"}</definedName>
    <definedName name="peroxide" localSheetId="6" hidden="1">{#N/A,#N/A,FALSE,"CCTV"}</definedName>
    <definedName name="peroxide" localSheetId="7" hidden="1">{#N/A,#N/A,FALSE,"CCTV"}</definedName>
    <definedName name="peroxide" localSheetId="5" hidden="1">{#N/A,#N/A,FALSE,"CCTV"}</definedName>
    <definedName name="peroxide" hidden="1">{#N/A,#N/A,FALSE,"CCTV"}</definedName>
    <definedName name="PESO">#REF!</definedName>
    <definedName name="Peso_especif.">#REF!</definedName>
    <definedName name="PF">#REF!</definedName>
    <definedName name="PHAN" localSheetId="18" hidden="1">{#N/A,#N/A,FALSE,"CCTV"}</definedName>
    <definedName name="PHAN" hidden="1">{#N/A,#N/A,FALSE,"CCTV"}</definedName>
    <definedName name="Phan1">#REF!</definedName>
    <definedName name="phanchia" localSheetId="18" hidden="1">{#N/A,#N/A,FALSE,"Chi tiÆt"}</definedName>
    <definedName name="phanchia" localSheetId="11" hidden="1">{#N/A,#N/A,FALSE,"Chi tiÆt"}</definedName>
    <definedName name="phanchia" localSheetId="1" hidden="1">{#N/A,#N/A,FALSE,"Chi tiÆt"}</definedName>
    <definedName name="phanchia" localSheetId="2" hidden="1">{#N/A,#N/A,FALSE,"Chi tiÆt"}</definedName>
    <definedName name="phanchia" localSheetId="12" hidden="1">{#N/A,#N/A,FALSE,"Chi tiÆt"}</definedName>
    <definedName name="phanchia" localSheetId="4" hidden="1">{#N/A,#N/A,FALSE,"Chi tiÆt"}</definedName>
    <definedName name="phanchia" localSheetId="19" hidden="1">{#N/A,#N/A,FALSE,"Chi tiÆt"}</definedName>
    <definedName name="phanchia" localSheetId="10" hidden="1">{#N/A,#N/A,FALSE,"Chi tiÆt"}</definedName>
    <definedName name="phanchia" localSheetId="9" hidden="1">{#N/A,#N/A,FALSE,"Chi tiÆt"}</definedName>
    <definedName name="phanchia" localSheetId="8" hidden="1">{#N/A,#N/A,FALSE,"Chi tiÆt"}</definedName>
    <definedName name="phanchia" localSheetId="3" hidden="1">{#N/A,#N/A,FALSE,"Chi tiÆt"}</definedName>
    <definedName name="phanchia" localSheetId="6" hidden="1">{#N/A,#N/A,FALSE,"Chi tiÆt"}</definedName>
    <definedName name="phanchia" localSheetId="7" hidden="1">{#N/A,#N/A,FALSE,"Chi tiÆt"}</definedName>
    <definedName name="phanchia" localSheetId="5" hidden="1">{#N/A,#N/A,FALSE,"Chi tiÆt"}</definedName>
    <definedName name="phanchia" localSheetId="13" hidden="1">{#N/A,#N/A,FALSE,"Chi tiÆt"}</definedName>
    <definedName name="phanchia" hidden="1">{#N/A,#N/A,FALSE,"Chi tiÆt"}</definedName>
    <definedName name="PHASE" localSheetId="18" hidden="1">{#N/A,#N/A,TRUE,"Basic";#N/A,#N/A,TRUE,"EXT-TABLE";#N/A,#N/A,TRUE,"STEEL";#N/A,#N/A,TRUE,"INT-Table";#N/A,#N/A,TRUE,"STEEL";#N/A,#N/A,TRUE,"Door"}</definedName>
    <definedName name="PHASE" hidden="1">{#N/A,#N/A,TRUE,"Basic";#N/A,#N/A,TRUE,"EXT-TABLE";#N/A,#N/A,TRUE,"STEEL";#N/A,#N/A,TRUE,"INT-Table";#N/A,#N/A,TRUE,"STEEL";#N/A,#N/A,TRUE,"Door"}</definedName>
    <definedName name="PHASE_1" localSheetId="18" hidden="1">{#N/A,#N/A,TRUE,"Basic";#N/A,#N/A,TRUE,"EXT-TABLE";#N/A,#N/A,TRUE,"STEEL";#N/A,#N/A,TRUE,"INT-Table";#N/A,#N/A,TRUE,"STEEL";#N/A,#N/A,TRUE,"Door"}</definedName>
    <definedName name="PHASE_1" hidden="1">{#N/A,#N/A,TRUE,"Basic";#N/A,#N/A,TRUE,"EXT-TABLE";#N/A,#N/A,TRUE,"STEEL";#N/A,#N/A,TRUE,"INT-Table";#N/A,#N/A,TRUE,"STEEL";#N/A,#N/A,TRUE,"Door"}</definedName>
    <definedName name="PHASE_1_1" localSheetId="18" hidden="1">{#N/A,#N/A,TRUE,"Basic";#N/A,#N/A,TRUE,"EXT-TABLE";#N/A,#N/A,TRUE,"STEEL";#N/A,#N/A,TRUE,"INT-Table";#N/A,#N/A,TRUE,"STEEL";#N/A,#N/A,TRUE,"Door"}</definedName>
    <definedName name="PHASE_1_1" hidden="1">{#N/A,#N/A,TRUE,"Basic";#N/A,#N/A,TRUE,"EXT-TABLE";#N/A,#N/A,TRUE,"STEEL";#N/A,#N/A,TRUE,"INT-Table";#N/A,#N/A,TRUE,"STEEL";#N/A,#N/A,TRUE,"Door"}</definedName>
    <definedName name="PHASE_1_2" localSheetId="18" hidden="1">{#N/A,#N/A,TRUE,"Basic";#N/A,#N/A,TRUE,"EXT-TABLE";#N/A,#N/A,TRUE,"STEEL";#N/A,#N/A,TRUE,"INT-Table";#N/A,#N/A,TRUE,"STEEL";#N/A,#N/A,TRUE,"Door"}</definedName>
    <definedName name="PHASE_1_2" hidden="1">{#N/A,#N/A,TRUE,"Basic";#N/A,#N/A,TRUE,"EXT-TABLE";#N/A,#N/A,TRUE,"STEEL";#N/A,#N/A,TRUE,"INT-Table";#N/A,#N/A,TRUE,"STEEL";#N/A,#N/A,TRUE,"Door"}</definedName>
    <definedName name="PHASE_2" localSheetId="18" hidden="1">{#N/A,#N/A,TRUE,"Basic";#N/A,#N/A,TRUE,"EXT-TABLE";#N/A,#N/A,TRUE,"STEEL";#N/A,#N/A,TRUE,"INT-Table";#N/A,#N/A,TRUE,"STEEL";#N/A,#N/A,TRUE,"Door"}</definedName>
    <definedName name="PHASE_2" hidden="1">{#N/A,#N/A,TRUE,"Basic";#N/A,#N/A,TRUE,"EXT-TABLE";#N/A,#N/A,TRUE,"STEEL";#N/A,#N/A,TRUE,"INT-Table";#N/A,#N/A,TRUE,"STEEL";#N/A,#N/A,TRUE,"Door"}</definedName>
    <definedName name="PHASE_2_1" localSheetId="18" hidden="1">{#N/A,#N/A,TRUE,"Basic";#N/A,#N/A,TRUE,"EXT-TABLE";#N/A,#N/A,TRUE,"STEEL";#N/A,#N/A,TRUE,"INT-Table";#N/A,#N/A,TRUE,"STEEL";#N/A,#N/A,TRUE,"Door"}</definedName>
    <definedName name="PHASE_2_1" hidden="1">{#N/A,#N/A,TRUE,"Basic";#N/A,#N/A,TRUE,"EXT-TABLE";#N/A,#N/A,TRUE,"STEEL";#N/A,#N/A,TRUE,"INT-Table";#N/A,#N/A,TRUE,"STEEL";#N/A,#N/A,TRUE,"Door"}</definedName>
    <definedName name="PHASE_2_2" localSheetId="18" hidden="1">{#N/A,#N/A,TRUE,"Basic";#N/A,#N/A,TRUE,"EXT-TABLE";#N/A,#N/A,TRUE,"STEEL";#N/A,#N/A,TRUE,"INT-Table";#N/A,#N/A,TRUE,"STEEL";#N/A,#N/A,TRUE,"Door"}</definedName>
    <definedName name="PHASE_2_2" hidden="1">{#N/A,#N/A,TRUE,"Basic";#N/A,#N/A,TRUE,"EXT-TABLE";#N/A,#N/A,TRUE,"STEEL";#N/A,#N/A,TRUE,"INT-Table";#N/A,#N/A,TRUE,"STEEL";#N/A,#N/A,TRUE,"Door"}</definedName>
    <definedName name="PHASE_3" localSheetId="18" hidden="1">{#N/A,#N/A,TRUE,"Basic";#N/A,#N/A,TRUE,"EXT-TABLE";#N/A,#N/A,TRUE,"STEEL";#N/A,#N/A,TRUE,"INT-Table";#N/A,#N/A,TRUE,"STEEL";#N/A,#N/A,TRUE,"Door"}</definedName>
    <definedName name="PHASE_3" hidden="1">{#N/A,#N/A,TRUE,"Basic";#N/A,#N/A,TRUE,"EXT-TABLE";#N/A,#N/A,TRUE,"STEEL";#N/A,#N/A,TRUE,"INT-Table";#N/A,#N/A,TRUE,"STEEL";#N/A,#N/A,TRUE,"Door"}</definedName>
    <definedName name="PHASE_3_1" localSheetId="18" hidden="1">{#N/A,#N/A,TRUE,"Basic";#N/A,#N/A,TRUE,"EXT-TABLE";#N/A,#N/A,TRUE,"STEEL";#N/A,#N/A,TRUE,"INT-Table";#N/A,#N/A,TRUE,"STEEL";#N/A,#N/A,TRUE,"Door"}</definedName>
    <definedName name="PHASE_3_1" hidden="1">{#N/A,#N/A,TRUE,"Basic";#N/A,#N/A,TRUE,"EXT-TABLE";#N/A,#N/A,TRUE,"STEEL";#N/A,#N/A,TRUE,"INT-Table";#N/A,#N/A,TRUE,"STEEL";#N/A,#N/A,TRUE,"Door"}</definedName>
    <definedName name="PHASE_3_2" localSheetId="18" hidden="1">{#N/A,#N/A,TRUE,"Basic";#N/A,#N/A,TRUE,"EXT-TABLE";#N/A,#N/A,TRUE,"STEEL";#N/A,#N/A,TRUE,"INT-Table";#N/A,#N/A,TRUE,"STEEL";#N/A,#N/A,TRUE,"Door"}</definedName>
    <definedName name="PHASE_3_2" hidden="1">{#N/A,#N/A,TRUE,"Basic";#N/A,#N/A,TRUE,"EXT-TABLE";#N/A,#N/A,TRUE,"STEEL";#N/A,#N/A,TRUE,"INT-Table";#N/A,#N/A,TRUE,"STEEL";#N/A,#N/A,TRUE,"Door"}</definedName>
    <definedName name="PHASE_4" localSheetId="18" hidden="1">{#N/A,#N/A,TRUE,"Basic";#N/A,#N/A,TRUE,"EXT-TABLE";#N/A,#N/A,TRUE,"STEEL";#N/A,#N/A,TRUE,"INT-Table";#N/A,#N/A,TRUE,"STEEL";#N/A,#N/A,TRUE,"Door"}</definedName>
    <definedName name="PHASE_4" hidden="1">{#N/A,#N/A,TRUE,"Basic";#N/A,#N/A,TRUE,"EXT-TABLE";#N/A,#N/A,TRUE,"STEEL";#N/A,#N/A,TRUE,"INT-Table";#N/A,#N/A,TRUE,"STEEL";#N/A,#N/A,TRUE,"Door"}</definedName>
    <definedName name="PHASE_4_1" localSheetId="18" hidden="1">{#N/A,#N/A,TRUE,"Basic";#N/A,#N/A,TRUE,"EXT-TABLE";#N/A,#N/A,TRUE,"STEEL";#N/A,#N/A,TRUE,"INT-Table";#N/A,#N/A,TRUE,"STEEL";#N/A,#N/A,TRUE,"Door"}</definedName>
    <definedName name="PHASE_4_1" hidden="1">{#N/A,#N/A,TRUE,"Basic";#N/A,#N/A,TRUE,"EXT-TABLE";#N/A,#N/A,TRUE,"STEEL";#N/A,#N/A,TRUE,"INT-Table";#N/A,#N/A,TRUE,"STEEL";#N/A,#N/A,TRUE,"Door"}</definedName>
    <definedName name="PHASE_4_2" localSheetId="18" hidden="1">{#N/A,#N/A,TRUE,"Basic";#N/A,#N/A,TRUE,"EXT-TABLE";#N/A,#N/A,TRUE,"STEEL";#N/A,#N/A,TRUE,"INT-Table";#N/A,#N/A,TRUE,"STEEL";#N/A,#N/A,TRUE,"Door"}</definedName>
    <definedName name="PHASE_4_2" hidden="1">{#N/A,#N/A,TRUE,"Basic";#N/A,#N/A,TRUE,"EXT-TABLE";#N/A,#N/A,TRUE,"STEEL";#N/A,#N/A,TRUE,"INT-Table";#N/A,#N/A,TRUE,"STEEL";#N/A,#N/A,TRUE,"Door"}</definedName>
    <definedName name="PHASE_5" localSheetId="18" hidden="1">{#N/A,#N/A,TRUE,"Basic";#N/A,#N/A,TRUE,"EXT-TABLE";#N/A,#N/A,TRUE,"STEEL";#N/A,#N/A,TRUE,"INT-Table";#N/A,#N/A,TRUE,"STEEL";#N/A,#N/A,TRUE,"Door"}</definedName>
    <definedName name="PHASE_5" hidden="1">{#N/A,#N/A,TRUE,"Basic";#N/A,#N/A,TRUE,"EXT-TABLE";#N/A,#N/A,TRUE,"STEEL";#N/A,#N/A,TRUE,"INT-Table";#N/A,#N/A,TRUE,"STEEL";#N/A,#N/A,TRUE,"Door"}</definedName>
    <definedName name="PHASE_5_1" localSheetId="18" hidden="1">{#N/A,#N/A,TRUE,"Basic";#N/A,#N/A,TRUE,"EXT-TABLE";#N/A,#N/A,TRUE,"STEEL";#N/A,#N/A,TRUE,"INT-Table";#N/A,#N/A,TRUE,"STEEL";#N/A,#N/A,TRUE,"Door"}</definedName>
    <definedName name="PHASE_5_1" hidden="1">{#N/A,#N/A,TRUE,"Basic";#N/A,#N/A,TRUE,"EXT-TABLE";#N/A,#N/A,TRUE,"STEEL";#N/A,#N/A,TRUE,"INT-Table";#N/A,#N/A,TRUE,"STEEL";#N/A,#N/A,TRUE,"Door"}</definedName>
    <definedName name="PHASE_5_2" localSheetId="18" hidden="1">{#N/A,#N/A,TRUE,"Basic";#N/A,#N/A,TRUE,"EXT-TABLE";#N/A,#N/A,TRUE,"STEEL";#N/A,#N/A,TRUE,"INT-Table";#N/A,#N/A,TRUE,"STEEL";#N/A,#N/A,TRUE,"Door"}</definedName>
    <definedName name="PHASE_5_2" hidden="1">{#N/A,#N/A,TRUE,"Basic";#N/A,#N/A,TRUE,"EXT-TABLE";#N/A,#N/A,TRUE,"STEEL";#N/A,#N/A,TRUE,"INT-Table";#N/A,#N/A,TRUE,"STEEL";#N/A,#N/A,TRUE,"Door"}</definedName>
    <definedName name="PHAT" localSheetId="18" hidden="1">{#N/A,#N/A,FALSE,"CCTV"}</definedName>
    <definedName name="PHAT" hidden="1">{#N/A,#N/A,FALSE,"CCTV"}</definedName>
    <definedName name="phongve12KmTN" localSheetId="18" hidden="1">{"'Sheet1'!$L$16"}</definedName>
    <definedName name="phongve12KmTN" localSheetId="11" hidden="1">{"'Sheet1'!$L$16"}</definedName>
    <definedName name="phongve12KmTN" localSheetId="1" hidden="1">{"'Sheet1'!$L$16"}</definedName>
    <definedName name="phongve12KmTN" localSheetId="2" hidden="1">{"'Sheet1'!$L$16"}</definedName>
    <definedName name="phongve12KmTN" localSheetId="12" hidden="1">{"'Sheet1'!$L$16"}</definedName>
    <definedName name="phongve12KmTN" localSheetId="4" hidden="1">{"'Sheet1'!$L$16"}</definedName>
    <definedName name="phongve12KmTN" localSheetId="19" hidden="1">{"'Sheet1'!$L$16"}</definedName>
    <definedName name="phongve12KmTN" localSheetId="10" hidden="1">{"'Sheet1'!$L$16"}</definedName>
    <definedName name="phongve12KmTN" localSheetId="9" hidden="1">{"'Sheet1'!$L$16"}</definedName>
    <definedName name="phongve12KmTN" localSheetId="8" hidden="1">{"'Sheet1'!$L$16"}</definedName>
    <definedName name="phongve12KmTN" localSheetId="3" hidden="1">{"'Sheet1'!$L$16"}</definedName>
    <definedName name="phongve12KmTN" localSheetId="6" hidden="1">{"'Sheet1'!$L$16"}</definedName>
    <definedName name="phongve12KmTN" localSheetId="7" hidden="1">{"'Sheet1'!$L$16"}</definedName>
    <definedName name="phongve12KmTN" localSheetId="5" hidden="1">{"'Sheet1'!$L$16"}</definedName>
    <definedName name="phongve12KmTN" localSheetId="13" hidden="1">{"'Sheet1'!$L$16"}</definedName>
    <definedName name="phongve12KmTN" hidden="1">{"'Sheet1'!$L$16"}</definedName>
    <definedName name="phongve12KmTN1" localSheetId="18" hidden="1">{"'Sheet1'!$L$16"}</definedName>
    <definedName name="phongve12KmTN1" localSheetId="11" hidden="1">{"'Sheet1'!$L$16"}</definedName>
    <definedName name="phongve12KmTN1" localSheetId="1" hidden="1">{"'Sheet1'!$L$16"}</definedName>
    <definedName name="phongve12KmTN1" localSheetId="2" hidden="1">{"'Sheet1'!$L$16"}</definedName>
    <definedName name="phongve12KmTN1" localSheetId="12" hidden="1">{"'Sheet1'!$L$16"}</definedName>
    <definedName name="phongve12KmTN1" localSheetId="4" hidden="1">{"'Sheet1'!$L$16"}</definedName>
    <definedName name="phongve12KmTN1" localSheetId="19" hidden="1">{"'Sheet1'!$L$16"}</definedName>
    <definedName name="phongve12KmTN1" localSheetId="10" hidden="1">{"'Sheet1'!$L$16"}</definedName>
    <definedName name="phongve12KmTN1" localSheetId="9" hidden="1">{"'Sheet1'!$L$16"}</definedName>
    <definedName name="phongve12KmTN1" localSheetId="8" hidden="1">{"'Sheet1'!$L$16"}</definedName>
    <definedName name="phongve12KmTN1" localSheetId="3" hidden="1">{"'Sheet1'!$L$16"}</definedName>
    <definedName name="phongve12KmTN1" localSheetId="6" hidden="1">{"'Sheet1'!$L$16"}</definedName>
    <definedName name="phongve12KmTN1" localSheetId="7" hidden="1">{"'Sheet1'!$L$16"}</definedName>
    <definedName name="phongve12KmTN1" localSheetId="5" hidden="1">{"'Sheet1'!$L$16"}</definedName>
    <definedName name="phongve12KmTN1" localSheetId="13" hidden="1">{"'Sheet1'!$L$16"}</definedName>
    <definedName name="phongve12KmTN1" hidden="1">{"'Sheet1'!$L$16"}</definedName>
    <definedName name="pi">#REF!</definedName>
    <definedName name="PIDtable">#REF!</definedName>
    <definedName name="PIPE">#REF!</definedName>
    <definedName name="PIPE1" localSheetId="11">[71]DATA_REFERENCE!#REF!</definedName>
    <definedName name="PIPE1" localSheetId="1">[71]DATA_REFERENCE!#REF!</definedName>
    <definedName name="PIPE1" localSheetId="2">[71]DATA_REFERENCE!#REF!</definedName>
    <definedName name="PIPE1" localSheetId="4">[71]DATA_REFERENCE!#REF!</definedName>
    <definedName name="PIPE1" localSheetId="19">[71]DATA_REFERENCE!#REF!</definedName>
    <definedName name="PIPE1" localSheetId="10">[71]DATA_REFERENCE!#REF!</definedName>
    <definedName name="PIPE1" localSheetId="9">[71]DATA_REFERENCE!#REF!</definedName>
    <definedName name="PIPE1" localSheetId="8">[71]DATA_REFERENCE!#REF!</definedName>
    <definedName name="PIPE1" localSheetId="3">[71]DATA_REFERENCE!#REF!</definedName>
    <definedName name="PIPE1" localSheetId="6">[71]DATA_REFERENCE!#REF!</definedName>
    <definedName name="PIPE1" localSheetId="7">[71]DATA_REFERENCE!#REF!</definedName>
    <definedName name="PIPE1" localSheetId="5">[71]DATA_REFERENCE!#REF!</definedName>
    <definedName name="PIPE1">#REF!</definedName>
    <definedName name="PIPE10" localSheetId="11">[71]DATA_REFERENCE!#REF!</definedName>
    <definedName name="PIPE10" localSheetId="1">[71]DATA_REFERENCE!#REF!</definedName>
    <definedName name="PIPE10" localSheetId="2">[71]DATA_REFERENCE!#REF!</definedName>
    <definedName name="PIPE10" localSheetId="4">[71]DATA_REFERENCE!#REF!</definedName>
    <definedName name="PIPE10" localSheetId="19">[71]DATA_REFERENCE!#REF!</definedName>
    <definedName name="PIPE10" localSheetId="10">[71]DATA_REFERENCE!#REF!</definedName>
    <definedName name="PIPE10" localSheetId="9">[71]DATA_REFERENCE!#REF!</definedName>
    <definedName name="PIPE10" localSheetId="8">[71]DATA_REFERENCE!#REF!</definedName>
    <definedName name="PIPE10" localSheetId="3">[71]DATA_REFERENCE!#REF!</definedName>
    <definedName name="PIPE10" localSheetId="6">[71]DATA_REFERENCE!#REF!</definedName>
    <definedName name="PIPE10" localSheetId="7">[71]DATA_REFERENCE!#REF!</definedName>
    <definedName name="PIPE10" localSheetId="5">[71]DATA_REFERENCE!#REF!</definedName>
    <definedName name="PIPE10">#REF!</definedName>
    <definedName name="PIPE12" localSheetId="11">[71]DATA_REFERENCE!#REF!</definedName>
    <definedName name="PIPE12" localSheetId="1">[71]DATA_REFERENCE!#REF!</definedName>
    <definedName name="PIPE12" localSheetId="2">[71]DATA_REFERENCE!#REF!</definedName>
    <definedName name="PIPE12" localSheetId="4">[71]DATA_REFERENCE!#REF!</definedName>
    <definedName name="PIPE12" localSheetId="19">[71]DATA_REFERENCE!#REF!</definedName>
    <definedName name="PIPE12" localSheetId="10">[71]DATA_REFERENCE!#REF!</definedName>
    <definedName name="PIPE12" localSheetId="9">[71]DATA_REFERENCE!#REF!</definedName>
    <definedName name="PIPE12" localSheetId="8">[71]DATA_REFERENCE!#REF!</definedName>
    <definedName name="PIPE12" localSheetId="3">[71]DATA_REFERENCE!#REF!</definedName>
    <definedName name="PIPE12" localSheetId="6">[71]DATA_REFERENCE!#REF!</definedName>
    <definedName name="PIPE12" localSheetId="7">[71]DATA_REFERENCE!#REF!</definedName>
    <definedName name="PIPE12" localSheetId="5">[71]DATA_REFERENCE!#REF!</definedName>
    <definedName name="PIPE12">#REF!</definedName>
    <definedName name="PIPE14" localSheetId="11">[71]DATA_REFERENCE!#REF!</definedName>
    <definedName name="PIPE14" localSheetId="1">[71]DATA_REFERENCE!#REF!</definedName>
    <definedName name="PIPE14" localSheetId="2">[71]DATA_REFERENCE!#REF!</definedName>
    <definedName name="PIPE14" localSheetId="4">[71]DATA_REFERENCE!#REF!</definedName>
    <definedName name="PIPE14" localSheetId="19">[71]DATA_REFERENCE!#REF!</definedName>
    <definedName name="PIPE14" localSheetId="10">[71]DATA_REFERENCE!#REF!</definedName>
    <definedName name="PIPE14" localSheetId="9">[71]DATA_REFERENCE!#REF!</definedName>
    <definedName name="PIPE14" localSheetId="8">[71]DATA_REFERENCE!#REF!</definedName>
    <definedName name="PIPE14" localSheetId="3">[71]DATA_REFERENCE!#REF!</definedName>
    <definedName name="PIPE14" localSheetId="6">[71]DATA_REFERENCE!#REF!</definedName>
    <definedName name="PIPE14" localSheetId="7">[71]DATA_REFERENCE!#REF!</definedName>
    <definedName name="PIPE14" localSheetId="5">[71]DATA_REFERENCE!#REF!</definedName>
    <definedName name="PIPE14">#REF!</definedName>
    <definedName name="PIPE16" localSheetId="11">[71]DATA_REFERENCE!#REF!</definedName>
    <definedName name="PIPE16" localSheetId="1">[71]DATA_REFERENCE!#REF!</definedName>
    <definedName name="PIPE16" localSheetId="2">[71]DATA_REFERENCE!#REF!</definedName>
    <definedName name="PIPE16" localSheetId="4">[71]DATA_REFERENCE!#REF!</definedName>
    <definedName name="PIPE16" localSheetId="19">[71]DATA_REFERENCE!#REF!</definedName>
    <definedName name="PIPE16" localSheetId="10">[71]DATA_REFERENCE!#REF!</definedName>
    <definedName name="PIPE16" localSheetId="9">[71]DATA_REFERENCE!#REF!</definedName>
    <definedName name="PIPE16" localSheetId="8">[71]DATA_REFERENCE!#REF!</definedName>
    <definedName name="PIPE16" localSheetId="3">[71]DATA_REFERENCE!#REF!</definedName>
    <definedName name="PIPE16" localSheetId="6">[71]DATA_REFERENCE!#REF!</definedName>
    <definedName name="PIPE16" localSheetId="7">[71]DATA_REFERENCE!#REF!</definedName>
    <definedName name="PIPE16" localSheetId="5">[71]DATA_REFERENCE!#REF!</definedName>
    <definedName name="PIPE16">#REF!</definedName>
    <definedName name="PIPE18" localSheetId="11">[71]DATA_REFERENCE!#REF!</definedName>
    <definedName name="PIPE18" localSheetId="1">[71]DATA_REFERENCE!#REF!</definedName>
    <definedName name="PIPE18" localSheetId="2">[71]DATA_REFERENCE!#REF!</definedName>
    <definedName name="PIPE18" localSheetId="4">[71]DATA_REFERENCE!#REF!</definedName>
    <definedName name="PIPE18" localSheetId="19">[71]DATA_REFERENCE!#REF!</definedName>
    <definedName name="PIPE18" localSheetId="10">[71]DATA_REFERENCE!#REF!</definedName>
    <definedName name="PIPE18" localSheetId="9">[71]DATA_REFERENCE!#REF!</definedName>
    <definedName name="PIPE18" localSheetId="8">[71]DATA_REFERENCE!#REF!</definedName>
    <definedName name="PIPE18" localSheetId="3">[71]DATA_REFERENCE!#REF!</definedName>
    <definedName name="PIPE18" localSheetId="6">[71]DATA_REFERENCE!#REF!</definedName>
    <definedName name="PIPE18" localSheetId="7">[71]DATA_REFERENCE!#REF!</definedName>
    <definedName name="PIPE18" localSheetId="5">[71]DATA_REFERENCE!#REF!</definedName>
    <definedName name="PIPE18">#REF!</definedName>
    <definedName name="PIPE2" localSheetId="11">[71]DATA_REFERENCE!#REF!</definedName>
    <definedName name="PIPE2" localSheetId="1">[71]DATA_REFERENCE!#REF!</definedName>
    <definedName name="PIPE2" localSheetId="2">[71]DATA_REFERENCE!#REF!</definedName>
    <definedName name="PIPE2" localSheetId="4">[71]DATA_REFERENCE!#REF!</definedName>
    <definedName name="PIPE2" localSheetId="19">[71]DATA_REFERENCE!#REF!</definedName>
    <definedName name="PIPE2" localSheetId="10">[71]DATA_REFERENCE!#REF!</definedName>
    <definedName name="PIPE2" localSheetId="9">[71]DATA_REFERENCE!#REF!</definedName>
    <definedName name="PIPE2" localSheetId="8">[71]DATA_REFERENCE!#REF!</definedName>
    <definedName name="PIPE2" localSheetId="3">[71]DATA_REFERENCE!#REF!</definedName>
    <definedName name="PIPE2" localSheetId="6">[71]DATA_REFERENCE!#REF!</definedName>
    <definedName name="PIPE2" localSheetId="7">[71]DATA_REFERENCE!#REF!</definedName>
    <definedName name="PIPE2" localSheetId="5">[71]DATA_REFERENCE!#REF!</definedName>
    <definedName name="PIPE2">#REF!</definedName>
    <definedName name="PIPE20" localSheetId="11">[71]DATA_REFERENCE!#REF!</definedName>
    <definedName name="PIPE20" localSheetId="1">[71]DATA_REFERENCE!#REF!</definedName>
    <definedName name="PIPE20" localSheetId="2">[71]DATA_REFERENCE!#REF!</definedName>
    <definedName name="PIPE20" localSheetId="4">[71]DATA_REFERENCE!#REF!</definedName>
    <definedName name="PIPE20" localSheetId="19">[71]DATA_REFERENCE!#REF!</definedName>
    <definedName name="PIPE20" localSheetId="10">[71]DATA_REFERENCE!#REF!</definedName>
    <definedName name="PIPE20" localSheetId="9">[71]DATA_REFERENCE!#REF!</definedName>
    <definedName name="PIPE20" localSheetId="8">[71]DATA_REFERENCE!#REF!</definedName>
    <definedName name="PIPE20" localSheetId="3">[71]DATA_REFERENCE!#REF!</definedName>
    <definedName name="PIPE20" localSheetId="6">[71]DATA_REFERENCE!#REF!</definedName>
    <definedName name="PIPE20" localSheetId="7">[71]DATA_REFERENCE!#REF!</definedName>
    <definedName name="PIPE20" localSheetId="5">[71]DATA_REFERENCE!#REF!</definedName>
    <definedName name="PIPE20">#REF!</definedName>
    <definedName name="PIPE22" localSheetId="11">[71]DATA_REFERENCE!#REF!</definedName>
    <definedName name="PIPE22" localSheetId="1">[71]DATA_REFERENCE!#REF!</definedName>
    <definedName name="PIPE22" localSheetId="2">[71]DATA_REFERENCE!#REF!</definedName>
    <definedName name="PIPE22" localSheetId="4">[71]DATA_REFERENCE!#REF!</definedName>
    <definedName name="PIPE22" localSheetId="19">[71]DATA_REFERENCE!#REF!</definedName>
    <definedName name="PIPE22" localSheetId="10">[71]DATA_REFERENCE!#REF!</definedName>
    <definedName name="PIPE22" localSheetId="9">[71]DATA_REFERENCE!#REF!</definedName>
    <definedName name="PIPE22" localSheetId="8">[71]DATA_REFERENCE!#REF!</definedName>
    <definedName name="PIPE22" localSheetId="3">[71]DATA_REFERENCE!#REF!</definedName>
    <definedName name="PIPE22" localSheetId="6">[71]DATA_REFERENCE!#REF!</definedName>
    <definedName name="PIPE22" localSheetId="7">[71]DATA_REFERENCE!#REF!</definedName>
    <definedName name="PIPE22" localSheetId="5">[71]DATA_REFERENCE!#REF!</definedName>
    <definedName name="PIPE22">#REF!</definedName>
    <definedName name="PIPE3" localSheetId="11">[71]DATA_REFERENCE!#REF!</definedName>
    <definedName name="PIPE3" localSheetId="1">[71]DATA_REFERENCE!#REF!</definedName>
    <definedName name="PIPE3" localSheetId="2">[71]DATA_REFERENCE!#REF!</definedName>
    <definedName name="PIPE3" localSheetId="4">[71]DATA_REFERENCE!#REF!</definedName>
    <definedName name="PIPE3" localSheetId="19">[71]DATA_REFERENCE!#REF!</definedName>
    <definedName name="PIPE3" localSheetId="10">[71]DATA_REFERENCE!#REF!</definedName>
    <definedName name="PIPE3" localSheetId="9">[71]DATA_REFERENCE!#REF!</definedName>
    <definedName name="PIPE3" localSheetId="8">[71]DATA_REFERENCE!#REF!</definedName>
    <definedName name="PIPE3" localSheetId="3">[71]DATA_REFERENCE!#REF!</definedName>
    <definedName name="PIPE3" localSheetId="6">[71]DATA_REFERENCE!#REF!</definedName>
    <definedName name="PIPE3" localSheetId="7">[71]DATA_REFERENCE!#REF!</definedName>
    <definedName name="PIPE3" localSheetId="5">[71]DATA_REFERENCE!#REF!</definedName>
    <definedName name="PIPE3">#REF!</definedName>
    <definedName name="PIPE4" localSheetId="11">[71]DATA_REFERENCE!#REF!</definedName>
    <definedName name="PIPE4" localSheetId="1">[71]DATA_REFERENCE!#REF!</definedName>
    <definedName name="PIPE4" localSheetId="2">[71]DATA_REFERENCE!#REF!</definedName>
    <definedName name="PIPE4" localSheetId="4">[71]DATA_REFERENCE!#REF!</definedName>
    <definedName name="PIPE4" localSheetId="19">[71]DATA_REFERENCE!#REF!</definedName>
    <definedName name="PIPE4" localSheetId="10">[71]DATA_REFERENCE!#REF!</definedName>
    <definedName name="PIPE4" localSheetId="9">[71]DATA_REFERENCE!#REF!</definedName>
    <definedName name="PIPE4" localSheetId="8">[71]DATA_REFERENCE!#REF!</definedName>
    <definedName name="PIPE4" localSheetId="3">[71]DATA_REFERENCE!#REF!</definedName>
    <definedName name="PIPE4" localSheetId="6">[71]DATA_REFERENCE!#REF!</definedName>
    <definedName name="PIPE4" localSheetId="7">[71]DATA_REFERENCE!#REF!</definedName>
    <definedName name="PIPE4" localSheetId="5">[71]DATA_REFERENCE!#REF!</definedName>
    <definedName name="PIPE4">#REF!</definedName>
    <definedName name="PIPE6" localSheetId="11">[71]DATA_REFERENCE!#REF!</definedName>
    <definedName name="PIPE6" localSheetId="1">[71]DATA_REFERENCE!#REF!</definedName>
    <definedName name="PIPE6" localSheetId="2">[71]DATA_REFERENCE!#REF!</definedName>
    <definedName name="PIPE6" localSheetId="4">[71]DATA_REFERENCE!#REF!</definedName>
    <definedName name="PIPE6" localSheetId="19">[71]DATA_REFERENCE!#REF!</definedName>
    <definedName name="PIPE6" localSheetId="10">[71]DATA_REFERENCE!#REF!</definedName>
    <definedName name="PIPE6" localSheetId="9">[71]DATA_REFERENCE!#REF!</definedName>
    <definedName name="PIPE6" localSheetId="8">[71]DATA_REFERENCE!#REF!</definedName>
    <definedName name="PIPE6" localSheetId="3">[71]DATA_REFERENCE!#REF!</definedName>
    <definedName name="PIPE6" localSheetId="6">[71]DATA_REFERENCE!#REF!</definedName>
    <definedName name="PIPE6" localSheetId="7">[71]DATA_REFERENCE!#REF!</definedName>
    <definedName name="PIPE6" localSheetId="5">[71]DATA_REFERENCE!#REF!</definedName>
    <definedName name="PIPE6">#REF!</definedName>
    <definedName name="PIPE8" localSheetId="11">[71]DATA_REFERENCE!#REF!</definedName>
    <definedName name="PIPE8" localSheetId="1">[71]DATA_REFERENCE!#REF!</definedName>
    <definedName name="PIPE8" localSheetId="2">[71]DATA_REFERENCE!#REF!</definedName>
    <definedName name="PIPE8" localSheetId="4">[71]DATA_REFERENCE!#REF!</definedName>
    <definedName name="PIPE8" localSheetId="19">[71]DATA_REFERENCE!#REF!</definedName>
    <definedName name="PIPE8" localSheetId="10">[71]DATA_REFERENCE!#REF!</definedName>
    <definedName name="PIPE8" localSheetId="9">[71]DATA_REFERENCE!#REF!</definedName>
    <definedName name="PIPE8" localSheetId="8">[71]DATA_REFERENCE!#REF!</definedName>
    <definedName name="PIPE8" localSheetId="3">[71]DATA_REFERENCE!#REF!</definedName>
    <definedName name="PIPE8" localSheetId="6">[71]DATA_REFERENCE!#REF!</definedName>
    <definedName name="PIPE8" localSheetId="7">[71]DATA_REFERENCE!#REF!</definedName>
    <definedName name="PIPE8" localSheetId="5">[71]DATA_REFERENCE!#REF!</definedName>
    <definedName name="PIPE8">#REF!</definedName>
    <definedName name="pipeclamp">[45]pipe!$A$3:$A$33</definedName>
    <definedName name="PipeWeightDat">[75]WeightTable!$B:$C</definedName>
    <definedName name="PIPING" localSheetId="18" hidden="1">{#N/A,#N/A,FALSE,"Project Cost Summary";#N/A,#N/A,FALSE,"Man Hour Summary"}</definedName>
    <definedName name="PIPING" localSheetId="1" hidden="1">{#N/A,#N/A,FALSE,"Project Cost Summary";#N/A,#N/A,FALSE,"Man Hour Summary"}</definedName>
    <definedName name="PIPING" localSheetId="2" hidden="1">{#N/A,#N/A,FALSE,"Project Cost Summary";#N/A,#N/A,FALSE,"Man Hour Summary"}</definedName>
    <definedName name="PIPING" localSheetId="4" hidden="1">{#N/A,#N/A,FALSE,"Project Cost Summary";#N/A,#N/A,FALSE,"Man Hour Summary"}</definedName>
    <definedName name="PIPING" localSheetId="19" hidden="1">{#N/A,#N/A,FALSE,"Project Cost Summary";#N/A,#N/A,FALSE,"Man Hour Summary"}</definedName>
    <definedName name="PIPING" localSheetId="10" hidden="1">{#N/A,#N/A,FALSE,"Project Cost Summary";#N/A,#N/A,FALSE,"Man Hour Summary"}</definedName>
    <definedName name="PIPING" localSheetId="9" hidden="1">{#N/A,#N/A,FALSE,"Project Cost Summary";#N/A,#N/A,FALSE,"Man Hour Summary"}</definedName>
    <definedName name="PIPING" localSheetId="8" hidden="1">{#N/A,#N/A,FALSE,"Project Cost Summary";#N/A,#N/A,FALSE,"Man Hour Summary"}</definedName>
    <definedName name="PIPING" localSheetId="3" hidden="1">{#N/A,#N/A,FALSE,"Project Cost Summary";#N/A,#N/A,FALSE,"Man Hour Summary"}</definedName>
    <definedName name="PIPING" localSheetId="6" hidden="1">{#N/A,#N/A,FALSE,"Project Cost Summary";#N/A,#N/A,FALSE,"Man Hour Summary"}</definedName>
    <definedName name="PIPING" localSheetId="7" hidden="1">{#N/A,#N/A,FALSE,"Project Cost Summary";#N/A,#N/A,FALSE,"Man Hour Summary"}</definedName>
    <definedName name="PIPING" localSheetId="5" hidden="1">{#N/A,#N/A,FALSE,"Project Cost Summary";#N/A,#N/A,FALSE,"Man Hour Summary"}</definedName>
    <definedName name="PIPING" hidden="1">{#N/A,#N/A,FALSE,"Project Cost Summary";#N/A,#N/A,FALSE,"Man Hour Summary"}</definedName>
    <definedName name="PKAAA" hidden="1">#REF!</definedName>
    <definedName name="PKBB" hidden="1">#REF!</definedName>
    <definedName name="PKCC" hidden="1">#REF!</definedName>
    <definedName name="PKDD" hidden="1">#REF!</definedName>
    <definedName name="pkus">#REF!</definedName>
    <definedName name="plant2" hidden="1">#REF!</definedName>
    <definedName name="plate">1.1</definedName>
    <definedName name="Plate_width" localSheetId="11">'[41]Material for Silencers (8)'!$G$6</definedName>
    <definedName name="Plate_width" localSheetId="1">'[41]Material for Silencers (8)'!$G$6</definedName>
    <definedName name="Plate_width" localSheetId="2">'[41]Material for Silencers (8)'!$G$6</definedName>
    <definedName name="Plate_width" localSheetId="4">'[41]Material for Silencers (8)'!$G$6</definedName>
    <definedName name="Plate_width" localSheetId="19">'[41]Material for Silencers (8)'!$G$6</definedName>
    <definedName name="Plate_width" localSheetId="10">'[41]Material for Silencers (8)'!$G$6</definedName>
    <definedName name="Plate_width" localSheetId="9">'[41]Material for Silencers (8)'!$G$6</definedName>
    <definedName name="Plate_width" localSheetId="8">'[41]Material for Silencers (8)'!$G$6</definedName>
    <definedName name="Plate_width" localSheetId="3">'[41]Material for Silencers (8)'!$G$6</definedName>
    <definedName name="Plate_width" localSheetId="6">'[41]Material for Silencers (8)'!$G$6</definedName>
    <definedName name="Plate_width" localSheetId="7">'[41]Material for Silencers (8)'!$G$6</definedName>
    <definedName name="Plate_width" localSheetId="5">'[41]Material for Silencers (8)'!$G$6</definedName>
    <definedName name="Plate_width">#REF!</definedName>
    <definedName name="PLEL">#REF!</definedName>
    <definedName name="PLK" localSheetId="18" hidden="1">{#N/A,#N/A,FALSE,"CCTV"}</definedName>
    <definedName name="PLK" hidden="1">{#N/A,#N/A,FALSE,"CCTV"}</definedName>
    <definedName name="PLLL">#REF!</definedName>
    <definedName name="PlucBcaoTD" localSheetId="18" hidden="1">{"'Sheet1'!$L$16"}</definedName>
    <definedName name="PlucBcaoTD" localSheetId="11" hidden="1">{"'Sheet1'!$L$16"}</definedName>
    <definedName name="PlucBcaoTD" localSheetId="1" hidden="1">{"'Sheet1'!$L$16"}</definedName>
    <definedName name="PlucBcaoTD" localSheetId="2" hidden="1">{"'Sheet1'!$L$16"}</definedName>
    <definedName name="PlucBcaoTD" localSheetId="12" hidden="1">{"'Sheet1'!$L$16"}</definedName>
    <definedName name="PlucBcaoTD" localSheetId="4" hidden="1">{"'Sheet1'!$L$16"}</definedName>
    <definedName name="PlucBcaoTD" localSheetId="19" hidden="1">{"'Sheet1'!$L$16"}</definedName>
    <definedName name="PlucBcaoTD" localSheetId="10" hidden="1">{"'Sheet1'!$L$16"}</definedName>
    <definedName name="PlucBcaoTD" localSheetId="9" hidden="1">{"'Sheet1'!$L$16"}</definedName>
    <definedName name="PlucBcaoTD" localSheetId="8" hidden="1">{"'Sheet1'!$L$16"}</definedName>
    <definedName name="PlucBcaoTD" localSheetId="3" hidden="1">{"'Sheet1'!$L$16"}</definedName>
    <definedName name="PlucBcaoTD" localSheetId="6" hidden="1">{"'Sheet1'!$L$16"}</definedName>
    <definedName name="PlucBcaoTD" localSheetId="7" hidden="1">{"'Sheet1'!$L$16"}</definedName>
    <definedName name="PlucBcaoTD" localSheetId="5" hidden="1">{"'Sheet1'!$L$16"}</definedName>
    <definedName name="PlucBcaoTD" localSheetId="13" hidden="1">{"'Sheet1'!$L$16"}</definedName>
    <definedName name="PlucBcaoTD" hidden="1">{"'Sheet1'!$L$16"}</definedName>
    <definedName name="PLUG">#REF!</definedName>
    <definedName name="PLWIDE">#REF!</definedName>
    <definedName name="PLWT">#REF!</definedName>
    <definedName name="PMPrice" localSheetId="11">'[51]Labor Sum'!$C$36</definedName>
    <definedName name="PMPrice" localSheetId="1">'[51]Labor Sum'!$C$36</definedName>
    <definedName name="PMPrice" localSheetId="2">'[51]Labor Sum'!$C$36</definedName>
    <definedName name="PMPrice" localSheetId="4">'[51]Labor Sum'!$C$36</definedName>
    <definedName name="PMPrice" localSheetId="19">'[51]Labor Sum'!$C$36</definedName>
    <definedName name="PMPrice" localSheetId="10">'[51]Labor Sum'!$C$36</definedName>
    <definedName name="PMPrice" localSheetId="9">'[51]Labor Sum'!$C$36</definedName>
    <definedName name="PMPrice" localSheetId="8">'[51]Labor Sum'!$C$36</definedName>
    <definedName name="PMPrice" localSheetId="3">'[51]Labor Sum'!$C$36</definedName>
    <definedName name="PMPrice" localSheetId="6">'[51]Labor Sum'!$C$36</definedName>
    <definedName name="PMPrice" localSheetId="7">'[51]Labor Sum'!$C$36</definedName>
    <definedName name="PMPrice" localSheetId="5">'[51]Labor Sum'!$C$36</definedName>
    <definedName name="PMPrice">#REF!</definedName>
    <definedName name="PMS" localSheetId="18" hidden="1">{"'Sheet1'!$L$16"}</definedName>
    <definedName name="PMS" localSheetId="11" hidden="1">{"'Sheet1'!$L$16"}</definedName>
    <definedName name="PMS" localSheetId="1" hidden="1">{"'Sheet1'!$L$16"}</definedName>
    <definedName name="PMS" localSheetId="2" hidden="1">{"'Sheet1'!$L$16"}</definedName>
    <definedName name="PMS" localSheetId="12" hidden="1">{"'Sheet1'!$L$16"}</definedName>
    <definedName name="PMS" localSheetId="4" hidden="1">{"'Sheet1'!$L$16"}</definedName>
    <definedName name="PMS" localSheetId="19" hidden="1">{"'Sheet1'!$L$16"}</definedName>
    <definedName name="PMS" localSheetId="10" hidden="1">{"'Sheet1'!$L$16"}</definedName>
    <definedName name="PMS" localSheetId="9" hidden="1">{"'Sheet1'!$L$16"}</definedName>
    <definedName name="PMS" localSheetId="8" hidden="1">{"'Sheet1'!$L$16"}</definedName>
    <definedName name="PMS" localSheetId="3" hidden="1">{"'Sheet1'!$L$16"}</definedName>
    <definedName name="PMS" localSheetId="6" hidden="1">{"'Sheet1'!$L$16"}</definedName>
    <definedName name="PMS" localSheetId="7" hidden="1">{"'Sheet1'!$L$16"}</definedName>
    <definedName name="PMS" localSheetId="5" hidden="1">{"'Sheet1'!$L$16"}</definedName>
    <definedName name="PMS" localSheetId="13" hidden="1">{"'Sheet1'!$L$16"}</definedName>
    <definedName name="PMS" hidden="1">{"'Sheet1'!$L$16"}</definedName>
    <definedName name="po" localSheetId="18" hidden="1">{#N/A,#N/A,FALSE,"CCTV"}</definedName>
    <definedName name="po" hidden="1">{#N/A,#N/A,FALSE,"CCTV"}</definedName>
    <definedName name="poiiuyytt" localSheetId="18" hidden="1">{#N/A,#N/A,FALSE,"Clients Office";#N/A,#N/A,FALSE,"Co Sum"}</definedName>
    <definedName name="poiiuyytt" localSheetId="11" hidden="1">{#N/A,#N/A,FALSE,"Clients Office";#N/A,#N/A,FALSE,"Co Sum"}</definedName>
    <definedName name="poiiuyytt" localSheetId="1" hidden="1">{#N/A,#N/A,FALSE,"Clients Office";#N/A,#N/A,FALSE,"Co Sum"}</definedName>
    <definedName name="poiiuyytt" localSheetId="2" hidden="1">{#N/A,#N/A,FALSE,"Clients Office";#N/A,#N/A,FALSE,"Co Sum"}</definedName>
    <definedName name="poiiuyytt" localSheetId="4" hidden="1">{#N/A,#N/A,FALSE,"Clients Office";#N/A,#N/A,FALSE,"Co Sum"}</definedName>
    <definedName name="poiiuyytt" localSheetId="19" hidden="1">{#N/A,#N/A,FALSE,"Clients Office";#N/A,#N/A,FALSE,"Co Sum"}</definedName>
    <definedName name="poiiuyytt" localSheetId="10" hidden="1">{#N/A,#N/A,FALSE,"Clients Office";#N/A,#N/A,FALSE,"Co Sum"}</definedName>
    <definedName name="poiiuyytt" localSheetId="9" hidden="1">{#N/A,#N/A,FALSE,"Clients Office";#N/A,#N/A,FALSE,"Co Sum"}</definedName>
    <definedName name="poiiuyytt" localSheetId="8" hidden="1">{#N/A,#N/A,FALSE,"Clients Office";#N/A,#N/A,FALSE,"Co Sum"}</definedName>
    <definedName name="poiiuyytt" localSheetId="3" hidden="1">{#N/A,#N/A,FALSE,"Clients Office";#N/A,#N/A,FALSE,"Co Sum"}</definedName>
    <definedName name="poiiuyytt" localSheetId="6" hidden="1">{#N/A,#N/A,FALSE,"Clients Office";#N/A,#N/A,FALSE,"Co Sum"}</definedName>
    <definedName name="poiiuyytt" localSheetId="7" hidden="1">{#N/A,#N/A,FALSE,"Clients Office";#N/A,#N/A,FALSE,"Co Sum"}</definedName>
    <definedName name="poiiuyytt" localSheetId="5" hidden="1">{#N/A,#N/A,FALSE,"Clients Office";#N/A,#N/A,FALSE,"Co Sum"}</definedName>
    <definedName name="poiiuyytt" hidden="1">{#N/A,#N/A,FALSE,"Clients Office";#N/A,#N/A,FALSE,"Co Sum"}</definedName>
    <definedName name="PONo" localSheetId="18">'[66]Data Input'!$D$11</definedName>
    <definedName name="PONo">'[67]Data Input'!$D$11</definedName>
    <definedName name="Positionsauswahl">#REF!</definedName>
    <definedName name="pound">#REF!</definedName>
    <definedName name="PP" localSheetId="18" hidden="1">{#N/A,#N/A,FALSE,"CCTV"}</definedName>
    <definedName name="PP" localSheetId="1" hidden="1">{#N/A,#N/A,FALSE,"CCTV"}</definedName>
    <definedName name="PP" localSheetId="2" hidden="1">{#N/A,#N/A,FALSE,"CCTV"}</definedName>
    <definedName name="PP" localSheetId="4" hidden="1">{#N/A,#N/A,FALSE,"CCTV"}</definedName>
    <definedName name="PP" localSheetId="19" hidden="1">{#N/A,#N/A,FALSE,"CCTV"}</definedName>
    <definedName name="PP" localSheetId="10" hidden="1">{#N/A,#N/A,FALSE,"CCTV"}</definedName>
    <definedName name="PP" localSheetId="9" hidden="1">{#N/A,#N/A,FALSE,"CCTV"}</definedName>
    <definedName name="PP" localSheetId="8" hidden="1">{#N/A,#N/A,FALSE,"CCTV"}</definedName>
    <definedName name="PP" localSheetId="3" hidden="1">{#N/A,#N/A,FALSE,"CCTV"}</definedName>
    <definedName name="PP" localSheetId="6" hidden="1">{#N/A,#N/A,FALSE,"CCTV"}</definedName>
    <definedName name="PP" localSheetId="7" hidden="1">{#N/A,#N/A,FALSE,"CCTV"}</definedName>
    <definedName name="PP" localSheetId="5" hidden="1">{#N/A,#N/A,FALSE,"CCTV"}</definedName>
    <definedName name="PP" hidden="1">{#N/A,#N/A,FALSE,"CCTV"}</definedName>
    <definedName name="PPM" localSheetId="11" hidden="1">'[38]Cashflow Analysis'!#REF!</definedName>
    <definedName name="PPM" localSheetId="1" hidden="1">'[38]Cashflow Analysis'!#REF!</definedName>
    <definedName name="PPM" localSheetId="2" hidden="1">'[38]Cashflow Analysis'!#REF!</definedName>
    <definedName name="PPM" localSheetId="4" hidden="1">'[38]Cashflow Analysis'!#REF!</definedName>
    <definedName name="PPM" localSheetId="19" hidden="1">'[38]Cashflow Analysis'!#REF!</definedName>
    <definedName name="PPM" localSheetId="10" hidden="1">'[38]Cashflow Analysis'!#REF!</definedName>
    <definedName name="PPM" localSheetId="9" hidden="1">'[38]Cashflow Analysis'!#REF!</definedName>
    <definedName name="PPM" localSheetId="8" hidden="1">'[38]Cashflow Analysis'!#REF!</definedName>
    <definedName name="PPM" localSheetId="3" hidden="1">'[38]Cashflow Analysis'!#REF!</definedName>
    <definedName name="PPM" localSheetId="6" hidden="1">'[38]Cashflow Analysis'!#REF!</definedName>
    <definedName name="PPM" localSheetId="7" hidden="1">'[38]Cashflow Analysis'!#REF!</definedName>
    <definedName name="PPM" localSheetId="5" hidden="1">'[38]Cashflow Analysis'!#REF!</definedName>
    <definedName name="PPM" hidden="1">#REF!</definedName>
    <definedName name="ppo">#REF!</definedName>
    <definedName name="PPP" localSheetId="18" hidden="1">{#N/A,#N/A,FALSE,"CCTV"}</definedName>
    <definedName name="PPP" localSheetId="11" hidden="1">{#N/A,#N/A,FALSE,"CCTV"}</definedName>
    <definedName name="ppp" localSheetId="1">#REF!</definedName>
    <definedName name="ppp" localSheetId="2">#REF!</definedName>
    <definedName name="ppp" localSheetId="4">#REF!</definedName>
    <definedName name="ppp" localSheetId="19">#REF!</definedName>
    <definedName name="ppp" localSheetId="10">#REF!</definedName>
    <definedName name="ppp" localSheetId="9">#REF!</definedName>
    <definedName name="ppp" localSheetId="8">#REF!</definedName>
    <definedName name="ppp" localSheetId="3">#REF!</definedName>
    <definedName name="ppp" localSheetId="6">#REF!</definedName>
    <definedName name="ppp" localSheetId="7">#REF!</definedName>
    <definedName name="ppp" localSheetId="5">#REF!</definedName>
    <definedName name="PPP" hidden="1">{#N/A,#N/A,FALSE,"CCTV"}</definedName>
    <definedName name="pppp" localSheetId="18" hidden="1">{#N/A,#N/A,FALSE,"Project Cost Summary";#N/A,#N/A,FALSE,"Man Hour Summary"}</definedName>
    <definedName name="pppp" localSheetId="1" hidden="1">{#N/A,#N/A,FALSE,"Project Cost Summary";#N/A,#N/A,FALSE,"Man Hour Summary"}</definedName>
    <definedName name="pppp" localSheetId="2" hidden="1">{#N/A,#N/A,FALSE,"Project Cost Summary";#N/A,#N/A,FALSE,"Man Hour Summary"}</definedName>
    <definedName name="pppp" localSheetId="4" hidden="1">{#N/A,#N/A,FALSE,"Project Cost Summary";#N/A,#N/A,FALSE,"Man Hour Summary"}</definedName>
    <definedName name="pppp" localSheetId="19" hidden="1">{#N/A,#N/A,FALSE,"Project Cost Summary";#N/A,#N/A,FALSE,"Man Hour Summary"}</definedName>
    <definedName name="pppp" localSheetId="10" hidden="1">{#N/A,#N/A,FALSE,"Project Cost Summary";#N/A,#N/A,FALSE,"Man Hour Summary"}</definedName>
    <definedName name="pppp" localSheetId="9" hidden="1">{#N/A,#N/A,FALSE,"Project Cost Summary";#N/A,#N/A,FALSE,"Man Hour Summary"}</definedName>
    <definedName name="pppp" localSheetId="8" hidden="1">{#N/A,#N/A,FALSE,"Project Cost Summary";#N/A,#N/A,FALSE,"Man Hour Summary"}</definedName>
    <definedName name="pppp" localSheetId="3" hidden="1">{#N/A,#N/A,FALSE,"Project Cost Summary";#N/A,#N/A,FALSE,"Man Hour Summary"}</definedName>
    <definedName name="pppp" localSheetId="6" hidden="1">{#N/A,#N/A,FALSE,"Project Cost Summary";#N/A,#N/A,FALSE,"Man Hour Summary"}</definedName>
    <definedName name="pppp" localSheetId="7" hidden="1">{#N/A,#N/A,FALSE,"Project Cost Summary";#N/A,#N/A,FALSE,"Man Hour Summary"}</definedName>
    <definedName name="pppp" localSheetId="5" hidden="1">{#N/A,#N/A,FALSE,"Project Cost Summary";#N/A,#N/A,FALSE,"Man Hour Summary"}</definedName>
    <definedName name="pppp" hidden="1">{#N/A,#N/A,FALSE,"Project Cost Summary";#N/A,#N/A,FALSE,"Man Hour Summary"}</definedName>
    <definedName name="PPrice" localSheetId="11">'[51]Labor Sum'!$C$33</definedName>
    <definedName name="PPrice" localSheetId="1">'[51]Labor Sum'!$C$33</definedName>
    <definedName name="PPrice" localSheetId="2">'[51]Labor Sum'!$C$33</definedName>
    <definedName name="PPrice" localSheetId="4">'[51]Labor Sum'!$C$33</definedName>
    <definedName name="PPrice" localSheetId="19">'[51]Labor Sum'!$C$33</definedName>
    <definedName name="PPrice" localSheetId="10">'[51]Labor Sum'!$C$33</definedName>
    <definedName name="PPrice" localSheetId="9">'[51]Labor Sum'!$C$33</definedName>
    <definedName name="PPrice" localSheetId="8">'[51]Labor Sum'!$C$33</definedName>
    <definedName name="PPrice" localSheetId="3">'[51]Labor Sum'!$C$33</definedName>
    <definedName name="PPrice" localSheetId="6">'[51]Labor Sum'!$C$33</definedName>
    <definedName name="PPrice" localSheetId="7">'[51]Labor Sum'!$C$33</definedName>
    <definedName name="PPrice" localSheetId="5">'[51]Labor Sum'!$C$33</definedName>
    <definedName name="PPrice">#REF!</definedName>
    <definedName name="pr" localSheetId="11">[87]PP!$A$156:$N$269</definedName>
    <definedName name="pr" localSheetId="1">[87]PP!$A$156:$N$269</definedName>
    <definedName name="pr" localSheetId="2">[87]PP!$A$156:$N$269</definedName>
    <definedName name="pr" localSheetId="4">[87]PP!$A$156:$N$269</definedName>
    <definedName name="pr" localSheetId="19">[87]PP!$A$156:$N$269</definedName>
    <definedName name="pr" localSheetId="10">[87]PP!$A$156:$N$269</definedName>
    <definedName name="pr" localSheetId="9">[87]PP!$A$156:$N$269</definedName>
    <definedName name="pr" localSheetId="8">[87]PP!$A$156:$N$269</definedName>
    <definedName name="pr" localSheetId="3">[87]PP!$A$156:$N$269</definedName>
    <definedName name="pr" localSheetId="6">[87]PP!$A$156:$N$269</definedName>
    <definedName name="pr" localSheetId="7">[87]PP!$A$156:$N$269</definedName>
    <definedName name="pr" localSheetId="5">[87]PP!$A$156:$N$269</definedName>
    <definedName name="pr">#REF!</definedName>
    <definedName name="PRAYER" localSheetId="18" hidden="1">{#N/A,#N/A,FALSE,"CCTV"}</definedName>
    <definedName name="PRAYER" localSheetId="11" hidden="1">{#N/A,#N/A,FALSE,"CCTV"}</definedName>
    <definedName name="PRAYER" localSheetId="1" hidden="1">{#N/A,#N/A,FALSE,"CCTV"}</definedName>
    <definedName name="PRAYER" localSheetId="2" hidden="1">{#N/A,#N/A,FALSE,"CCTV"}</definedName>
    <definedName name="PRAYER" localSheetId="4" hidden="1">{#N/A,#N/A,FALSE,"CCTV"}</definedName>
    <definedName name="PRAYER" localSheetId="19" hidden="1">{#N/A,#N/A,FALSE,"CCTV"}</definedName>
    <definedName name="PRAYER" localSheetId="10" hidden="1">{#N/A,#N/A,FALSE,"CCTV"}</definedName>
    <definedName name="PRAYER" localSheetId="9" hidden="1">{#N/A,#N/A,FALSE,"CCTV"}</definedName>
    <definedName name="PRAYER" localSheetId="8" hidden="1">{#N/A,#N/A,FALSE,"CCTV"}</definedName>
    <definedName name="PRAYER" localSheetId="3" hidden="1">{#N/A,#N/A,FALSE,"CCTV"}</definedName>
    <definedName name="PRAYER" localSheetId="6" hidden="1">{#N/A,#N/A,FALSE,"CCTV"}</definedName>
    <definedName name="PRAYER" localSheetId="7" hidden="1">{#N/A,#N/A,FALSE,"CCTV"}</definedName>
    <definedName name="PRAYER" localSheetId="5" hidden="1">{#N/A,#N/A,FALSE,"CCTV"}</definedName>
    <definedName name="PRAYER" hidden="1">{#N/A,#N/A,FALSE,"CCTV"}</definedName>
    <definedName name="PREHE">#REF!</definedName>
    <definedName name="Preise">#REF!</definedName>
    <definedName name="Presión">#REF!</definedName>
    <definedName name="PresUnit">#REF!</definedName>
    <definedName name="pri" localSheetId="18"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Print_11">#REF!</definedName>
    <definedName name="_xlnm.Print_Area" localSheetId="16">'ChiTiet Dự Toán'!$A$1:$AT$562</definedName>
    <definedName name="_xlnm.Print_Area" localSheetId="18">'DT03 (TM)'!$A$1:$H$38</definedName>
    <definedName name="_xlnm.Print_Area" localSheetId="11">'DT04 (TM) 1 '!$A$1:$L$49</definedName>
    <definedName name="_xlnm.Print_Area" localSheetId="0">'IBSHI đơn 5 (4)'!$A$1:$F$44</definedName>
    <definedName name="_xlnm.Print_Area" localSheetId="1">'Máy hàn'!$A$1:$L$37</definedName>
    <definedName name="_xlnm.Print_Area" localSheetId="2">'Sàn nhựa Đại Việt'!$A$1:$O$107</definedName>
    <definedName name="_xlnm.Print_Area" localSheetId="17">TongHop!$A$1:$F$27</definedName>
    <definedName name="_xlnm.Print_Area" localSheetId="4">'Vật tư '!$A$1:$N$29</definedName>
    <definedName name="_xlnm.Print_Area" localSheetId="19">'Vật tư đóng kiện của Hoàng Hà'!$A$1:$P$30</definedName>
    <definedName name="_xlnm.Print_Area" localSheetId="10">'Vật tư đóng kiện Hoàng hà 090'!$A$1:$P$85</definedName>
    <definedName name="_xlnm.Print_Area" localSheetId="9">'Vật tư đóng kiện Hoàng hà2'!$A$1:$P$40</definedName>
    <definedName name="_xlnm.Print_Area" localSheetId="8">'Vật tư đóng kiện Ngọc hiếu 090'!$A$1:$S$44</definedName>
    <definedName name="_xlnm.Print_Area" localSheetId="3">'Vật tư đóng kiện Trân toàn'!$A$1:$O$43</definedName>
    <definedName name="_xlnm.Print_Area" localSheetId="6">'Vật tư Hùng Nguyên'!$A$1:$R$32</definedName>
    <definedName name="_xlnm.Print_Area" localSheetId="7">'Vật tư Quang Thịnh Phát'!$A$1:$S$30</definedName>
    <definedName name="_xlnm.Print_Area" localSheetId="5">'Vật tư sơn 090'!$A$1:$N$29</definedName>
    <definedName name="_xlnm.Print_Area">#REF!</definedName>
    <definedName name="Print_Area_MI">#REF!</definedName>
    <definedName name="PRINT_AREA_MI1">#REF!</definedName>
    <definedName name="PRINT_OUT_RFP002" localSheetId="1">[46]!PRINT_OUT_RFP002</definedName>
    <definedName name="PRINT_OUT_RFP002" localSheetId="2">[46]!PRINT_OUT_RFP002</definedName>
    <definedName name="PRINT_OUT_RFP002" localSheetId="4">[46]!PRINT_OUT_RFP002</definedName>
    <definedName name="PRINT_OUT_RFP002" localSheetId="19">[46]!PRINT_OUT_RFP002</definedName>
    <definedName name="PRINT_OUT_RFP002" localSheetId="10">[46]!PRINT_OUT_RFP002</definedName>
    <definedName name="PRINT_OUT_RFP002" localSheetId="9">[46]!PRINT_OUT_RFP002</definedName>
    <definedName name="PRINT_OUT_RFP002" localSheetId="8">[46]!PRINT_OUT_RFP002</definedName>
    <definedName name="PRINT_OUT_RFP002" localSheetId="3">[46]!PRINT_OUT_RFP002</definedName>
    <definedName name="PRINT_OUT_RFP002" localSheetId="6">[46]!PRINT_OUT_RFP002</definedName>
    <definedName name="PRINT_OUT_RFP002" localSheetId="7">[46]!PRINT_OUT_RFP002</definedName>
    <definedName name="PRINT_OUT_RFP002" localSheetId="5">[46]!PRINT_OUT_RFP002</definedName>
    <definedName name="PRINT_OUT_RFP002">[46]!PRINT_OUT_RFP002</definedName>
    <definedName name="PRINT_OUT_SCcost_P1" localSheetId="1">[46]!PRINT_OUT_SCcost_P1</definedName>
    <definedName name="PRINT_OUT_SCcost_P1" localSheetId="2">[46]!PRINT_OUT_SCcost_P1</definedName>
    <definedName name="PRINT_OUT_SCcost_P1" localSheetId="4">[46]!PRINT_OUT_SCcost_P1</definedName>
    <definedName name="PRINT_OUT_SCcost_P1" localSheetId="19">[46]!PRINT_OUT_SCcost_P1</definedName>
    <definedName name="PRINT_OUT_SCcost_P1" localSheetId="10">[46]!PRINT_OUT_SCcost_P1</definedName>
    <definedName name="PRINT_OUT_SCcost_P1" localSheetId="9">[46]!PRINT_OUT_SCcost_P1</definedName>
    <definedName name="PRINT_OUT_SCcost_P1" localSheetId="8">[46]!PRINT_OUT_SCcost_P1</definedName>
    <definedName name="PRINT_OUT_SCcost_P1" localSheetId="3">[46]!PRINT_OUT_SCcost_P1</definedName>
    <definedName name="PRINT_OUT_SCcost_P1" localSheetId="6">[46]!PRINT_OUT_SCcost_P1</definedName>
    <definedName name="PRINT_OUT_SCcost_P1" localSheetId="7">[46]!PRINT_OUT_SCcost_P1</definedName>
    <definedName name="PRINT_OUT_SCcost_P1" localSheetId="5">[46]!PRINT_OUT_SCcost_P1</definedName>
    <definedName name="PRINT_OUT_SCcost_P1">[46]!PRINT_OUT_SCcost_P1</definedName>
    <definedName name="PRINT_OUT_SCcost_P2" localSheetId="1">[46]!PRINT_OUT_SCcost_P2</definedName>
    <definedName name="PRINT_OUT_SCcost_P2" localSheetId="2">[46]!PRINT_OUT_SCcost_P2</definedName>
    <definedName name="PRINT_OUT_SCcost_P2" localSheetId="4">[46]!PRINT_OUT_SCcost_P2</definedName>
    <definedName name="PRINT_OUT_SCcost_P2" localSheetId="19">[46]!PRINT_OUT_SCcost_P2</definedName>
    <definedName name="PRINT_OUT_SCcost_P2" localSheetId="10">[46]!PRINT_OUT_SCcost_P2</definedName>
    <definedName name="PRINT_OUT_SCcost_P2" localSheetId="9">[46]!PRINT_OUT_SCcost_P2</definedName>
    <definedName name="PRINT_OUT_SCcost_P2" localSheetId="8">[46]!PRINT_OUT_SCcost_P2</definedName>
    <definedName name="PRINT_OUT_SCcost_P2" localSheetId="3">[46]!PRINT_OUT_SCcost_P2</definedName>
    <definedName name="PRINT_OUT_SCcost_P2" localSheetId="6">[46]!PRINT_OUT_SCcost_P2</definedName>
    <definedName name="PRINT_OUT_SCcost_P2" localSheetId="7">[46]!PRINT_OUT_SCcost_P2</definedName>
    <definedName name="PRINT_OUT_SCcost_P2" localSheetId="5">[46]!PRINT_OUT_SCcost_P2</definedName>
    <definedName name="PRINT_OUT_SCcost_P2">[46]!PRINT_OUT_SCcost_P2</definedName>
    <definedName name="PRINT_OUT_SCcost_P3" localSheetId="1">[88]!PRINT_OUT_SCcost_P3</definedName>
    <definedName name="PRINT_OUT_SCcost_P3" localSheetId="2">[88]!PRINT_OUT_SCcost_P3</definedName>
    <definedName name="PRINT_OUT_SCcost_P3" localSheetId="4">[88]!PRINT_OUT_SCcost_P3</definedName>
    <definedName name="PRINT_OUT_SCcost_P3" localSheetId="19">[88]!PRINT_OUT_SCcost_P3</definedName>
    <definedName name="PRINT_OUT_SCcost_P3" localSheetId="10">[88]!PRINT_OUT_SCcost_P3</definedName>
    <definedName name="PRINT_OUT_SCcost_P3" localSheetId="9">[88]!PRINT_OUT_SCcost_P3</definedName>
    <definedName name="PRINT_OUT_SCcost_P3" localSheetId="8">[88]!PRINT_OUT_SCcost_P3</definedName>
    <definedName name="PRINT_OUT_SCcost_P3" localSheetId="3">[88]!PRINT_OUT_SCcost_P3</definedName>
    <definedName name="PRINT_OUT_SCcost_P3" localSheetId="6">[88]!PRINT_OUT_SCcost_P3</definedName>
    <definedName name="PRINT_OUT_SCcost_P3" localSheetId="7">[88]!PRINT_OUT_SCcost_P3</definedName>
    <definedName name="PRINT_OUT_SCcost_P3" localSheetId="5">[88]!PRINT_OUT_SCcost_P3</definedName>
    <definedName name="PRINT_OUT_SCcost_P3">[88]!PRINT_OUT_SCcost_P3</definedName>
    <definedName name="Print_Report">#REF!</definedName>
    <definedName name="_xlnm.Print_Titles" localSheetId="14">'25-BRA-I-090'!$4:$5</definedName>
    <definedName name="_xlnm.Print_Titles" localSheetId="16">'ChiTiet Dự Toán'!$6:$6</definedName>
    <definedName name="_xlnm.Print_Titles" localSheetId="18">'DT03 (TM)'!$4:$4</definedName>
    <definedName name="_xlnm.Print_Titles" localSheetId="11">'DT04 (TM) 1 '!$4:$5</definedName>
    <definedName name="_xlnm.Print_Titles" localSheetId="1">'Máy hàn'!$8:$9</definedName>
    <definedName name="_xlnm.Print_Titles" localSheetId="2">'Sàn nhựa Đại Việt'!$8:$9</definedName>
    <definedName name="_xlnm.Print_Titles" localSheetId="17">TongHop!$6:$6</definedName>
    <definedName name="_xlnm.Print_Titles" localSheetId="12">'Vat lieu han -BRA090'!$4:$5</definedName>
    <definedName name="_xlnm.Print_Titles" localSheetId="4">'Vật tư '!$8:$9</definedName>
    <definedName name="_xlnm.Print_Titles" localSheetId="19">'Vật tư đóng kiện của Hoàng Hà'!$8:$9</definedName>
    <definedName name="_xlnm.Print_Titles" localSheetId="10">'Vật tư đóng kiện Hoàng hà 090'!$8:$9</definedName>
    <definedName name="_xlnm.Print_Titles" localSheetId="9">'Vật tư đóng kiện Hoàng hà2'!$8:$9</definedName>
    <definedName name="_xlnm.Print_Titles" localSheetId="8">'Vật tư đóng kiện Ngọc hiếu 090'!$8:$9</definedName>
    <definedName name="_xlnm.Print_Titles" localSheetId="3">'Vật tư đóng kiện Trân toàn'!$8:$9</definedName>
    <definedName name="_xlnm.Print_Titles" localSheetId="6">'Vật tư Hùng Nguyên'!$8:$9</definedName>
    <definedName name="_xlnm.Print_Titles" localSheetId="7">'Vật tư Quang Thịnh Phát'!$8:$9</definedName>
    <definedName name="_xlnm.Print_Titles" localSheetId="5">'Vật tư sơn 090'!$8:$9</definedName>
    <definedName name="_xlnm.Print_Titles" localSheetId="13">'Vật tư sơn BRA090'!$4:$5</definedName>
    <definedName name="_xlnm.Print_Titles">#REF!,#REF!</definedName>
    <definedName name="Print_Titles_MI" localSheetId="11">[1]PP!$50:$52</definedName>
    <definedName name="Print_Titles_MI" localSheetId="1">#REF!</definedName>
    <definedName name="Print_Titles_MI" localSheetId="2">#REF!</definedName>
    <definedName name="Print_Titles_MI" localSheetId="4">#REF!</definedName>
    <definedName name="Print_Titles_MI" localSheetId="19">#REF!</definedName>
    <definedName name="Print_Titles_MI" localSheetId="10">#REF!</definedName>
    <definedName name="Print_Titles_MI" localSheetId="9">#REF!</definedName>
    <definedName name="Print_Titles_MI" localSheetId="8">#REF!</definedName>
    <definedName name="Print_Titles_MI" localSheetId="3">#REF!</definedName>
    <definedName name="Print_Titles_MI" localSheetId="6">#REF!</definedName>
    <definedName name="Print_Titles_MI" localSheetId="7">#REF!</definedName>
    <definedName name="Print_Titles_MI" localSheetId="5">#REF!</definedName>
    <definedName name="Print_Titles_MI">#REF!</definedName>
    <definedName name="PRINTA">#REF!</definedName>
    <definedName name="PRINTB">#REF!</definedName>
    <definedName name="PRINTC">#REF!</definedName>
    <definedName name="prjName">#REF!</definedName>
    <definedName name="prjNo">#REF!</definedName>
    <definedName name="Prn">#REF!</definedName>
    <definedName name="procurement" localSheetId="1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9"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0"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9"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7"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5"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 localSheetId="12">#REF!</definedName>
    <definedName name="ProdForm" localSheetId="13">#REF!</definedName>
    <definedName name="ProdForm">#REF!</definedName>
    <definedName name="Product" localSheetId="12">#REF!</definedName>
    <definedName name="Product" localSheetId="13">#REF!</definedName>
    <definedName name="Product">#REF!</definedName>
    <definedName name="Profiles_Splitter" localSheetId="11">'[41]Noise (3)'!$C$47</definedName>
    <definedName name="Profiles_Splitter" localSheetId="1">'[41]Noise (3)'!$C$47</definedName>
    <definedName name="Profiles_Splitter" localSheetId="2">'[41]Noise (3)'!$C$47</definedName>
    <definedName name="Profiles_Splitter" localSheetId="4">'[41]Noise (3)'!$C$47</definedName>
    <definedName name="Profiles_Splitter" localSheetId="19">'[41]Noise (3)'!$C$47</definedName>
    <definedName name="Profiles_Splitter" localSheetId="10">'[41]Noise (3)'!$C$47</definedName>
    <definedName name="Profiles_Splitter" localSheetId="9">'[41]Noise (3)'!$C$47</definedName>
    <definedName name="Profiles_Splitter" localSheetId="8">'[41]Noise (3)'!$C$47</definedName>
    <definedName name="Profiles_Splitter" localSheetId="3">'[41]Noise (3)'!$C$47</definedName>
    <definedName name="Profiles_Splitter" localSheetId="6">'[41]Noise (3)'!$C$47</definedName>
    <definedName name="Profiles_Splitter" localSheetId="7">'[41]Noise (3)'!$C$47</definedName>
    <definedName name="Profiles_Splitter" localSheetId="5">'[41]Noise (3)'!$C$47</definedName>
    <definedName name="Profiles_Splitter">#REF!</definedName>
    <definedName name="Proj_Svcs">#REF!</definedName>
    <definedName name="Project">#REF!</definedName>
    <definedName name="Project_Name" localSheetId="1">'[53]GM 000'!$I$2</definedName>
    <definedName name="Project_Name" localSheetId="2">'[53]GM 000'!$I$2</definedName>
    <definedName name="Project_Name" localSheetId="4">'[53]GM 000'!$I$2</definedName>
    <definedName name="Project_Name" localSheetId="19">'[53]GM 000'!$I$2</definedName>
    <definedName name="Project_Name" localSheetId="10">'[53]GM 000'!$I$2</definedName>
    <definedName name="Project_Name" localSheetId="9">'[53]GM 000'!$I$2</definedName>
    <definedName name="Project_Name" localSheetId="8">'[53]GM 000'!$I$2</definedName>
    <definedName name="Project_Name" localSheetId="3">'[53]GM 000'!$I$2</definedName>
    <definedName name="Project_Name" localSheetId="6">'[53]GM 000'!$I$2</definedName>
    <definedName name="Project_Name" localSheetId="7">'[53]GM 000'!$I$2</definedName>
    <definedName name="Project_Name" localSheetId="5">'[53]GM 000'!$I$2</definedName>
    <definedName name="PROJECT_NAME">#REF!</definedName>
    <definedName name="ProjectName" localSheetId="11">'[41]Input (1)'!$B$3</definedName>
    <definedName name="ProjectName" localSheetId="1">'[41]Input (1)'!$B$3</definedName>
    <definedName name="ProjectName" localSheetId="2">'[41]Input (1)'!$B$3</definedName>
    <definedName name="ProjectName" localSheetId="4">'[41]Input (1)'!$B$3</definedName>
    <definedName name="ProjectName" localSheetId="19">'[41]Input (1)'!$B$3</definedName>
    <definedName name="ProjectName" localSheetId="10">'[41]Input (1)'!$B$3</definedName>
    <definedName name="ProjectName" localSheetId="9">'[41]Input (1)'!$B$3</definedName>
    <definedName name="ProjectName" localSheetId="8">'[41]Input (1)'!$B$3</definedName>
    <definedName name="ProjectName" localSheetId="3">'[41]Input (1)'!$B$3</definedName>
    <definedName name="ProjectName" localSheetId="6">'[41]Input (1)'!$B$3</definedName>
    <definedName name="ProjectName" localSheetId="7">'[41]Input (1)'!$B$3</definedName>
    <definedName name="ProjectName" localSheetId="5">'[41]Input (1)'!$B$3</definedName>
    <definedName name="ProjectName">#REF!</definedName>
    <definedName name="Projectnumber" localSheetId="11">'[41]Input (1)'!$B$5</definedName>
    <definedName name="Projectnumber" localSheetId="1">'[41]Input (1)'!$B$5</definedName>
    <definedName name="Projectnumber" localSheetId="2">'[41]Input (1)'!$B$5</definedName>
    <definedName name="Projectnumber" localSheetId="4">'[41]Input (1)'!$B$5</definedName>
    <definedName name="Projectnumber" localSheetId="19">'[41]Input (1)'!$B$5</definedName>
    <definedName name="Projectnumber" localSheetId="10">'[41]Input (1)'!$B$5</definedName>
    <definedName name="Projectnumber" localSheetId="9">'[41]Input (1)'!$B$5</definedName>
    <definedName name="Projectnumber" localSheetId="8">'[41]Input (1)'!$B$5</definedName>
    <definedName name="Projectnumber" localSheetId="3">'[41]Input (1)'!$B$5</definedName>
    <definedName name="Projectnumber" localSheetId="6">'[41]Input (1)'!$B$5</definedName>
    <definedName name="Projectnumber" localSheetId="7">'[41]Input (1)'!$B$5</definedName>
    <definedName name="Projectnumber" localSheetId="5">'[41]Input (1)'!$B$5</definedName>
    <definedName name="Projectnumber">#REF!</definedName>
    <definedName name="Projekt_Nr">#REF!</definedName>
    <definedName name="Projektleiter">#REF!</definedName>
    <definedName name="Prop_Matl_Rate">#REF!</definedName>
    <definedName name="PROPOSAL">#REF!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sv">#REF!</definedName>
    <definedName name="pt">#REF!</definedName>
    <definedName name="ptdm1" localSheetId="18" hidden="1">{#N/A,#N/A,FALSE,"CCTV"}</definedName>
    <definedName name="ptdm1" hidden="1">{#N/A,#N/A,FALSE,"CCTV"}</definedName>
    <definedName name="ptvtgiam" localSheetId="18" hidden="1">{"'Sheet1'!$L$16"}</definedName>
    <definedName name="ptvtgiam" localSheetId="11" hidden="1">{"'Sheet1'!$L$16"}</definedName>
    <definedName name="ptvtgiam" localSheetId="1" hidden="1">{"'Sheet1'!$L$16"}</definedName>
    <definedName name="ptvtgiam" localSheetId="2" hidden="1">{"'Sheet1'!$L$16"}</definedName>
    <definedName name="ptvtgiam" localSheetId="12" hidden="1">{"'Sheet1'!$L$16"}</definedName>
    <definedName name="ptvtgiam" localSheetId="4" hidden="1">{"'Sheet1'!$L$16"}</definedName>
    <definedName name="ptvtgiam" localSheetId="19" hidden="1">{"'Sheet1'!$L$16"}</definedName>
    <definedName name="ptvtgiam" localSheetId="10" hidden="1">{"'Sheet1'!$L$16"}</definedName>
    <definedName name="ptvtgiam" localSheetId="9" hidden="1">{"'Sheet1'!$L$16"}</definedName>
    <definedName name="ptvtgiam" localSheetId="8" hidden="1">{"'Sheet1'!$L$16"}</definedName>
    <definedName name="ptvtgiam" localSheetId="3" hidden="1">{"'Sheet1'!$L$16"}</definedName>
    <definedName name="ptvtgiam" localSheetId="6" hidden="1">{"'Sheet1'!$L$16"}</definedName>
    <definedName name="ptvtgiam" localSheetId="7" hidden="1">{"'Sheet1'!$L$16"}</definedName>
    <definedName name="ptvtgiam" localSheetId="5" hidden="1">{"'Sheet1'!$L$16"}</definedName>
    <definedName name="ptvtgiam" localSheetId="13" hidden="1">{"'Sheet1'!$L$16"}</definedName>
    <definedName name="ptvtgiam" hidden="1">{"'Sheet1'!$L$16"}</definedName>
    <definedName name="PTwgt">#REF!</definedName>
    <definedName name="pump" localSheetId="18" hidden="1">{"'장비'!$A$3:$M$12"}</definedName>
    <definedName name="pump" hidden="1">{"'장비'!$A$3:$M$12"}</definedName>
    <definedName name="q" localSheetId="18" hidden="1">{"'Sheet1'!$L$16"}</definedName>
    <definedName name="q" localSheetId="11" hidden="1">{"'Sheet1'!$L$16"}</definedName>
    <definedName name="q" localSheetId="1" hidden="1">{"'Sheet1'!$L$16"}</definedName>
    <definedName name="q" localSheetId="2" hidden="1">{"'Sheet1'!$L$16"}</definedName>
    <definedName name="q" localSheetId="12" hidden="1">{"'Sheet1'!$L$16"}</definedName>
    <definedName name="q" localSheetId="4" hidden="1">{"'Sheet1'!$L$16"}</definedName>
    <definedName name="q" localSheetId="19" hidden="1">{"'Sheet1'!$L$16"}</definedName>
    <definedName name="q" localSheetId="10" hidden="1">{"'Sheet1'!$L$16"}</definedName>
    <definedName name="q" localSheetId="9" hidden="1">{"'Sheet1'!$L$16"}</definedName>
    <definedName name="q" localSheetId="8" hidden="1">{"'Sheet1'!$L$16"}</definedName>
    <definedName name="q" localSheetId="3" hidden="1">{"'Sheet1'!$L$16"}</definedName>
    <definedName name="q" localSheetId="6" hidden="1">{"'Sheet1'!$L$16"}</definedName>
    <definedName name="q" localSheetId="7" hidden="1">{"'Sheet1'!$L$16"}</definedName>
    <definedName name="q" localSheetId="5" hidden="1">{"'Sheet1'!$L$16"}</definedName>
    <definedName name="q" localSheetId="13" hidden="1">{"'Sheet1'!$L$16"}</definedName>
    <definedName name="q" hidden="1">{"'Sheet1'!$L$16"}</definedName>
    <definedName name="q_1" localSheetId="18" hidden="1">{#N/A,#N/A,TRUE,"Basic";#N/A,#N/A,TRUE,"EXT-TABLE";#N/A,#N/A,TRUE,"STEEL";#N/A,#N/A,TRUE,"INT-Table";#N/A,#N/A,TRUE,"STEEL";#N/A,#N/A,TRUE,"Door"}</definedName>
    <definedName name="q_1" hidden="1">{#N/A,#N/A,TRUE,"Basic";#N/A,#N/A,TRUE,"EXT-TABLE";#N/A,#N/A,TRUE,"STEEL";#N/A,#N/A,TRUE,"INT-Table";#N/A,#N/A,TRUE,"STEEL";#N/A,#N/A,TRUE,"Door"}</definedName>
    <definedName name="q_1_1" localSheetId="18" hidden="1">{#N/A,#N/A,TRUE,"Basic";#N/A,#N/A,TRUE,"EXT-TABLE";#N/A,#N/A,TRUE,"STEEL";#N/A,#N/A,TRUE,"INT-Table";#N/A,#N/A,TRUE,"STEEL";#N/A,#N/A,TRUE,"Door"}</definedName>
    <definedName name="q_1_1" hidden="1">{#N/A,#N/A,TRUE,"Basic";#N/A,#N/A,TRUE,"EXT-TABLE";#N/A,#N/A,TRUE,"STEEL";#N/A,#N/A,TRUE,"INT-Table";#N/A,#N/A,TRUE,"STEEL";#N/A,#N/A,TRUE,"Door"}</definedName>
    <definedName name="q_1_2" localSheetId="18" hidden="1">{#N/A,#N/A,TRUE,"Basic";#N/A,#N/A,TRUE,"EXT-TABLE";#N/A,#N/A,TRUE,"STEEL";#N/A,#N/A,TRUE,"INT-Table";#N/A,#N/A,TRUE,"STEEL";#N/A,#N/A,TRUE,"Door"}</definedName>
    <definedName name="q_1_2" hidden="1">{#N/A,#N/A,TRUE,"Basic";#N/A,#N/A,TRUE,"EXT-TABLE";#N/A,#N/A,TRUE,"STEEL";#N/A,#N/A,TRUE,"INT-Table";#N/A,#N/A,TRUE,"STEEL";#N/A,#N/A,TRUE,"Door"}</definedName>
    <definedName name="q_2" localSheetId="18" hidden="1">{#N/A,#N/A,TRUE,"Basic";#N/A,#N/A,TRUE,"EXT-TABLE";#N/A,#N/A,TRUE,"STEEL";#N/A,#N/A,TRUE,"INT-Table";#N/A,#N/A,TRUE,"STEEL";#N/A,#N/A,TRUE,"Door"}</definedName>
    <definedName name="q_2" hidden="1">{#N/A,#N/A,TRUE,"Basic";#N/A,#N/A,TRUE,"EXT-TABLE";#N/A,#N/A,TRUE,"STEEL";#N/A,#N/A,TRUE,"INT-Table";#N/A,#N/A,TRUE,"STEEL";#N/A,#N/A,TRUE,"Door"}</definedName>
    <definedName name="q_2_1" localSheetId="18" hidden="1">{#N/A,#N/A,TRUE,"Basic";#N/A,#N/A,TRUE,"EXT-TABLE";#N/A,#N/A,TRUE,"STEEL";#N/A,#N/A,TRUE,"INT-Table";#N/A,#N/A,TRUE,"STEEL";#N/A,#N/A,TRUE,"Door"}</definedName>
    <definedName name="q_2_1" hidden="1">{#N/A,#N/A,TRUE,"Basic";#N/A,#N/A,TRUE,"EXT-TABLE";#N/A,#N/A,TRUE,"STEEL";#N/A,#N/A,TRUE,"INT-Table";#N/A,#N/A,TRUE,"STEEL";#N/A,#N/A,TRUE,"Door"}</definedName>
    <definedName name="q_2_2" localSheetId="18" hidden="1">{#N/A,#N/A,TRUE,"Basic";#N/A,#N/A,TRUE,"EXT-TABLE";#N/A,#N/A,TRUE,"STEEL";#N/A,#N/A,TRUE,"INT-Table";#N/A,#N/A,TRUE,"STEEL";#N/A,#N/A,TRUE,"Door"}</definedName>
    <definedName name="q_2_2" hidden="1">{#N/A,#N/A,TRUE,"Basic";#N/A,#N/A,TRUE,"EXT-TABLE";#N/A,#N/A,TRUE,"STEEL";#N/A,#N/A,TRUE,"INT-Table";#N/A,#N/A,TRUE,"STEEL";#N/A,#N/A,TRUE,"Door"}</definedName>
    <definedName name="q_3" localSheetId="18" hidden="1">{#N/A,#N/A,TRUE,"Basic";#N/A,#N/A,TRUE,"EXT-TABLE";#N/A,#N/A,TRUE,"STEEL";#N/A,#N/A,TRUE,"INT-Table";#N/A,#N/A,TRUE,"STEEL";#N/A,#N/A,TRUE,"Door"}</definedName>
    <definedName name="q_3" hidden="1">{#N/A,#N/A,TRUE,"Basic";#N/A,#N/A,TRUE,"EXT-TABLE";#N/A,#N/A,TRUE,"STEEL";#N/A,#N/A,TRUE,"INT-Table";#N/A,#N/A,TRUE,"STEEL";#N/A,#N/A,TRUE,"Door"}</definedName>
    <definedName name="q_3_1" localSheetId="18" hidden="1">{#N/A,#N/A,TRUE,"Basic";#N/A,#N/A,TRUE,"EXT-TABLE";#N/A,#N/A,TRUE,"STEEL";#N/A,#N/A,TRUE,"INT-Table";#N/A,#N/A,TRUE,"STEEL";#N/A,#N/A,TRUE,"Door"}</definedName>
    <definedName name="q_3_1" hidden="1">{#N/A,#N/A,TRUE,"Basic";#N/A,#N/A,TRUE,"EXT-TABLE";#N/A,#N/A,TRUE,"STEEL";#N/A,#N/A,TRUE,"INT-Table";#N/A,#N/A,TRUE,"STEEL";#N/A,#N/A,TRUE,"Door"}</definedName>
    <definedName name="q_3_2" localSheetId="18" hidden="1">{#N/A,#N/A,TRUE,"Basic";#N/A,#N/A,TRUE,"EXT-TABLE";#N/A,#N/A,TRUE,"STEEL";#N/A,#N/A,TRUE,"INT-Table";#N/A,#N/A,TRUE,"STEEL";#N/A,#N/A,TRUE,"Door"}</definedName>
    <definedName name="q_3_2" hidden="1">{#N/A,#N/A,TRUE,"Basic";#N/A,#N/A,TRUE,"EXT-TABLE";#N/A,#N/A,TRUE,"STEEL";#N/A,#N/A,TRUE,"INT-Table";#N/A,#N/A,TRUE,"STEEL";#N/A,#N/A,TRUE,"Door"}</definedName>
    <definedName name="q_4" localSheetId="18" hidden="1">{#N/A,#N/A,TRUE,"Basic";#N/A,#N/A,TRUE,"EXT-TABLE";#N/A,#N/A,TRUE,"STEEL";#N/A,#N/A,TRUE,"INT-Table";#N/A,#N/A,TRUE,"STEEL";#N/A,#N/A,TRUE,"Door"}</definedName>
    <definedName name="q_4" hidden="1">{#N/A,#N/A,TRUE,"Basic";#N/A,#N/A,TRUE,"EXT-TABLE";#N/A,#N/A,TRUE,"STEEL";#N/A,#N/A,TRUE,"INT-Table";#N/A,#N/A,TRUE,"STEEL";#N/A,#N/A,TRUE,"Door"}</definedName>
    <definedName name="q_4_1" localSheetId="18" hidden="1">{#N/A,#N/A,TRUE,"Basic";#N/A,#N/A,TRUE,"EXT-TABLE";#N/A,#N/A,TRUE,"STEEL";#N/A,#N/A,TRUE,"INT-Table";#N/A,#N/A,TRUE,"STEEL";#N/A,#N/A,TRUE,"Door"}</definedName>
    <definedName name="q_4_1" hidden="1">{#N/A,#N/A,TRUE,"Basic";#N/A,#N/A,TRUE,"EXT-TABLE";#N/A,#N/A,TRUE,"STEEL";#N/A,#N/A,TRUE,"INT-Table";#N/A,#N/A,TRUE,"STEEL";#N/A,#N/A,TRUE,"Door"}</definedName>
    <definedName name="q_4_2" localSheetId="18" hidden="1">{#N/A,#N/A,TRUE,"Basic";#N/A,#N/A,TRUE,"EXT-TABLE";#N/A,#N/A,TRUE,"STEEL";#N/A,#N/A,TRUE,"INT-Table";#N/A,#N/A,TRUE,"STEEL";#N/A,#N/A,TRUE,"Door"}</definedName>
    <definedName name="q_4_2" hidden="1">{#N/A,#N/A,TRUE,"Basic";#N/A,#N/A,TRUE,"EXT-TABLE";#N/A,#N/A,TRUE,"STEEL";#N/A,#N/A,TRUE,"INT-Table";#N/A,#N/A,TRUE,"STEEL";#N/A,#N/A,TRUE,"Door"}</definedName>
    <definedName name="q_5" localSheetId="18" hidden="1">{#N/A,#N/A,TRUE,"Basic";#N/A,#N/A,TRUE,"EXT-TABLE";#N/A,#N/A,TRUE,"STEEL";#N/A,#N/A,TRUE,"INT-Table";#N/A,#N/A,TRUE,"STEEL";#N/A,#N/A,TRUE,"Door"}</definedName>
    <definedName name="q_5" hidden="1">{#N/A,#N/A,TRUE,"Basic";#N/A,#N/A,TRUE,"EXT-TABLE";#N/A,#N/A,TRUE,"STEEL";#N/A,#N/A,TRUE,"INT-Table";#N/A,#N/A,TRUE,"STEEL";#N/A,#N/A,TRUE,"Door"}</definedName>
    <definedName name="q_5_1" localSheetId="18" hidden="1">{#N/A,#N/A,TRUE,"Basic";#N/A,#N/A,TRUE,"EXT-TABLE";#N/A,#N/A,TRUE,"STEEL";#N/A,#N/A,TRUE,"INT-Table";#N/A,#N/A,TRUE,"STEEL";#N/A,#N/A,TRUE,"Door"}</definedName>
    <definedName name="q_5_1" hidden="1">{#N/A,#N/A,TRUE,"Basic";#N/A,#N/A,TRUE,"EXT-TABLE";#N/A,#N/A,TRUE,"STEEL";#N/A,#N/A,TRUE,"INT-Table";#N/A,#N/A,TRUE,"STEEL";#N/A,#N/A,TRUE,"Door"}</definedName>
    <definedName name="q_5_2" localSheetId="18" hidden="1">{#N/A,#N/A,TRUE,"Basic";#N/A,#N/A,TRUE,"EXT-TABLE";#N/A,#N/A,TRUE,"STEEL";#N/A,#N/A,TRUE,"INT-Table";#N/A,#N/A,TRUE,"STEEL";#N/A,#N/A,TRUE,"Door"}</definedName>
    <definedName name="q_5_2" hidden="1">{#N/A,#N/A,TRUE,"Basic";#N/A,#N/A,TRUE,"EXT-TABLE";#N/A,#N/A,TRUE,"STEEL";#N/A,#N/A,TRUE,"INT-Table";#N/A,#N/A,TRUE,"STEEL";#N/A,#N/A,TRUE,"Door"}</definedName>
    <definedName name="QAZ" localSheetId="18" hidden="1">{#N/A,#N/A,FALSE,"CCTV"}</definedName>
    <definedName name="QAZ" hidden="1">{#N/A,#N/A,FALSE,"CCTV"}</definedName>
    <definedName name="qd" localSheetId="18" hidden="1">{#N/A,#N/A,TRUE,"Mhr_Sum"}</definedName>
    <definedName name="qd" localSheetId="11" hidden="1">{#N/A,#N/A,TRUE,"Mhr_Sum"}</definedName>
    <definedName name="qd" localSheetId="1" hidden="1">{#N/A,#N/A,TRUE,"Mhr_Sum"}</definedName>
    <definedName name="qd" localSheetId="2" hidden="1">{#N/A,#N/A,TRUE,"Mhr_Sum"}</definedName>
    <definedName name="qd" localSheetId="4" hidden="1">{#N/A,#N/A,TRUE,"Mhr_Sum"}</definedName>
    <definedName name="qd" localSheetId="19" hidden="1">{#N/A,#N/A,TRUE,"Mhr_Sum"}</definedName>
    <definedName name="qd" localSheetId="10" hidden="1">{#N/A,#N/A,TRUE,"Mhr_Sum"}</definedName>
    <definedName name="qd" localSheetId="9" hidden="1">{#N/A,#N/A,TRUE,"Mhr_Sum"}</definedName>
    <definedName name="qd" localSheetId="8" hidden="1">{#N/A,#N/A,TRUE,"Mhr_Sum"}</definedName>
    <definedName name="qd" localSheetId="3" hidden="1">{#N/A,#N/A,TRUE,"Mhr_Sum"}</definedName>
    <definedName name="qd" localSheetId="6" hidden="1">{#N/A,#N/A,TRUE,"Mhr_Sum"}</definedName>
    <definedName name="qd" localSheetId="7" hidden="1">{#N/A,#N/A,TRUE,"Mhr_Sum"}</definedName>
    <definedName name="qd" localSheetId="5" hidden="1">{#N/A,#N/A,TRUE,"Mhr_Sum"}</definedName>
    <definedName name="qd" hidden="1">{#N/A,#N/A,TRUE,"Mhr_Sum"}</definedName>
    <definedName name="QEFQEF" localSheetId="18" hidden="1">{"'장비'!$A$3:$M$12"}</definedName>
    <definedName name="QEFQEF" hidden="1">{"'장비'!$A$3:$M$12"}</definedName>
    <definedName name="QH">#REF!</definedName>
    <definedName name="QNEO" localSheetId="18" hidden="1">{#N/A,#N/A,FALSE,"골재소요량";#N/A,#N/A,FALSE,"골재소요량"}</definedName>
    <definedName name="QNEO" hidden="1">{#N/A,#N/A,FALSE,"골재소요량";#N/A,#N/A,FALSE,"골재소요량"}</definedName>
    <definedName name="QPrice" localSheetId="11">'[51]Labor Sum'!$C$34</definedName>
    <definedName name="QPrice" localSheetId="1">'[51]Labor Sum'!$C$34</definedName>
    <definedName name="QPrice" localSheetId="2">'[51]Labor Sum'!$C$34</definedName>
    <definedName name="QPrice" localSheetId="4">'[51]Labor Sum'!$C$34</definedName>
    <definedName name="QPrice" localSheetId="19">'[51]Labor Sum'!$C$34</definedName>
    <definedName name="QPrice" localSheetId="10">'[51]Labor Sum'!$C$34</definedName>
    <definedName name="QPrice" localSheetId="9">'[51]Labor Sum'!$C$34</definedName>
    <definedName name="QPrice" localSheetId="8">'[51]Labor Sum'!$C$34</definedName>
    <definedName name="QPrice" localSheetId="3">'[51]Labor Sum'!$C$34</definedName>
    <definedName name="QPrice" localSheetId="6">'[51]Labor Sum'!$C$34</definedName>
    <definedName name="QPrice" localSheetId="7">'[51]Labor Sum'!$C$34</definedName>
    <definedName name="QPrice" localSheetId="5">'[51]Labor Sum'!$C$34</definedName>
    <definedName name="QPrice">#REF!</definedName>
    <definedName name="QQ" localSheetId="18" hidden="1">{#N/A,#N/A,FALSE,"Mhr_Sum"}</definedName>
    <definedName name="QQ" hidden="1">{#N/A,#N/A,FALSE,"Mhr_Sum"}</definedName>
    <definedName name="qqq" localSheetId="18" hidden="1">{#N/A,#N/A,TRUE,"Basic";#N/A,#N/A,TRUE,"EXT-TABLE";#N/A,#N/A,TRUE,"STEEL";#N/A,#N/A,TRUE,"INT-Table";#N/A,#N/A,TRUE,"STEEL";#N/A,#N/A,TRUE,"Door"}</definedName>
    <definedName name="qqq" localSheetId="11" hidden="1">{#N/A,#N/A,FALSE,"Project Cost Summary";#N/A,#N/A,FALSE,"Man Hour Summary"}</definedName>
    <definedName name="qqq" localSheetId="1">#N/A</definedName>
    <definedName name="qqq" localSheetId="2">#N/A</definedName>
    <definedName name="qqq" localSheetId="4">#N/A</definedName>
    <definedName name="qqq" localSheetId="19">#N/A</definedName>
    <definedName name="qqq" localSheetId="10">#N/A</definedName>
    <definedName name="qqq" localSheetId="9">#N/A</definedName>
    <definedName name="qqq" localSheetId="8">#N/A</definedName>
    <definedName name="qqq" localSheetId="3">#N/A</definedName>
    <definedName name="qqq" localSheetId="6">#N/A</definedName>
    <definedName name="qqq" localSheetId="7">#N/A</definedName>
    <definedName name="qqq" localSheetId="5">#N/A</definedName>
    <definedName name="qqq" hidden="1">{#N/A,#N/A,TRUE,"Basic";#N/A,#N/A,TRUE,"EXT-TABLE";#N/A,#N/A,TRUE,"STEEL";#N/A,#N/A,TRUE,"INT-Table";#N/A,#N/A,TRUE,"STEEL";#N/A,#N/A,TRUE,"Door"}</definedName>
    <definedName name="qqq_1" localSheetId="18" hidden="1">{#N/A,#N/A,TRUE,"Basic";#N/A,#N/A,TRUE,"EXT-TABLE";#N/A,#N/A,TRUE,"STEEL";#N/A,#N/A,TRUE,"INT-Table";#N/A,#N/A,TRUE,"STEEL";#N/A,#N/A,TRUE,"Door"}</definedName>
    <definedName name="qqq_1" hidden="1">{#N/A,#N/A,TRUE,"Basic";#N/A,#N/A,TRUE,"EXT-TABLE";#N/A,#N/A,TRUE,"STEEL";#N/A,#N/A,TRUE,"INT-Table";#N/A,#N/A,TRUE,"STEEL";#N/A,#N/A,TRUE,"Door"}</definedName>
    <definedName name="qqq_1_1" localSheetId="18" hidden="1">{#N/A,#N/A,TRUE,"Basic";#N/A,#N/A,TRUE,"EXT-TABLE";#N/A,#N/A,TRUE,"STEEL";#N/A,#N/A,TRUE,"INT-Table";#N/A,#N/A,TRUE,"STEEL";#N/A,#N/A,TRUE,"Door"}</definedName>
    <definedName name="qqq_1_1" hidden="1">{#N/A,#N/A,TRUE,"Basic";#N/A,#N/A,TRUE,"EXT-TABLE";#N/A,#N/A,TRUE,"STEEL";#N/A,#N/A,TRUE,"INT-Table";#N/A,#N/A,TRUE,"STEEL";#N/A,#N/A,TRUE,"Door"}</definedName>
    <definedName name="qqq_1_2" localSheetId="18" hidden="1">{#N/A,#N/A,TRUE,"Basic";#N/A,#N/A,TRUE,"EXT-TABLE";#N/A,#N/A,TRUE,"STEEL";#N/A,#N/A,TRUE,"INT-Table";#N/A,#N/A,TRUE,"STEEL";#N/A,#N/A,TRUE,"Door"}</definedName>
    <definedName name="qqq_1_2" hidden="1">{#N/A,#N/A,TRUE,"Basic";#N/A,#N/A,TRUE,"EXT-TABLE";#N/A,#N/A,TRUE,"STEEL";#N/A,#N/A,TRUE,"INT-Table";#N/A,#N/A,TRUE,"STEEL";#N/A,#N/A,TRUE,"Door"}</definedName>
    <definedName name="qqq_2" localSheetId="18" hidden="1">{#N/A,#N/A,TRUE,"Basic";#N/A,#N/A,TRUE,"EXT-TABLE";#N/A,#N/A,TRUE,"STEEL";#N/A,#N/A,TRUE,"INT-Table";#N/A,#N/A,TRUE,"STEEL";#N/A,#N/A,TRUE,"Door"}</definedName>
    <definedName name="qqq_2" hidden="1">{#N/A,#N/A,TRUE,"Basic";#N/A,#N/A,TRUE,"EXT-TABLE";#N/A,#N/A,TRUE,"STEEL";#N/A,#N/A,TRUE,"INT-Table";#N/A,#N/A,TRUE,"STEEL";#N/A,#N/A,TRUE,"Door"}</definedName>
    <definedName name="qqq_2_1" localSheetId="18" hidden="1">{#N/A,#N/A,TRUE,"Basic";#N/A,#N/A,TRUE,"EXT-TABLE";#N/A,#N/A,TRUE,"STEEL";#N/A,#N/A,TRUE,"INT-Table";#N/A,#N/A,TRUE,"STEEL";#N/A,#N/A,TRUE,"Door"}</definedName>
    <definedName name="qqq_2_1" hidden="1">{#N/A,#N/A,TRUE,"Basic";#N/A,#N/A,TRUE,"EXT-TABLE";#N/A,#N/A,TRUE,"STEEL";#N/A,#N/A,TRUE,"INT-Table";#N/A,#N/A,TRUE,"STEEL";#N/A,#N/A,TRUE,"Door"}</definedName>
    <definedName name="qqq_2_2" localSheetId="18" hidden="1">{#N/A,#N/A,TRUE,"Basic";#N/A,#N/A,TRUE,"EXT-TABLE";#N/A,#N/A,TRUE,"STEEL";#N/A,#N/A,TRUE,"INT-Table";#N/A,#N/A,TRUE,"STEEL";#N/A,#N/A,TRUE,"Door"}</definedName>
    <definedName name="qqq_2_2" hidden="1">{#N/A,#N/A,TRUE,"Basic";#N/A,#N/A,TRUE,"EXT-TABLE";#N/A,#N/A,TRUE,"STEEL";#N/A,#N/A,TRUE,"INT-Table";#N/A,#N/A,TRUE,"STEEL";#N/A,#N/A,TRUE,"Door"}</definedName>
    <definedName name="qqq_3" localSheetId="18" hidden="1">{#N/A,#N/A,TRUE,"Basic";#N/A,#N/A,TRUE,"EXT-TABLE";#N/A,#N/A,TRUE,"STEEL";#N/A,#N/A,TRUE,"INT-Table";#N/A,#N/A,TRUE,"STEEL";#N/A,#N/A,TRUE,"Door"}</definedName>
    <definedName name="qqq_3" hidden="1">{#N/A,#N/A,TRUE,"Basic";#N/A,#N/A,TRUE,"EXT-TABLE";#N/A,#N/A,TRUE,"STEEL";#N/A,#N/A,TRUE,"INT-Table";#N/A,#N/A,TRUE,"STEEL";#N/A,#N/A,TRUE,"Door"}</definedName>
    <definedName name="qqq_3_1" localSheetId="18" hidden="1">{#N/A,#N/A,TRUE,"Basic";#N/A,#N/A,TRUE,"EXT-TABLE";#N/A,#N/A,TRUE,"STEEL";#N/A,#N/A,TRUE,"INT-Table";#N/A,#N/A,TRUE,"STEEL";#N/A,#N/A,TRUE,"Door"}</definedName>
    <definedName name="qqq_3_1" hidden="1">{#N/A,#N/A,TRUE,"Basic";#N/A,#N/A,TRUE,"EXT-TABLE";#N/A,#N/A,TRUE,"STEEL";#N/A,#N/A,TRUE,"INT-Table";#N/A,#N/A,TRUE,"STEEL";#N/A,#N/A,TRUE,"Door"}</definedName>
    <definedName name="qqq_3_2" localSheetId="18" hidden="1">{#N/A,#N/A,TRUE,"Basic";#N/A,#N/A,TRUE,"EXT-TABLE";#N/A,#N/A,TRUE,"STEEL";#N/A,#N/A,TRUE,"INT-Table";#N/A,#N/A,TRUE,"STEEL";#N/A,#N/A,TRUE,"Door"}</definedName>
    <definedName name="qqq_3_2" hidden="1">{#N/A,#N/A,TRUE,"Basic";#N/A,#N/A,TRUE,"EXT-TABLE";#N/A,#N/A,TRUE,"STEEL";#N/A,#N/A,TRUE,"INT-Table";#N/A,#N/A,TRUE,"STEEL";#N/A,#N/A,TRUE,"Door"}</definedName>
    <definedName name="qqq_4" localSheetId="18" hidden="1">{#N/A,#N/A,TRUE,"Basic";#N/A,#N/A,TRUE,"EXT-TABLE";#N/A,#N/A,TRUE,"STEEL";#N/A,#N/A,TRUE,"INT-Table";#N/A,#N/A,TRUE,"STEEL";#N/A,#N/A,TRUE,"Door"}</definedName>
    <definedName name="qqq_4" hidden="1">{#N/A,#N/A,TRUE,"Basic";#N/A,#N/A,TRUE,"EXT-TABLE";#N/A,#N/A,TRUE,"STEEL";#N/A,#N/A,TRUE,"INT-Table";#N/A,#N/A,TRUE,"STEEL";#N/A,#N/A,TRUE,"Door"}</definedName>
    <definedName name="qqq_4_1" localSheetId="18" hidden="1">{#N/A,#N/A,TRUE,"Basic";#N/A,#N/A,TRUE,"EXT-TABLE";#N/A,#N/A,TRUE,"STEEL";#N/A,#N/A,TRUE,"INT-Table";#N/A,#N/A,TRUE,"STEEL";#N/A,#N/A,TRUE,"Door"}</definedName>
    <definedName name="qqq_4_1" hidden="1">{#N/A,#N/A,TRUE,"Basic";#N/A,#N/A,TRUE,"EXT-TABLE";#N/A,#N/A,TRUE,"STEEL";#N/A,#N/A,TRUE,"INT-Table";#N/A,#N/A,TRUE,"STEEL";#N/A,#N/A,TRUE,"Door"}</definedName>
    <definedName name="qqq_4_2" localSheetId="18" hidden="1">{#N/A,#N/A,TRUE,"Basic";#N/A,#N/A,TRUE,"EXT-TABLE";#N/A,#N/A,TRUE,"STEEL";#N/A,#N/A,TRUE,"INT-Table";#N/A,#N/A,TRUE,"STEEL";#N/A,#N/A,TRUE,"Door"}</definedName>
    <definedName name="qqq_4_2" hidden="1">{#N/A,#N/A,TRUE,"Basic";#N/A,#N/A,TRUE,"EXT-TABLE";#N/A,#N/A,TRUE,"STEEL";#N/A,#N/A,TRUE,"INT-Table";#N/A,#N/A,TRUE,"STEEL";#N/A,#N/A,TRUE,"Door"}</definedName>
    <definedName name="qqq_5" localSheetId="18" hidden="1">{#N/A,#N/A,TRUE,"Basic";#N/A,#N/A,TRUE,"EXT-TABLE";#N/A,#N/A,TRUE,"STEEL";#N/A,#N/A,TRUE,"INT-Table";#N/A,#N/A,TRUE,"STEEL";#N/A,#N/A,TRUE,"Door"}</definedName>
    <definedName name="qqq_5" hidden="1">{#N/A,#N/A,TRUE,"Basic";#N/A,#N/A,TRUE,"EXT-TABLE";#N/A,#N/A,TRUE,"STEEL";#N/A,#N/A,TRUE,"INT-Table";#N/A,#N/A,TRUE,"STEEL";#N/A,#N/A,TRUE,"Door"}</definedName>
    <definedName name="qqq_5_1" localSheetId="18" hidden="1">{#N/A,#N/A,TRUE,"Basic";#N/A,#N/A,TRUE,"EXT-TABLE";#N/A,#N/A,TRUE,"STEEL";#N/A,#N/A,TRUE,"INT-Table";#N/A,#N/A,TRUE,"STEEL";#N/A,#N/A,TRUE,"Door"}</definedName>
    <definedName name="qqq_5_1" hidden="1">{#N/A,#N/A,TRUE,"Basic";#N/A,#N/A,TRUE,"EXT-TABLE";#N/A,#N/A,TRUE,"STEEL";#N/A,#N/A,TRUE,"INT-Table";#N/A,#N/A,TRUE,"STEEL";#N/A,#N/A,TRUE,"Door"}</definedName>
    <definedName name="qqq_5_2" localSheetId="18" hidden="1">{#N/A,#N/A,TRUE,"Basic";#N/A,#N/A,TRUE,"EXT-TABLE";#N/A,#N/A,TRUE,"STEEL";#N/A,#N/A,TRUE,"INT-Table";#N/A,#N/A,TRUE,"STEEL";#N/A,#N/A,TRUE,"Door"}</definedName>
    <definedName name="qqq_5_2" hidden="1">{#N/A,#N/A,TRUE,"Basic";#N/A,#N/A,TRUE,"EXT-TABLE";#N/A,#N/A,TRUE,"STEEL";#N/A,#N/A,TRUE,"INT-Table";#N/A,#N/A,TRUE,"STEEL";#N/A,#N/A,TRUE,"Door"}</definedName>
    <definedName name="qqqq" localSheetId="18" hidden="1">{"'장비'!$A$3:$M$12"}</definedName>
    <definedName name="qqqq" hidden="1">{"'장비'!$A$3:$M$12"}</definedName>
    <definedName name="QQQQ_1" localSheetId="18" hidden="1">{#N/A,#N/A,TRUE,"Basic";#N/A,#N/A,TRUE,"EXT-TABLE";#N/A,#N/A,TRUE,"STEEL";#N/A,#N/A,TRUE,"INT-Table";#N/A,#N/A,TRUE,"STEEL";#N/A,#N/A,TRUE,"Door"}</definedName>
    <definedName name="QQQQ_1" hidden="1">{#N/A,#N/A,TRUE,"Basic";#N/A,#N/A,TRUE,"EXT-TABLE";#N/A,#N/A,TRUE,"STEEL";#N/A,#N/A,TRUE,"INT-Table";#N/A,#N/A,TRUE,"STEEL";#N/A,#N/A,TRUE,"Door"}</definedName>
    <definedName name="QQQQ_1_1" localSheetId="18" hidden="1">{#N/A,#N/A,TRUE,"Basic";#N/A,#N/A,TRUE,"EXT-TABLE";#N/A,#N/A,TRUE,"STEEL";#N/A,#N/A,TRUE,"INT-Table";#N/A,#N/A,TRUE,"STEEL";#N/A,#N/A,TRUE,"Door"}</definedName>
    <definedName name="QQQQ_1_1" hidden="1">{#N/A,#N/A,TRUE,"Basic";#N/A,#N/A,TRUE,"EXT-TABLE";#N/A,#N/A,TRUE,"STEEL";#N/A,#N/A,TRUE,"INT-Table";#N/A,#N/A,TRUE,"STEEL";#N/A,#N/A,TRUE,"Door"}</definedName>
    <definedName name="QQQQ_1_2" localSheetId="18" hidden="1">{#N/A,#N/A,TRUE,"Basic";#N/A,#N/A,TRUE,"EXT-TABLE";#N/A,#N/A,TRUE,"STEEL";#N/A,#N/A,TRUE,"INT-Table";#N/A,#N/A,TRUE,"STEEL";#N/A,#N/A,TRUE,"Door"}</definedName>
    <definedName name="QQQQ_1_2" hidden="1">{#N/A,#N/A,TRUE,"Basic";#N/A,#N/A,TRUE,"EXT-TABLE";#N/A,#N/A,TRUE,"STEEL";#N/A,#N/A,TRUE,"INT-Table";#N/A,#N/A,TRUE,"STEEL";#N/A,#N/A,TRUE,"Door"}</definedName>
    <definedName name="QQQQ_2" localSheetId="18" hidden="1">{#N/A,#N/A,TRUE,"Basic";#N/A,#N/A,TRUE,"EXT-TABLE";#N/A,#N/A,TRUE,"STEEL";#N/A,#N/A,TRUE,"INT-Table";#N/A,#N/A,TRUE,"STEEL";#N/A,#N/A,TRUE,"Door"}</definedName>
    <definedName name="QQQQ_2" hidden="1">{#N/A,#N/A,TRUE,"Basic";#N/A,#N/A,TRUE,"EXT-TABLE";#N/A,#N/A,TRUE,"STEEL";#N/A,#N/A,TRUE,"INT-Table";#N/A,#N/A,TRUE,"STEEL";#N/A,#N/A,TRUE,"Door"}</definedName>
    <definedName name="QQQQ_2_1" localSheetId="18" hidden="1">{#N/A,#N/A,TRUE,"Basic";#N/A,#N/A,TRUE,"EXT-TABLE";#N/A,#N/A,TRUE,"STEEL";#N/A,#N/A,TRUE,"INT-Table";#N/A,#N/A,TRUE,"STEEL";#N/A,#N/A,TRUE,"Door"}</definedName>
    <definedName name="QQQQ_2_1" hidden="1">{#N/A,#N/A,TRUE,"Basic";#N/A,#N/A,TRUE,"EXT-TABLE";#N/A,#N/A,TRUE,"STEEL";#N/A,#N/A,TRUE,"INT-Table";#N/A,#N/A,TRUE,"STEEL";#N/A,#N/A,TRUE,"Door"}</definedName>
    <definedName name="QQQQ_2_2" localSheetId="18" hidden="1">{#N/A,#N/A,TRUE,"Basic";#N/A,#N/A,TRUE,"EXT-TABLE";#N/A,#N/A,TRUE,"STEEL";#N/A,#N/A,TRUE,"INT-Table";#N/A,#N/A,TRUE,"STEEL";#N/A,#N/A,TRUE,"Door"}</definedName>
    <definedName name="QQQQ_2_2" hidden="1">{#N/A,#N/A,TRUE,"Basic";#N/A,#N/A,TRUE,"EXT-TABLE";#N/A,#N/A,TRUE,"STEEL";#N/A,#N/A,TRUE,"INT-Table";#N/A,#N/A,TRUE,"STEEL";#N/A,#N/A,TRUE,"Door"}</definedName>
    <definedName name="QQQQ_3" localSheetId="18" hidden="1">{#N/A,#N/A,TRUE,"Basic";#N/A,#N/A,TRUE,"EXT-TABLE";#N/A,#N/A,TRUE,"STEEL";#N/A,#N/A,TRUE,"INT-Table";#N/A,#N/A,TRUE,"STEEL";#N/A,#N/A,TRUE,"Door"}</definedName>
    <definedName name="QQQQ_3" hidden="1">{#N/A,#N/A,TRUE,"Basic";#N/A,#N/A,TRUE,"EXT-TABLE";#N/A,#N/A,TRUE,"STEEL";#N/A,#N/A,TRUE,"INT-Table";#N/A,#N/A,TRUE,"STEEL";#N/A,#N/A,TRUE,"Door"}</definedName>
    <definedName name="QQQQ_3_1" localSheetId="18" hidden="1">{#N/A,#N/A,TRUE,"Basic";#N/A,#N/A,TRUE,"EXT-TABLE";#N/A,#N/A,TRUE,"STEEL";#N/A,#N/A,TRUE,"INT-Table";#N/A,#N/A,TRUE,"STEEL";#N/A,#N/A,TRUE,"Door"}</definedName>
    <definedName name="QQQQ_3_1" hidden="1">{#N/A,#N/A,TRUE,"Basic";#N/A,#N/A,TRUE,"EXT-TABLE";#N/A,#N/A,TRUE,"STEEL";#N/A,#N/A,TRUE,"INT-Table";#N/A,#N/A,TRUE,"STEEL";#N/A,#N/A,TRUE,"Door"}</definedName>
    <definedName name="QQQQ_3_2" localSheetId="18" hidden="1">{#N/A,#N/A,TRUE,"Basic";#N/A,#N/A,TRUE,"EXT-TABLE";#N/A,#N/A,TRUE,"STEEL";#N/A,#N/A,TRUE,"INT-Table";#N/A,#N/A,TRUE,"STEEL";#N/A,#N/A,TRUE,"Door"}</definedName>
    <definedName name="QQQQ_3_2" hidden="1">{#N/A,#N/A,TRUE,"Basic";#N/A,#N/A,TRUE,"EXT-TABLE";#N/A,#N/A,TRUE,"STEEL";#N/A,#N/A,TRUE,"INT-Table";#N/A,#N/A,TRUE,"STEEL";#N/A,#N/A,TRUE,"Door"}</definedName>
    <definedName name="QQQQ_4" localSheetId="18" hidden="1">{#N/A,#N/A,TRUE,"Basic";#N/A,#N/A,TRUE,"EXT-TABLE";#N/A,#N/A,TRUE,"STEEL";#N/A,#N/A,TRUE,"INT-Table";#N/A,#N/A,TRUE,"STEEL";#N/A,#N/A,TRUE,"Door"}</definedName>
    <definedName name="QQQQ_4" hidden="1">{#N/A,#N/A,TRUE,"Basic";#N/A,#N/A,TRUE,"EXT-TABLE";#N/A,#N/A,TRUE,"STEEL";#N/A,#N/A,TRUE,"INT-Table";#N/A,#N/A,TRUE,"STEEL";#N/A,#N/A,TRUE,"Door"}</definedName>
    <definedName name="QQQQ_4_1" localSheetId="18" hidden="1">{#N/A,#N/A,TRUE,"Basic";#N/A,#N/A,TRUE,"EXT-TABLE";#N/A,#N/A,TRUE,"STEEL";#N/A,#N/A,TRUE,"INT-Table";#N/A,#N/A,TRUE,"STEEL";#N/A,#N/A,TRUE,"Door"}</definedName>
    <definedName name="QQQQ_4_1" hidden="1">{#N/A,#N/A,TRUE,"Basic";#N/A,#N/A,TRUE,"EXT-TABLE";#N/A,#N/A,TRUE,"STEEL";#N/A,#N/A,TRUE,"INT-Table";#N/A,#N/A,TRUE,"STEEL";#N/A,#N/A,TRUE,"Door"}</definedName>
    <definedName name="QQQQ_4_2" localSheetId="18" hidden="1">{#N/A,#N/A,TRUE,"Basic";#N/A,#N/A,TRUE,"EXT-TABLE";#N/A,#N/A,TRUE,"STEEL";#N/A,#N/A,TRUE,"INT-Table";#N/A,#N/A,TRUE,"STEEL";#N/A,#N/A,TRUE,"Door"}</definedName>
    <definedName name="QQQQ_4_2" hidden="1">{#N/A,#N/A,TRUE,"Basic";#N/A,#N/A,TRUE,"EXT-TABLE";#N/A,#N/A,TRUE,"STEEL";#N/A,#N/A,TRUE,"INT-Table";#N/A,#N/A,TRUE,"STEEL";#N/A,#N/A,TRUE,"Door"}</definedName>
    <definedName name="QQQQ_5" localSheetId="18" hidden="1">{#N/A,#N/A,TRUE,"Basic";#N/A,#N/A,TRUE,"EXT-TABLE";#N/A,#N/A,TRUE,"STEEL";#N/A,#N/A,TRUE,"INT-Table";#N/A,#N/A,TRUE,"STEEL";#N/A,#N/A,TRUE,"Door"}</definedName>
    <definedName name="QQQQ_5" hidden="1">{#N/A,#N/A,TRUE,"Basic";#N/A,#N/A,TRUE,"EXT-TABLE";#N/A,#N/A,TRUE,"STEEL";#N/A,#N/A,TRUE,"INT-Table";#N/A,#N/A,TRUE,"STEEL";#N/A,#N/A,TRUE,"Door"}</definedName>
    <definedName name="QQQQ_5_1" localSheetId="18" hidden="1">{#N/A,#N/A,TRUE,"Basic";#N/A,#N/A,TRUE,"EXT-TABLE";#N/A,#N/A,TRUE,"STEEL";#N/A,#N/A,TRUE,"INT-Table";#N/A,#N/A,TRUE,"STEEL";#N/A,#N/A,TRUE,"Door"}</definedName>
    <definedName name="QQQQ_5_1" hidden="1">{#N/A,#N/A,TRUE,"Basic";#N/A,#N/A,TRUE,"EXT-TABLE";#N/A,#N/A,TRUE,"STEEL";#N/A,#N/A,TRUE,"INT-Table";#N/A,#N/A,TRUE,"STEEL";#N/A,#N/A,TRUE,"Door"}</definedName>
    <definedName name="QQQQ_5_2" localSheetId="18" hidden="1">{#N/A,#N/A,TRUE,"Basic";#N/A,#N/A,TRUE,"EXT-TABLE";#N/A,#N/A,TRUE,"STEEL";#N/A,#N/A,TRUE,"INT-Table";#N/A,#N/A,TRUE,"STEEL";#N/A,#N/A,TRUE,"Door"}</definedName>
    <definedName name="QQQQ_5_2" hidden="1">{#N/A,#N/A,TRUE,"Basic";#N/A,#N/A,TRUE,"EXT-TABLE";#N/A,#N/A,TRUE,"STEEL";#N/A,#N/A,TRUE,"INT-Table";#N/A,#N/A,TRUE,"STEEL";#N/A,#N/A,TRUE,"Door"}</definedName>
    <definedName name="qqqqq" localSheetId="18" hidden="1">{#N/A,#N/A,TRUE,"Basic";#N/A,#N/A,TRUE,"EXT-TABLE";#N/A,#N/A,TRUE,"STEEL";#N/A,#N/A,TRUE,"INT-Table";#N/A,#N/A,TRUE,"STEEL";#N/A,#N/A,TRUE,"Door"}</definedName>
    <definedName name="qqqqq" hidden="1">{#N/A,#N/A,TRUE,"Basic";#N/A,#N/A,TRUE,"EXT-TABLE";#N/A,#N/A,TRUE,"STEEL";#N/A,#N/A,TRUE,"INT-Table";#N/A,#N/A,TRUE,"STEEL";#N/A,#N/A,TRUE,"Door"}</definedName>
    <definedName name="qqqqq_1" localSheetId="18" hidden="1">{#N/A,#N/A,TRUE,"Basic";#N/A,#N/A,TRUE,"EXT-TABLE";#N/A,#N/A,TRUE,"STEEL";#N/A,#N/A,TRUE,"INT-Table";#N/A,#N/A,TRUE,"STEEL";#N/A,#N/A,TRUE,"Door"}</definedName>
    <definedName name="qqqqq_1" hidden="1">{#N/A,#N/A,TRUE,"Basic";#N/A,#N/A,TRUE,"EXT-TABLE";#N/A,#N/A,TRUE,"STEEL";#N/A,#N/A,TRUE,"INT-Table";#N/A,#N/A,TRUE,"STEEL";#N/A,#N/A,TRUE,"Door"}</definedName>
    <definedName name="qqqqq_1_1" localSheetId="18" hidden="1">{#N/A,#N/A,TRUE,"Basic";#N/A,#N/A,TRUE,"EXT-TABLE";#N/A,#N/A,TRUE,"STEEL";#N/A,#N/A,TRUE,"INT-Table";#N/A,#N/A,TRUE,"STEEL";#N/A,#N/A,TRUE,"Door"}</definedName>
    <definedName name="qqqqq_1_1" hidden="1">{#N/A,#N/A,TRUE,"Basic";#N/A,#N/A,TRUE,"EXT-TABLE";#N/A,#N/A,TRUE,"STEEL";#N/A,#N/A,TRUE,"INT-Table";#N/A,#N/A,TRUE,"STEEL";#N/A,#N/A,TRUE,"Door"}</definedName>
    <definedName name="qqqqq_1_2" localSheetId="18" hidden="1">{#N/A,#N/A,TRUE,"Basic";#N/A,#N/A,TRUE,"EXT-TABLE";#N/A,#N/A,TRUE,"STEEL";#N/A,#N/A,TRUE,"INT-Table";#N/A,#N/A,TRUE,"STEEL";#N/A,#N/A,TRUE,"Door"}</definedName>
    <definedName name="qqqqq_1_2" hidden="1">{#N/A,#N/A,TRUE,"Basic";#N/A,#N/A,TRUE,"EXT-TABLE";#N/A,#N/A,TRUE,"STEEL";#N/A,#N/A,TRUE,"INT-Table";#N/A,#N/A,TRUE,"STEEL";#N/A,#N/A,TRUE,"Door"}</definedName>
    <definedName name="qqqqq_2" localSheetId="18" hidden="1">{#N/A,#N/A,TRUE,"Basic";#N/A,#N/A,TRUE,"EXT-TABLE";#N/A,#N/A,TRUE,"STEEL";#N/A,#N/A,TRUE,"INT-Table";#N/A,#N/A,TRUE,"STEEL";#N/A,#N/A,TRUE,"Door"}</definedName>
    <definedName name="qqqqq_2" hidden="1">{#N/A,#N/A,TRUE,"Basic";#N/A,#N/A,TRUE,"EXT-TABLE";#N/A,#N/A,TRUE,"STEEL";#N/A,#N/A,TRUE,"INT-Table";#N/A,#N/A,TRUE,"STEEL";#N/A,#N/A,TRUE,"Door"}</definedName>
    <definedName name="qqqqq_2_1" localSheetId="18" hidden="1">{#N/A,#N/A,TRUE,"Basic";#N/A,#N/A,TRUE,"EXT-TABLE";#N/A,#N/A,TRUE,"STEEL";#N/A,#N/A,TRUE,"INT-Table";#N/A,#N/A,TRUE,"STEEL";#N/A,#N/A,TRUE,"Door"}</definedName>
    <definedName name="qqqqq_2_1" hidden="1">{#N/A,#N/A,TRUE,"Basic";#N/A,#N/A,TRUE,"EXT-TABLE";#N/A,#N/A,TRUE,"STEEL";#N/A,#N/A,TRUE,"INT-Table";#N/A,#N/A,TRUE,"STEEL";#N/A,#N/A,TRUE,"Door"}</definedName>
    <definedName name="qqqqq_2_2" localSheetId="18" hidden="1">{#N/A,#N/A,TRUE,"Basic";#N/A,#N/A,TRUE,"EXT-TABLE";#N/A,#N/A,TRUE,"STEEL";#N/A,#N/A,TRUE,"INT-Table";#N/A,#N/A,TRUE,"STEEL";#N/A,#N/A,TRUE,"Door"}</definedName>
    <definedName name="qqqqq_2_2" hidden="1">{#N/A,#N/A,TRUE,"Basic";#N/A,#N/A,TRUE,"EXT-TABLE";#N/A,#N/A,TRUE,"STEEL";#N/A,#N/A,TRUE,"INT-Table";#N/A,#N/A,TRUE,"STEEL";#N/A,#N/A,TRUE,"Door"}</definedName>
    <definedName name="qqqqq_3" localSheetId="18" hidden="1">{#N/A,#N/A,TRUE,"Basic";#N/A,#N/A,TRUE,"EXT-TABLE";#N/A,#N/A,TRUE,"STEEL";#N/A,#N/A,TRUE,"INT-Table";#N/A,#N/A,TRUE,"STEEL";#N/A,#N/A,TRUE,"Door"}</definedName>
    <definedName name="qqqqq_3" hidden="1">{#N/A,#N/A,TRUE,"Basic";#N/A,#N/A,TRUE,"EXT-TABLE";#N/A,#N/A,TRUE,"STEEL";#N/A,#N/A,TRUE,"INT-Table";#N/A,#N/A,TRUE,"STEEL";#N/A,#N/A,TRUE,"Door"}</definedName>
    <definedName name="qqqqq_3_1" localSheetId="18" hidden="1">{#N/A,#N/A,TRUE,"Basic";#N/A,#N/A,TRUE,"EXT-TABLE";#N/A,#N/A,TRUE,"STEEL";#N/A,#N/A,TRUE,"INT-Table";#N/A,#N/A,TRUE,"STEEL";#N/A,#N/A,TRUE,"Door"}</definedName>
    <definedName name="qqqqq_3_1" hidden="1">{#N/A,#N/A,TRUE,"Basic";#N/A,#N/A,TRUE,"EXT-TABLE";#N/A,#N/A,TRUE,"STEEL";#N/A,#N/A,TRUE,"INT-Table";#N/A,#N/A,TRUE,"STEEL";#N/A,#N/A,TRUE,"Door"}</definedName>
    <definedName name="qqqqq_3_2" localSheetId="18" hidden="1">{#N/A,#N/A,TRUE,"Basic";#N/A,#N/A,TRUE,"EXT-TABLE";#N/A,#N/A,TRUE,"STEEL";#N/A,#N/A,TRUE,"INT-Table";#N/A,#N/A,TRUE,"STEEL";#N/A,#N/A,TRUE,"Door"}</definedName>
    <definedName name="qqqqq_3_2" hidden="1">{#N/A,#N/A,TRUE,"Basic";#N/A,#N/A,TRUE,"EXT-TABLE";#N/A,#N/A,TRUE,"STEEL";#N/A,#N/A,TRUE,"INT-Table";#N/A,#N/A,TRUE,"STEEL";#N/A,#N/A,TRUE,"Door"}</definedName>
    <definedName name="qqqqq_4" localSheetId="18" hidden="1">{#N/A,#N/A,TRUE,"Basic";#N/A,#N/A,TRUE,"EXT-TABLE";#N/A,#N/A,TRUE,"STEEL";#N/A,#N/A,TRUE,"INT-Table";#N/A,#N/A,TRUE,"STEEL";#N/A,#N/A,TRUE,"Door"}</definedName>
    <definedName name="qqqqq_4" hidden="1">{#N/A,#N/A,TRUE,"Basic";#N/A,#N/A,TRUE,"EXT-TABLE";#N/A,#N/A,TRUE,"STEEL";#N/A,#N/A,TRUE,"INT-Table";#N/A,#N/A,TRUE,"STEEL";#N/A,#N/A,TRUE,"Door"}</definedName>
    <definedName name="qqqqq_4_1" localSheetId="18" hidden="1">{#N/A,#N/A,TRUE,"Basic";#N/A,#N/A,TRUE,"EXT-TABLE";#N/A,#N/A,TRUE,"STEEL";#N/A,#N/A,TRUE,"INT-Table";#N/A,#N/A,TRUE,"STEEL";#N/A,#N/A,TRUE,"Door"}</definedName>
    <definedName name="qqqqq_4_1" hidden="1">{#N/A,#N/A,TRUE,"Basic";#N/A,#N/A,TRUE,"EXT-TABLE";#N/A,#N/A,TRUE,"STEEL";#N/A,#N/A,TRUE,"INT-Table";#N/A,#N/A,TRUE,"STEEL";#N/A,#N/A,TRUE,"Door"}</definedName>
    <definedName name="qqqqq_4_2" localSheetId="18" hidden="1">{#N/A,#N/A,TRUE,"Basic";#N/A,#N/A,TRUE,"EXT-TABLE";#N/A,#N/A,TRUE,"STEEL";#N/A,#N/A,TRUE,"INT-Table";#N/A,#N/A,TRUE,"STEEL";#N/A,#N/A,TRUE,"Door"}</definedName>
    <definedName name="qqqqq_4_2" hidden="1">{#N/A,#N/A,TRUE,"Basic";#N/A,#N/A,TRUE,"EXT-TABLE";#N/A,#N/A,TRUE,"STEEL";#N/A,#N/A,TRUE,"INT-Table";#N/A,#N/A,TRUE,"STEEL";#N/A,#N/A,TRUE,"Door"}</definedName>
    <definedName name="qqqqq_5" localSheetId="18" hidden="1">{#N/A,#N/A,TRUE,"Basic";#N/A,#N/A,TRUE,"EXT-TABLE";#N/A,#N/A,TRUE,"STEEL";#N/A,#N/A,TRUE,"INT-Table";#N/A,#N/A,TRUE,"STEEL";#N/A,#N/A,TRUE,"Door"}</definedName>
    <definedName name="qqqqq_5" hidden="1">{#N/A,#N/A,TRUE,"Basic";#N/A,#N/A,TRUE,"EXT-TABLE";#N/A,#N/A,TRUE,"STEEL";#N/A,#N/A,TRUE,"INT-Table";#N/A,#N/A,TRUE,"STEEL";#N/A,#N/A,TRUE,"Door"}</definedName>
    <definedName name="qqqqq_5_1" localSheetId="18" hidden="1">{#N/A,#N/A,TRUE,"Basic";#N/A,#N/A,TRUE,"EXT-TABLE";#N/A,#N/A,TRUE,"STEEL";#N/A,#N/A,TRUE,"INT-Table";#N/A,#N/A,TRUE,"STEEL";#N/A,#N/A,TRUE,"Door"}</definedName>
    <definedName name="qqqqq_5_1" hidden="1">{#N/A,#N/A,TRUE,"Basic";#N/A,#N/A,TRUE,"EXT-TABLE";#N/A,#N/A,TRUE,"STEEL";#N/A,#N/A,TRUE,"INT-Table";#N/A,#N/A,TRUE,"STEEL";#N/A,#N/A,TRUE,"Door"}</definedName>
    <definedName name="qqqqq_5_2" localSheetId="18" hidden="1">{#N/A,#N/A,TRUE,"Basic";#N/A,#N/A,TRUE,"EXT-TABLE";#N/A,#N/A,TRUE,"STEEL";#N/A,#N/A,TRUE,"INT-Table";#N/A,#N/A,TRUE,"STEEL";#N/A,#N/A,TRUE,"Door"}</definedName>
    <definedName name="qqqqq_5_2" hidden="1">{#N/A,#N/A,TRUE,"Basic";#N/A,#N/A,TRUE,"EXT-TABLE";#N/A,#N/A,TRUE,"STEEL";#N/A,#N/A,TRUE,"INT-Table";#N/A,#N/A,TRUE,"STEEL";#N/A,#N/A,TRUE,"Door"}</definedName>
    <definedName name="qqqqqqq" localSheetId="18" hidden="1">{#N/A,#N/A,FALSE,"CCTV"}</definedName>
    <definedName name="qqqqqqq" hidden="1">{#N/A,#N/A,FALSE,"CCTV"}</definedName>
    <definedName name="QQQQQQQ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localSheetId="18" hidden="1">{#N/A,#N/A,FALSE,"CCTV"}</definedName>
    <definedName name="QQW" hidden="1">{#N/A,#N/A,FALSE,"CCTV"}</definedName>
    <definedName name="Qty_Modules" localSheetId="11">'[41]Noise (3)'!$C$51</definedName>
    <definedName name="Qty_Modules" localSheetId="1">'[41]Noise (3)'!$C$51</definedName>
    <definedName name="Qty_Modules" localSheetId="2">'[41]Noise (3)'!$C$51</definedName>
    <definedName name="Qty_Modules" localSheetId="4">'[41]Noise (3)'!$C$51</definedName>
    <definedName name="Qty_Modules" localSheetId="19">'[41]Noise (3)'!$C$51</definedName>
    <definedName name="Qty_Modules" localSheetId="10">'[41]Noise (3)'!$C$51</definedName>
    <definedName name="Qty_Modules" localSheetId="9">'[41]Noise (3)'!$C$51</definedName>
    <definedName name="Qty_Modules" localSheetId="8">'[41]Noise (3)'!$C$51</definedName>
    <definedName name="Qty_Modules" localSheetId="3">'[41]Noise (3)'!$C$51</definedName>
    <definedName name="Qty_Modules" localSheetId="6">'[41]Noise (3)'!$C$51</definedName>
    <definedName name="Qty_Modules" localSheetId="7">'[41]Noise (3)'!$C$51</definedName>
    <definedName name="Qty_Modules" localSheetId="5">'[41]Noise (3)'!$C$51</definedName>
    <definedName name="Qty_Modules">#REF!</definedName>
    <definedName name="Qty_Profiles_Lower" localSheetId="11">'[41]Noise (3)'!$C$52</definedName>
    <definedName name="Qty_Profiles_Lower" localSheetId="1">'[41]Noise (3)'!$C$52</definedName>
    <definedName name="Qty_Profiles_Lower" localSheetId="2">'[41]Noise (3)'!$C$52</definedName>
    <definedName name="Qty_Profiles_Lower" localSheetId="4">'[41]Noise (3)'!$C$52</definedName>
    <definedName name="Qty_Profiles_Lower" localSheetId="19">'[41]Noise (3)'!$C$52</definedName>
    <definedName name="Qty_Profiles_Lower" localSheetId="10">'[41]Noise (3)'!$C$52</definedName>
    <definedName name="Qty_Profiles_Lower" localSheetId="9">'[41]Noise (3)'!$C$52</definedName>
    <definedName name="Qty_Profiles_Lower" localSheetId="8">'[41]Noise (3)'!$C$52</definedName>
    <definedName name="Qty_Profiles_Lower" localSheetId="3">'[41]Noise (3)'!$C$52</definedName>
    <definedName name="Qty_Profiles_Lower" localSheetId="6">'[41]Noise (3)'!$C$52</definedName>
    <definedName name="Qty_Profiles_Lower" localSheetId="7">'[41]Noise (3)'!$C$52</definedName>
    <definedName name="Qty_Profiles_Lower" localSheetId="5">'[41]Noise (3)'!$C$52</definedName>
    <definedName name="Qty_Profiles_Lower">#REF!</definedName>
    <definedName name="Qty_Profiles_Upper" localSheetId="11">'[41]Noise (3)'!$C$54</definedName>
    <definedName name="Qty_Profiles_Upper" localSheetId="1">'[41]Noise (3)'!$C$54</definedName>
    <definedName name="Qty_Profiles_Upper" localSheetId="2">'[41]Noise (3)'!$C$54</definedName>
    <definedName name="Qty_Profiles_Upper" localSheetId="4">'[41]Noise (3)'!$C$54</definedName>
    <definedName name="Qty_Profiles_Upper" localSheetId="19">'[41]Noise (3)'!$C$54</definedName>
    <definedName name="Qty_Profiles_Upper" localSheetId="10">'[41]Noise (3)'!$C$54</definedName>
    <definedName name="Qty_Profiles_Upper" localSheetId="9">'[41]Noise (3)'!$C$54</definedName>
    <definedName name="Qty_Profiles_Upper" localSheetId="8">'[41]Noise (3)'!$C$54</definedName>
    <definedName name="Qty_Profiles_Upper" localSheetId="3">'[41]Noise (3)'!$C$54</definedName>
    <definedName name="Qty_Profiles_Upper" localSheetId="6">'[41]Noise (3)'!$C$54</definedName>
    <definedName name="Qty_Profiles_Upper" localSheetId="7">'[41]Noise (3)'!$C$54</definedName>
    <definedName name="Qty_Profiles_Upper" localSheetId="5">'[41]Noise (3)'!$C$54</definedName>
    <definedName name="Qty_Profiles_Upper">#REF!</definedName>
    <definedName name="Qty_Splitters" localSheetId="11">'[41]Noise (3)'!$C$14</definedName>
    <definedName name="Qty_Splitters" localSheetId="1">'[41]Noise (3)'!$C$14</definedName>
    <definedName name="Qty_Splitters" localSheetId="2">'[41]Noise (3)'!$C$14</definedName>
    <definedName name="Qty_Splitters" localSheetId="4">'[41]Noise (3)'!$C$14</definedName>
    <definedName name="Qty_Splitters" localSheetId="19">'[41]Noise (3)'!$C$14</definedName>
    <definedName name="Qty_Splitters" localSheetId="10">'[41]Noise (3)'!$C$14</definedName>
    <definedName name="Qty_Splitters" localSheetId="9">'[41]Noise (3)'!$C$14</definedName>
    <definedName name="Qty_Splitters" localSheetId="8">'[41]Noise (3)'!$C$14</definedName>
    <definedName name="Qty_Splitters" localSheetId="3">'[41]Noise (3)'!$C$14</definedName>
    <definedName name="Qty_Splitters" localSheetId="6">'[41]Noise (3)'!$C$14</definedName>
    <definedName name="Qty_Splitters" localSheetId="7">'[41]Noise (3)'!$C$14</definedName>
    <definedName name="Qty_Splitters" localSheetId="5">'[41]Noise (3)'!$C$14</definedName>
    <definedName name="Qty_Splitters">#REF!</definedName>
    <definedName name="quan" localSheetId="18" hidden="1">{"'Sheet1'!$L$16"}</definedName>
    <definedName name="quan" localSheetId="11" hidden="1">{"'Sheet1'!$L$16"}</definedName>
    <definedName name="quan" localSheetId="1" hidden="1">{"'Sheet1'!$L$16"}</definedName>
    <definedName name="quan" localSheetId="2" hidden="1">{"'Sheet1'!$L$16"}</definedName>
    <definedName name="quan" localSheetId="12" hidden="1">{"'Sheet1'!$L$16"}</definedName>
    <definedName name="quan" localSheetId="4" hidden="1">{"'Sheet1'!$L$16"}</definedName>
    <definedName name="quan" localSheetId="19" hidden="1">{"'Sheet1'!$L$16"}</definedName>
    <definedName name="quan" localSheetId="10" hidden="1">{"'Sheet1'!$L$16"}</definedName>
    <definedName name="quan" localSheetId="9" hidden="1">{"'Sheet1'!$L$16"}</definedName>
    <definedName name="quan" localSheetId="8" hidden="1">{"'Sheet1'!$L$16"}</definedName>
    <definedName name="quan" localSheetId="3" hidden="1">{"'Sheet1'!$L$16"}</definedName>
    <definedName name="quan" localSheetId="6" hidden="1">{"'Sheet1'!$L$16"}</definedName>
    <definedName name="quan" localSheetId="7" hidden="1">{"'Sheet1'!$L$16"}</definedName>
    <definedName name="quan" localSheetId="5" hidden="1">{"'Sheet1'!$L$16"}</definedName>
    <definedName name="quan" localSheetId="13" hidden="1">{"'Sheet1'!$L$16"}</definedName>
    <definedName name="quan" hidden="1">{"'Sheet1'!$L$16"}</definedName>
    <definedName name="Query2">#REF!</definedName>
    <definedName name="qw" localSheetId="18" hidden="1">{#N/A,#N/A,TRUE,"Basic";#N/A,#N/A,TRUE,"EXT-TABLE";#N/A,#N/A,TRUE,"STEEL";#N/A,#N/A,TRUE,"INT-Table";#N/A,#N/A,TRUE,"STEEL";#N/A,#N/A,TRUE,"Door"}</definedName>
    <definedName name="qw" hidden="1">{#N/A,#N/A,TRUE,"Basic";#N/A,#N/A,TRUE,"EXT-TABLE";#N/A,#N/A,TRUE,"STEEL";#N/A,#N/A,TRUE,"INT-Table";#N/A,#N/A,TRUE,"STEEL";#N/A,#N/A,TRUE,"Door"}</definedName>
    <definedName name="qw_1" localSheetId="18" hidden="1">{#N/A,#N/A,TRUE,"Basic";#N/A,#N/A,TRUE,"EXT-TABLE";#N/A,#N/A,TRUE,"STEEL";#N/A,#N/A,TRUE,"INT-Table";#N/A,#N/A,TRUE,"STEEL";#N/A,#N/A,TRUE,"Door"}</definedName>
    <definedName name="qw_1" hidden="1">{#N/A,#N/A,TRUE,"Basic";#N/A,#N/A,TRUE,"EXT-TABLE";#N/A,#N/A,TRUE,"STEEL";#N/A,#N/A,TRUE,"INT-Table";#N/A,#N/A,TRUE,"STEEL";#N/A,#N/A,TRUE,"Door"}</definedName>
    <definedName name="qw_1_1" localSheetId="18" hidden="1">{#N/A,#N/A,TRUE,"Basic";#N/A,#N/A,TRUE,"EXT-TABLE";#N/A,#N/A,TRUE,"STEEL";#N/A,#N/A,TRUE,"INT-Table";#N/A,#N/A,TRUE,"STEEL";#N/A,#N/A,TRUE,"Door"}</definedName>
    <definedName name="qw_1_1" hidden="1">{#N/A,#N/A,TRUE,"Basic";#N/A,#N/A,TRUE,"EXT-TABLE";#N/A,#N/A,TRUE,"STEEL";#N/A,#N/A,TRUE,"INT-Table";#N/A,#N/A,TRUE,"STEEL";#N/A,#N/A,TRUE,"Door"}</definedName>
    <definedName name="qw_1_2" localSheetId="18" hidden="1">{#N/A,#N/A,TRUE,"Basic";#N/A,#N/A,TRUE,"EXT-TABLE";#N/A,#N/A,TRUE,"STEEL";#N/A,#N/A,TRUE,"INT-Table";#N/A,#N/A,TRUE,"STEEL";#N/A,#N/A,TRUE,"Door"}</definedName>
    <definedName name="qw_1_2" hidden="1">{#N/A,#N/A,TRUE,"Basic";#N/A,#N/A,TRUE,"EXT-TABLE";#N/A,#N/A,TRUE,"STEEL";#N/A,#N/A,TRUE,"INT-Table";#N/A,#N/A,TRUE,"STEEL";#N/A,#N/A,TRUE,"Door"}</definedName>
    <definedName name="qw_2" localSheetId="18" hidden="1">{#N/A,#N/A,TRUE,"Basic";#N/A,#N/A,TRUE,"EXT-TABLE";#N/A,#N/A,TRUE,"STEEL";#N/A,#N/A,TRUE,"INT-Table";#N/A,#N/A,TRUE,"STEEL";#N/A,#N/A,TRUE,"Door"}</definedName>
    <definedName name="qw_2" hidden="1">{#N/A,#N/A,TRUE,"Basic";#N/A,#N/A,TRUE,"EXT-TABLE";#N/A,#N/A,TRUE,"STEEL";#N/A,#N/A,TRUE,"INT-Table";#N/A,#N/A,TRUE,"STEEL";#N/A,#N/A,TRUE,"Door"}</definedName>
    <definedName name="qw_2_1" localSheetId="18" hidden="1">{#N/A,#N/A,TRUE,"Basic";#N/A,#N/A,TRUE,"EXT-TABLE";#N/A,#N/A,TRUE,"STEEL";#N/A,#N/A,TRUE,"INT-Table";#N/A,#N/A,TRUE,"STEEL";#N/A,#N/A,TRUE,"Door"}</definedName>
    <definedName name="qw_2_1" hidden="1">{#N/A,#N/A,TRUE,"Basic";#N/A,#N/A,TRUE,"EXT-TABLE";#N/A,#N/A,TRUE,"STEEL";#N/A,#N/A,TRUE,"INT-Table";#N/A,#N/A,TRUE,"STEEL";#N/A,#N/A,TRUE,"Door"}</definedName>
    <definedName name="qw_2_2" localSheetId="18" hidden="1">{#N/A,#N/A,TRUE,"Basic";#N/A,#N/A,TRUE,"EXT-TABLE";#N/A,#N/A,TRUE,"STEEL";#N/A,#N/A,TRUE,"INT-Table";#N/A,#N/A,TRUE,"STEEL";#N/A,#N/A,TRUE,"Door"}</definedName>
    <definedName name="qw_2_2" hidden="1">{#N/A,#N/A,TRUE,"Basic";#N/A,#N/A,TRUE,"EXT-TABLE";#N/A,#N/A,TRUE,"STEEL";#N/A,#N/A,TRUE,"INT-Table";#N/A,#N/A,TRUE,"STEEL";#N/A,#N/A,TRUE,"Door"}</definedName>
    <definedName name="qw_3" localSheetId="18" hidden="1">{#N/A,#N/A,TRUE,"Basic";#N/A,#N/A,TRUE,"EXT-TABLE";#N/A,#N/A,TRUE,"STEEL";#N/A,#N/A,TRUE,"INT-Table";#N/A,#N/A,TRUE,"STEEL";#N/A,#N/A,TRUE,"Door"}</definedName>
    <definedName name="qw_3" hidden="1">{#N/A,#N/A,TRUE,"Basic";#N/A,#N/A,TRUE,"EXT-TABLE";#N/A,#N/A,TRUE,"STEEL";#N/A,#N/A,TRUE,"INT-Table";#N/A,#N/A,TRUE,"STEEL";#N/A,#N/A,TRUE,"Door"}</definedName>
    <definedName name="qw_3_1" localSheetId="18" hidden="1">{#N/A,#N/A,TRUE,"Basic";#N/A,#N/A,TRUE,"EXT-TABLE";#N/A,#N/A,TRUE,"STEEL";#N/A,#N/A,TRUE,"INT-Table";#N/A,#N/A,TRUE,"STEEL";#N/A,#N/A,TRUE,"Door"}</definedName>
    <definedName name="qw_3_1" hidden="1">{#N/A,#N/A,TRUE,"Basic";#N/A,#N/A,TRUE,"EXT-TABLE";#N/A,#N/A,TRUE,"STEEL";#N/A,#N/A,TRUE,"INT-Table";#N/A,#N/A,TRUE,"STEEL";#N/A,#N/A,TRUE,"Door"}</definedName>
    <definedName name="qw_3_2" localSheetId="18" hidden="1">{#N/A,#N/A,TRUE,"Basic";#N/A,#N/A,TRUE,"EXT-TABLE";#N/A,#N/A,TRUE,"STEEL";#N/A,#N/A,TRUE,"INT-Table";#N/A,#N/A,TRUE,"STEEL";#N/A,#N/A,TRUE,"Door"}</definedName>
    <definedName name="qw_3_2" hidden="1">{#N/A,#N/A,TRUE,"Basic";#N/A,#N/A,TRUE,"EXT-TABLE";#N/A,#N/A,TRUE,"STEEL";#N/A,#N/A,TRUE,"INT-Table";#N/A,#N/A,TRUE,"STEEL";#N/A,#N/A,TRUE,"Door"}</definedName>
    <definedName name="qw_4" localSheetId="18" hidden="1">{#N/A,#N/A,TRUE,"Basic";#N/A,#N/A,TRUE,"EXT-TABLE";#N/A,#N/A,TRUE,"STEEL";#N/A,#N/A,TRUE,"INT-Table";#N/A,#N/A,TRUE,"STEEL";#N/A,#N/A,TRUE,"Door"}</definedName>
    <definedName name="qw_4" hidden="1">{#N/A,#N/A,TRUE,"Basic";#N/A,#N/A,TRUE,"EXT-TABLE";#N/A,#N/A,TRUE,"STEEL";#N/A,#N/A,TRUE,"INT-Table";#N/A,#N/A,TRUE,"STEEL";#N/A,#N/A,TRUE,"Door"}</definedName>
    <definedName name="qw_4_1" localSheetId="18" hidden="1">{#N/A,#N/A,TRUE,"Basic";#N/A,#N/A,TRUE,"EXT-TABLE";#N/A,#N/A,TRUE,"STEEL";#N/A,#N/A,TRUE,"INT-Table";#N/A,#N/A,TRUE,"STEEL";#N/A,#N/A,TRUE,"Door"}</definedName>
    <definedName name="qw_4_1" hidden="1">{#N/A,#N/A,TRUE,"Basic";#N/A,#N/A,TRUE,"EXT-TABLE";#N/A,#N/A,TRUE,"STEEL";#N/A,#N/A,TRUE,"INT-Table";#N/A,#N/A,TRUE,"STEEL";#N/A,#N/A,TRUE,"Door"}</definedName>
    <definedName name="qw_4_2" localSheetId="18" hidden="1">{#N/A,#N/A,TRUE,"Basic";#N/A,#N/A,TRUE,"EXT-TABLE";#N/A,#N/A,TRUE,"STEEL";#N/A,#N/A,TRUE,"INT-Table";#N/A,#N/A,TRUE,"STEEL";#N/A,#N/A,TRUE,"Door"}</definedName>
    <definedName name="qw_4_2" hidden="1">{#N/A,#N/A,TRUE,"Basic";#N/A,#N/A,TRUE,"EXT-TABLE";#N/A,#N/A,TRUE,"STEEL";#N/A,#N/A,TRUE,"INT-Table";#N/A,#N/A,TRUE,"STEEL";#N/A,#N/A,TRUE,"Door"}</definedName>
    <definedName name="qw_5" localSheetId="18" hidden="1">{#N/A,#N/A,TRUE,"Basic";#N/A,#N/A,TRUE,"EXT-TABLE";#N/A,#N/A,TRUE,"STEEL";#N/A,#N/A,TRUE,"INT-Table";#N/A,#N/A,TRUE,"STEEL";#N/A,#N/A,TRUE,"Door"}</definedName>
    <definedName name="qw_5" hidden="1">{#N/A,#N/A,TRUE,"Basic";#N/A,#N/A,TRUE,"EXT-TABLE";#N/A,#N/A,TRUE,"STEEL";#N/A,#N/A,TRUE,"INT-Table";#N/A,#N/A,TRUE,"STEEL";#N/A,#N/A,TRUE,"Door"}</definedName>
    <definedName name="qw_5_1" localSheetId="18" hidden="1">{#N/A,#N/A,TRUE,"Basic";#N/A,#N/A,TRUE,"EXT-TABLE";#N/A,#N/A,TRUE,"STEEL";#N/A,#N/A,TRUE,"INT-Table";#N/A,#N/A,TRUE,"STEEL";#N/A,#N/A,TRUE,"Door"}</definedName>
    <definedName name="qw_5_1" hidden="1">{#N/A,#N/A,TRUE,"Basic";#N/A,#N/A,TRUE,"EXT-TABLE";#N/A,#N/A,TRUE,"STEEL";#N/A,#N/A,TRUE,"INT-Table";#N/A,#N/A,TRUE,"STEEL";#N/A,#N/A,TRUE,"Door"}</definedName>
    <definedName name="qw_5_2" localSheetId="18" hidden="1">{#N/A,#N/A,TRUE,"Basic";#N/A,#N/A,TRUE,"EXT-TABLE";#N/A,#N/A,TRUE,"STEEL";#N/A,#N/A,TRUE,"INT-Table";#N/A,#N/A,TRUE,"STEEL";#N/A,#N/A,TRUE,"Door"}</definedName>
    <definedName name="qw_5_2" hidden="1">{#N/A,#N/A,TRUE,"Basic";#N/A,#N/A,TRUE,"EXT-TABLE";#N/A,#N/A,TRUE,"STEEL";#N/A,#N/A,TRUE,"INT-Table";#N/A,#N/A,TRUE,"STEEL";#N/A,#N/A,TRUE,"Door"}</definedName>
    <definedName name="qwe" localSheetId="18" hidden="1">{"'장비'!$A$3:$M$12"}</definedName>
    <definedName name="qwe" hidden="1">{"'장비'!$A$3:$M$12"}</definedName>
    <definedName name="qwer" localSheetId="18" hidden="1">{#N/A,#N/A,FALSE,"CCTV"}</definedName>
    <definedName name="qwer" hidden="1">{#N/A,#N/A,FALSE,"CCTV"}</definedName>
    <definedName name="QWERT" localSheetId="18" hidden="1">{#N/A,#N/A,FALSE,"CCTV"}</definedName>
    <definedName name="QWERT" hidden="1">{#N/A,#N/A,FALSE,"CCTV"}</definedName>
    <definedName name="qwerwerwrr" localSheetId="18" hidden="1">{#N/A,#N/A,FALSE,"Clients Office";#N/A,#N/A,FALSE,"Co Sum"}</definedName>
    <definedName name="qwerwerwrr" localSheetId="11" hidden="1">{#N/A,#N/A,FALSE,"Clients Office";#N/A,#N/A,FALSE,"Co Sum"}</definedName>
    <definedName name="qwerwerwrr" localSheetId="1" hidden="1">{#N/A,#N/A,FALSE,"Clients Office";#N/A,#N/A,FALSE,"Co Sum"}</definedName>
    <definedName name="qwerwerwrr" localSheetId="2" hidden="1">{#N/A,#N/A,FALSE,"Clients Office";#N/A,#N/A,FALSE,"Co Sum"}</definedName>
    <definedName name="qwerwerwrr" localSheetId="4" hidden="1">{#N/A,#N/A,FALSE,"Clients Office";#N/A,#N/A,FALSE,"Co Sum"}</definedName>
    <definedName name="qwerwerwrr" localSheetId="19" hidden="1">{#N/A,#N/A,FALSE,"Clients Office";#N/A,#N/A,FALSE,"Co Sum"}</definedName>
    <definedName name="qwerwerwrr" localSheetId="10" hidden="1">{#N/A,#N/A,FALSE,"Clients Office";#N/A,#N/A,FALSE,"Co Sum"}</definedName>
    <definedName name="qwerwerwrr" localSheetId="9" hidden="1">{#N/A,#N/A,FALSE,"Clients Office";#N/A,#N/A,FALSE,"Co Sum"}</definedName>
    <definedName name="qwerwerwrr" localSheetId="8" hidden="1">{#N/A,#N/A,FALSE,"Clients Office";#N/A,#N/A,FALSE,"Co Sum"}</definedName>
    <definedName name="qwerwerwrr" localSheetId="3" hidden="1">{#N/A,#N/A,FALSE,"Clients Office";#N/A,#N/A,FALSE,"Co Sum"}</definedName>
    <definedName name="qwerwerwrr" localSheetId="6" hidden="1">{#N/A,#N/A,FALSE,"Clients Office";#N/A,#N/A,FALSE,"Co Sum"}</definedName>
    <definedName name="qwerwerwrr" localSheetId="7" hidden="1">{#N/A,#N/A,FALSE,"Clients Office";#N/A,#N/A,FALSE,"Co Sum"}</definedName>
    <definedName name="qwerwerwrr" localSheetId="5" hidden="1">{#N/A,#N/A,FALSE,"Clients Office";#N/A,#N/A,FALSE,"Co Sum"}</definedName>
    <definedName name="qwerwerwrr" hidden="1">{#N/A,#N/A,FALSE,"Clients Office";#N/A,#N/A,FALSE,"Co Sum"}</definedName>
    <definedName name="QWW" localSheetId="11" hidden="1">[12]Spread!#REF!</definedName>
    <definedName name="QWW" localSheetId="1" hidden="1">[12]Spread!#REF!</definedName>
    <definedName name="QWW" localSheetId="2" hidden="1">[12]Spread!#REF!</definedName>
    <definedName name="QWW" localSheetId="4" hidden="1">[12]Spread!#REF!</definedName>
    <definedName name="QWW" localSheetId="19" hidden="1">[12]Spread!#REF!</definedName>
    <definedName name="QWW" localSheetId="10" hidden="1">[12]Spread!#REF!</definedName>
    <definedName name="QWW" localSheetId="9" hidden="1">[12]Spread!#REF!</definedName>
    <definedName name="QWW" localSheetId="8" hidden="1">[12]Spread!#REF!</definedName>
    <definedName name="QWW" localSheetId="3" hidden="1">[12]Spread!#REF!</definedName>
    <definedName name="QWW" localSheetId="6" hidden="1">[12]Spread!#REF!</definedName>
    <definedName name="QWW" localSheetId="7" hidden="1">[12]Spread!#REF!</definedName>
    <definedName name="QWW" localSheetId="5" hidden="1">[12]Spread!#REF!</definedName>
    <definedName name="QWW" hidden="1">#REF!</definedName>
    <definedName name="ra11p">#REF!</definedName>
    <definedName name="ra13p">#REF!</definedName>
    <definedName name="range">[86]현황CODE!$A$2:$L$82</definedName>
    <definedName name="Ranhxay" localSheetId="18" hidden="1">{"'Sheet1'!$L$16"}</definedName>
    <definedName name="Ranhxay" localSheetId="11" hidden="1">{"'Sheet1'!$L$16"}</definedName>
    <definedName name="Ranhxay" localSheetId="1" hidden="1">{"'Sheet1'!$L$16"}</definedName>
    <definedName name="Ranhxay" localSheetId="2" hidden="1">{"'Sheet1'!$L$16"}</definedName>
    <definedName name="Ranhxay" localSheetId="12" hidden="1">{"'Sheet1'!$L$16"}</definedName>
    <definedName name="Ranhxay" localSheetId="4" hidden="1">{"'Sheet1'!$L$16"}</definedName>
    <definedName name="Ranhxay" localSheetId="19" hidden="1">{"'Sheet1'!$L$16"}</definedName>
    <definedName name="Ranhxay" localSheetId="10" hidden="1">{"'Sheet1'!$L$16"}</definedName>
    <definedName name="Ranhxay" localSheetId="9" hidden="1">{"'Sheet1'!$L$16"}</definedName>
    <definedName name="Ranhxay" localSheetId="8" hidden="1">{"'Sheet1'!$L$16"}</definedName>
    <definedName name="Ranhxay" localSheetId="3" hidden="1">{"'Sheet1'!$L$16"}</definedName>
    <definedName name="Ranhxay" localSheetId="6" hidden="1">{"'Sheet1'!$L$16"}</definedName>
    <definedName name="Ranhxay" localSheetId="7" hidden="1">{"'Sheet1'!$L$16"}</definedName>
    <definedName name="Ranhxay" localSheetId="5" hidden="1">{"'Sheet1'!$L$16"}</definedName>
    <definedName name="Ranhxay" localSheetId="13" hidden="1">{"'Sheet1'!$L$16"}</definedName>
    <definedName name="Ranhxay" hidden="1">{"'Sheet1'!$L$16"}</definedName>
    <definedName name="RAP">#REF!</definedName>
    <definedName name="rarewt" localSheetId="18" hidden="1">{#N/A,#N/A,FALSE,"CCTV"}</definedName>
    <definedName name="rarewt" localSheetId="11" hidden="1">{#N/A,#N/A,FALSE,"CCTV"}</definedName>
    <definedName name="rarewt" localSheetId="1" hidden="1">{#N/A,#N/A,FALSE,"CCTV"}</definedName>
    <definedName name="rarewt" localSheetId="2" hidden="1">{#N/A,#N/A,FALSE,"CCTV"}</definedName>
    <definedName name="rarewt" localSheetId="4" hidden="1">{#N/A,#N/A,FALSE,"CCTV"}</definedName>
    <definedName name="rarewt" localSheetId="19" hidden="1">{#N/A,#N/A,FALSE,"CCTV"}</definedName>
    <definedName name="rarewt" localSheetId="10" hidden="1">{#N/A,#N/A,FALSE,"CCTV"}</definedName>
    <definedName name="rarewt" localSheetId="9" hidden="1">{#N/A,#N/A,FALSE,"CCTV"}</definedName>
    <definedName name="rarewt" localSheetId="8" hidden="1">{#N/A,#N/A,FALSE,"CCTV"}</definedName>
    <definedName name="rarewt" localSheetId="3" hidden="1">{#N/A,#N/A,FALSE,"CCTV"}</definedName>
    <definedName name="rarewt" localSheetId="6" hidden="1">{#N/A,#N/A,FALSE,"CCTV"}</definedName>
    <definedName name="rarewt" localSheetId="7" hidden="1">{#N/A,#N/A,FALSE,"CCTV"}</definedName>
    <definedName name="rarewt" localSheetId="5" hidden="1">{#N/A,#N/A,FALSE,"CCTV"}</definedName>
    <definedName name="rarewt" hidden="1">{#N/A,#N/A,FALSE,"CCTV"}</definedName>
    <definedName name="RATING계산" localSheetId="1">[89]!RATING계산</definedName>
    <definedName name="RATING계산" localSheetId="2">[89]!RATING계산</definedName>
    <definedName name="RATING계산" localSheetId="4">[89]!RATING계산</definedName>
    <definedName name="RATING계산" localSheetId="19">[89]!RATING계산</definedName>
    <definedName name="RATING계산" localSheetId="10">[89]!RATING계산</definedName>
    <definedName name="RATING계산" localSheetId="9">[89]!RATING계산</definedName>
    <definedName name="RATING계산" localSheetId="8">[89]!RATING계산</definedName>
    <definedName name="RATING계산" localSheetId="3">[89]!RATING계산</definedName>
    <definedName name="RATING계산" localSheetId="6">[89]!RATING계산</definedName>
    <definedName name="RATING계산" localSheetId="7">[89]!RATING계산</definedName>
    <definedName name="RATING계산" localSheetId="5">[89]!RATING계산</definedName>
    <definedName name="RATING계산">[89]!RATING계산</definedName>
    <definedName name="ratioail">#REF!</definedName>
    <definedName name="ratioail2">#REF!</definedName>
    <definedName name="RatioExp">#REF!</definedName>
    <definedName name="ray">#REF!</definedName>
    <definedName name="RCArea" localSheetId="12">#REF!</definedName>
    <definedName name="RCArea" localSheetId="13">#REF!</definedName>
    <definedName name="RCArea">#REF!</definedName>
    <definedName name="RE">#REF!</definedName>
    <definedName name="RE_SIZE">[59]REDUCER!$J$12:$BC$13</definedName>
    <definedName name="README" localSheetId="18">[90]BILAL2!$A$1</definedName>
    <definedName name="README">[91]BILAL2!$A$1</definedName>
    <definedName name="_xlnm.Recorder">#REF!</definedName>
    <definedName name="RECOUT">#N/A</definedName>
    <definedName name="Rect_Dim1" localSheetId="11">'[41]Noise (3)'!$C$13</definedName>
    <definedName name="Rect_Dim1" localSheetId="1">'[41]Noise (3)'!$C$13</definedName>
    <definedName name="Rect_Dim1" localSheetId="2">'[41]Noise (3)'!$C$13</definedName>
    <definedName name="Rect_Dim1" localSheetId="4">'[41]Noise (3)'!$C$13</definedName>
    <definedName name="Rect_Dim1" localSheetId="19">'[41]Noise (3)'!$C$13</definedName>
    <definedName name="Rect_Dim1" localSheetId="10">'[41]Noise (3)'!$C$13</definedName>
    <definedName name="Rect_Dim1" localSheetId="9">'[41]Noise (3)'!$C$13</definedName>
    <definedName name="Rect_Dim1" localSheetId="8">'[41]Noise (3)'!$C$13</definedName>
    <definedName name="Rect_Dim1" localSheetId="3">'[41]Noise (3)'!$C$13</definedName>
    <definedName name="Rect_Dim1" localSheetId="6">'[41]Noise (3)'!$C$13</definedName>
    <definedName name="Rect_Dim1" localSheetId="7">'[41]Noise (3)'!$C$13</definedName>
    <definedName name="Rect_Dim1" localSheetId="5">'[41]Noise (3)'!$C$13</definedName>
    <definedName name="Rect_Dim1">#REF!</definedName>
    <definedName name="Rect_Dim2" localSheetId="11">'[41]Noise (3)'!$D$13</definedName>
    <definedName name="Rect_Dim2" localSheetId="1">'[41]Noise (3)'!$D$13</definedName>
    <definedName name="Rect_Dim2" localSheetId="2">'[41]Noise (3)'!$D$13</definedName>
    <definedName name="Rect_Dim2" localSheetId="4">'[41]Noise (3)'!$D$13</definedName>
    <definedName name="Rect_Dim2" localSheetId="19">'[41]Noise (3)'!$D$13</definedName>
    <definedName name="Rect_Dim2" localSheetId="10">'[41]Noise (3)'!$D$13</definedName>
    <definedName name="Rect_Dim2" localSheetId="9">'[41]Noise (3)'!$D$13</definedName>
    <definedName name="Rect_Dim2" localSheetId="8">'[41]Noise (3)'!$D$13</definedName>
    <definedName name="Rect_Dim2" localSheetId="3">'[41]Noise (3)'!$D$13</definedName>
    <definedName name="Rect_Dim2" localSheetId="6">'[41]Noise (3)'!$D$13</definedName>
    <definedName name="Rect_Dim2" localSheetId="7">'[41]Noise (3)'!$D$13</definedName>
    <definedName name="Rect_Dim2" localSheetId="5">'[41]Noise (3)'!$D$13</definedName>
    <definedName name="Rect_Dim2">#REF!</definedName>
    <definedName name="Registrazione1">#REF!</definedName>
    <definedName name="Registrazione2">#REF!</definedName>
    <definedName name="Registrazione3">#REF!</definedName>
    <definedName name="REPORT">#REF!</definedName>
    <definedName name="ReqMaster">#REF!</definedName>
    <definedName name="res" localSheetId="11">[92]results!$A$1:$F$3001</definedName>
    <definedName name="res" localSheetId="1">[92]results!$A$1:$F$3001</definedName>
    <definedName name="res" localSheetId="2">[92]results!$A$1:$F$3001</definedName>
    <definedName name="res" localSheetId="4">[92]results!$A$1:$F$3001</definedName>
    <definedName name="res" localSheetId="19">[92]results!$A$1:$F$3001</definedName>
    <definedName name="res" localSheetId="10">[92]results!$A$1:$F$3001</definedName>
    <definedName name="res" localSheetId="9">[92]results!$A$1:$F$3001</definedName>
    <definedName name="res" localSheetId="8">[92]results!$A$1:$F$3001</definedName>
    <definedName name="res" localSheetId="3">[92]results!$A$1:$F$3001</definedName>
    <definedName name="res" localSheetId="6">[92]results!$A$1:$F$3001</definedName>
    <definedName name="res" localSheetId="7">[92]results!$A$1:$F$3001</definedName>
    <definedName name="res" localSheetId="5">[92]results!$A$1:$F$3001</definedName>
    <definedName name="res">#REF!</definedName>
    <definedName name="Result21" localSheetId="18" hidden="1">{"'Sheet1'!$L$16"}</definedName>
    <definedName name="Result21" localSheetId="11" hidden="1">{"'Sheet1'!$L$16"}</definedName>
    <definedName name="Result21" localSheetId="1" hidden="1">{"'Sheet1'!$L$16"}</definedName>
    <definedName name="Result21" localSheetId="2" hidden="1">{"'Sheet1'!$L$16"}</definedName>
    <definedName name="Result21" localSheetId="12" hidden="1">{"'Sheet1'!$L$16"}</definedName>
    <definedName name="Result21" localSheetId="4" hidden="1">{"'Sheet1'!$L$16"}</definedName>
    <definedName name="Result21" localSheetId="19" hidden="1">{"'Sheet1'!$L$16"}</definedName>
    <definedName name="Result21" localSheetId="10" hidden="1">{"'Sheet1'!$L$16"}</definedName>
    <definedName name="Result21" localSheetId="9" hidden="1">{"'Sheet1'!$L$16"}</definedName>
    <definedName name="Result21" localSheetId="8" hidden="1">{"'Sheet1'!$L$16"}</definedName>
    <definedName name="Result21" localSheetId="3" hidden="1">{"'Sheet1'!$L$16"}</definedName>
    <definedName name="Result21" localSheetId="6" hidden="1">{"'Sheet1'!$L$16"}</definedName>
    <definedName name="Result21" localSheetId="7" hidden="1">{"'Sheet1'!$L$16"}</definedName>
    <definedName name="Result21" localSheetId="5" hidden="1">{"'Sheet1'!$L$16"}</definedName>
    <definedName name="Result21" localSheetId="13" hidden="1">{"'Sheet1'!$L$16"}</definedName>
    <definedName name="Result21" hidden="1">{"'Sheet1'!$L$16"}</definedName>
    <definedName name="ret" localSheetId="18" hidden="1">{#N/A,#N/A,FALSE,"Chi tiÆt"}</definedName>
    <definedName name="ret" hidden="1">{#N/A,#N/A,FALSE,"Chi tiÆt"}</definedName>
    <definedName name="rett" localSheetId="18" hidden="1">{#N/A,#N/A,FALSE,"Chi tiÆt"}</definedName>
    <definedName name="rett" hidden="1">{#N/A,#N/A,FALSE,"Chi tiÆt"}</definedName>
    <definedName name="Rev">#REF!</definedName>
    <definedName name="REVENUE1">#REF!</definedName>
    <definedName name="REVENUE2">#REF!</definedName>
    <definedName name="REVENUE3">#REF!</definedName>
    <definedName name="REVIEW">OFFSET(#REF!,COUNTA(#REF!),COUNTA(#REF!))</definedName>
    <definedName name="Revision" localSheetId="11">'[41]Input (1)'!$B$7</definedName>
    <definedName name="Revision" localSheetId="1">'[41]Input (1)'!$B$7</definedName>
    <definedName name="Revision" localSheetId="2">'[41]Input (1)'!$B$7</definedName>
    <definedName name="Revision" localSheetId="4">'[41]Input (1)'!$B$7</definedName>
    <definedName name="Revision" localSheetId="19">'[41]Input (1)'!$B$7</definedName>
    <definedName name="Revision" localSheetId="10">'[41]Input (1)'!$B$7</definedName>
    <definedName name="Revision" localSheetId="9">'[41]Input (1)'!$B$7</definedName>
    <definedName name="Revision" localSheetId="8">'[41]Input (1)'!$B$7</definedName>
    <definedName name="Revision" localSheetId="3">'[41]Input (1)'!$B$7</definedName>
    <definedName name="Revision" localSheetId="6">'[41]Input (1)'!$B$7</definedName>
    <definedName name="Revision" localSheetId="7">'[41]Input (1)'!$B$7</definedName>
    <definedName name="Revision" localSheetId="5">'[41]Input (1)'!$B$7</definedName>
    <definedName name="Revision">#REF!</definedName>
    <definedName name="revision1" localSheetId="11">[51]Summary!$D$45</definedName>
    <definedName name="revision1" localSheetId="1">[51]Summary!$D$45</definedName>
    <definedName name="revision1" localSheetId="2">[51]Summary!$D$45</definedName>
    <definedName name="revision1" localSheetId="4">[51]Summary!$D$45</definedName>
    <definedName name="revision1" localSheetId="19">[51]Summary!$D$45</definedName>
    <definedName name="revision1" localSheetId="10">[51]Summary!$D$45</definedName>
    <definedName name="revision1" localSheetId="9">[51]Summary!$D$45</definedName>
    <definedName name="revision1" localSheetId="8">[51]Summary!$D$45</definedName>
    <definedName name="revision1" localSheetId="3">[51]Summary!$D$45</definedName>
    <definedName name="revision1" localSheetId="6">[51]Summary!$D$45</definedName>
    <definedName name="revision1" localSheetId="7">[51]Summary!$D$45</definedName>
    <definedName name="revision1" localSheetId="5">[51]Summary!$D$45</definedName>
    <definedName name="revision1">#REF!</definedName>
    <definedName name="RevisionDate" localSheetId="11">'[41]Input (1)'!$B$6</definedName>
    <definedName name="RevisionDate" localSheetId="1">'[41]Input (1)'!$B$6</definedName>
    <definedName name="RevisionDate" localSheetId="2">'[41]Input (1)'!$B$6</definedName>
    <definedName name="RevisionDate" localSheetId="4">'[41]Input (1)'!$B$6</definedName>
    <definedName name="RevisionDate" localSheetId="19">'[41]Input (1)'!$B$6</definedName>
    <definedName name="RevisionDate" localSheetId="10">'[41]Input (1)'!$B$6</definedName>
    <definedName name="RevisionDate" localSheetId="9">'[41]Input (1)'!$B$6</definedName>
    <definedName name="RevisionDate" localSheetId="8">'[41]Input (1)'!$B$6</definedName>
    <definedName name="RevisionDate" localSheetId="3">'[41]Input (1)'!$B$6</definedName>
    <definedName name="RevisionDate" localSheetId="6">'[41]Input (1)'!$B$6</definedName>
    <definedName name="RevisionDate" localSheetId="7">'[41]Input (1)'!$B$6</definedName>
    <definedName name="RevisionDate" localSheetId="5">'[41]Input (1)'!$B$6</definedName>
    <definedName name="RevisionDate">#REF!</definedName>
    <definedName name="REWRE" localSheetId="18" hidden="1">{#N/A,#N/A,FALSE,"Mhr_Sum"}</definedName>
    <definedName name="REWRE" localSheetId="11" hidden="1">{#N/A,#N/A,FALSE,"Mhr_Sum"}</definedName>
    <definedName name="REWRE" localSheetId="1" hidden="1">{#N/A,#N/A,FALSE,"Mhr_Sum"}</definedName>
    <definedName name="REWRE" localSheetId="2" hidden="1">{#N/A,#N/A,FALSE,"Mhr_Sum"}</definedName>
    <definedName name="REWRE" localSheetId="4" hidden="1">{#N/A,#N/A,FALSE,"Mhr_Sum"}</definedName>
    <definedName name="REWRE" localSheetId="19" hidden="1">{#N/A,#N/A,FALSE,"Mhr_Sum"}</definedName>
    <definedName name="REWRE" localSheetId="10" hidden="1">{#N/A,#N/A,FALSE,"Mhr_Sum"}</definedName>
    <definedName name="REWRE" localSheetId="9" hidden="1">{#N/A,#N/A,FALSE,"Mhr_Sum"}</definedName>
    <definedName name="REWRE" localSheetId="8" hidden="1">{#N/A,#N/A,FALSE,"Mhr_Sum"}</definedName>
    <definedName name="REWRE" localSheetId="3" hidden="1">{#N/A,#N/A,FALSE,"Mhr_Sum"}</definedName>
    <definedName name="REWRE" localSheetId="6" hidden="1">{#N/A,#N/A,FALSE,"Mhr_Sum"}</definedName>
    <definedName name="REWRE" localSheetId="7" hidden="1">{#N/A,#N/A,FALSE,"Mhr_Sum"}</definedName>
    <definedName name="REWRE" localSheetId="5" hidden="1">{#N/A,#N/A,FALSE,"Mhr_Sum"}</definedName>
    <definedName name="REWRE" hidden="1">{#N/A,#N/A,FALSE,"Mhr_Sum"}</definedName>
    <definedName name="rey" localSheetId="18"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localSheetId="18" hidden="1">{#N/A,#N/A,FALSE,"CCTV"}</definedName>
    <definedName name="RF" hidden="1">{#N/A,#N/A,FALSE,"CCTV"}</definedName>
    <definedName name="RFA">#REF!</definedName>
    <definedName name="RFP003A">#REF!</definedName>
    <definedName name="RFP003B">#REF!</definedName>
    <definedName name="RFP003C">#REF!</definedName>
    <definedName name="RFP003D">#REF!</definedName>
    <definedName name="RFP003E">#REF!</definedName>
    <definedName name="RFP003F">#REF!</definedName>
    <definedName name="RFV" localSheetId="18" hidden="1">{#N/A,#N/A,FALSE,"CCTV"}</definedName>
    <definedName name="RFV" localSheetId="11" hidden="1">{#N/A,#N/A,FALSE,"CCTV"}</definedName>
    <definedName name="RFV" localSheetId="1" hidden="1">{#N/A,#N/A,FALSE,"CCTV"}</definedName>
    <definedName name="RFV" localSheetId="2" hidden="1">{#N/A,#N/A,FALSE,"CCTV"}</definedName>
    <definedName name="RFV" localSheetId="4" hidden="1">{#N/A,#N/A,FALSE,"CCTV"}</definedName>
    <definedName name="RFV" localSheetId="19" hidden="1">{#N/A,#N/A,FALSE,"CCTV"}</definedName>
    <definedName name="RFV" localSheetId="10" hidden="1">{#N/A,#N/A,FALSE,"CCTV"}</definedName>
    <definedName name="RFV" localSheetId="9" hidden="1">{#N/A,#N/A,FALSE,"CCTV"}</definedName>
    <definedName name="RFV" localSheetId="8" hidden="1">{#N/A,#N/A,FALSE,"CCTV"}</definedName>
    <definedName name="RFV" localSheetId="3" hidden="1">{#N/A,#N/A,FALSE,"CCTV"}</definedName>
    <definedName name="RFV" localSheetId="6" hidden="1">{#N/A,#N/A,FALSE,"CCTV"}</definedName>
    <definedName name="RFV" localSheetId="7" hidden="1">{#N/A,#N/A,FALSE,"CCTV"}</definedName>
    <definedName name="RFV" localSheetId="5" hidden="1">{#N/A,#N/A,FALSE,"CCTV"}</definedName>
    <definedName name="RFV" hidden="1">{#N/A,#N/A,FALSE,"CCTV"}</definedName>
    <definedName name="RGD" localSheetId="18" hidden="1">{#N/A,#N/A,FALSE,"CCTV"}</definedName>
    <definedName name="RGD" hidden="1">{#N/A,#N/A,FALSE,"CCTV"}</definedName>
    <definedName name="rgdf" localSheetId="16" hidden="1">{"'Sheet1'!$L$16"}</definedName>
    <definedName name="rgdf" localSheetId="18" hidden="1">{"'Sheet1'!$L$16"}</definedName>
    <definedName name="rgdf" localSheetId="11" hidden="1">{"'Sheet1'!$L$16"}</definedName>
    <definedName name="rgdf" localSheetId="1" hidden="1">{"'Sheet1'!$L$16"}</definedName>
    <definedName name="rgdf" localSheetId="2" hidden="1">{"'Sheet1'!$L$16"}</definedName>
    <definedName name="rgdf" localSheetId="17" hidden="1">{"'Sheet1'!$L$16"}</definedName>
    <definedName name="rgdf" localSheetId="12" hidden="1">{"'Sheet1'!$L$16"}</definedName>
    <definedName name="rgdf" localSheetId="4" hidden="1">{"'Sheet1'!$L$16"}</definedName>
    <definedName name="rgdf" localSheetId="19" hidden="1">{"'Sheet1'!$L$16"}</definedName>
    <definedName name="rgdf" localSheetId="10" hidden="1">{"'Sheet1'!$L$16"}</definedName>
    <definedName name="rgdf" localSheetId="9" hidden="1">{"'Sheet1'!$L$16"}</definedName>
    <definedName name="rgdf" localSheetId="8" hidden="1">{"'Sheet1'!$L$16"}</definedName>
    <definedName name="rgdf" localSheetId="3" hidden="1">{"'Sheet1'!$L$16"}</definedName>
    <definedName name="rgdf" localSheetId="6" hidden="1">{"'Sheet1'!$L$16"}</definedName>
    <definedName name="rgdf" localSheetId="7" hidden="1">{"'Sheet1'!$L$16"}</definedName>
    <definedName name="rgdf" localSheetId="5" hidden="1">{"'Sheet1'!$L$16"}</definedName>
    <definedName name="rgdf" localSheetId="13" hidden="1">{"'Sheet1'!$L$16"}</definedName>
    <definedName name="rgdf" hidden="1">{"'Sheet1'!$L$16"}</definedName>
    <definedName name="rghberr" localSheetId="18" hidden="1">{#N/A,#N/A,FALSE,"Chi tiÆt"}</definedName>
    <definedName name="rghberr" hidden="1">{#N/A,#N/A,FALSE,"Chi tiÆt"}</definedName>
    <definedName name="Rghness" localSheetId="11">[93]D.Volume!$B$5:$B$11</definedName>
    <definedName name="Rghness" localSheetId="1">[93]D.Volume!$B$5:$B$11</definedName>
    <definedName name="Rghness" localSheetId="2">[93]D.Volume!$B$5:$B$11</definedName>
    <definedName name="Rghness" localSheetId="4">[93]D.Volume!$B$5:$B$11</definedName>
    <definedName name="Rghness" localSheetId="19">[93]D.Volume!$B$5:$B$11</definedName>
    <definedName name="Rghness" localSheetId="10">[93]D.Volume!$B$5:$B$11</definedName>
    <definedName name="Rghness" localSheetId="9">[93]D.Volume!$B$5:$B$11</definedName>
    <definedName name="Rghness" localSheetId="8">[93]D.Volume!$B$5:$B$11</definedName>
    <definedName name="Rghness" localSheetId="3">[93]D.Volume!$B$5:$B$11</definedName>
    <definedName name="Rghness" localSheetId="6">[93]D.Volume!$B$5:$B$11</definedName>
    <definedName name="Rghness" localSheetId="7">[93]D.Volume!$B$5:$B$11</definedName>
    <definedName name="Rghness" localSheetId="5">[93]D.Volume!$B$5:$B$11</definedName>
    <definedName name="Rghness">#REF!</definedName>
    <definedName name="RGR" localSheetId="18" hidden="1">{"'장비'!$A$3:$M$12"}</definedName>
    <definedName name="RGR" hidden="1">{"'장비'!$A$3:$M$12"}</definedName>
    <definedName name="rh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#REF!</definedName>
    <definedName name="rid" localSheetId="18" hidden="1">{"'Sheet1'!$L$16"}</definedName>
    <definedName name="rid" hidden="1">{"'Sheet1'!$L$16"}</definedName>
    <definedName name="rig">#REF!</definedName>
    <definedName name="RingsAreAngles">#REF!</definedName>
    <definedName name="RIPETI">#REF!</definedName>
    <definedName name="riser" localSheetId="11" hidden="1">'[94]steam outlet'!$B$24</definedName>
    <definedName name="riser" localSheetId="1" hidden="1">'[94]steam outlet'!$B$24</definedName>
    <definedName name="riser" localSheetId="2" hidden="1">'[94]steam outlet'!$B$24</definedName>
    <definedName name="riser" localSheetId="4" hidden="1">'[94]steam outlet'!$B$24</definedName>
    <definedName name="riser" localSheetId="19" hidden="1">'[94]steam outlet'!$B$24</definedName>
    <definedName name="riser" localSheetId="10" hidden="1">'[94]steam outlet'!$B$24</definedName>
    <definedName name="riser" localSheetId="9" hidden="1">'[94]steam outlet'!$B$24</definedName>
    <definedName name="riser" localSheetId="8" hidden="1">'[94]steam outlet'!$B$24</definedName>
    <definedName name="riser" localSheetId="3" hidden="1">'[94]steam outlet'!$B$24</definedName>
    <definedName name="riser" localSheetId="6" hidden="1">'[94]steam outlet'!$B$24</definedName>
    <definedName name="riser" localSheetId="7" hidden="1">'[94]steam outlet'!$B$24</definedName>
    <definedName name="riser" localSheetId="5" hidden="1">'[94]steam outlet'!$B$24</definedName>
    <definedName name="riser" hidden="1">#REF!</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localSheetId="18" hidden="1">{#N/A,#N/A,FALSE,"CCTV"}</definedName>
    <definedName name="rkd" hidden="1">{#N/A,#N/A,FALSE,"CCTV"}</definedName>
    <definedName name="rkfk" localSheetId="18" hidden="1">{#N/A,#N/A,FALSE,"CCTV"}</definedName>
    <definedName name="rkfk" localSheetId="1" hidden="1">{#N/A,#N/A,FALSE,"CCTV"}</definedName>
    <definedName name="rkfk" localSheetId="2" hidden="1">{#N/A,#N/A,FALSE,"CCTV"}</definedName>
    <definedName name="rkfk" localSheetId="4" hidden="1">{#N/A,#N/A,FALSE,"CCTV"}</definedName>
    <definedName name="rkfk" localSheetId="19" hidden="1">{#N/A,#N/A,FALSE,"CCTV"}</definedName>
    <definedName name="rkfk" localSheetId="10" hidden="1">{#N/A,#N/A,FALSE,"CCTV"}</definedName>
    <definedName name="rkfk" localSheetId="9" hidden="1">{#N/A,#N/A,FALSE,"CCTV"}</definedName>
    <definedName name="rkfk" localSheetId="8" hidden="1">{#N/A,#N/A,FALSE,"CCTV"}</definedName>
    <definedName name="rkfk" localSheetId="3" hidden="1">{#N/A,#N/A,FALSE,"CCTV"}</definedName>
    <definedName name="rkfk" localSheetId="6" hidden="1">{#N/A,#N/A,FALSE,"CCTV"}</definedName>
    <definedName name="rkfk" localSheetId="7" hidden="1">{#N/A,#N/A,FALSE,"CCTV"}</definedName>
    <definedName name="rkfk" localSheetId="5" hidden="1">{#N/A,#N/A,FALSE,"CCTV"}</definedName>
    <definedName name="rkfk" hidden="1">{#N/A,#N/A,FALSE,"CCTV"}</definedName>
    <definedName name="RKSK"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M">#REF!</definedName>
    <definedName name="RNAO" localSheetId="18" hidden="1">{"'장비'!$A$3:$M$12"}</definedName>
    <definedName name="RNAO" hidden="1">{"'장비'!$A$3:$M$12"}</definedName>
    <definedName name="robot">#REF!</definedName>
    <definedName name="roof_casing_buildup">#REF!</definedName>
    <definedName name="rosid">#REF!</definedName>
    <definedName name="roughnesss">#REF!</definedName>
    <definedName name="ROYALTY">#REF!</definedName>
    <definedName name="RPLA" localSheetId="16" hidden="1">{"'Sheet1'!$L$16"}</definedName>
    <definedName name="RPLA" localSheetId="18" hidden="1">{"'Sheet1'!$L$16"}</definedName>
    <definedName name="RPLA" localSheetId="11" hidden="1">{"'Sheet1'!$L$16"}</definedName>
    <definedName name="RPLA" localSheetId="1" hidden="1">{"'Sheet1'!$L$16"}</definedName>
    <definedName name="RPLA" localSheetId="2" hidden="1">{"'Sheet1'!$L$16"}</definedName>
    <definedName name="RPLA" localSheetId="17" hidden="1">{"'Sheet1'!$L$16"}</definedName>
    <definedName name="RPLA" localSheetId="12" hidden="1">{"'Sheet1'!$L$16"}</definedName>
    <definedName name="RPLA" localSheetId="4" hidden="1">{"'Sheet1'!$L$16"}</definedName>
    <definedName name="RPLA" localSheetId="19" hidden="1">{"'Sheet1'!$L$16"}</definedName>
    <definedName name="RPLA" localSheetId="10" hidden="1">{"'Sheet1'!$L$16"}</definedName>
    <definedName name="RPLA" localSheetId="9" hidden="1">{"'Sheet1'!$L$16"}</definedName>
    <definedName name="RPLA" localSheetId="8" hidden="1">{"'Sheet1'!$L$16"}</definedName>
    <definedName name="RPLA" localSheetId="3" hidden="1">{"'Sheet1'!$L$16"}</definedName>
    <definedName name="RPLA" localSheetId="6" hidden="1">{"'Sheet1'!$L$16"}</definedName>
    <definedName name="RPLA" localSheetId="7" hidden="1">{"'Sheet1'!$L$16"}</definedName>
    <definedName name="RPLA" localSheetId="5" hidden="1">{"'Sheet1'!$L$16"}</definedName>
    <definedName name="RPLA" localSheetId="13" hidden="1">{"'Sheet1'!$L$16"}</definedName>
    <definedName name="RPLA" hidden="1">{"'Sheet1'!$L$16"}</definedName>
    <definedName name="rr" localSheetId="18" hidden="1">{#N/A,#N/A,TRUE,"Basic";#N/A,#N/A,TRUE,"EXT-TABLE";#N/A,#N/A,TRUE,"STEEL";#N/A,#N/A,TRUE,"INT-Table";#N/A,#N/A,TRUE,"STEEL";#N/A,#N/A,TRUE,"Door"}</definedName>
    <definedName name="RR" localSheetId="11" hidden="1">{#N/A,#N/A,FALSE,"CCTV"}</definedName>
    <definedName name="RR" localSheetId="1" hidden="1">{#N/A,#N/A,FALSE,"CCTV"}</definedName>
    <definedName name="RR" localSheetId="2" hidden="1">{#N/A,#N/A,FALSE,"CCTV"}</definedName>
    <definedName name="RR" localSheetId="4" hidden="1">{#N/A,#N/A,FALSE,"CCTV"}</definedName>
    <definedName name="RR" localSheetId="19" hidden="1">{#N/A,#N/A,FALSE,"CCTV"}</definedName>
    <definedName name="RR" localSheetId="10" hidden="1">{#N/A,#N/A,FALSE,"CCTV"}</definedName>
    <definedName name="RR" localSheetId="9" hidden="1">{#N/A,#N/A,FALSE,"CCTV"}</definedName>
    <definedName name="RR" localSheetId="8" hidden="1">{#N/A,#N/A,FALSE,"CCTV"}</definedName>
    <definedName name="RR" localSheetId="3" hidden="1">{#N/A,#N/A,FALSE,"CCTV"}</definedName>
    <definedName name="RR" localSheetId="6" hidden="1">{#N/A,#N/A,FALSE,"CCTV"}</definedName>
    <definedName name="RR" localSheetId="7" hidden="1">{#N/A,#N/A,FALSE,"CCTV"}</definedName>
    <definedName name="RR" localSheetId="5" hidden="1">{#N/A,#N/A,FALSE,"CCTV"}</definedName>
    <definedName name="rr" hidden="1">{#N/A,#N/A,TRUE,"Basic";#N/A,#N/A,TRUE,"EXT-TABLE";#N/A,#N/A,TRUE,"STEEL";#N/A,#N/A,TRUE,"INT-Table";#N/A,#N/A,TRUE,"STEEL";#N/A,#N/A,TRUE,"Door"}</definedName>
    <definedName name="rr_1" localSheetId="18" hidden="1">{#N/A,#N/A,TRUE,"Basic";#N/A,#N/A,TRUE,"EXT-TABLE";#N/A,#N/A,TRUE,"STEEL";#N/A,#N/A,TRUE,"INT-Table";#N/A,#N/A,TRUE,"STEEL";#N/A,#N/A,TRUE,"Door"}</definedName>
    <definedName name="rr_1" hidden="1">{#N/A,#N/A,TRUE,"Basic";#N/A,#N/A,TRUE,"EXT-TABLE";#N/A,#N/A,TRUE,"STEEL";#N/A,#N/A,TRUE,"INT-Table";#N/A,#N/A,TRUE,"STEEL";#N/A,#N/A,TRUE,"Door"}</definedName>
    <definedName name="rr_1_1" localSheetId="18" hidden="1">{#N/A,#N/A,TRUE,"Basic";#N/A,#N/A,TRUE,"EXT-TABLE";#N/A,#N/A,TRUE,"STEEL";#N/A,#N/A,TRUE,"INT-Table";#N/A,#N/A,TRUE,"STEEL";#N/A,#N/A,TRUE,"Door"}</definedName>
    <definedName name="rr_1_1" hidden="1">{#N/A,#N/A,TRUE,"Basic";#N/A,#N/A,TRUE,"EXT-TABLE";#N/A,#N/A,TRUE,"STEEL";#N/A,#N/A,TRUE,"INT-Table";#N/A,#N/A,TRUE,"STEEL";#N/A,#N/A,TRUE,"Door"}</definedName>
    <definedName name="rr_1_2" localSheetId="18" hidden="1">{#N/A,#N/A,TRUE,"Basic";#N/A,#N/A,TRUE,"EXT-TABLE";#N/A,#N/A,TRUE,"STEEL";#N/A,#N/A,TRUE,"INT-Table";#N/A,#N/A,TRUE,"STEEL";#N/A,#N/A,TRUE,"Door"}</definedName>
    <definedName name="rr_1_2" hidden="1">{#N/A,#N/A,TRUE,"Basic";#N/A,#N/A,TRUE,"EXT-TABLE";#N/A,#N/A,TRUE,"STEEL";#N/A,#N/A,TRUE,"INT-Table";#N/A,#N/A,TRUE,"STEEL";#N/A,#N/A,TRUE,"Door"}</definedName>
    <definedName name="rr_2" localSheetId="18" hidden="1">{#N/A,#N/A,TRUE,"Basic";#N/A,#N/A,TRUE,"EXT-TABLE";#N/A,#N/A,TRUE,"STEEL";#N/A,#N/A,TRUE,"INT-Table";#N/A,#N/A,TRUE,"STEEL";#N/A,#N/A,TRUE,"Door"}</definedName>
    <definedName name="rr_2" hidden="1">{#N/A,#N/A,TRUE,"Basic";#N/A,#N/A,TRUE,"EXT-TABLE";#N/A,#N/A,TRUE,"STEEL";#N/A,#N/A,TRUE,"INT-Table";#N/A,#N/A,TRUE,"STEEL";#N/A,#N/A,TRUE,"Door"}</definedName>
    <definedName name="rr_2_1" localSheetId="18" hidden="1">{#N/A,#N/A,TRUE,"Basic";#N/A,#N/A,TRUE,"EXT-TABLE";#N/A,#N/A,TRUE,"STEEL";#N/A,#N/A,TRUE,"INT-Table";#N/A,#N/A,TRUE,"STEEL";#N/A,#N/A,TRUE,"Door"}</definedName>
    <definedName name="rr_2_1" hidden="1">{#N/A,#N/A,TRUE,"Basic";#N/A,#N/A,TRUE,"EXT-TABLE";#N/A,#N/A,TRUE,"STEEL";#N/A,#N/A,TRUE,"INT-Table";#N/A,#N/A,TRUE,"STEEL";#N/A,#N/A,TRUE,"Door"}</definedName>
    <definedName name="rr_2_2" localSheetId="18" hidden="1">{#N/A,#N/A,TRUE,"Basic";#N/A,#N/A,TRUE,"EXT-TABLE";#N/A,#N/A,TRUE,"STEEL";#N/A,#N/A,TRUE,"INT-Table";#N/A,#N/A,TRUE,"STEEL";#N/A,#N/A,TRUE,"Door"}</definedName>
    <definedName name="rr_2_2" hidden="1">{#N/A,#N/A,TRUE,"Basic";#N/A,#N/A,TRUE,"EXT-TABLE";#N/A,#N/A,TRUE,"STEEL";#N/A,#N/A,TRUE,"INT-Table";#N/A,#N/A,TRUE,"STEEL";#N/A,#N/A,TRUE,"Door"}</definedName>
    <definedName name="rr_3" localSheetId="18" hidden="1">{#N/A,#N/A,TRUE,"Basic";#N/A,#N/A,TRUE,"EXT-TABLE";#N/A,#N/A,TRUE,"STEEL";#N/A,#N/A,TRUE,"INT-Table";#N/A,#N/A,TRUE,"STEEL";#N/A,#N/A,TRUE,"Door"}</definedName>
    <definedName name="rr_3" hidden="1">{#N/A,#N/A,TRUE,"Basic";#N/A,#N/A,TRUE,"EXT-TABLE";#N/A,#N/A,TRUE,"STEEL";#N/A,#N/A,TRUE,"INT-Table";#N/A,#N/A,TRUE,"STEEL";#N/A,#N/A,TRUE,"Door"}</definedName>
    <definedName name="rr_3_1" localSheetId="18" hidden="1">{#N/A,#N/A,TRUE,"Basic";#N/A,#N/A,TRUE,"EXT-TABLE";#N/A,#N/A,TRUE,"STEEL";#N/A,#N/A,TRUE,"INT-Table";#N/A,#N/A,TRUE,"STEEL";#N/A,#N/A,TRUE,"Door"}</definedName>
    <definedName name="rr_3_1" hidden="1">{#N/A,#N/A,TRUE,"Basic";#N/A,#N/A,TRUE,"EXT-TABLE";#N/A,#N/A,TRUE,"STEEL";#N/A,#N/A,TRUE,"INT-Table";#N/A,#N/A,TRUE,"STEEL";#N/A,#N/A,TRUE,"Door"}</definedName>
    <definedName name="rr_3_2" localSheetId="18" hidden="1">{#N/A,#N/A,TRUE,"Basic";#N/A,#N/A,TRUE,"EXT-TABLE";#N/A,#N/A,TRUE,"STEEL";#N/A,#N/A,TRUE,"INT-Table";#N/A,#N/A,TRUE,"STEEL";#N/A,#N/A,TRUE,"Door"}</definedName>
    <definedName name="rr_3_2" hidden="1">{#N/A,#N/A,TRUE,"Basic";#N/A,#N/A,TRUE,"EXT-TABLE";#N/A,#N/A,TRUE,"STEEL";#N/A,#N/A,TRUE,"INT-Table";#N/A,#N/A,TRUE,"STEEL";#N/A,#N/A,TRUE,"Door"}</definedName>
    <definedName name="rr_4" localSheetId="18" hidden="1">{#N/A,#N/A,TRUE,"Basic";#N/A,#N/A,TRUE,"EXT-TABLE";#N/A,#N/A,TRUE,"STEEL";#N/A,#N/A,TRUE,"INT-Table";#N/A,#N/A,TRUE,"STEEL";#N/A,#N/A,TRUE,"Door"}</definedName>
    <definedName name="rr_4" hidden="1">{#N/A,#N/A,TRUE,"Basic";#N/A,#N/A,TRUE,"EXT-TABLE";#N/A,#N/A,TRUE,"STEEL";#N/A,#N/A,TRUE,"INT-Table";#N/A,#N/A,TRUE,"STEEL";#N/A,#N/A,TRUE,"Door"}</definedName>
    <definedName name="rr_4_1" localSheetId="18" hidden="1">{#N/A,#N/A,TRUE,"Basic";#N/A,#N/A,TRUE,"EXT-TABLE";#N/A,#N/A,TRUE,"STEEL";#N/A,#N/A,TRUE,"INT-Table";#N/A,#N/A,TRUE,"STEEL";#N/A,#N/A,TRUE,"Door"}</definedName>
    <definedName name="rr_4_1" hidden="1">{#N/A,#N/A,TRUE,"Basic";#N/A,#N/A,TRUE,"EXT-TABLE";#N/A,#N/A,TRUE,"STEEL";#N/A,#N/A,TRUE,"INT-Table";#N/A,#N/A,TRUE,"STEEL";#N/A,#N/A,TRUE,"Door"}</definedName>
    <definedName name="rr_4_2" localSheetId="18" hidden="1">{#N/A,#N/A,TRUE,"Basic";#N/A,#N/A,TRUE,"EXT-TABLE";#N/A,#N/A,TRUE,"STEEL";#N/A,#N/A,TRUE,"INT-Table";#N/A,#N/A,TRUE,"STEEL";#N/A,#N/A,TRUE,"Door"}</definedName>
    <definedName name="rr_4_2" hidden="1">{#N/A,#N/A,TRUE,"Basic";#N/A,#N/A,TRUE,"EXT-TABLE";#N/A,#N/A,TRUE,"STEEL";#N/A,#N/A,TRUE,"INT-Table";#N/A,#N/A,TRUE,"STEEL";#N/A,#N/A,TRUE,"Door"}</definedName>
    <definedName name="rr_5" localSheetId="18" hidden="1">{#N/A,#N/A,TRUE,"Basic";#N/A,#N/A,TRUE,"EXT-TABLE";#N/A,#N/A,TRUE,"STEEL";#N/A,#N/A,TRUE,"INT-Table";#N/A,#N/A,TRUE,"STEEL";#N/A,#N/A,TRUE,"Door"}</definedName>
    <definedName name="rr_5" hidden="1">{#N/A,#N/A,TRUE,"Basic";#N/A,#N/A,TRUE,"EXT-TABLE";#N/A,#N/A,TRUE,"STEEL";#N/A,#N/A,TRUE,"INT-Table";#N/A,#N/A,TRUE,"STEEL";#N/A,#N/A,TRUE,"Door"}</definedName>
    <definedName name="rr_5_1" localSheetId="18" hidden="1">{#N/A,#N/A,TRUE,"Basic";#N/A,#N/A,TRUE,"EXT-TABLE";#N/A,#N/A,TRUE,"STEEL";#N/A,#N/A,TRUE,"INT-Table";#N/A,#N/A,TRUE,"STEEL";#N/A,#N/A,TRUE,"Door"}</definedName>
    <definedName name="rr_5_1" hidden="1">{#N/A,#N/A,TRUE,"Basic";#N/A,#N/A,TRUE,"EXT-TABLE";#N/A,#N/A,TRUE,"STEEL";#N/A,#N/A,TRUE,"INT-Table";#N/A,#N/A,TRUE,"STEEL";#N/A,#N/A,TRUE,"Door"}</definedName>
    <definedName name="rr_5_2" localSheetId="18" hidden="1">{#N/A,#N/A,TRUE,"Basic";#N/A,#N/A,TRUE,"EXT-TABLE";#N/A,#N/A,TRUE,"STEEL";#N/A,#N/A,TRUE,"INT-Table";#N/A,#N/A,TRUE,"STEEL";#N/A,#N/A,TRUE,"Door"}</definedName>
    <definedName name="rr_5_2" hidden="1">{#N/A,#N/A,TRUE,"Basic";#N/A,#N/A,TRUE,"EXT-TABLE";#N/A,#N/A,TRUE,"STEEL";#N/A,#N/A,TRUE,"INT-Table";#N/A,#N/A,TRUE,"STEEL";#N/A,#N/A,TRUE,"Door"}</definedName>
    <definedName name="R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18" hidden="1">{#N/A,#N/A,FALSE,"CCTV"}</definedName>
    <definedName name="RRERW" localSheetId="11" hidden="1">{#N/A,#N/A,FALSE,"CCTV"}</definedName>
    <definedName name="RRERW" localSheetId="1" hidden="1">{#N/A,#N/A,FALSE,"CCTV"}</definedName>
    <definedName name="RRERW" localSheetId="2" hidden="1">{#N/A,#N/A,FALSE,"CCTV"}</definedName>
    <definedName name="RRERW" localSheetId="4" hidden="1">{#N/A,#N/A,FALSE,"CCTV"}</definedName>
    <definedName name="RRERW" localSheetId="19" hidden="1">{#N/A,#N/A,FALSE,"CCTV"}</definedName>
    <definedName name="RRERW" localSheetId="10" hidden="1">{#N/A,#N/A,FALSE,"CCTV"}</definedName>
    <definedName name="RRERW" localSheetId="9" hidden="1">{#N/A,#N/A,FALSE,"CCTV"}</definedName>
    <definedName name="RRERW" localSheetId="8" hidden="1">{#N/A,#N/A,FALSE,"CCTV"}</definedName>
    <definedName name="RRERW" localSheetId="3" hidden="1">{#N/A,#N/A,FALSE,"CCTV"}</definedName>
    <definedName name="RRERW" localSheetId="6" hidden="1">{#N/A,#N/A,FALSE,"CCTV"}</definedName>
    <definedName name="RRERW" localSheetId="7" hidden="1">{#N/A,#N/A,FALSE,"CCTV"}</definedName>
    <definedName name="RRERW" localSheetId="5" hidden="1">{#N/A,#N/A,FALSE,"CCTV"}</definedName>
    <definedName name="RRERW" hidden="1">{#N/A,#N/A,FALSE,"CCTV"}</definedName>
    <definedName name="RRR" localSheetId="18" hidden="1">{#N/A,#N/A,FALSE,"포장2"}</definedName>
    <definedName name="RRR" hidden="1">{#N/A,#N/A,FALSE,"포장2"}</definedName>
    <definedName name="rrrrr" localSheetId="18" hidden="1">{"'장비'!$A$3:$M$12"}</definedName>
    <definedName name="rrrrr" hidden="1">{"'장비'!$A$3:$M$12"}</definedName>
    <definedName name="rrrrrrrr" localSheetId="18" hidden="1">{"'장비'!$A$3:$M$12"}</definedName>
    <definedName name="rrrrrrrr" hidden="1">{"'장비'!$A$3:$M$12"}</definedName>
    <definedName name="RS">#REF!</definedName>
    <definedName name="RS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PNT" localSheetId="1">[44]!RTPNT</definedName>
    <definedName name="RTPNT" localSheetId="2">[44]!RTPNT</definedName>
    <definedName name="RTPNT" localSheetId="4">[44]!RTPNT</definedName>
    <definedName name="RTPNT" localSheetId="19">[44]!RTPNT</definedName>
    <definedName name="RTPNT" localSheetId="10">[44]!RTPNT</definedName>
    <definedName name="RTPNT" localSheetId="9">[44]!RTPNT</definedName>
    <definedName name="RTPNT" localSheetId="8">[44]!RTPNT</definedName>
    <definedName name="RTPNT" localSheetId="3">[44]!RTPNT</definedName>
    <definedName name="RTPNT" localSheetId="6">[44]!RTPNT</definedName>
    <definedName name="RTPNT" localSheetId="7">[44]!RTPNT</definedName>
    <definedName name="RTPNT" localSheetId="5">[44]!RTPNT</definedName>
    <definedName name="RTPNT">[44]!RTPNT</definedName>
    <definedName name="RTW">#REF!</definedName>
    <definedName name="RTW_Shipping_Line">#REF!</definedName>
    <definedName name="RTYE" localSheetId="18" hidden="1">{"'장비'!$A$3:$M$12"}</definedName>
    <definedName name="RTYE" hidden="1">{"'장비'!$A$3:$M$12"}</definedName>
    <definedName name="rtytry" localSheetId="18" hidden="1">{"'장비'!$A$3:$M$12"}</definedName>
    <definedName name="rtytry" hidden="1">{"'장비'!$A$3:$M$12"}</definedName>
    <definedName name="Ru">#REF!</definedName>
    <definedName name="RVI" hidden="1">#REF!</definedName>
    <definedName name="RW">#REF!</definedName>
    <definedName name="RY">#REF!</definedName>
    <definedName name="s" localSheetId="16" hidden="1">{"'Sheet1'!$L$16"}</definedName>
    <definedName name="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 localSheetId="1">[95]!s</definedName>
    <definedName name="s" localSheetId="2">[95]!s</definedName>
    <definedName name="s" localSheetId="17" hidden="1">{"'Sheet1'!$L$16"}</definedName>
    <definedName name="s" localSheetId="4">[95]!s</definedName>
    <definedName name="s" localSheetId="19">[95]!s</definedName>
    <definedName name="s" localSheetId="10">[95]!s</definedName>
    <definedName name="s" localSheetId="9">[95]!s</definedName>
    <definedName name="s" localSheetId="8">[95]!s</definedName>
    <definedName name="s" localSheetId="3">[95]!s</definedName>
    <definedName name="s" localSheetId="6">[95]!s</definedName>
    <definedName name="s" localSheetId="7">[95]!s</definedName>
    <definedName name="s" localSheetId="5">[95]!s</definedName>
    <definedName name="S" hidden="1">#REF!</definedName>
    <definedName name="S_2" localSheetId="11">[29]Breech_Duct!$E$67</definedName>
    <definedName name="S_2" localSheetId="1">[29]Breech_Duct!$E$67</definedName>
    <definedName name="S_2" localSheetId="2">[29]Breech_Duct!$E$67</definedName>
    <definedName name="S_2" localSheetId="4">[29]Breech_Duct!$E$67</definedName>
    <definedName name="S_2" localSheetId="19">[29]Breech_Duct!$E$67</definedName>
    <definedName name="S_2" localSheetId="10">[29]Breech_Duct!$E$67</definedName>
    <definedName name="S_2" localSheetId="9">[29]Breech_Duct!$E$67</definedName>
    <definedName name="S_2" localSheetId="8">[29]Breech_Duct!$E$67</definedName>
    <definedName name="S_2" localSheetId="3">[29]Breech_Duct!$E$67</definedName>
    <definedName name="S_2" localSheetId="6">[29]Breech_Duct!$E$67</definedName>
    <definedName name="S_2" localSheetId="7">[29]Breech_Duct!$E$67</definedName>
    <definedName name="S_2" localSheetId="5">[29]Breech_Duct!$E$67</definedName>
    <definedName name="S_2">#REF!</definedName>
    <definedName name="S_4" localSheetId="11">[29]Breech_Duct!$E$79</definedName>
    <definedName name="S_4" localSheetId="1">[29]Breech_Duct!$E$79</definedName>
    <definedName name="S_4" localSheetId="2">[29]Breech_Duct!$E$79</definedName>
    <definedName name="S_4" localSheetId="4">[29]Breech_Duct!$E$79</definedName>
    <definedName name="S_4" localSheetId="19">[29]Breech_Duct!$E$79</definedName>
    <definedName name="S_4" localSheetId="10">[29]Breech_Duct!$E$79</definedName>
    <definedName name="S_4" localSheetId="9">[29]Breech_Duct!$E$79</definedName>
    <definedName name="S_4" localSheetId="8">[29]Breech_Duct!$E$79</definedName>
    <definedName name="S_4" localSheetId="3">[29]Breech_Duct!$E$79</definedName>
    <definedName name="S_4" localSheetId="6">[29]Breech_Duct!$E$79</definedName>
    <definedName name="S_4" localSheetId="7">[29]Breech_Duct!$E$79</definedName>
    <definedName name="S_4" localSheetId="5">[29]Breech_Duct!$E$79</definedName>
    <definedName name="S_4">#REF!</definedName>
    <definedName name="S_5" localSheetId="11">[29]Breech_Duct!$E$72</definedName>
    <definedName name="S_5" localSheetId="1">[29]Breech_Duct!$E$72</definedName>
    <definedName name="S_5" localSheetId="2">[29]Breech_Duct!$E$72</definedName>
    <definedName name="S_5" localSheetId="4">[29]Breech_Duct!$E$72</definedName>
    <definedName name="S_5" localSheetId="19">[29]Breech_Duct!$E$72</definedName>
    <definedName name="S_5" localSheetId="10">[29]Breech_Duct!$E$72</definedName>
    <definedName name="S_5" localSheetId="9">[29]Breech_Duct!$E$72</definedName>
    <definedName name="S_5" localSheetId="8">[29]Breech_Duct!$E$72</definedName>
    <definedName name="S_5" localSheetId="3">[29]Breech_Duct!$E$72</definedName>
    <definedName name="S_5" localSheetId="6">[29]Breech_Duct!$E$72</definedName>
    <definedName name="S_5" localSheetId="7">[29]Breech_Duct!$E$72</definedName>
    <definedName name="S_5" localSheetId="5">[29]Breech_Duct!$E$72</definedName>
    <definedName name="S_5">#REF!</definedName>
    <definedName name="S_6" localSheetId="11">[29]Breech_Duct!$E$83</definedName>
    <definedName name="S_6" localSheetId="1">[29]Breech_Duct!$E$83</definedName>
    <definedName name="S_6" localSheetId="2">[29]Breech_Duct!$E$83</definedName>
    <definedName name="S_6" localSheetId="4">[29]Breech_Duct!$E$83</definedName>
    <definedName name="S_6" localSheetId="19">[29]Breech_Duct!$E$83</definedName>
    <definedName name="S_6" localSheetId="10">[29]Breech_Duct!$E$83</definedName>
    <definedName name="S_6" localSheetId="9">[29]Breech_Duct!$E$83</definedName>
    <definedName name="S_6" localSheetId="8">[29]Breech_Duct!$E$83</definedName>
    <definedName name="S_6" localSheetId="3">[29]Breech_Duct!$E$83</definedName>
    <definedName name="S_6" localSheetId="6">[29]Breech_Duct!$E$83</definedName>
    <definedName name="S_6" localSheetId="7">[29]Breech_Duct!$E$83</definedName>
    <definedName name="S_6" localSheetId="5">[29]Breech_Duct!$E$83</definedName>
    <definedName name="S_6">#REF!</definedName>
    <definedName name="S1S">#REF!</definedName>
    <definedName name="SA" localSheetId="18" hidden="1">{#N/A,#N/A,TRUE,"SUM";#N/A,#N/A,TRUE,"EE";#N/A,#N/A,TRUE,"AC";#N/A,#N/A,TRUE,"SN"}</definedName>
    <definedName name="SA" hidden="1">{#N/A,#N/A,TRUE,"SUM";#N/A,#N/A,TRUE,"EE";#N/A,#N/A,TRUE,"AC";#N/A,#N/A,TRUE,"SN"}</definedName>
    <definedName name="SADA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#REF!</definedName>
    <definedName name="SAFSAFSAD" localSheetId="18" hidden="1">{#N/A,#N/A,FALSE,"속도"}</definedName>
    <definedName name="SAFSAFSAD" hidden="1">{#N/A,#N/A,FALSE,"속도"}</definedName>
    <definedName name="sal">#REF!</definedName>
    <definedName name="SalePrice" localSheetId="11">[51]Summary!$R$11</definedName>
    <definedName name="SalePrice" localSheetId="1">[51]Summary!$R$11</definedName>
    <definedName name="SalePrice" localSheetId="2">[51]Summary!$R$11</definedName>
    <definedName name="SalePrice" localSheetId="4">[51]Summary!$R$11</definedName>
    <definedName name="SalePrice" localSheetId="19">[51]Summary!$R$11</definedName>
    <definedName name="SalePrice" localSheetId="10">[51]Summary!$R$11</definedName>
    <definedName name="SalePrice" localSheetId="9">[51]Summary!$R$11</definedName>
    <definedName name="SalePrice" localSheetId="8">[51]Summary!$R$11</definedName>
    <definedName name="SalePrice" localSheetId="3">[51]Summary!$R$11</definedName>
    <definedName name="SalePrice" localSheetId="6">[51]Summary!$R$11</definedName>
    <definedName name="SalePrice" localSheetId="7">[51]Summary!$R$11</definedName>
    <definedName name="SalePrice" localSheetId="5">[51]Summary!$R$11</definedName>
    <definedName name="SalePrice">#REF!</definedName>
    <definedName name="SALES">#REF!</definedName>
    <definedName name="SALES1">#REF!</definedName>
    <definedName name="SALES2">#REF!</definedName>
    <definedName name="SALES3">#REF!</definedName>
    <definedName name="SAM" localSheetId="18" hidden="1">{#N/A,#N/A,TRUE,"Basic";#N/A,#N/A,TRUE,"EXT-TABLE";#N/A,#N/A,TRUE,"STEEL";#N/A,#N/A,TRUE,"INT-Table";#N/A,#N/A,TRUE,"STEEL";#N/A,#N/A,TRUE,"Door"}</definedName>
    <definedName name="SAM" hidden="1">{#N/A,#N/A,TRUE,"Basic";#N/A,#N/A,TRUE,"EXT-TABLE";#N/A,#N/A,TRUE,"STEEL";#N/A,#N/A,TRUE,"INT-Table";#N/A,#N/A,TRUE,"STEEL";#N/A,#N/A,TRUE,"Door"}</definedName>
    <definedName name="SAM_1" localSheetId="18" hidden="1">{#N/A,#N/A,TRUE,"Basic";#N/A,#N/A,TRUE,"EXT-TABLE";#N/A,#N/A,TRUE,"STEEL";#N/A,#N/A,TRUE,"INT-Table";#N/A,#N/A,TRUE,"STEEL";#N/A,#N/A,TRUE,"Door"}</definedName>
    <definedName name="SAM_1" hidden="1">{#N/A,#N/A,TRUE,"Basic";#N/A,#N/A,TRUE,"EXT-TABLE";#N/A,#N/A,TRUE,"STEEL";#N/A,#N/A,TRUE,"INT-Table";#N/A,#N/A,TRUE,"STEEL";#N/A,#N/A,TRUE,"Door"}</definedName>
    <definedName name="SAM_1_1" localSheetId="18" hidden="1">{#N/A,#N/A,TRUE,"Basic";#N/A,#N/A,TRUE,"EXT-TABLE";#N/A,#N/A,TRUE,"STEEL";#N/A,#N/A,TRUE,"INT-Table";#N/A,#N/A,TRUE,"STEEL";#N/A,#N/A,TRUE,"Door"}</definedName>
    <definedName name="SAM_1_1" hidden="1">{#N/A,#N/A,TRUE,"Basic";#N/A,#N/A,TRUE,"EXT-TABLE";#N/A,#N/A,TRUE,"STEEL";#N/A,#N/A,TRUE,"INT-Table";#N/A,#N/A,TRUE,"STEEL";#N/A,#N/A,TRUE,"Door"}</definedName>
    <definedName name="SAM_1_2" localSheetId="18" hidden="1">{#N/A,#N/A,TRUE,"Basic";#N/A,#N/A,TRUE,"EXT-TABLE";#N/A,#N/A,TRUE,"STEEL";#N/A,#N/A,TRUE,"INT-Table";#N/A,#N/A,TRUE,"STEEL";#N/A,#N/A,TRUE,"Door"}</definedName>
    <definedName name="SAM_1_2" hidden="1">{#N/A,#N/A,TRUE,"Basic";#N/A,#N/A,TRUE,"EXT-TABLE";#N/A,#N/A,TRUE,"STEEL";#N/A,#N/A,TRUE,"INT-Table";#N/A,#N/A,TRUE,"STEEL";#N/A,#N/A,TRUE,"Door"}</definedName>
    <definedName name="SAM_2" localSheetId="18" hidden="1">{#N/A,#N/A,TRUE,"Basic";#N/A,#N/A,TRUE,"EXT-TABLE";#N/A,#N/A,TRUE,"STEEL";#N/A,#N/A,TRUE,"INT-Table";#N/A,#N/A,TRUE,"STEEL";#N/A,#N/A,TRUE,"Door"}</definedName>
    <definedName name="SAM_2" hidden="1">{#N/A,#N/A,TRUE,"Basic";#N/A,#N/A,TRUE,"EXT-TABLE";#N/A,#N/A,TRUE,"STEEL";#N/A,#N/A,TRUE,"INT-Table";#N/A,#N/A,TRUE,"STEEL";#N/A,#N/A,TRUE,"Door"}</definedName>
    <definedName name="SAM_2_1" localSheetId="18" hidden="1">{#N/A,#N/A,TRUE,"Basic";#N/A,#N/A,TRUE,"EXT-TABLE";#N/A,#N/A,TRUE,"STEEL";#N/A,#N/A,TRUE,"INT-Table";#N/A,#N/A,TRUE,"STEEL";#N/A,#N/A,TRUE,"Door"}</definedName>
    <definedName name="SAM_2_1" hidden="1">{#N/A,#N/A,TRUE,"Basic";#N/A,#N/A,TRUE,"EXT-TABLE";#N/A,#N/A,TRUE,"STEEL";#N/A,#N/A,TRUE,"INT-Table";#N/A,#N/A,TRUE,"STEEL";#N/A,#N/A,TRUE,"Door"}</definedName>
    <definedName name="SAM_2_2" localSheetId="18" hidden="1">{#N/A,#N/A,TRUE,"Basic";#N/A,#N/A,TRUE,"EXT-TABLE";#N/A,#N/A,TRUE,"STEEL";#N/A,#N/A,TRUE,"INT-Table";#N/A,#N/A,TRUE,"STEEL";#N/A,#N/A,TRUE,"Door"}</definedName>
    <definedName name="SAM_2_2" hidden="1">{#N/A,#N/A,TRUE,"Basic";#N/A,#N/A,TRUE,"EXT-TABLE";#N/A,#N/A,TRUE,"STEEL";#N/A,#N/A,TRUE,"INT-Table";#N/A,#N/A,TRUE,"STEEL";#N/A,#N/A,TRUE,"Door"}</definedName>
    <definedName name="SAM_3" localSheetId="18" hidden="1">{#N/A,#N/A,TRUE,"Basic";#N/A,#N/A,TRUE,"EXT-TABLE";#N/A,#N/A,TRUE,"STEEL";#N/A,#N/A,TRUE,"INT-Table";#N/A,#N/A,TRUE,"STEEL";#N/A,#N/A,TRUE,"Door"}</definedName>
    <definedName name="SAM_3" hidden="1">{#N/A,#N/A,TRUE,"Basic";#N/A,#N/A,TRUE,"EXT-TABLE";#N/A,#N/A,TRUE,"STEEL";#N/A,#N/A,TRUE,"INT-Table";#N/A,#N/A,TRUE,"STEEL";#N/A,#N/A,TRUE,"Door"}</definedName>
    <definedName name="SAM_3_1" localSheetId="18" hidden="1">{#N/A,#N/A,TRUE,"Basic";#N/A,#N/A,TRUE,"EXT-TABLE";#N/A,#N/A,TRUE,"STEEL";#N/A,#N/A,TRUE,"INT-Table";#N/A,#N/A,TRUE,"STEEL";#N/A,#N/A,TRUE,"Door"}</definedName>
    <definedName name="SAM_3_1" hidden="1">{#N/A,#N/A,TRUE,"Basic";#N/A,#N/A,TRUE,"EXT-TABLE";#N/A,#N/A,TRUE,"STEEL";#N/A,#N/A,TRUE,"INT-Table";#N/A,#N/A,TRUE,"STEEL";#N/A,#N/A,TRUE,"Door"}</definedName>
    <definedName name="SAM_3_2" localSheetId="18" hidden="1">{#N/A,#N/A,TRUE,"Basic";#N/A,#N/A,TRUE,"EXT-TABLE";#N/A,#N/A,TRUE,"STEEL";#N/A,#N/A,TRUE,"INT-Table";#N/A,#N/A,TRUE,"STEEL";#N/A,#N/A,TRUE,"Door"}</definedName>
    <definedName name="SAM_3_2" hidden="1">{#N/A,#N/A,TRUE,"Basic";#N/A,#N/A,TRUE,"EXT-TABLE";#N/A,#N/A,TRUE,"STEEL";#N/A,#N/A,TRUE,"INT-Table";#N/A,#N/A,TRUE,"STEEL";#N/A,#N/A,TRUE,"Door"}</definedName>
    <definedName name="SAM_4" localSheetId="18" hidden="1">{#N/A,#N/A,TRUE,"Basic";#N/A,#N/A,TRUE,"EXT-TABLE";#N/A,#N/A,TRUE,"STEEL";#N/A,#N/A,TRUE,"INT-Table";#N/A,#N/A,TRUE,"STEEL";#N/A,#N/A,TRUE,"Door"}</definedName>
    <definedName name="SAM_4" hidden="1">{#N/A,#N/A,TRUE,"Basic";#N/A,#N/A,TRUE,"EXT-TABLE";#N/A,#N/A,TRUE,"STEEL";#N/A,#N/A,TRUE,"INT-Table";#N/A,#N/A,TRUE,"STEEL";#N/A,#N/A,TRUE,"Door"}</definedName>
    <definedName name="SAM_4_1" localSheetId="18" hidden="1">{#N/A,#N/A,TRUE,"Basic";#N/A,#N/A,TRUE,"EXT-TABLE";#N/A,#N/A,TRUE,"STEEL";#N/A,#N/A,TRUE,"INT-Table";#N/A,#N/A,TRUE,"STEEL";#N/A,#N/A,TRUE,"Door"}</definedName>
    <definedName name="SAM_4_1" hidden="1">{#N/A,#N/A,TRUE,"Basic";#N/A,#N/A,TRUE,"EXT-TABLE";#N/A,#N/A,TRUE,"STEEL";#N/A,#N/A,TRUE,"INT-Table";#N/A,#N/A,TRUE,"STEEL";#N/A,#N/A,TRUE,"Door"}</definedName>
    <definedName name="SAM_4_2" localSheetId="18" hidden="1">{#N/A,#N/A,TRUE,"Basic";#N/A,#N/A,TRUE,"EXT-TABLE";#N/A,#N/A,TRUE,"STEEL";#N/A,#N/A,TRUE,"INT-Table";#N/A,#N/A,TRUE,"STEEL";#N/A,#N/A,TRUE,"Door"}</definedName>
    <definedName name="SAM_4_2" hidden="1">{#N/A,#N/A,TRUE,"Basic";#N/A,#N/A,TRUE,"EXT-TABLE";#N/A,#N/A,TRUE,"STEEL";#N/A,#N/A,TRUE,"INT-Table";#N/A,#N/A,TRUE,"STEEL";#N/A,#N/A,TRUE,"Door"}</definedName>
    <definedName name="SAM_5" localSheetId="18" hidden="1">{#N/A,#N/A,TRUE,"Basic";#N/A,#N/A,TRUE,"EXT-TABLE";#N/A,#N/A,TRUE,"STEEL";#N/A,#N/A,TRUE,"INT-Table";#N/A,#N/A,TRUE,"STEEL";#N/A,#N/A,TRUE,"Door"}</definedName>
    <definedName name="SAM_5" hidden="1">{#N/A,#N/A,TRUE,"Basic";#N/A,#N/A,TRUE,"EXT-TABLE";#N/A,#N/A,TRUE,"STEEL";#N/A,#N/A,TRUE,"INT-Table";#N/A,#N/A,TRUE,"STEEL";#N/A,#N/A,TRUE,"Door"}</definedName>
    <definedName name="SAM_5_1" localSheetId="18" hidden="1">{#N/A,#N/A,TRUE,"Basic";#N/A,#N/A,TRUE,"EXT-TABLE";#N/A,#N/A,TRUE,"STEEL";#N/A,#N/A,TRUE,"INT-Table";#N/A,#N/A,TRUE,"STEEL";#N/A,#N/A,TRUE,"Door"}</definedName>
    <definedName name="SAM_5_1" hidden="1">{#N/A,#N/A,TRUE,"Basic";#N/A,#N/A,TRUE,"EXT-TABLE";#N/A,#N/A,TRUE,"STEEL";#N/A,#N/A,TRUE,"INT-Table";#N/A,#N/A,TRUE,"STEEL";#N/A,#N/A,TRUE,"Door"}</definedName>
    <definedName name="SAM_5_2" localSheetId="18"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#REF!</definedName>
    <definedName name="SAP.003.BEL022_CABLES.KFP_DESCRIPTION">#REF!</definedName>
    <definedName name="SAP.003.BEL022_CABLES.KFP_DESTINATION_ID">#REF!</definedName>
    <definedName name="SAP.003.BEL022_CABLES.KFP_DESTINATION_LOC">#REF!</definedName>
    <definedName name="SAP.003.BEL022_CABLES.KFP_DESTINATION_ROOM">#REF!</definedName>
    <definedName name="SAP.003.BEL022_CABLES.KFP_DRAWING_NUMBER">#REF!</definedName>
    <definedName name="SAP.003.BEL022_CABLES.KFP_ENGINEERING_SZENARIO">#REF!</definedName>
    <definedName name="SAP.003.BEL022_CABLES.KFP_INPUT_ORIG_CABLE">#REF!</definedName>
    <definedName name="SAP.003.BEL022_CABLES.KFP_INTERMEDIATE_ID">#REF!</definedName>
    <definedName name="SAP.003.BEL022_CABLES.KFP_KKS">#REF!</definedName>
    <definedName name="SAP.003.BEL022_CABLES.KFP_LAY_DATE">#REF!</definedName>
    <definedName name="SAP.003.BEL022_CABLES.KFP_LAY_LENGTH">#REF!</definedName>
    <definedName name="SAP.003.BEL022_CABLES.KFP_LEVEL">#REF!</definedName>
    <definedName name="SAP.003.BEL022_CABLES.KFP_OPTION_1">#REF!</definedName>
    <definedName name="SAP.003.BEL022_CABLES.KFP_OPTION_2">#REF!</definedName>
    <definedName name="SAP.003.BEL022_CABLES.KFP_ORIGIN_ID">#REF!</definedName>
    <definedName name="SAP.003.BEL022_CABLES.KFP_ORIGIN_KEY">#REF!</definedName>
    <definedName name="SAP.003.BEL022_CABLES.KFP_ORIGIN_LOC">#REF!</definedName>
    <definedName name="SAP.003.BEL022_CABLES.KFP_ORIGIN_ROOM">#REF!</definedName>
    <definedName name="SAP.003.BEL022_CABLES.KFP_PLANNED_LENGTH">#REF!</definedName>
    <definedName name="SAP.003.BEL022_CABLES.KFP_PROKABEL_CHANGE">#REF!</definedName>
    <definedName name="SAP.003.BEL022_CABLES.KFP_ROUTED_LENGTH">#REF!</definedName>
    <definedName name="SAP.003.BEL022_CABLES.KFP_ROUTING_NUMBER">#REF!</definedName>
    <definedName name="SAP.003.BEL022_CABLES.KFP_RPP_SOURCE">#REF!</definedName>
    <definedName name="SAP.003.BEL022_CABLES.KFP_SITE_CHANGE">#REF!</definedName>
    <definedName name="SAP.003.BEL022_CABLES.KFP_STATUS_INPUT_CABLES">#REF!</definedName>
    <definedName name="SAP.003.BEL022_CABLES.KFP_TYPE_KEY">#REF!</definedName>
    <definedName name="SAP.003.BEL022_COMPONENTS.KFP_AABBCC_CODE_COMPONENTS">#REF!</definedName>
    <definedName name="SAP.003.BEL022_COMPONENTS.KFP_DESCRIPTION">#REF!</definedName>
    <definedName name="SAP.003.BEL022_COMPONENTS.KFP_DRAWING_NUMBER">#REF!</definedName>
    <definedName name="SAP.003.BEL022_COMPONENTS.KFP_ENGINEERING_SZENARIO">#REF!</definedName>
    <definedName name="SAP.003.BEL022_COMPONENTS.KFP_KKS">#REF!</definedName>
    <definedName name="SAP.003.BEL022_COMPONENTS.KFP_MANUFACTURER">#REF!</definedName>
    <definedName name="SAP.003.BEL022_COMPONENTS.KFP_MANUFACTURER_TYPE">#REF!</definedName>
    <definedName name="SAP.003.BEL022_COMPONENTS.KFP_ORIGIN_KEY">#REF!</definedName>
    <definedName name="SAP.003.BEL022_COMPONENTS.KFP_REMARK_COMPONENTS">#REF!</definedName>
    <definedName name="SAP.003.BEL022_COMPONENTS.KFP_ROOM_NUMBER_COMPONENTS">#REF!</definedName>
    <definedName name="SAP.003.BEL022_COMPONENTS.KFP_RPP_SOURCE">#REF!</definedName>
    <definedName name="SAP.003.BEL022_COMPONENTS.KFP_STATUS_INPUT_COMPONENTS">#REF!</definedName>
    <definedName name="SAP.003.BEL022_COMPONENTS.KFP_TECH_DESCRIPTION">#REF!</definedName>
    <definedName name="SAP.003.BEL022_COMPONENTS.KFP_TYPE_OF_EQUIPMENT">#REF!</definedName>
    <definedName name="SAP.003.BEL022_E_CONSUMERS.KFP_AABBCC_CODE_E_CONSUMERS">#REF!</definedName>
    <definedName name="SAP.003.BEL022_E_CONSUMERS.KFP_AMBIENT_TEMPERATURE">#REF!</definedName>
    <definedName name="SAP.003.BEL022_E_CONSUMERS.KFP_BIMETAL_FROM">#REF!</definedName>
    <definedName name="SAP.003.BEL022_E_CONSUMERS.KFP_BIMETAL_TO">#REF!</definedName>
    <definedName name="SAP.003.BEL022_E_CONSUMERS.KFP_BLACK_BOX_FEEDER_LOCATION">#REF!</definedName>
    <definedName name="SAP.003.BEL022_E_CONSUMERS.KFP_BLACK_BOX_SYSTEM">#REF!</definedName>
    <definedName name="SAP.003.BEL022_E_CONSUMERS.KFP_DEGREE_OF_PROTECTION">#REF!</definedName>
    <definedName name="SAP.003.BEL022_E_CONSUMERS.KFP_DESCRIPTION">#REF!</definedName>
    <definedName name="SAP.003.BEL022_E_CONSUMERS.KFP_DRAWING_NUMBER">#REF!</definedName>
    <definedName name="SAP.003.BEL022_E_CONSUMERS.KFP_ENGINEERING_SCOPE">#REF!</definedName>
    <definedName name="SAP.003.BEL022_E_CONSUMERS.KFP_ENGINEERING_SZENARIO">#REF!</definedName>
    <definedName name="SAP.003.BEL022_E_CONSUMERS.KFP_FEEDER_RATING">#REF!</definedName>
    <definedName name="SAP.003.BEL022_E_CONSUMERS.KFP_FUNCTION_AREA">#REF!</definedName>
    <definedName name="SAP.003.BEL022_E_CONSUMERS.KFP_FUNCTION_GROUP_CODE">#REF!</definedName>
    <definedName name="SAP.003.BEL022_E_CONSUMERS.KFP_HEAVY_DUTY_START">#REF!</definedName>
    <definedName name="SAP.003.BEL022_E_CONSUMERS.KFP_I_C_CONSUMER">#REF!</definedName>
    <definedName name="SAP.003.BEL022_E_CONSUMERS.KFP_INPUT_ORIG_E_CONSUMERS">#REF!</definedName>
    <definedName name="SAP.003.BEL022_E_CONSUMERS.KFP_KKS">#REF!</definedName>
    <definedName name="SAP.003.BEL022_E_CONSUMERS.KFP_LOCAL_CONTROL">#REF!</definedName>
    <definedName name="SAP.003.BEL022_E_CONSUMERS.KFP_MSR_CONFIGURATION">#REF!</definedName>
    <definedName name="SAP.003.BEL022_E_CONSUMERS.KFP_MSR_VARIANT">#REF!</definedName>
    <definedName name="SAP.003.BEL022_E_CONSUMERS.KFP_ORDERING_DEPARTMENT">#REF!</definedName>
    <definedName name="SAP.003.BEL022_E_CONSUMERS.KFP_ORIGIN_KEY">#REF!</definedName>
    <definedName name="SAP.003.BEL022_E_CONSUMERS.KFP_POWER_SOURCE">#REF!</definedName>
    <definedName name="SAP.003.BEL022_E_CONSUMERS.KFP_RATED_CURRENT">#REF!</definedName>
    <definedName name="SAP.003.BEL022_E_CONSUMERS.KFP_RATED_POWER">#REF!</definedName>
    <definedName name="SAP.003.BEL022_E_CONSUMERS.KFP_RATED_VOLTAGE">#REF!</definedName>
    <definedName name="SAP.003.BEL022_E_CONSUMERS.KFP_REMARK_E_CONSUMERS">#REF!</definedName>
    <definedName name="SAP.003.BEL022_E_CONSUMERS.KFP_REQUIRED_POWER">#REF!</definedName>
    <definedName name="SAP.003.BEL022_E_CONSUMERS.KFP_ROOM_NUMBER_E_CONSUMERS">#REF!</definedName>
    <definedName name="SAP.003.BEL022_E_CONSUMERS.KFP_ROOM_NUMBER_SWITCHGEAR">#REF!</definedName>
    <definedName name="SAP.003.BEL022_E_CONSUMERS.KFP_ROOM_TERMINATION_POINT">#REF!</definedName>
    <definedName name="SAP.003.BEL022_E_CONSUMERS.KFP_RPP_SOURCE">#REF!</definedName>
    <definedName name="SAP.003.BEL022_E_CONSUMERS.KFP_RUNNING_TIME">#REF!</definedName>
    <definedName name="SAP.003.BEL022_E_CONSUMERS.KFP_SCAN_TIME_E_CONSUMERS">#REF!</definedName>
    <definedName name="SAP.003.BEL022_E_CONSUMERS.KFP_SIMULTAN_FACTOR">#REF!</definedName>
    <definedName name="SAP.003.BEL022_E_CONSUMERS.KFP_STANDARD">#REF!</definedName>
    <definedName name="SAP.003.BEL022_E_CONSUMERS.KFP_START_UP_FACTOR">#REF!</definedName>
    <definedName name="SAP.003.BEL022_E_CONSUMERS.KFP_STATUS_ENG_E_CONSUMERS">#REF!</definedName>
    <definedName name="SAP.003.BEL022_E_CONSUMERS.KFP_STATUS_INPUT_E_CONSUMERS">#REF!</definedName>
    <definedName name="SAP.003.BEL022_E_CONSUMERS.KFP_SWITCHGEAR_FEEDER_LOCATION">#REF!</definedName>
    <definedName name="SAP.003.BEL022_E_CONSUMERS.KFP_TERMINATION_POINT">#REF!</definedName>
    <definedName name="SAP.003.BEL022_E_CONSUMERS.KFP_TYPE_OF_DRIVE">#REF!</definedName>
    <definedName name="SAP.003.BEL022_E_CONSUMERS.KFP_TYPE_OF_FEEDER">#REF!</definedName>
    <definedName name="SAP.003.BEL022_E_CONSUMERS.KFP_TYPE_OF_SWITCH">#REF!</definedName>
    <definedName name="SAP.003.BEL022_E_CONSUMERS.KFP_TYPE_OF_VOLTAGE">#REF!</definedName>
    <definedName name="SAP.003.BEL022_MEASUREMENT.KFP_AABBCC_CODE_MEASUREMENT">#REF!</definedName>
    <definedName name="SAP.003.BEL022_MEASUREMENT.KFP_AMBIENT_TEMPERATURE">#REF!</definedName>
    <definedName name="SAP.003.BEL022_MEASUREMENT.KFP_BLACK_BOX_SYSTEM">#REF!</definedName>
    <definedName name="SAP.003.BEL022_MEASUREMENT.KFP_DEGREE_OF_PROTECTION">#REF!</definedName>
    <definedName name="SAP.003.BEL022_MEASUREMENT.KFP_DESCRIPTION">#REF!</definedName>
    <definedName name="SAP.003.BEL022_MEASUREMENT.KFP_DEVICE_DESIGN">#REF!</definedName>
    <definedName name="SAP.003.BEL022_MEASUREMENT.KFP_DRAWING_NUMBER">#REF!</definedName>
    <definedName name="SAP.003.BEL022_MEASUREMENT.KFP_ENGINEERING_SCOPE">#REF!</definedName>
    <definedName name="SAP.003.BEL022_MEASUREMENT.KFP_ENGINEERING_SZENARIO">#REF!</definedName>
    <definedName name="SAP.003.BEL022_MEASUREMENT.KFP_EQUIPMENT_CODE">#REF!</definedName>
    <definedName name="SAP.003.BEL022_MEASUREMENT.KFP_FUNCTION_AREA">#REF!</definedName>
    <definedName name="SAP.003.BEL022_MEASUREMENT.KFP_FUNCTION_GROUP_CODE">#REF!</definedName>
    <definedName name="SAP.003.BEL022_MEASUREMENT.KFP_ID_CODE_PARENT_KKS2">#REF!</definedName>
    <definedName name="SAP.003.BEL022_MEASUREMENT.KFP_INPUT_ORIG_MEASUREMENT">#REF!</definedName>
    <definedName name="SAP.003.BEL022_MEASUREMENT.KFP_KKS">#REF!</definedName>
    <definedName name="SAP.003.BEL022_MEASUREMENT.KFP_MANUFACTURER">#REF!</definedName>
    <definedName name="SAP.003.BEL022_MEASUREMENT.KFP_MANUFACTURER_TYPE">#REF!</definedName>
    <definedName name="SAP.003.BEL022_MEASUREMENT.KFP_MATERIAL_CONNECT_MEASURE">#REF!</definedName>
    <definedName name="SAP.003.BEL022_MEASUREMENT.KFP_MAX_ALLOWED_WORK_PRESSURE">#REF!</definedName>
    <definedName name="SAP.003.BEL022_MEASUREMENT.KFP_MAX_ALLOWED_WORK_TEMP">#REF!</definedName>
    <definedName name="SAP.003.BEL022_MEASUREMENT.KFP_MEASURING_ACCURACY">#REF!</definedName>
    <definedName name="SAP.003.BEL022_MEASUREMENT.KFP_MECHANICAL_ACCESSORIES">#REF!</definedName>
    <definedName name="SAP.003.BEL022_MEASUREMENT.KFP_MECHANICAL_CONFIGURATION">#REF!</definedName>
    <definedName name="SAP.003.BEL022_MEASUREMENT.KFP_MEDIUM">#REF!</definedName>
    <definedName name="SAP.003.BEL022_MEASUREMENT.KFP_MIN_ALLOWED_WORK_PRESSURE">#REF!</definedName>
    <definedName name="SAP.003.BEL022_MEASUREMENT.KFP_MSR_APPLICATION">#REF!</definedName>
    <definedName name="SAP.003.BEL022_MEASUREMENT.KFP_MSR_CONFIGURATION">#REF!</definedName>
    <definedName name="SAP.003.BEL022_MEASUREMENT.KFP_MSR_VARIANT">#REF!</definedName>
    <definedName name="SAP.003.BEL022_MEASUREMENT.KFP_NOMINAL_DIAMETER">#REF!</definedName>
    <definedName name="SAP.003.BEL022_MEASUREMENT.KFP_ORDERING_DEPARTMENT">#REF!</definedName>
    <definedName name="SAP.003.BEL022_MEASUREMENT.KFP_ORIGIN_KEY">#REF!</definedName>
    <definedName name="SAP.003.BEL022_MEASUREMENT.KFP_RANGE_BEGIN">#REF!</definedName>
    <definedName name="SAP.003.BEL022_MEASUREMENT.KFP_RANGE_END">#REF!</definedName>
    <definedName name="SAP.003.BEL022_MEASUREMENT.KFP_REMARK_MEASUREMENT">#REF!</definedName>
    <definedName name="SAP.003.BEL022_MEASUREMENT.KFP_ROOM_NUMBER_MEASUREMENT">#REF!</definedName>
    <definedName name="SAP.003.BEL022_MEASUREMENT.KFP_ROOM_TERMINATION_POINT">#REF!</definedName>
    <definedName name="SAP.003.BEL022_MEASUREMENT.KFP_RPP_SOURCE">#REF!</definedName>
    <definedName name="SAP.003.BEL022_MEASUREMENT.KFP_RUNNING_TIME">#REF!</definedName>
    <definedName name="SAP.003.BEL022_MEASUREMENT.KFP_SCAN_TIME_MEASUREMENT">#REF!</definedName>
    <definedName name="SAP.003.BEL022_MEASUREMENT.KFP_SPECIAL_REQUIREMENTS">#REF!</definedName>
    <definedName name="SAP.003.BEL022_MEASUREMENT.KFP_STATUS_ENG_MEASUREMENT">#REF!</definedName>
    <definedName name="SAP.003.BEL022_MEASUREMENT.KFP_STATUS_INPUT_MEASUREMENT">#REF!</definedName>
    <definedName name="SAP.003.BEL022_MEASUREMENT.KFP_SUPPLIER">#REF!</definedName>
    <definedName name="SAP.003.BEL022_MEASUREMENT.KFP_TECHNICAL_DRAWING_NUMBER">#REF!</definedName>
    <definedName name="SAP.003.BEL022_MEASUREMENT.KFP_TERMINATION_POINT">#REF!</definedName>
    <definedName name="SAP.003.BEL022_MEASUREMENT.KFP_UNIT">#REF!</definedName>
    <definedName name="SAP.003.BEL022_PIPEWORK.KFP_AABBCC_CODE_PIPEWORK">#REF!</definedName>
    <definedName name="SAP.003.BEL022_PIPEWORK.KFP_DESCRIPTION">#REF!</definedName>
    <definedName name="SAP.003.BEL022_PIPEWORK.KFP_DRAWING_NUMBER">#REF!</definedName>
    <definedName name="SAP.003.BEL022_PIPEWORK.KFP_ENGINEERING_SZENARIO">#REF!</definedName>
    <definedName name="SAP.003.BEL022_PIPEWORK.KFP_INNER_DIAMETER">#REF!</definedName>
    <definedName name="SAP.003.BEL022_PIPEWORK.KFP_INSULATION_TECH_DETAILS">#REF!</definedName>
    <definedName name="SAP.003.BEL022_PIPEWORK.KFP_INSULATION_THICKNESS">#REF!</definedName>
    <definedName name="SAP.003.BEL022_PIPEWORK.KFP_KKS">#REF!</definedName>
    <definedName name="SAP.003.BEL022_PIPEWORK.KFP_MAX_ALLOWED_WORK_PRESSURE">#REF!</definedName>
    <definedName name="SAP.003.BEL022_PIPEWORK.KFP_MAX_ALLOWED_WORK_TEMP">#REF!</definedName>
    <definedName name="SAP.003.BEL022_PIPEWORK.KFP_MEDIUM">#REF!</definedName>
    <definedName name="SAP.003.BEL022_PIPEWORK.KFP_MIN_ALLOWED_WORK_PRESSURE">#REF!</definedName>
    <definedName name="SAP.003.BEL022_PIPEWORK.KFP_NOMINAL_DIAMETER">#REF!</definedName>
    <definedName name="SAP.003.BEL022_PIPEWORK.KFP_NOMINAL_PRESSURE">#REF!</definedName>
    <definedName name="SAP.003.BEL022_PIPEWORK.KFP_ORIGIN_KEY">#REF!</definedName>
    <definedName name="SAP.003.BEL022_PIPEWORK.KFP_OUTER_DIAMETER">#REF!</definedName>
    <definedName name="SAP.003.BEL022_PIPEWORK.KFP_PIPE_MATERIAL">#REF!</definedName>
    <definedName name="SAP.003.BEL022_PIPEWORK.KFP_PIPING_CLASS">#REF!</definedName>
    <definedName name="SAP.003.BEL022_PIPEWORK.KFP_REMARK_PIPEWORK">#REF!</definedName>
    <definedName name="SAP.003.BEL022_PIPEWORK.KFP_RPP_SOURCE">#REF!</definedName>
    <definedName name="SAP.003.BEL022_PIPEWORK.KFP_STANDARD_WALL_THICKNESS">#REF!</definedName>
    <definedName name="SAP.003.BEL022_PIPEWORK.KFP_STATUS_INPUT_PIPEWORK">#REF!</definedName>
    <definedName name="SAP.003.BEL022_PIPEWORK.KFP_WALL_THICKNESS">#REF!</definedName>
    <definedName name="SAP.003.BEL022_SIGNALS.KFP_APPLICATION_RANGE">#REF!</definedName>
    <definedName name="SAP.003.BEL022_SIGNALS.KFP_DESCRIPTION">#REF!</definedName>
    <definedName name="SAP.003.BEL022_SIGNALS.KFP_DRAWING_NUMBER">#REF!</definedName>
    <definedName name="SAP.003.BEL022_SIGNALS.KFP_ENGINEERING_SZENARIO">#REF!</definedName>
    <definedName name="SAP.003.BEL022_SIGNALS.KFP_KKS">#REF!</definedName>
    <definedName name="SAP.003.BEL022_SIGNALS.KFP_ORIGIN_KEY">#REF!</definedName>
    <definedName name="SAP.003.BEL022_SIGNALS.KFP_REMARK_SIGNALS">#REF!</definedName>
    <definedName name="SAP.003.BEL022_SIGNALS.KFP_RPP_SOURCE">#REF!</definedName>
    <definedName name="SAP.003.BEL022_SIGNALS.KFP_SETTING_DIRECTION">#REF!</definedName>
    <definedName name="SAP.003.BEL022_SIGNALS.KFP_SETTINGS">#REF!</definedName>
    <definedName name="SAP.003.BEL022_SIGNALS.KFP_SIGNAL_DESCRIPTION">#REF!</definedName>
    <definedName name="SAP.003.BEL022_SIGNALS.KFP_STATUS_INPUT_SIGNALS">#REF!</definedName>
    <definedName name="SAP.003.BEL022_SIGNALS.KFP_UNIT">#REF!</definedName>
    <definedName name="SAP.003.BEL022_VALVES.KFP_AABBCC_CODE_VALVES">#REF!</definedName>
    <definedName name="SAP.003.BEL022_VALVES.KFP_CASING_MATERIAL">#REF!</definedName>
    <definedName name="SAP.003.BEL022_VALVES.KFP_DESCRIPTION">#REF!</definedName>
    <definedName name="SAP.003.BEL022_VALVES.KFP_DIMENSION_CONNECT_INLET">#REF!</definedName>
    <definedName name="SAP.003.BEL022_VALVES.KFP_DIMENSION_CONNECT_OUTLET">#REF!</definedName>
    <definedName name="SAP.003.BEL022_VALVES.KFP_DRAWING_NUMBER">#REF!</definedName>
    <definedName name="SAP.003.BEL022_VALVES.KFP_ENGINEERING_SZENARIO">#REF!</definedName>
    <definedName name="SAP.003.BEL022_VALVES.KFP_KKS">#REF!</definedName>
    <definedName name="SAP.003.BEL022_VALVES.KFP_KWU_VALVE_TYPE_CODE_1">#REF!</definedName>
    <definedName name="SAP.003.BEL022_VALVES.KFP_KWU_VALVE_TYPE_CODE_2">#REF!</definedName>
    <definedName name="SAP.003.BEL022_VALVES.KFP_MANUFACTURER">#REF!</definedName>
    <definedName name="SAP.003.BEL022_VALVES.KFP_MANUFACTURER_TYPE">#REF!</definedName>
    <definedName name="SAP.003.BEL022_VALVES.KFP_MAX_ALLOWED_WORK_PRESSURE">#REF!</definedName>
    <definedName name="SAP.003.BEL022_VALVES.KFP_MAX_ALLOWED_WORK_TEMP">#REF!</definedName>
    <definedName name="SAP.003.BEL022_VALVES.KFP_MEDIUM">#REF!</definedName>
    <definedName name="SAP.003.BEL022_VALVES.KFP_MIN_ALLOWED_WORK_PRESSURE">#REF!</definedName>
    <definedName name="SAP.003.BEL022_VALVES.KFP_NOMINAL_DIAMETER">#REF!</definedName>
    <definedName name="SAP.003.BEL022_VALVES.KFP_NOMINAL_PRESSURE">#REF!</definedName>
    <definedName name="SAP.003.BEL022_VALVES.KFP_ORIGIN_KEY">#REF!</definedName>
    <definedName name="SAP.003.BEL022_VALVES.KFP_PIPE_MATERIAL">#REF!</definedName>
    <definedName name="SAP.003.BEL022_VALVES.KFP_REMARK_VALVES">#REF!</definedName>
    <definedName name="SAP.003.BEL022_VALVES.KFP_ROOM_NUMBER_VALVES">#REF!</definedName>
    <definedName name="SAP.003.BEL022_VALVES.KFP_RPP_SOURCE">#REF!</definedName>
    <definedName name="SAP.003.BEL022_VALVES.KFP_STATUS_INPUT_VALVES">#REF!</definedName>
    <definedName name="SAP.003.BEL022_VALVES.KFP_TYPE_OF_ACTUATION">#REF!</definedName>
    <definedName name="SAP.003.BEL022_VALVES.KFP_TYPE_OF_CONNECT_INLET">#REF!</definedName>
    <definedName name="SAP.003.BEL022_VALVES.KFP_TYPE_OF_CONNECT_OUTLET">#REF!</definedName>
    <definedName name="SAP.003.BEL022_VALVES.KFP_VALVE_LENGTH">#REF!</definedName>
    <definedName name="SAP.003.BEL022_VALVES.KFP_WEIGHT">#REF!</definedName>
    <definedName name="SAP.003.SAR695_MEASUREMENT.KFP_AABBCC_CODE_MEASUREMENT">#REF!</definedName>
    <definedName name="SAP.003.SAR695_MEASUREMENT.KFP_ADDRESS">#REF!</definedName>
    <definedName name="SAP.003.SAR695_MEASUREMENT.KFP_AMBIENT_TEMPERATURE">#REF!</definedName>
    <definedName name="SAP.003.SAR695_MEASUREMENT.KFP_AUTOMATION_SYSTEM">#REF!</definedName>
    <definedName name="SAP.003.SAR695_MEASUREMENT.KFP_BLACK_BOX_ID">#REF!</definedName>
    <definedName name="SAP.003.SAR695_MEASUREMENT.KFP_BLACK_BOX_SYSTEM">#REF!</definedName>
    <definedName name="SAP.003.SAR695_MEASUREMENT.KFP_CABINET">#REF!</definedName>
    <definedName name="SAP.003.SAR695_MEASUREMENT.KFP_DESCRIPTION">#REF!</definedName>
    <definedName name="SAP.003.SAR695_MEASUREMENT.KFP_DESCRIPTION_NATIVE_25">#REF!</definedName>
    <definedName name="SAP.003.SAR695_MEASUREMENT.KFP_DRAWING_NUMBER">#REF!</definedName>
    <definedName name="SAP.003.SAR695_MEASUREMENT.KFP_ENGINEERING_SCOPE">#REF!</definedName>
    <definedName name="SAP.003.SAR695_MEASUREMENT.KFP_ENGINEERING_SZENARIO">#REF!</definedName>
    <definedName name="SAP.003.SAR695_MEASUREMENT.KFP_FUNCTION_AREA">#REF!</definedName>
    <definedName name="SAP.003.SAR695_MEASUREMENT.KFP_FUNCTION_GROUP_CODE">#REF!</definedName>
    <definedName name="SAP.003.SAR695_MEASUREMENT.KFP_INPUT_ORIG_MEASUREMENT">#REF!</definedName>
    <definedName name="SAP.003.SAR695_MEASUREMENT.KFP_KKS">#REF!</definedName>
    <definedName name="SAP.003.SAR695_MEASUREMENT.KFP_LOCATION_AUTOMATION_SYSTEM">#REF!</definedName>
    <definedName name="SAP.003.SAR695_MEASUREMENT.KFP_MATERIAL_CONNECT_MEASURE">#REF!</definedName>
    <definedName name="SAP.003.SAR695_MEASUREMENT.KFP_MAX_ALLOWED_WORK_PRESSURE">#REF!</definedName>
    <definedName name="SAP.003.SAR695_MEASUREMENT.KFP_MAX_ALLOWED_WORK_TEMP">#REF!</definedName>
    <definedName name="SAP.003.SAR695_MEASUREMENT.KFP_MECHANICAL_ACCESSORIES">#REF!</definedName>
    <definedName name="SAP.003.SAR695_MEASUREMENT.KFP_MECHANICAL_CONFIGURATION">#REF!</definedName>
    <definedName name="SAP.003.SAR695_MEASUREMENT.KFP_MEDIUM">#REF!</definedName>
    <definedName name="SAP.003.SAR695_MEASUREMENT.KFP_MIN_ALLOWED_WORK_PRESSURE">#REF!</definedName>
    <definedName name="SAP.003.SAR695_MEASUREMENT.KFP_MSR_APPLICATION">#REF!</definedName>
    <definedName name="SAP.003.SAR695_MEASUREMENT.KFP_MSR_CONFIGURATION">#REF!</definedName>
    <definedName name="SAP.003.SAR695_MEASUREMENT.KFP_MSR_VARIANT">#REF!</definedName>
    <definedName name="SAP.003.SAR695_MEASUREMENT.KFP_NOMINAL_DIAMETER">#REF!</definedName>
    <definedName name="SAP.003.SAR695_MEASUREMENT.KFP_ORDERING_DEPARTMENT">#REF!</definedName>
    <definedName name="SAP.003.SAR695_MEASUREMENT.KFP_ORIGIN_KEY">#REF!</definedName>
    <definedName name="SAP.003.SAR695_MEASUREMENT.KFP_PDM">#REF!</definedName>
    <definedName name="SAP.003.SAR695_MEASUREMENT.KFP_RANGE_BEGIN">#REF!</definedName>
    <definedName name="SAP.003.SAR695_MEASUREMENT.KFP_RANGE_END">#REF!</definedName>
    <definedName name="SAP.003.SAR695_MEASUREMENT.KFP_REMARK_MEASUREMENT">#REF!</definedName>
    <definedName name="SAP.003.SAR695_MEASUREMENT.KFP_ROOM_AUTOMATION_SYSTEM">#REF!</definedName>
    <definedName name="SAP.003.SAR695_MEASUREMENT.KFP_ROOM_CABINET">#REF!</definedName>
    <definedName name="SAP.003.SAR695_MEASUREMENT.KFP_ROOM_NUMBER_MEASUREMENT">#REF!</definedName>
    <definedName name="SAP.003.SAR695_MEASUREMENT.KFP_ROOM_TERMINATION_POINT">#REF!</definedName>
    <definedName name="SAP.003.SAR695_MEASUREMENT.KFP_SCAN_TIME_MEASUREMENT">#REF!</definedName>
    <definedName name="SAP.003.SAR695_MEASUREMENT.KFP_SIGNAL_IC">#REF!</definedName>
    <definedName name="SAP.003.SAR695_MEASUREMENT.KFP_SIGNALLEVEL">#REF!</definedName>
    <definedName name="SAP.003.SAR695_MEASUREMENT.KFP_SPECIAL_REQUIREMENTS">#REF!</definedName>
    <definedName name="SAP.003.SAR695_MEASUREMENT.KFP_STATUS_ENG_MEASUREMENT">#REF!</definedName>
    <definedName name="SAP.003.SAR695_MEASUREMENT.KFP_STATUS_INPUT_MEASUREMENT">#REF!</definedName>
    <definedName name="SAP.003.SAR695_MEASUREMENT.KFP_SYS_RESP">#REF!</definedName>
    <definedName name="SAP.003.SAR695_MEASUREMENT.KFP_TERMINATION_POINT">#REF!</definedName>
    <definedName name="SAP.003.SAR695_MEASUREMENT.KFP_TOP">#REF!</definedName>
    <definedName name="SAP.003.SAR695_MEASUREMENT.KFP_UNIT">#REF!</definedName>
    <definedName name="SAP.003.SAR695_SIGNALS.KFP_AABBCC_CODE_MEASUREMENT">#REF!</definedName>
    <definedName name="SAP.003.SAR695_SIGNALS.KFP_ADDRESS">#REF!</definedName>
    <definedName name="SAP.003.SAR695_SIGNALS.KFP_AMBIENT_TEMPERATURE">#REF!</definedName>
    <definedName name="SAP.003.SAR695_SIGNALS.KFP_AUTOMATION_SYSTEM">#REF!</definedName>
    <definedName name="SAP.003.SAR695_SIGNALS.KFP_BLACK_BOX_ID">#REF!</definedName>
    <definedName name="SAP.003.SAR695_SIGNALS.KFP_BLACK_BOX_SYSTEM">#REF!</definedName>
    <definedName name="SAP.003.SAR695_SIGNALS.KFP_CABINET">#REF!</definedName>
    <definedName name="SAP.003.SAR695_SIGNALS.KFP_CONTROLLED_COMPONENT">#REF!</definedName>
    <definedName name="SAP.003.SAR695_SIGNALS.KFP_DESCRIPTION">#REF!</definedName>
    <definedName name="SAP.003.SAR695_SIGNALS.KFP_DESCRIPTION_NATIVE_25">#REF!</definedName>
    <definedName name="SAP.003.SAR695_SIGNALS.KFP_DRAWING_NUMBER">#REF!</definedName>
    <definedName name="SAP.003.SAR695_SIGNALS.KFP_ENGINEERING_SCOPE">#REF!</definedName>
    <definedName name="SAP.003.SAR695_SIGNALS.KFP_ENGINEERING_SZENARIO">#REF!</definedName>
    <definedName name="SAP.003.SAR695_SIGNALS.KFP_FUNCTION_AREA">#REF!</definedName>
    <definedName name="SAP.003.SAR695_SIGNALS.KFP_FUNCTION_GROUP_CODE">#REF!</definedName>
    <definedName name="SAP.003.SAR695_SIGNALS.KFP_INPUT_ORIG_MEASUREMENT">#REF!</definedName>
    <definedName name="SAP.003.SAR695_SIGNALS.KFP_KKS">#REF!</definedName>
    <definedName name="SAP.003.SAR695_SIGNALS.KFP_LOCATION_AUTOMATION_SYSTEM">#REF!</definedName>
    <definedName name="SAP.003.SAR695_SIGNALS.KFP_MATERIAL_CONNECT_MEASURE">#REF!</definedName>
    <definedName name="SAP.003.SAR695_SIGNALS.KFP_MAX_ALLOWED_WORK_PRESSURE">#REF!</definedName>
    <definedName name="SAP.003.SAR695_SIGNALS.KFP_MAX_ALLOWED_WORK_TEMP">#REF!</definedName>
    <definedName name="SAP.003.SAR695_SIGNALS.KFP_MECHANICAL_ACCESSORIES">#REF!</definedName>
    <definedName name="SAP.003.SAR695_SIGNALS.KFP_MECHANICAL_CONFIGURATION">#REF!</definedName>
    <definedName name="SAP.003.SAR695_SIGNALS.KFP_MEDIUM">#REF!</definedName>
    <definedName name="SAP.003.SAR695_SIGNALS.KFP_MIN_ALLOWED_WORK_PRESSURE">#REF!</definedName>
    <definedName name="SAP.003.SAR695_SIGNALS.KFP_MSR_APPLICATION">#REF!</definedName>
    <definedName name="SAP.003.SAR695_SIGNALS.KFP_MSR_CONFIGURATION">#REF!</definedName>
    <definedName name="SAP.003.SAR695_SIGNALS.KFP_MSR_VARIANT">#REF!</definedName>
    <definedName name="SAP.003.SAR695_SIGNALS.KFP_NOMINAL_DIAMETER">#REF!</definedName>
    <definedName name="SAP.003.SAR695_SIGNALS.KFP_ORDERING_DEPARTMENT">#REF!</definedName>
    <definedName name="SAP.003.SAR695_SIGNALS.KFP_ORIGIN_KEY">#REF!</definedName>
    <definedName name="SAP.003.SAR695_SIGNALS.KFP_PDM">#REF!</definedName>
    <definedName name="SAP.003.SAR695_SIGNALS.KFP_RANGE_BEGIN">#REF!</definedName>
    <definedName name="SAP.003.SAR695_SIGNALS.KFP_RANGE_END">#REF!</definedName>
    <definedName name="SAP.003.SAR695_SIGNALS.KFP_REMARK_MEASUREMENT">#REF!</definedName>
    <definedName name="SAP.003.SAR695_SIGNALS.KFP_ROOM_AUTOMATION_SYSTEM">#REF!</definedName>
    <definedName name="SAP.003.SAR695_SIGNALS.KFP_ROOM_CABINET">#REF!</definedName>
    <definedName name="SAP.003.SAR695_SIGNALS.KFP_ROOM_NUMBER_MEASUREMENT">#REF!</definedName>
    <definedName name="SAP.003.SAR695_SIGNALS.KFP_ROOM_TERMINATION_POINT">#REF!</definedName>
    <definedName name="SAP.003.SAR695_SIGNALS.KFP_SCAN_TIME_MEASUREMENT">#REF!</definedName>
    <definedName name="SAP.003.SAR695_SIGNALS.KFP_SIGNAL_IC">#REF!</definedName>
    <definedName name="SAP.003.SAR695_SIGNALS.KFP_SIGNALLEVEL">#REF!</definedName>
    <definedName name="SAP.003.SAR695_SIGNALS.KFP_SPECIAL_REQUIREMENTS">#REF!</definedName>
    <definedName name="SAP.003.SAR695_SIGNALS.KFP_STATUS_ENG_MEASUREMENT">#REF!</definedName>
    <definedName name="SAP.003.SAR695_SIGNALS.KFP_STATUS_INPUT_MEASUREMENT">#REF!</definedName>
    <definedName name="SAP.003.SAR695_SIGNALS.KFP_SYS_RESP">#REF!</definedName>
    <definedName name="SAP.003.SAR695_SIGNALS.KFP_TERMINATION_POINT">#REF!</definedName>
    <definedName name="SAP.003.SAR695_SIGNALS.KFP_TOP">#REF!</definedName>
    <definedName name="SAP.003.SAR695_SIGNALS.KFP_UNIT">#REF!</definedName>
    <definedName name="SAPBEXrevision" hidden="1">17</definedName>
    <definedName name="SAPBEXsysID" hidden="1">"IP2"</definedName>
    <definedName name="SAPBEXwbID" hidden="1">"2WBDC26P08SS96VO0GH34IWZA"</definedName>
    <definedName name="sas" localSheetId="18" hidden="1">{"'Sheet1'!$L$16"}</definedName>
    <definedName name="sas" localSheetId="11" hidden="1">{"'Sheet1'!$L$16"}</definedName>
    <definedName name="sas" localSheetId="1" hidden="1">{"'Sheet1'!$L$16"}</definedName>
    <definedName name="sas" localSheetId="2" hidden="1">{"'Sheet1'!$L$16"}</definedName>
    <definedName name="sas" localSheetId="12" hidden="1">{"'Sheet1'!$L$16"}</definedName>
    <definedName name="sas" localSheetId="4" hidden="1">{"'Sheet1'!$L$16"}</definedName>
    <definedName name="sas" localSheetId="19" hidden="1">{"'Sheet1'!$L$16"}</definedName>
    <definedName name="sas" localSheetId="10" hidden="1">{"'Sheet1'!$L$16"}</definedName>
    <definedName name="sas" localSheetId="9" hidden="1">{"'Sheet1'!$L$16"}</definedName>
    <definedName name="sas" localSheetId="8" hidden="1">{"'Sheet1'!$L$16"}</definedName>
    <definedName name="sas" localSheetId="3" hidden="1">{"'Sheet1'!$L$16"}</definedName>
    <definedName name="sas" localSheetId="6" hidden="1">{"'Sheet1'!$L$16"}</definedName>
    <definedName name="sas" localSheetId="7" hidden="1">{"'Sheet1'!$L$16"}</definedName>
    <definedName name="sas" localSheetId="5" hidden="1">{"'Sheet1'!$L$16"}</definedName>
    <definedName name="sas" localSheetId="13" hidden="1">{"'Sheet1'!$L$16"}</definedName>
    <definedName name="sas" hidden="1">{"'Sheet1'!$L$16"}</definedName>
    <definedName name="sasa" localSheetId="18" hidden="1">{#N/A,#N/A,FALSE,"CCTV"}</definedName>
    <definedName name="sasa" localSheetId="11" hidden="1">{#N/A,#N/A,FALSE,"CCTV"}</definedName>
    <definedName name="sasa" localSheetId="1" hidden="1">{#N/A,#N/A,FALSE,"CCTV"}</definedName>
    <definedName name="sasa" localSheetId="2" hidden="1">{#N/A,#N/A,FALSE,"CCTV"}</definedName>
    <definedName name="sasa" localSheetId="4" hidden="1">{#N/A,#N/A,FALSE,"CCTV"}</definedName>
    <definedName name="sasa" localSheetId="19" hidden="1">{#N/A,#N/A,FALSE,"CCTV"}</definedName>
    <definedName name="sasa" localSheetId="10" hidden="1">{#N/A,#N/A,FALSE,"CCTV"}</definedName>
    <definedName name="sasa" localSheetId="9" hidden="1">{#N/A,#N/A,FALSE,"CCTV"}</definedName>
    <definedName name="sasa" localSheetId="8" hidden="1">{#N/A,#N/A,FALSE,"CCTV"}</definedName>
    <definedName name="sasa" localSheetId="3" hidden="1">{#N/A,#N/A,FALSE,"CCTV"}</definedName>
    <definedName name="sasa" localSheetId="6" hidden="1">{#N/A,#N/A,FALSE,"CCTV"}</definedName>
    <definedName name="sasa" localSheetId="7" hidden="1">{#N/A,#N/A,FALSE,"CCTV"}</definedName>
    <definedName name="sasa" localSheetId="5" hidden="1">{#N/A,#N/A,FALSE,"CCTV"}</definedName>
    <definedName name="sasa" hidden="1">{#N/A,#N/A,FALSE,"CCTV"}</definedName>
    <definedName name="SASASASSSSSS" localSheetId="18" hidden="1">{#N/A,#N/A,FALSE,"Project Cost Summary";#N/A,#N/A,FALSE,"Man Hour Summary"}</definedName>
    <definedName name="SASASASSSSSS" localSheetId="1" hidden="1">{#N/A,#N/A,FALSE,"Project Cost Summary";#N/A,#N/A,FALSE,"Man Hour Summary"}</definedName>
    <definedName name="SASASASSSSSS" localSheetId="2" hidden="1">{#N/A,#N/A,FALSE,"Project Cost Summary";#N/A,#N/A,FALSE,"Man Hour Summary"}</definedName>
    <definedName name="SASASASSSSSS" localSheetId="4" hidden="1">{#N/A,#N/A,FALSE,"Project Cost Summary";#N/A,#N/A,FALSE,"Man Hour Summary"}</definedName>
    <definedName name="SASASASSSSSS" localSheetId="19" hidden="1">{#N/A,#N/A,FALSE,"Project Cost Summary";#N/A,#N/A,FALSE,"Man Hour Summary"}</definedName>
    <definedName name="SASASASSSSSS" localSheetId="10" hidden="1">{#N/A,#N/A,FALSE,"Project Cost Summary";#N/A,#N/A,FALSE,"Man Hour Summary"}</definedName>
    <definedName name="SASASASSSSSS" localSheetId="9" hidden="1">{#N/A,#N/A,FALSE,"Project Cost Summary";#N/A,#N/A,FALSE,"Man Hour Summary"}</definedName>
    <definedName name="SASASASSSSSS" localSheetId="8" hidden="1">{#N/A,#N/A,FALSE,"Project Cost Summary";#N/A,#N/A,FALSE,"Man Hour Summary"}</definedName>
    <definedName name="SASASASSSSSS" localSheetId="3" hidden="1">{#N/A,#N/A,FALSE,"Project Cost Summary";#N/A,#N/A,FALSE,"Man Hour Summary"}</definedName>
    <definedName name="SASASASSSSSS" localSheetId="6" hidden="1">{#N/A,#N/A,FALSE,"Project Cost Summary";#N/A,#N/A,FALSE,"Man Hour Summary"}</definedName>
    <definedName name="SASASASSSSSS" localSheetId="7" hidden="1">{#N/A,#N/A,FALSE,"Project Cost Summary";#N/A,#N/A,FALSE,"Man Hour Summary"}</definedName>
    <definedName name="SASASASSSSSS" localSheetId="5" hidden="1">{#N/A,#N/A,FALSE,"Project Cost Summary";#N/A,#N/A,FALSE,"Man Hour Summary"}</definedName>
    <definedName name="SASASASSSSSS" hidden="1">{#N/A,#N/A,FALSE,"Project Cost Summary";#N/A,#N/A,FALSE,"Man Hour Summary"}</definedName>
    <definedName name="SASSASAS" localSheetId="18" hidden="1">{#N/A,#N/A,FALSE,"Project Cost Summary";#N/A,#N/A,FALSE,"Man Hour Summary"}</definedName>
    <definedName name="SASSASAS" localSheetId="1" hidden="1">{#N/A,#N/A,FALSE,"Project Cost Summary";#N/A,#N/A,FALSE,"Man Hour Summary"}</definedName>
    <definedName name="SASSASAS" localSheetId="2" hidden="1">{#N/A,#N/A,FALSE,"Project Cost Summary";#N/A,#N/A,FALSE,"Man Hour Summary"}</definedName>
    <definedName name="SASSASAS" localSheetId="4" hidden="1">{#N/A,#N/A,FALSE,"Project Cost Summary";#N/A,#N/A,FALSE,"Man Hour Summary"}</definedName>
    <definedName name="SASSASAS" localSheetId="19" hidden="1">{#N/A,#N/A,FALSE,"Project Cost Summary";#N/A,#N/A,FALSE,"Man Hour Summary"}</definedName>
    <definedName name="SASSASAS" localSheetId="10" hidden="1">{#N/A,#N/A,FALSE,"Project Cost Summary";#N/A,#N/A,FALSE,"Man Hour Summary"}</definedName>
    <definedName name="SASSASAS" localSheetId="9" hidden="1">{#N/A,#N/A,FALSE,"Project Cost Summary";#N/A,#N/A,FALSE,"Man Hour Summary"}</definedName>
    <definedName name="SASSASAS" localSheetId="8" hidden="1">{#N/A,#N/A,FALSE,"Project Cost Summary";#N/A,#N/A,FALSE,"Man Hour Summary"}</definedName>
    <definedName name="SASSASAS" localSheetId="3" hidden="1">{#N/A,#N/A,FALSE,"Project Cost Summary";#N/A,#N/A,FALSE,"Man Hour Summary"}</definedName>
    <definedName name="SASSASAS" localSheetId="6" hidden="1">{#N/A,#N/A,FALSE,"Project Cost Summary";#N/A,#N/A,FALSE,"Man Hour Summary"}</definedName>
    <definedName name="SASSASAS" localSheetId="7" hidden="1">{#N/A,#N/A,FALSE,"Project Cost Summary";#N/A,#N/A,FALSE,"Man Hour Summary"}</definedName>
    <definedName name="SASSASAS" localSheetId="5" hidden="1">{#N/A,#N/A,FALSE,"Project Cost Summary";#N/A,#N/A,FALSE,"Man Hour Summary"}</definedName>
    <definedName name="SASSASAS" hidden="1">{#N/A,#N/A,FALSE,"Project Cost Summary";#N/A,#N/A,FALSE,"Man Hour Summary"}</definedName>
    <definedName name="saved_bmc_config">#REF!</definedName>
    <definedName name="scaffolding" localSheetId="1">[96]!scaffolding</definedName>
    <definedName name="scaffolding" localSheetId="2">[96]!scaffolding</definedName>
    <definedName name="scaffolding" localSheetId="4">[96]!scaffolding</definedName>
    <definedName name="scaffolding" localSheetId="19">[96]!scaffolding</definedName>
    <definedName name="scaffolding" localSheetId="10">[96]!scaffolding</definedName>
    <definedName name="scaffolding" localSheetId="9">[96]!scaffolding</definedName>
    <definedName name="scaffolding" localSheetId="8">[96]!scaffolding</definedName>
    <definedName name="scaffolding" localSheetId="3">[96]!scaffolding</definedName>
    <definedName name="scaffolding" localSheetId="6">[96]!scaffolding</definedName>
    <definedName name="scaffolding" localSheetId="7">[96]!scaffolding</definedName>
    <definedName name="scaffolding" localSheetId="5">[96]!scaffolding</definedName>
    <definedName name="scaffolding">[96]!scaffolding</definedName>
    <definedName name="SCCseInfo">#REF!</definedName>
    <definedName name="sch" hidden="1">#REF!</definedName>
    <definedName name="Schaltschrank">#REF!</definedName>
    <definedName name="SCHEDULE">#REF!</definedName>
    <definedName name="Schriftzug">#REF!</definedName>
    <definedName name="SCMaxSumy">#REF!</definedName>
    <definedName name="SCtoCC">#REF!</definedName>
    <definedName name="sd" localSheetId="18" hidden="1">{#N/A,#N/A,TRUE,"Mhr_Sum"}</definedName>
    <definedName name="sd" localSheetId="11" hidden="1">{#N/A,#N/A,TRUE,"Mhr_Sum"}</definedName>
    <definedName name="sd" localSheetId="1" hidden="1">{#N/A,#N/A,TRUE,"Mhr_Sum"}</definedName>
    <definedName name="sd" localSheetId="2" hidden="1">{#N/A,#N/A,TRUE,"Mhr_Sum"}</definedName>
    <definedName name="sd" localSheetId="4" hidden="1">{#N/A,#N/A,TRUE,"Mhr_Sum"}</definedName>
    <definedName name="sd" localSheetId="19" hidden="1">{#N/A,#N/A,TRUE,"Mhr_Sum"}</definedName>
    <definedName name="sd" localSheetId="10" hidden="1">{#N/A,#N/A,TRUE,"Mhr_Sum"}</definedName>
    <definedName name="sd" localSheetId="9" hidden="1">{#N/A,#N/A,TRUE,"Mhr_Sum"}</definedName>
    <definedName name="sd" localSheetId="8" hidden="1">{#N/A,#N/A,TRUE,"Mhr_Sum"}</definedName>
    <definedName name="sd" localSheetId="3" hidden="1">{#N/A,#N/A,TRUE,"Mhr_Sum"}</definedName>
    <definedName name="sd" localSheetId="6" hidden="1">{#N/A,#N/A,TRUE,"Mhr_Sum"}</definedName>
    <definedName name="sd" localSheetId="7" hidden="1">{#N/A,#N/A,TRUE,"Mhr_Sum"}</definedName>
    <definedName name="sd" localSheetId="5" hidden="1">{#N/A,#N/A,TRUE,"Mhr_Sum"}</definedName>
    <definedName name="sd" hidden="1">{#N/A,#N/A,TRUE,"Mhr_Sum"}</definedName>
    <definedName name="SDAF" localSheetId="18" hidden="1">{#N/A,#N/A,FALSE,"CCTV"}</definedName>
    <definedName name="SDAF" hidden="1">{#N/A,#N/A,FALSE,"CCTV"}</definedName>
    <definedName name="Sdate">#REF!</definedName>
    <definedName name="SDCFG\" localSheetId="18" hidden="1">{#N/A,#N/A,FALSE,"운반시간"}</definedName>
    <definedName name="SDCFG\" hidden="1">{#N/A,#N/A,FALSE,"운반시간"}</definedName>
    <definedName name="sdcsd" localSheetId="16" hidden="1">{"'Sheet1'!$L$16"}</definedName>
    <definedName name="sdcsd" localSheetId="18" hidden="1">{"'Sheet1'!$L$16"}</definedName>
    <definedName name="sdcsd" localSheetId="11" hidden="1">{"'Sheet1'!$L$16"}</definedName>
    <definedName name="sdcsd" localSheetId="1" hidden="1">{"'Sheet1'!$L$16"}</definedName>
    <definedName name="sdcsd" localSheetId="2" hidden="1">{"'Sheet1'!$L$16"}</definedName>
    <definedName name="sdcsd" localSheetId="17" hidden="1">{"'Sheet1'!$L$16"}</definedName>
    <definedName name="sdcsd" localSheetId="12" hidden="1">{"'Sheet1'!$L$16"}</definedName>
    <definedName name="sdcsd" localSheetId="4" hidden="1">{"'Sheet1'!$L$16"}</definedName>
    <definedName name="sdcsd" localSheetId="19" hidden="1">{"'Sheet1'!$L$16"}</definedName>
    <definedName name="sdcsd" localSheetId="10" hidden="1">{"'Sheet1'!$L$16"}</definedName>
    <definedName name="sdcsd" localSheetId="9" hidden="1">{"'Sheet1'!$L$16"}</definedName>
    <definedName name="sdcsd" localSheetId="8" hidden="1">{"'Sheet1'!$L$16"}</definedName>
    <definedName name="sdcsd" localSheetId="3" hidden="1">{"'Sheet1'!$L$16"}</definedName>
    <definedName name="sdcsd" localSheetId="6" hidden="1">{"'Sheet1'!$L$16"}</definedName>
    <definedName name="sdcsd" localSheetId="7" hidden="1">{"'Sheet1'!$L$16"}</definedName>
    <definedName name="sdcsd" localSheetId="5" hidden="1">{"'Sheet1'!$L$16"}</definedName>
    <definedName name="sdcsd" localSheetId="13" hidden="1">{"'Sheet1'!$L$16"}</definedName>
    <definedName name="sdcsd" hidden="1">{"'Sheet1'!$L$16"}</definedName>
    <definedName name="sdf" localSheetId="16" hidden="1">{"'Sheet1'!$L$16"}</definedName>
    <definedName name="sdf" localSheetId="18" hidden="1">{"'Sheet1'!$L$16"}</definedName>
    <definedName name="sdf" localSheetId="11" hidden="1">{"'Sheet1'!$L$16"}</definedName>
    <definedName name="sdf" localSheetId="1" hidden="1">{"'Sheet1'!$L$16"}</definedName>
    <definedName name="sdf" localSheetId="2" hidden="1">{"'Sheet1'!$L$16"}</definedName>
    <definedName name="sdf" localSheetId="17" hidden="1">{"'Sheet1'!$L$16"}</definedName>
    <definedName name="sdf" localSheetId="12" hidden="1">{"'Sheet1'!$L$16"}</definedName>
    <definedName name="sdf" localSheetId="4" hidden="1">{"'Sheet1'!$L$16"}</definedName>
    <definedName name="sdf" localSheetId="19" hidden="1">{"'Sheet1'!$L$16"}</definedName>
    <definedName name="sdf" localSheetId="10" hidden="1">{"'Sheet1'!$L$16"}</definedName>
    <definedName name="sdf" localSheetId="9" hidden="1">{"'Sheet1'!$L$16"}</definedName>
    <definedName name="sdf" localSheetId="8" hidden="1">{"'Sheet1'!$L$16"}</definedName>
    <definedName name="sdf" localSheetId="3" hidden="1">{"'Sheet1'!$L$16"}</definedName>
    <definedName name="sdf" localSheetId="6" hidden="1">{"'Sheet1'!$L$16"}</definedName>
    <definedName name="sdf" localSheetId="7" hidden="1">{"'Sheet1'!$L$16"}</definedName>
    <definedName name="sdf" localSheetId="5" hidden="1">{"'Sheet1'!$L$16"}</definedName>
    <definedName name="sdf" localSheetId="13" hidden="1">{"'Sheet1'!$L$16"}</definedName>
    <definedName name="sdf" hidden="1">{"'Sheet1'!$L$16"}</definedName>
    <definedName name="SDFAS" hidden="1">#REF!</definedName>
    <definedName name="sdfdf" localSheetId="18" hidden="1">{"'장비'!$A$3:$M$12"}</definedName>
    <definedName name="sdfdf" hidden="1">{"'장비'!$A$3:$M$12"}</definedName>
    <definedName name="sdfdsfsx" localSheetId="18" hidden="1">{#N/A,#N/A,FALSE,"CCTV"}</definedName>
    <definedName name="sdfdsfsx" hidden="1">{#N/A,#N/A,FALSE,"CCTV"}</definedName>
    <definedName name="sdfg" localSheetId="11" hidden="1">[39]Cash2!$J$16:$J$36</definedName>
    <definedName name="sdfg" localSheetId="1" hidden="1">[39]Cash2!$J$16:$J$36</definedName>
    <definedName name="sdfg" localSheetId="2" hidden="1">[39]Cash2!$J$16:$J$36</definedName>
    <definedName name="sdfg" localSheetId="4" hidden="1">[39]Cash2!$J$16:$J$36</definedName>
    <definedName name="sdfg" localSheetId="19" hidden="1">[39]Cash2!$J$16:$J$36</definedName>
    <definedName name="sdfg" localSheetId="10" hidden="1">[39]Cash2!$J$16:$J$36</definedName>
    <definedName name="sdfg" localSheetId="9" hidden="1">[39]Cash2!$J$16:$J$36</definedName>
    <definedName name="sdfg" localSheetId="8" hidden="1">[39]Cash2!$J$16:$J$36</definedName>
    <definedName name="sdfg" localSheetId="3" hidden="1">[39]Cash2!$J$16:$J$36</definedName>
    <definedName name="sdfg" localSheetId="6" hidden="1">[39]Cash2!$J$16:$J$36</definedName>
    <definedName name="sdfg" localSheetId="7" hidden="1">[39]Cash2!$J$16:$J$36</definedName>
    <definedName name="sdfg" localSheetId="5" hidden="1">[39]Cash2!$J$16:$J$36</definedName>
    <definedName name="sdfg" hidden="1">#REF!</definedName>
    <definedName name="SDFGFH" localSheetId="18" hidden="1">{#N/A,#N/A,FALSE,"부대2"}</definedName>
    <definedName name="SDFGFH" hidden="1">{#N/A,#N/A,FALSE,"부대2"}</definedName>
    <definedName name="SDFSAFSADFS" localSheetId="18" hidden="1">{#N/A,#N/A,FALSE,"혼합골재"}</definedName>
    <definedName name="SDFSAFSADFS" hidden="1">{#N/A,#N/A,FALSE,"혼합골재"}</definedName>
    <definedName name="sdfsdfsd" localSheetId="18" hidden="1">{"'Sheet1'!$L$16"}</definedName>
    <definedName name="sdfsdfsd" localSheetId="11" hidden="1">{"'Sheet1'!$L$16"}</definedName>
    <definedName name="sdfsdfsd" localSheetId="1" hidden="1">{"'Sheet1'!$L$16"}</definedName>
    <definedName name="sdfsdfsd" localSheetId="2" hidden="1">{"'Sheet1'!$L$16"}</definedName>
    <definedName name="sdfsdfsd" localSheetId="12" hidden="1">{"'Sheet1'!$L$16"}</definedName>
    <definedName name="sdfsdfsd" localSheetId="4" hidden="1">{"'Sheet1'!$L$16"}</definedName>
    <definedName name="sdfsdfsd" localSheetId="19" hidden="1">{"'Sheet1'!$L$16"}</definedName>
    <definedName name="sdfsdfsd" localSheetId="10" hidden="1">{"'Sheet1'!$L$16"}</definedName>
    <definedName name="sdfsdfsd" localSheetId="9" hidden="1">{"'Sheet1'!$L$16"}</definedName>
    <definedName name="sdfsdfsd" localSheetId="8" hidden="1">{"'Sheet1'!$L$16"}</definedName>
    <definedName name="sdfsdfsd" localSheetId="3" hidden="1">{"'Sheet1'!$L$16"}</definedName>
    <definedName name="sdfsdfsd" localSheetId="6" hidden="1">{"'Sheet1'!$L$16"}</definedName>
    <definedName name="sdfsdfsd" localSheetId="7" hidden="1">{"'Sheet1'!$L$16"}</definedName>
    <definedName name="sdfsdfsd" localSheetId="5" hidden="1">{"'Sheet1'!$L$16"}</definedName>
    <definedName name="sdfsdfsd" localSheetId="13" hidden="1">{"'Sheet1'!$L$16"}</definedName>
    <definedName name="sdfsdfsd" hidden="1">{"'Sheet1'!$L$16"}</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sdfsf" localSheetId="18" hidden="1">{"'Sheet1'!$L$16"}</definedName>
    <definedName name="sdfsf" localSheetId="11" hidden="1">{"'Sheet1'!$L$16"}</definedName>
    <definedName name="sdfsf" localSheetId="1" hidden="1">{"'Sheet1'!$L$16"}</definedName>
    <definedName name="sdfsf" localSheetId="2" hidden="1">{"'Sheet1'!$L$16"}</definedName>
    <definedName name="sdfsf" localSheetId="12" hidden="1">{"'Sheet1'!$L$16"}</definedName>
    <definedName name="sdfsf" localSheetId="4" hidden="1">{"'Sheet1'!$L$16"}</definedName>
    <definedName name="sdfsf" localSheetId="19" hidden="1">{"'Sheet1'!$L$16"}</definedName>
    <definedName name="sdfsf" localSheetId="10" hidden="1">{"'Sheet1'!$L$16"}</definedName>
    <definedName name="sdfsf" localSheetId="9" hidden="1">{"'Sheet1'!$L$16"}</definedName>
    <definedName name="sdfsf" localSheetId="8" hidden="1">{"'Sheet1'!$L$16"}</definedName>
    <definedName name="sdfsf" localSheetId="3" hidden="1">{"'Sheet1'!$L$16"}</definedName>
    <definedName name="sdfsf" localSheetId="6" hidden="1">{"'Sheet1'!$L$16"}</definedName>
    <definedName name="sdfsf" localSheetId="7" hidden="1">{"'Sheet1'!$L$16"}</definedName>
    <definedName name="sdfsf" localSheetId="5" hidden="1">{"'Sheet1'!$L$16"}</definedName>
    <definedName name="sdfsf" localSheetId="13" hidden="1">{"'Sheet1'!$L$16"}</definedName>
    <definedName name="sdfsf" hidden="1">{"'Sheet1'!$L$16"}</definedName>
    <definedName name="sdg" hidden="1">#REF!</definedName>
    <definedName name="sdgdfhdf" localSheetId="16" hidden="1">[28]Quantity!#REF!</definedName>
    <definedName name="sdgdfhdf" localSheetId="17" hidden="1">[28]Quantity!#REF!</definedName>
    <definedName name="sdgdfhdf" hidden="1">#REF!</definedName>
    <definedName name="SDGSDFHFDJDG" localSheetId="18" hidden="1">{#N/A,#N/A,FALSE,"속도"}</definedName>
    <definedName name="SDGSDFHFDJDG" hidden="1">{#N/A,#N/A,FALSE,"속도"}</definedName>
    <definedName name="SDGSDGDHDFHGF" localSheetId="18" hidden="1">{#N/A,#N/A,FALSE,"운반시간"}</definedName>
    <definedName name="SDGSDGDHDFHGF" hidden="1">{#N/A,#N/A,FALSE,"운반시간"}</definedName>
    <definedName name="SDMONG">#REF!</definedName>
    <definedName name="sdsa" hidden="1">#REF!</definedName>
    <definedName name="sdsd" localSheetId="18" hidden="1">{#N/A,#N/A,FALSE,"CCTV"}</definedName>
    <definedName name="sdsd" hidden="1">{#N/A,#N/A,FALSE,"CCTV"}</definedName>
    <definedName name="SealTypes" localSheetId="11">[34]DATA_LIST!$C$14:$C$20</definedName>
    <definedName name="SealTypes" localSheetId="1">[34]DATA_LIST!$C$14:$C$20</definedName>
    <definedName name="SealTypes" localSheetId="2">[34]DATA_LIST!$C$14:$C$20</definedName>
    <definedName name="SealTypes" localSheetId="4">[34]DATA_LIST!$C$14:$C$20</definedName>
    <definedName name="SealTypes" localSheetId="19">[34]DATA_LIST!$C$14:$C$20</definedName>
    <definedName name="SealTypes" localSheetId="10">[34]DATA_LIST!$C$14:$C$20</definedName>
    <definedName name="SealTypes" localSheetId="9">[34]DATA_LIST!$C$14:$C$20</definedName>
    <definedName name="SealTypes" localSheetId="8">[34]DATA_LIST!$C$14:$C$20</definedName>
    <definedName name="SealTypes" localSheetId="3">[34]DATA_LIST!$C$14:$C$20</definedName>
    <definedName name="SealTypes" localSheetId="6">[34]DATA_LIST!$C$14:$C$20</definedName>
    <definedName name="SealTypes" localSheetId="7">[34]DATA_LIST!$C$14:$C$20</definedName>
    <definedName name="SealTypes" localSheetId="5">[34]DATA_LIST!$C$14:$C$20</definedName>
    <definedName name="SealTypes">#REF!</definedName>
    <definedName name="Seccion_chimenea">#REF!</definedName>
    <definedName name="Seccion_conducto">#REF!</definedName>
    <definedName name="Section">#REF!</definedName>
    <definedName name="SEISZ">#REF!</definedName>
    <definedName name="SEISZc">#REF!</definedName>
    <definedName name="Select">#REF!</definedName>
    <definedName name="sencount" hidden="1">1</definedName>
    <definedName name="Serial">#REF!:OFFSET(#REF!,#REF!-1,)</definedName>
    <definedName name="Service" localSheetId="18">'[66]Data Input'!$G$9</definedName>
    <definedName name="Service">'[67]Data Input'!$G$9</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cl" localSheetId="11">[51]Closing!$M$5</definedName>
    <definedName name="sfcl" localSheetId="1">[51]Closing!$M$5</definedName>
    <definedName name="sfcl" localSheetId="2">[51]Closing!$M$5</definedName>
    <definedName name="sfcl" localSheetId="4">[51]Closing!$M$5</definedName>
    <definedName name="sfcl" localSheetId="19">[51]Closing!$M$5</definedName>
    <definedName name="sfcl" localSheetId="10">[51]Closing!$M$5</definedName>
    <definedName name="sfcl" localSheetId="9">[51]Closing!$M$5</definedName>
    <definedName name="sfcl" localSheetId="8">[51]Closing!$M$5</definedName>
    <definedName name="sfcl" localSheetId="3">[51]Closing!$M$5</definedName>
    <definedName name="sfcl" localSheetId="6">[51]Closing!$M$5</definedName>
    <definedName name="sfcl" localSheetId="7">[51]Closing!$M$5</definedName>
    <definedName name="sfcl" localSheetId="5">[51]Closing!$M$5</definedName>
    <definedName name="sfcl">#REF!</definedName>
    <definedName name="SFFF" hidden="1">#REF!</definedName>
    <definedName name="SFFFFF" hidden="1">#REF!</definedName>
    <definedName name="sfsd" localSheetId="18" hidden="1">{"'Sheet1'!$L$16"}</definedName>
    <definedName name="sfsd" localSheetId="11" hidden="1">{"'Sheet1'!$L$16"}</definedName>
    <definedName name="sfsd" localSheetId="1" hidden="1">{"'Sheet1'!$L$16"}</definedName>
    <definedName name="sfsd" localSheetId="2" hidden="1">{"'Sheet1'!$L$16"}</definedName>
    <definedName name="sfsd" localSheetId="12" hidden="1">{"'Sheet1'!$L$16"}</definedName>
    <definedName name="sfsd" localSheetId="4" hidden="1">{"'Sheet1'!$L$16"}</definedName>
    <definedName name="sfsd" localSheetId="19" hidden="1">{"'Sheet1'!$L$16"}</definedName>
    <definedName name="sfsd" localSheetId="10" hidden="1">{"'Sheet1'!$L$16"}</definedName>
    <definedName name="sfsd" localSheetId="9" hidden="1">{"'Sheet1'!$L$16"}</definedName>
    <definedName name="sfsd" localSheetId="8" hidden="1">{"'Sheet1'!$L$16"}</definedName>
    <definedName name="sfsd" localSheetId="3" hidden="1">{"'Sheet1'!$L$16"}</definedName>
    <definedName name="sfsd" localSheetId="6" hidden="1">{"'Sheet1'!$L$16"}</definedName>
    <definedName name="sfsd" localSheetId="7" hidden="1">{"'Sheet1'!$L$16"}</definedName>
    <definedName name="sfsd" localSheetId="5" hidden="1">{"'Sheet1'!$L$16"}</definedName>
    <definedName name="sfsd" localSheetId="13" hidden="1">{"'Sheet1'!$L$16"}</definedName>
    <definedName name="sfsd" hidden="1">{"'Sheet1'!$L$16"}</definedName>
    <definedName name="sg_304L">8.07</definedName>
    <definedName name="sg_316L">7.945</definedName>
    <definedName name="sg_317L">7.95</definedName>
    <definedName name="sg_70_30">8.95</definedName>
    <definedName name="sg_90_10">8.927</definedName>
    <definedName name="sg_brass">8.41</definedName>
    <definedName name="sg_bronze">7.78</definedName>
    <definedName name="sg_cs">7.85</definedName>
    <definedName name="sg_cuni7030">8.94</definedName>
    <definedName name="sg_cuni9010">8.95</definedName>
    <definedName name="sg_ss304">8.04</definedName>
    <definedName name="sg_ss316">7.95</definedName>
    <definedName name="sg_ss317">7.95</definedName>
    <definedName name="sg_titanium">4.51</definedName>
    <definedName name="SGR">#REF!</definedName>
    <definedName name="sgsgsgsg" localSheetId="18" hidden="1">{#N/A,#N/A,FALSE,"Project Cost Summary";#N/A,#N/A,FALSE,"Man Hour Summary"}</definedName>
    <definedName name="sgsgsgsg" localSheetId="1" hidden="1">{#N/A,#N/A,FALSE,"Project Cost Summary";#N/A,#N/A,FALSE,"Man Hour Summary"}</definedName>
    <definedName name="sgsgsgsg" localSheetId="2" hidden="1">{#N/A,#N/A,FALSE,"Project Cost Summary";#N/A,#N/A,FALSE,"Man Hour Summary"}</definedName>
    <definedName name="sgsgsgsg" localSheetId="4" hidden="1">{#N/A,#N/A,FALSE,"Project Cost Summary";#N/A,#N/A,FALSE,"Man Hour Summary"}</definedName>
    <definedName name="sgsgsgsg" localSheetId="19" hidden="1">{#N/A,#N/A,FALSE,"Project Cost Summary";#N/A,#N/A,FALSE,"Man Hour Summary"}</definedName>
    <definedName name="sgsgsgsg" localSheetId="10" hidden="1">{#N/A,#N/A,FALSE,"Project Cost Summary";#N/A,#N/A,FALSE,"Man Hour Summary"}</definedName>
    <definedName name="sgsgsgsg" localSheetId="9" hidden="1">{#N/A,#N/A,FALSE,"Project Cost Summary";#N/A,#N/A,FALSE,"Man Hour Summary"}</definedName>
    <definedName name="sgsgsgsg" localSheetId="8" hidden="1">{#N/A,#N/A,FALSE,"Project Cost Summary";#N/A,#N/A,FALSE,"Man Hour Summary"}</definedName>
    <definedName name="sgsgsgsg" localSheetId="3" hidden="1">{#N/A,#N/A,FALSE,"Project Cost Summary";#N/A,#N/A,FALSE,"Man Hour Summary"}</definedName>
    <definedName name="sgsgsgsg" localSheetId="6" hidden="1">{#N/A,#N/A,FALSE,"Project Cost Summary";#N/A,#N/A,FALSE,"Man Hour Summary"}</definedName>
    <definedName name="sgsgsgsg" localSheetId="7" hidden="1">{#N/A,#N/A,FALSE,"Project Cost Summary";#N/A,#N/A,FALSE,"Man Hour Summary"}</definedName>
    <definedName name="sgsgsgsg" localSheetId="5" hidden="1">{#N/A,#N/A,FALSE,"Project Cost Summary";#N/A,#N/A,FALSE,"Man Hour Summary"}</definedName>
    <definedName name="sgsgsgsg" hidden="1">{#N/A,#N/A,FALSE,"Project Cost Summary";#N/A,#N/A,FALSE,"Man Hour Summary"}</definedName>
    <definedName name="Shape_Stack" localSheetId="11">'[41]Noise (3)'!$C$11</definedName>
    <definedName name="Shape_Stack" localSheetId="1">'[41]Noise (3)'!$C$11</definedName>
    <definedName name="Shape_Stack" localSheetId="2">'[41]Noise (3)'!$C$11</definedName>
    <definedName name="Shape_Stack" localSheetId="4">'[41]Noise (3)'!$C$11</definedName>
    <definedName name="Shape_Stack" localSheetId="19">'[41]Noise (3)'!$C$11</definedName>
    <definedName name="Shape_Stack" localSheetId="10">'[41]Noise (3)'!$C$11</definedName>
    <definedName name="Shape_Stack" localSheetId="9">'[41]Noise (3)'!$C$11</definedName>
    <definedName name="Shape_Stack" localSheetId="8">'[41]Noise (3)'!$C$11</definedName>
    <definedName name="Shape_Stack" localSheetId="3">'[41]Noise (3)'!$C$11</definedName>
    <definedName name="Shape_Stack" localSheetId="6">'[41]Noise (3)'!$C$11</definedName>
    <definedName name="Shape_Stack" localSheetId="7">'[41]Noise (3)'!$C$11</definedName>
    <definedName name="Shape_Stack" localSheetId="5">'[41]Noise (3)'!$C$11</definedName>
    <definedName name="Shape_Stack">#REF!</definedName>
    <definedName name="SHDHDSJKAFHDHFHDHLSHKSDHKVKL" localSheetId="18" hidden="1">{#N/A,#N/A,FALSE,"조골재"}</definedName>
    <definedName name="SHDHDSJKAFHDHFHDHLSHKSDHKVKL" hidden="1">{#N/A,#N/A,FALSE,"조골재"}</definedName>
    <definedName name="SHEET" localSheetId="1">#N/A</definedName>
    <definedName name="SHEET" localSheetId="2">#N/A</definedName>
    <definedName name="SHEET" localSheetId="4">#N/A</definedName>
    <definedName name="SHEET" localSheetId="19">#N/A</definedName>
    <definedName name="SHEET" localSheetId="10">#N/A</definedName>
    <definedName name="SHEET" localSheetId="9">#N/A</definedName>
    <definedName name="SHEET" localSheetId="8">#N/A</definedName>
    <definedName name="SHEET" localSheetId="3">#N/A</definedName>
    <definedName name="SHEET" localSheetId="6">#N/A</definedName>
    <definedName name="SHEET" localSheetId="7">#N/A</definedName>
    <definedName name="SHEET" localSheetId="5">#N/A</definedName>
    <definedName name="sheet" hidden="1">#REF!</definedName>
    <definedName name="SHEET03"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18" hidden="1">{#N/A,#N/A,FALSE,"Clients Office";#N/A,#N/A,FALSE,"Co Sum"}</definedName>
    <definedName name="sheet1" localSheetId="11" hidden="1">{#N/A,#N/A,FALSE,"Clients Office";#N/A,#N/A,FALSE,"Co Sum"}</definedName>
    <definedName name="sheet1" localSheetId="1" hidden="1">{#N/A,#N/A,FALSE,"Clients Office";#N/A,#N/A,FALSE,"Co Sum"}</definedName>
    <definedName name="sheet1" localSheetId="2" hidden="1">{#N/A,#N/A,FALSE,"Clients Office";#N/A,#N/A,FALSE,"Co Sum"}</definedName>
    <definedName name="sheet1" localSheetId="4" hidden="1">{#N/A,#N/A,FALSE,"Clients Office";#N/A,#N/A,FALSE,"Co Sum"}</definedName>
    <definedName name="sheet1" localSheetId="19" hidden="1">{#N/A,#N/A,FALSE,"Clients Office";#N/A,#N/A,FALSE,"Co Sum"}</definedName>
    <definedName name="sheet1" localSheetId="10" hidden="1">{#N/A,#N/A,FALSE,"Clients Office";#N/A,#N/A,FALSE,"Co Sum"}</definedName>
    <definedName name="sheet1" localSheetId="9" hidden="1">{#N/A,#N/A,FALSE,"Clients Office";#N/A,#N/A,FALSE,"Co Sum"}</definedName>
    <definedName name="sheet1" localSheetId="8" hidden="1">{#N/A,#N/A,FALSE,"Clients Office";#N/A,#N/A,FALSE,"Co Sum"}</definedName>
    <definedName name="sheet1" localSheetId="3" hidden="1">{#N/A,#N/A,FALSE,"Clients Office";#N/A,#N/A,FALSE,"Co Sum"}</definedName>
    <definedName name="sheet1" localSheetId="6" hidden="1">{#N/A,#N/A,FALSE,"Clients Office";#N/A,#N/A,FALSE,"Co Sum"}</definedName>
    <definedName name="sheet1" localSheetId="7" hidden="1">{#N/A,#N/A,FALSE,"Clients Office";#N/A,#N/A,FALSE,"Co Sum"}</definedName>
    <definedName name="sheet1" localSheetId="5" hidden="1">{#N/A,#N/A,FALSE,"Clients Office";#N/A,#N/A,FALSE,"Co Sum"}</definedName>
    <definedName name="sheet1" hidden="1">{#N/A,#N/A,FALSE,"Clients Office";#N/A,#N/A,FALSE,"Co Sum"}</definedName>
    <definedName name="sheet3" localSheetId="18" hidden="1">{#N/A,#N/A,FALSE,"COPERTINA"}</definedName>
    <definedName name="sheet3" localSheetId="11" hidden="1">{#N/A,#N/A,FALSE,"COPERTINA"}</definedName>
    <definedName name="sheet3" localSheetId="1" hidden="1">{#N/A,#N/A,FALSE,"COPERTINA"}</definedName>
    <definedName name="sheet3" localSheetId="2" hidden="1">{#N/A,#N/A,FALSE,"COPERTINA"}</definedName>
    <definedName name="sheet3" localSheetId="4" hidden="1">{#N/A,#N/A,FALSE,"COPERTINA"}</definedName>
    <definedName name="sheet3" localSheetId="19" hidden="1">{#N/A,#N/A,FALSE,"COPERTINA"}</definedName>
    <definedName name="sheet3" localSheetId="10" hidden="1">{#N/A,#N/A,FALSE,"COPERTINA"}</definedName>
    <definedName name="sheet3" localSheetId="9" hidden="1">{#N/A,#N/A,FALSE,"COPERTINA"}</definedName>
    <definedName name="sheet3" localSheetId="8" hidden="1">{#N/A,#N/A,FALSE,"COPERTINA"}</definedName>
    <definedName name="sheet3" localSheetId="3" hidden="1">{#N/A,#N/A,FALSE,"COPERTINA"}</definedName>
    <definedName name="sheet3" localSheetId="6" hidden="1">{#N/A,#N/A,FALSE,"COPERTINA"}</definedName>
    <definedName name="sheet3" localSheetId="7" hidden="1">{#N/A,#N/A,FALSE,"COPERTINA"}</definedName>
    <definedName name="sheet3" localSheetId="5" hidden="1">{#N/A,#N/A,FALSE,"COPERTINA"}</definedName>
    <definedName name="sheet3" hidden="1">{#N/A,#N/A,FALSE,"COPERTINA"}</definedName>
    <definedName name="sheets" localSheetId="18" hidden="1">{#N/A,#N/A,FALSE,"Field Rates";#N/A,#N/A,FALSE,"Field Sum"}</definedName>
    <definedName name="sheets" localSheetId="11" hidden="1">{#N/A,#N/A,FALSE,"Field Rates";#N/A,#N/A,FALSE,"Field Sum"}</definedName>
    <definedName name="sheets" localSheetId="1" hidden="1">{#N/A,#N/A,FALSE,"Field Rates";#N/A,#N/A,FALSE,"Field Sum"}</definedName>
    <definedName name="sheets" localSheetId="2" hidden="1">{#N/A,#N/A,FALSE,"Field Rates";#N/A,#N/A,FALSE,"Field Sum"}</definedName>
    <definedName name="sheets" localSheetId="4" hidden="1">{#N/A,#N/A,FALSE,"Field Rates";#N/A,#N/A,FALSE,"Field Sum"}</definedName>
    <definedName name="sheets" localSheetId="19" hidden="1">{#N/A,#N/A,FALSE,"Field Rates";#N/A,#N/A,FALSE,"Field Sum"}</definedName>
    <definedName name="sheets" localSheetId="10" hidden="1">{#N/A,#N/A,FALSE,"Field Rates";#N/A,#N/A,FALSE,"Field Sum"}</definedName>
    <definedName name="sheets" localSheetId="9" hidden="1">{#N/A,#N/A,FALSE,"Field Rates";#N/A,#N/A,FALSE,"Field Sum"}</definedName>
    <definedName name="sheets" localSheetId="8" hidden="1">{#N/A,#N/A,FALSE,"Field Rates";#N/A,#N/A,FALSE,"Field Sum"}</definedName>
    <definedName name="sheets" localSheetId="3" hidden="1">{#N/A,#N/A,FALSE,"Field Rates";#N/A,#N/A,FALSE,"Field Sum"}</definedName>
    <definedName name="sheets" localSheetId="6" hidden="1">{#N/A,#N/A,FALSE,"Field Rates";#N/A,#N/A,FALSE,"Field Sum"}</definedName>
    <definedName name="sheets" localSheetId="7" hidden="1">{#N/A,#N/A,FALSE,"Field Rates";#N/A,#N/A,FALSE,"Field Sum"}</definedName>
    <definedName name="sheets" localSheetId="5" hidden="1">{#N/A,#N/A,FALSE,"Field Rates";#N/A,#N/A,FALSE,"Field Sum"}</definedName>
    <definedName name="sheets" hidden="1">{#N/A,#N/A,FALSE,"Field Rates";#N/A,#N/A,FALSE,"Field Sum"}</definedName>
    <definedName name="Shell">#REF!</definedName>
    <definedName name="SHELTER" localSheetId="18" hidden="1">{#N/A,#N/A,TRUE,"Basic";#N/A,#N/A,TRUE,"EXT-TABLE";#N/A,#N/A,TRUE,"STEEL";#N/A,#N/A,TRUE,"INT-Table";#N/A,#N/A,TRUE,"STEEL";#N/A,#N/A,TRUE,"Door"}</definedName>
    <definedName name="SHELTER" hidden="1">{#N/A,#N/A,TRUE,"Basic";#N/A,#N/A,TRUE,"EXT-TABLE";#N/A,#N/A,TRUE,"STEEL";#N/A,#N/A,TRUE,"INT-Table";#N/A,#N/A,TRUE,"STEEL";#N/A,#N/A,TRUE,"Door"}</definedName>
    <definedName name="SHELTER_1" localSheetId="18" hidden="1">{#N/A,#N/A,TRUE,"Basic";#N/A,#N/A,TRUE,"EXT-TABLE";#N/A,#N/A,TRUE,"STEEL";#N/A,#N/A,TRUE,"INT-Table";#N/A,#N/A,TRUE,"STEEL";#N/A,#N/A,TRUE,"Door"}</definedName>
    <definedName name="SHELTER_1" hidden="1">{#N/A,#N/A,TRUE,"Basic";#N/A,#N/A,TRUE,"EXT-TABLE";#N/A,#N/A,TRUE,"STEEL";#N/A,#N/A,TRUE,"INT-Table";#N/A,#N/A,TRUE,"STEEL";#N/A,#N/A,TRUE,"Door"}</definedName>
    <definedName name="SHELTER_1_1" localSheetId="18" hidden="1">{#N/A,#N/A,TRUE,"Basic";#N/A,#N/A,TRUE,"EXT-TABLE";#N/A,#N/A,TRUE,"STEEL";#N/A,#N/A,TRUE,"INT-Table";#N/A,#N/A,TRUE,"STEEL";#N/A,#N/A,TRUE,"Door"}</definedName>
    <definedName name="SHELTER_1_1" hidden="1">{#N/A,#N/A,TRUE,"Basic";#N/A,#N/A,TRUE,"EXT-TABLE";#N/A,#N/A,TRUE,"STEEL";#N/A,#N/A,TRUE,"INT-Table";#N/A,#N/A,TRUE,"STEEL";#N/A,#N/A,TRUE,"Door"}</definedName>
    <definedName name="SHELTER_1_2" localSheetId="18" hidden="1">{#N/A,#N/A,TRUE,"Basic";#N/A,#N/A,TRUE,"EXT-TABLE";#N/A,#N/A,TRUE,"STEEL";#N/A,#N/A,TRUE,"INT-Table";#N/A,#N/A,TRUE,"STEEL";#N/A,#N/A,TRUE,"Door"}</definedName>
    <definedName name="SHELTER_1_2" hidden="1">{#N/A,#N/A,TRUE,"Basic";#N/A,#N/A,TRUE,"EXT-TABLE";#N/A,#N/A,TRUE,"STEEL";#N/A,#N/A,TRUE,"INT-Table";#N/A,#N/A,TRUE,"STEEL";#N/A,#N/A,TRUE,"Door"}</definedName>
    <definedName name="SHELTER_2" localSheetId="18" hidden="1">{#N/A,#N/A,TRUE,"Basic";#N/A,#N/A,TRUE,"EXT-TABLE";#N/A,#N/A,TRUE,"STEEL";#N/A,#N/A,TRUE,"INT-Table";#N/A,#N/A,TRUE,"STEEL";#N/A,#N/A,TRUE,"Door"}</definedName>
    <definedName name="SHELTER_2" hidden="1">{#N/A,#N/A,TRUE,"Basic";#N/A,#N/A,TRUE,"EXT-TABLE";#N/A,#N/A,TRUE,"STEEL";#N/A,#N/A,TRUE,"INT-Table";#N/A,#N/A,TRUE,"STEEL";#N/A,#N/A,TRUE,"Door"}</definedName>
    <definedName name="SHELTER_2_1" localSheetId="18" hidden="1">{#N/A,#N/A,TRUE,"Basic";#N/A,#N/A,TRUE,"EXT-TABLE";#N/A,#N/A,TRUE,"STEEL";#N/A,#N/A,TRUE,"INT-Table";#N/A,#N/A,TRUE,"STEEL";#N/A,#N/A,TRUE,"Door"}</definedName>
    <definedName name="SHELTER_2_1" hidden="1">{#N/A,#N/A,TRUE,"Basic";#N/A,#N/A,TRUE,"EXT-TABLE";#N/A,#N/A,TRUE,"STEEL";#N/A,#N/A,TRUE,"INT-Table";#N/A,#N/A,TRUE,"STEEL";#N/A,#N/A,TRUE,"Door"}</definedName>
    <definedName name="SHELTER_2_2" localSheetId="18" hidden="1">{#N/A,#N/A,TRUE,"Basic";#N/A,#N/A,TRUE,"EXT-TABLE";#N/A,#N/A,TRUE,"STEEL";#N/A,#N/A,TRUE,"INT-Table";#N/A,#N/A,TRUE,"STEEL";#N/A,#N/A,TRUE,"Door"}</definedName>
    <definedName name="SHELTER_2_2" hidden="1">{#N/A,#N/A,TRUE,"Basic";#N/A,#N/A,TRUE,"EXT-TABLE";#N/A,#N/A,TRUE,"STEEL";#N/A,#N/A,TRUE,"INT-Table";#N/A,#N/A,TRUE,"STEEL";#N/A,#N/A,TRUE,"Door"}</definedName>
    <definedName name="SHELTER_3" localSheetId="18" hidden="1">{#N/A,#N/A,TRUE,"Basic";#N/A,#N/A,TRUE,"EXT-TABLE";#N/A,#N/A,TRUE,"STEEL";#N/A,#N/A,TRUE,"INT-Table";#N/A,#N/A,TRUE,"STEEL";#N/A,#N/A,TRUE,"Door"}</definedName>
    <definedName name="SHELTER_3" hidden="1">{#N/A,#N/A,TRUE,"Basic";#N/A,#N/A,TRUE,"EXT-TABLE";#N/A,#N/A,TRUE,"STEEL";#N/A,#N/A,TRUE,"INT-Table";#N/A,#N/A,TRUE,"STEEL";#N/A,#N/A,TRUE,"Door"}</definedName>
    <definedName name="SHELTER_3_1" localSheetId="18" hidden="1">{#N/A,#N/A,TRUE,"Basic";#N/A,#N/A,TRUE,"EXT-TABLE";#N/A,#N/A,TRUE,"STEEL";#N/A,#N/A,TRUE,"INT-Table";#N/A,#N/A,TRUE,"STEEL";#N/A,#N/A,TRUE,"Door"}</definedName>
    <definedName name="SHELTER_3_1" hidden="1">{#N/A,#N/A,TRUE,"Basic";#N/A,#N/A,TRUE,"EXT-TABLE";#N/A,#N/A,TRUE,"STEEL";#N/A,#N/A,TRUE,"INT-Table";#N/A,#N/A,TRUE,"STEEL";#N/A,#N/A,TRUE,"Door"}</definedName>
    <definedName name="SHELTER_3_2" localSheetId="18" hidden="1">{#N/A,#N/A,TRUE,"Basic";#N/A,#N/A,TRUE,"EXT-TABLE";#N/A,#N/A,TRUE,"STEEL";#N/A,#N/A,TRUE,"INT-Table";#N/A,#N/A,TRUE,"STEEL";#N/A,#N/A,TRUE,"Door"}</definedName>
    <definedName name="SHELTER_3_2" hidden="1">{#N/A,#N/A,TRUE,"Basic";#N/A,#N/A,TRUE,"EXT-TABLE";#N/A,#N/A,TRUE,"STEEL";#N/A,#N/A,TRUE,"INT-Table";#N/A,#N/A,TRUE,"STEEL";#N/A,#N/A,TRUE,"Door"}</definedName>
    <definedName name="SHELTER_4" localSheetId="18" hidden="1">{#N/A,#N/A,TRUE,"Basic";#N/A,#N/A,TRUE,"EXT-TABLE";#N/A,#N/A,TRUE,"STEEL";#N/A,#N/A,TRUE,"INT-Table";#N/A,#N/A,TRUE,"STEEL";#N/A,#N/A,TRUE,"Door"}</definedName>
    <definedName name="SHELTER_4" hidden="1">{#N/A,#N/A,TRUE,"Basic";#N/A,#N/A,TRUE,"EXT-TABLE";#N/A,#N/A,TRUE,"STEEL";#N/A,#N/A,TRUE,"INT-Table";#N/A,#N/A,TRUE,"STEEL";#N/A,#N/A,TRUE,"Door"}</definedName>
    <definedName name="SHELTER_4_1" localSheetId="18" hidden="1">{#N/A,#N/A,TRUE,"Basic";#N/A,#N/A,TRUE,"EXT-TABLE";#N/A,#N/A,TRUE,"STEEL";#N/A,#N/A,TRUE,"INT-Table";#N/A,#N/A,TRUE,"STEEL";#N/A,#N/A,TRUE,"Door"}</definedName>
    <definedName name="SHELTER_4_1" hidden="1">{#N/A,#N/A,TRUE,"Basic";#N/A,#N/A,TRUE,"EXT-TABLE";#N/A,#N/A,TRUE,"STEEL";#N/A,#N/A,TRUE,"INT-Table";#N/A,#N/A,TRUE,"STEEL";#N/A,#N/A,TRUE,"Door"}</definedName>
    <definedName name="SHELTER_4_2" localSheetId="18" hidden="1">{#N/A,#N/A,TRUE,"Basic";#N/A,#N/A,TRUE,"EXT-TABLE";#N/A,#N/A,TRUE,"STEEL";#N/A,#N/A,TRUE,"INT-Table";#N/A,#N/A,TRUE,"STEEL";#N/A,#N/A,TRUE,"Door"}</definedName>
    <definedName name="SHELTER_4_2" hidden="1">{#N/A,#N/A,TRUE,"Basic";#N/A,#N/A,TRUE,"EXT-TABLE";#N/A,#N/A,TRUE,"STEEL";#N/A,#N/A,TRUE,"INT-Table";#N/A,#N/A,TRUE,"STEEL";#N/A,#N/A,TRUE,"Door"}</definedName>
    <definedName name="SHELTER_5" localSheetId="18" hidden="1">{#N/A,#N/A,TRUE,"Basic";#N/A,#N/A,TRUE,"EXT-TABLE";#N/A,#N/A,TRUE,"STEEL";#N/A,#N/A,TRUE,"INT-Table";#N/A,#N/A,TRUE,"STEEL";#N/A,#N/A,TRUE,"Door"}</definedName>
    <definedName name="SHELTER_5" hidden="1">{#N/A,#N/A,TRUE,"Basic";#N/A,#N/A,TRUE,"EXT-TABLE";#N/A,#N/A,TRUE,"STEEL";#N/A,#N/A,TRUE,"INT-Table";#N/A,#N/A,TRUE,"STEEL";#N/A,#N/A,TRUE,"Door"}</definedName>
    <definedName name="SHELTER_5_1" localSheetId="18" hidden="1">{#N/A,#N/A,TRUE,"Basic";#N/A,#N/A,TRUE,"EXT-TABLE";#N/A,#N/A,TRUE,"STEEL";#N/A,#N/A,TRUE,"INT-Table";#N/A,#N/A,TRUE,"STEEL";#N/A,#N/A,TRUE,"Door"}</definedName>
    <definedName name="SHELTER_5_1" hidden="1">{#N/A,#N/A,TRUE,"Basic";#N/A,#N/A,TRUE,"EXT-TABLE";#N/A,#N/A,TRUE,"STEEL";#N/A,#N/A,TRUE,"INT-Table";#N/A,#N/A,TRUE,"STEEL";#N/A,#N/A,TRUE,"Door"}</definedName>
    <definedName name="SHELTER_5_2" localSheetId="18" hidden="1">{#N/A,#N/A,TRUE,"Basic";#N/A,#N/A,TRUE,"EXT-TABLE";#N/A,#N/A,TRUE,"STEEL";#N/A,#N/A,TRUE,"INT-Table";#N/A,#N/A,TRUE,"STEEL";#N/A,#N/A,TRUE,"Door"}</definedName>
    <definedName name="SHELTER_5_2" hidden="1">{#N/A,#N/A,TRUE,"Basic";#N/A,#N/A,TRUE,"EXT-TABLE";#N/A,#N/A,TRUE,"STEEL";#N/A,#N/A,TRUE,"INT-Table";#N/A,#N/A,TRUE,"STEEL";#N/A,#N/A,TRUE,"Door"}</definedName>
    <definedName name="Shipped" localSheetId="11">[51]Summary!$D$34</definedName>
    <definedName name="Shipped" localSheetId="1">[51]Summary!$D$34</definedName>
    <definedName name="Shipped" localSheetId="2">[51]Summary!$D$34</definedName>
    <definedName name="Shipped" localSheetId="4">[51]Summary!$D$34</definedName>
    <definedName name="Shipped" localSheetId="19">[51]Summary!$D$34</definedName>
    <definedName name="Shipped" localSheetId="10">[51]Summary!$D$34</definedName>
    <definedName name="Shipped" localSheetId="9">[51]Summary!$D$34</definedName>
    <definedName name="Shipped" localSheetId="8">[51]Summary!$D$34</definedName>
    <definedName name="Shipped" localSheetId="3">[51]Summary!$D$34</definedName>
    <definedName name="Shipped" localSheetId="6">[51]Summary!$D$34</definedName>
    <definedName name="Shipped" localSheetId="7">[51]Summary!$D$34</definedName>
    <definedName name="Shipped" localSheetId="5">[51]Summary!$D$34</definedName>
    <definedName name="Shipped">#REF!</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5"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#REF!</definedName>
    <definedName name="ShippingSteelWeight10">#REF!</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ORT_DES.">[47]Data_analysis!$H$2:$H$1048576</definedName>
    <definedName name="Shroud" localSheetId="11">[41]Tables!$A$223:$A$228</definedName>
    <definedName name="Shroud" localSheetId="1">[41]Tables!$A$223:$A$228</definedName>
    <definedName name="Shroud" localSheetId="2">[41]Tables!$A$223:$A$228</definedName>
    <definedName name="Shroud" localSheetId="4">[41]Tables!$A$223:$A$228</definedName>
    <definedName name="Shroud" localSheetId="19">[41]Tables!$A$223:$A$228</definedName>
    <definedName name="Shroud" localSheetId="10">[41]Tables!$A$223:$A$228</definedName>
    <definedName name="Shroud" localSheetId="9">[41]Tables!$A$223:$A$228</definedName>
    <definedName name="Shroud" localSheetId="8">[41]Tables!$A$223:$A$228</definedName>
    <definedName name="Shroud" localSheetId="3">[41]Tables!$A$223:$A$228</definedName>
    <definedName name="Shroud" localSheetId="6">[41]Tables!$A$223:$A$228</definedName>
    <definedName name="Shroud" localSheetId="7">[41]Tables!$A$223:$A$228</definedName>
    <definedName name="Shroud" localSheetId="5">[41]Tables!$A$223:$A$228</definedName>
    <definedName name="Shroud">#REF!</definedName>
    <definedName name="shutt" hidden="1">#REF!</definedName>
    <definedName name="Sides">#REF!</definedName>
    <definedName name="SIEL">#REF!</definedName>
    <definedName name="SIHT">#REF!</definedName>
    <definedName name="Silencer" localSheetId="11">'[41]Noise (3)'!$G$88:$P$88</definedName>
    <definedName name="Silencer" localSheetId="1">'[41]Noise (3)'!$G$88:$P$88</definedName>
    <definedName name="Silencer" localSheetId="2">'[41]Noise (3)'!$G$88:$P$88</definedName>
    <definedName name="Silencer" localSheetId="4">'[41]Noise (3)'!$G$88:$P$88</definedName>
    <definedName name="Silencer" localSheetId="19">'[41]Noise (3)'!$G$88:$P$88</definedName>
    <definedName name="Silencer" localSheetId="10">'[41]Noise (3)'!$G$88:$P$88</definedName>
    <definedName name="Silencer" localSheetId="9">'[41]Noise (3)'!$G$88:$P$88</definedName>
    <definedName name="Silencer" localSheetId="8">'[41]Noise (3)'!$G$88:$P$88</definedName>
    <definedName name="Silencer" localSheetId="3">'[41]Noise (3)'!$G$88:$P$88</definedName>
    <definedName name="Silencer" localSheetId="6">'[41]Noise (3)'!$G$88:$P$88</definedName>
    <definedName name="Silencer" localSheetId="7">'[41]Noise (3)'!$G$88:$P$88</definedName>
    <definedName name="Silencer" localSheetId="5">'[41]Noise (3)'!$G$88:$P$88</definedName>
    <definedName name="Silencer">#REF!</definedName>
    <definedName name="SIMPLE_COST" localSheetId="11">[52]PipeSummary!$AS$7:$AT$28</definedName>
    <definedName name="SIMPLE_COST" localSheetId="1">[52]PipeSummary!$AS$7:$AT$28</definedName>
    <definedName name="SIMPLE_COST" localSheetId="2">[52]PipeSummary!$AS$7:$AT$28</definedName>
    <definedName name="SIMPLE_COST" localSheetId="4">[52]PipeSummary!$AS$7:$AT$28</definedName>
    <definedName name="SIMPLE_COST" localSheetId="19">[52]PipeSummary!$AS$7:$AT$28</definedName>
    <definedName name="SIMPLE_COST" localSheetId="10">[52]PipeSummary!$AS$7:$AT$28</definedName>
    <definedName name="SIMPLE_COST" localSheetId="9">[52]PipeSummary!$AS$7:$AT$28</definedName>
    <definedName name="SIMPLE_COST" localSheetId="8">[52]PipeSummary!$AS$7:$AT$28</definedName>
    <definedName name="SIMPLE_COST" localSheetId="3">[52]PipeSummary!$AS$7:$AT$28</definedName>
    <definedName name="SIMPLE_COST" localSheetId="6">[52]PipeSummary!$AS$7:$AT$28</definedName>
    <definedName name="SIMPLE_COST" localSheetId="7">[52]PipeSummary!$AS$7:$AT$28</definedName>
    <definedName name="SIMPLE_COST" localSheetId="5">[52]PipeSummary!$AS$7:$AT$28</definedName>
    <definedName name="SIMPLE_COST">#REF!</definedName>
    <definedName name="SINC2">#REF!</definedName>
    <definedName name="Site" localSheetId="18">'[66]Data Input'!$G$5</definedName>
    <definedName name="Site">'[67]Data Input'!$G$5</definedName>
    <definedName name="SITE_EXPENSE" localSheetId="12">#REF!</definedName>
    <definedName name="SITE_EXPENSE" localSheetId="13">#REF!</definedName>
    <definedName name="SITE_EXPENSE">#REF!</definedName>
    <definedName name="Site_Svcs">#REF!</definedName>
    <definedName name="SIWT">#REF!</definedName>
    <definedName name="sixteenths">#REF!</definedName>
    <definedName name="SIZE">#REF!</definedName>
    <definedName name="SKI" hidden="1">#REF!</definedName>
    <definedName name="SL">#REF!</definedName>
    <definedName name="SL_bypass">#REF!</definedName>
    <definedName name="SL_caldera">#REF!</definedName>
    <definedName name="SL_CRD">#REF!</definedName>
    <definedName name="SL_CRS">#REF!</definedName>
    <definedName name="SL_CS">#REF!</definedName>
    <definedName name="SL_DD">#REF!</definedName>
    <definedName name="SL_turbina">#REF!</definedName>
    <definedName name="SLF">#REF!</definedName>
    <definedName name="Slot">#REF!</definedName>
    <definedName name="soc3p">#REF!</definedName>
    <definedName name="SOL">#REF!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ơn" hidden="1">#REF!</definedName>
    <definedName name="SONIA" localSheetId="11" hidden="1">[12]Spread!#REF!</definedName>
    <definedName name="SONIA" localSheetId="1" hidden="1">[12]Spread!#REF!</definedName>
    <definedName name="SONIA" localSheetId="2" hidden="1">[12]Spread!#REF!</definedName>
    <definedName name="SONIA" localSheetId="4" hidden="1">[12]Spread!#REF!</definedName>
    <definedName name="SONIA" localSheetId="19" hidden="1">[12]Spread!#REF!</definedName>
    <definedName name="SONIA" localSheetId="10" hidden="1">[12]Spread!#REF!</definedName>
    <definedName name="SONIA" localSheetId="9" hidden="1">[12]Spread!#REF!</definedName>
    <definedName name="SONIA" localSheetId="8" hidden="1">[12]Spread!#REF!</definedName>
    <definedName name="SONIA" localSheetId="3" hidden="1">[12]Spread!#REF!</definedName>
    <definedName name="SONIA" localSheetId="6" hidden="1">[12]Spread!#REF!</definedName>
    <definedName name="SONIA" localSheetId="7" hidden="1">[12]Spread!#REF!</definedName>
    <definedName name="SONIA" localSheetId="5" hidden="1">[12]Spread!#REF!</definedName>
    <definedName name="SONIA" hidden="1">#REF!</definedName>
    <definedName name="SONIK">[86]손익현황!$A$5:$AG$91</definedName>
    <definedName name="SORT" hidden="1">#REF!</definedName>
    <definedName name="Sosanh2" localSheetId="18" hidden="1">{"'Sheet1'!$L$16"}</definedName>
    <definedName name="Sosanh2" localSheetId="11" hidden="1">{"'Sheet1'!$L$16"}</definedName>
    <definedName name="Sosanh2" localSheetId="1" hidden="1">{"'Sheet1'!$L$16"}</definedName>
    <definedName name="Sosanh2" localSheetId="2" hidden="1">{"'Sheet1'!$L$16"}</definedName>
    <definedName name="Sosanh2" localSheetId="12" hidden="1">{"'Sheet1'!$L$16"}</definedName>
    <definedName name="Sosanh2" localSheetId="4" hidden="1">{"'Sheet1'!$L$16"}</definedName>
    <definedName name="Sosanh2" localSheetId="19" hidden="1">{"'Sheet1'!$L$16"}</definedName>
    <definedName name="Sosanh2" localSheetId="10" hidden="1">{"'Sheet1'!$L$16"}</definedName>
    <definedName name="Sosanh2" localSheetId="9" hidden="1">{"'Sheet1'!$L$16"}</definedName>
    <definedName name="Sosanh2" localSheetId="8" hidden="1">{"'Sheet1'!$L$16"}</definedName>
    <definedName name="Sosanh2" localSheetId="3" hidden="1">{"'Sheet1'!$L$16"}</definedName>
    <definedName name="Sosanh2" localSheetId="6" hidden="1">{"'Sheet1'!$L$16"}</definedName>
    <definedName name="Sosanh2" localSheetId="7" hidden="1">{"'Sheet1'!$L$16"}</definedName>
    <definedName name="Sosanh2" localSheetId="5" hidden="1">{"'Sheet1'!$L$16"}</definedName>
    <definedName name="Sosanh2" localSheetId="13" hidden="1">{"'Sheet1'!$L$16"}</definedName>
    <definedName name="Sosanh2" hidden="1">{"'Sheet1'!$L$16"}</definedName>
    <definedName name="SP" localSheetId="18" hidden="1">{"'장비'!$A$3:$M$12"}</definedName>
    <definedName name="SP" hidden="1">{"'장비'!$A$3:$M$12"}</definedName>
    <definedName name="Space_Splitters" localSheetId="11">'[41]Noise (3)'!$C$44</definedName>
    <definedName name="Space_Splitters" localSheetId="1">'[41]Noise (3)'!$C$44</definedName>
    <definedName name="Space_Splitters" localSheetId="2">'[41]Noise (3)'!$C$44</definedName>
    <definedName name="Space_Splitters" localSheetId="4">'[41]Noise (3)'!$C$44</definedName>
    <definedName name="Space_Splitters" localSheetId="19">'[41]Noise (3)'!$C$44</definedName>
    <definedName name="Space_Splitters" localSheetId="10">'[41]Noise (3)'!$C$44</definedName>
    <definedName name="Space_Splitters" localSheetId="9">'[41]Noise (3)'!$C$44</definedName>
    <definedName name="Space_Splitters" localSheetId="8">'[41]Noise (3)'!$C$44</definedName>
    <definedName name="Space_Splitters" localSheetId="3">'[41]Noise (3)'!$C$44</definedName>
    <definedName name="Space_Splitters" localSheetId="6">'[41]Noise (3)'!$C$44</definedName>
    <definedName name="Space_Splitters" localSheetId="7">'[41]Noise (3)'!$C$44</definedName>
    <definedName name="Space_Splitters" localSheetId="5">'[41]Noise (3)'!$C$44</definedName>
    <definedName name="Space_Splitters">#REF!</definedName>
    <definedName name="SPACER" localSheetId="18" hidden="1">{"'장비'!$A$3:$M$12"}</definedName>
    <definedName name="SPACER" hidden="1">{"'장비'!$A$3:$M$12"}</definedName>
    <definedName name="SPAN" localSheetId="11">[52]PipeSummary!$AI$35:$BA$36</definedName>
    <definedName name="SPAN" localSheetId="1">[52]PipeSummary!$AI$35:$BA$36</definedName>
    <definedName name="SPAN" localSheetId="2">[52]PipeSummary!$AI$35:$BA$36</definedName>
    <definedName name="SPAN" localSheetId="4">[52]PipeSummary!$AI$35:$BA$36</definedName>
    <definedName name="SPAN" localSheetId="19">[52]PipeSummary!$AI$35:$BA$36</definedName>
    <definedName name="SPAN" localSheetId="10">[52]PipeSummary!$AI$35:$BA$36</definedName>
    <definedName name="SPAN" localSheetId="9">[52]PipeSummary!$AI$35:$BA$36</definedName>
    <definedName name="SPAN" localSheetId="8">[52]PipeSummary!$AI$35:$BA$36</definedName>
    <definedName name="SPAN" localSheetId="3">[52]PipeSummary!$AI$35:$BA$36</definedName>
    <definedName name="SPAN" localSheetId="6">[52]PipeSummary!$AI$35:$BA$36</definedName>
    <definedName name="SPAN" localSheetId="7">[52]PipeSummary!$AI$35:$BA$36</definedName>
    <definedName name="SPAN" localSheetId="5">[52]PipeSummary!$AI$35:$BA$36</definedName>
    <definedName name="SPAN">#REF!</definedName>
    <definedName name="Spannung">#REF!</definedName>
    <definedName name="SPEC">#REF!</definedName>
    <definedName name="SPEC2">#REF!</definedName>
    <definedName name="SpecialPrice" localSheetId="12">#REF!</definedName>
    <definedName name="SpecialPrice" localSheetId="13">#REF!</definedName>
    <definedName name="SpecialPrice">#REF!</definedName>
    <definedName name="SpecNo" localSheetId="18">'[66]Data Input'!$D$9</definedName>
    <definedName name="SpecNo">'[67]Data Input'!$D$9</definedName>
    <definedName name="SPECSUMMARY">#REF!</definedName>
    <definedName name="SPL_Reqd" localSheetId="11">'[41]Noise (3)'!$E$57</definedName>
    <definedName name="SPL_Reqd" localSheetId="1">'[41]Noise (3)'!$E$57</definedName>
    <definedName name="SPL_Reqd" localSheetId="2">'[41]Noise (3)'!$E$57</definedName>
    <definedName name="SPL_Reqd" localSheetId="4">'[41]Noise (3)'!$E$57</definedName>
    <definedName name="SPL_Reqd" localSheetId="19">'[41]Noise (3)'!$E$57</definedName>
    <definedName name="SPL_Reqd" localSheetId="10">'[41]Noise (3)'!$E$57</definedName>
    <definedName name="SPL_Reqd" localSheetId="9">'[41]Noise (3)'!$E$57</definedName>
    <definedName name="SPL_Reqd" localSheetId="8">'[41]Noise (3)'!$E$57</definedName>
    <definedName name="SPL_Reqd" localSheetId="3">'[41]Noise (3)'!$E$57</definedName>
    <definedName name="SPL_Reqd" localSheetId="6">'[41]Noise (3)'!$E$57</definedName>
    <definedName name="SPL_Reqd" localSheetId="7">'[41]Noise (3)'!$E$57</definedName>
    <definedName name="SPL_Reqd" localSheetId="5">'[41]Noise (3)'!$E$57</definedName>
    <definedName name="SPL_Reqd">#REF!</definedName>
    <definedName name="SPrice" localSheetId="11">'[51]Labor Sum'!$C$35</definedName>
    <definedName name="SPrice" localSheetId="1">'[51]Labor Sum'!$C$35</definedName>
    <definedName name="SPrice" localSheetId="2">'[51]Labor Sum'!$C$35</definedName>
    <definedName name="SPrice" localSheetId="4">'[51]Labor Sum'!$C$35</definedName>
    <definedName name="SPrice" localSheetId="19">'[51]Labor Sum'!$C$35</definedName>
    <definedName name="SPrice" localSheetId="10">'[51]Labor Sum'!$C$35</definedName>
    <definedName name="SPrice" localSheetId="9">'[51]Labor Sum'!$C$35</definedName>
    <definedName name="SPrice" localSheetId="8">'[51]Labor Sum'!$C$35</definedName>
    <definedName name="SPrice" localSheetId="3">'[51]Labor Sum'!$C$35</definedName>
    <definedName name="SPrice" localSheetId="6">'[51]Labor Sum'!$C$35</definedName>
    <definedName name="SPrice" localSheetId="7">'[51]Labor Sum'!$C$35</definedName>
    <definedName name="SPrice" localSheetId="5">'[51]Labor Sum'!$C$35</definedName>
    <definedName name="SPrice">#REF!</definedName>
    <definedName name="SR" hidden="1">#REF!</definedName>
    <definedName name="SS" localSheetId="11" hidden="1">#N/A</definedName>
    <definedName name="SS" localSheetId="1" hidden="1">#N/A</definedName>
    <definedName name="SS" localSheetId="2" hidden="1">#N/A</definedName>
    <definedName name="SS" localSheetId="4" hidden="1">#N/A</definedName>
    <definedName name="SS" localSheetId="19" hidden="1">#N/A</definedName>
    <definedName name="SS" localSheetId="10" hidden="1">#N/A</definedName>
    <definedName name="SS" localSheetId="9" hidden="1">#N/A</definedName>
    <definedName name="SS" localSheetId="8" hidden="1">#N/A</definedName>
    <definedName name="SS" localSheetId="3" hidden="1">#N/A</definedName>
    <definedName name="SS" localSheetId="6" hidden="1">#N/A</definedName>
    <definedName name="SS" localSheetId="7" hidden="1">#N/A</definedName>
    <definedName name="SS" localSheetId="5" hidden="1">#N/A</definedName>
    <definedName name="SS" hidden="1">#REF!</definedName>
    <definedName name="ssa">#N/A</definedName>
    <definedName name="SSASAS" localSheetId="18" hidden="1">{#N/A,#N/A,FALSE,"Project Cost Summary";#N/A,#N/A,FALSE,"Man Hour Summary"}</definedName>
    <definedName name="SSASAS" localSheetId="1" hidden="1">{#N/A,#N/A,FALSE,"Project Cost Summary";#N/A,#N/A,FALSE,"Man Hour Summary"}</definedName>
    <definedName name="SSASAS" localSheetId="2" hidden="1">{#N/A,#N/A,FALSE,"Project Cost Summary";#N/A,#N/A,FALSE,"Man Hour Summary"}</definedName>
    <definedName name="SSASAS" localSheetId="4" hidden="1">{#N/A,#N/A,FALSE,"Project Cost Summary";#N/A,#N/A,FALSE,"Man Hour Summary"}</definedName>
    <definedName name="SSASAS" localSheetId="19" hidden="1">{#N/A,#N/A,FALSE,"Project Cost Summary";#N/A,#N/A,FALSE,"Man Hour Summary"}</definedName>
    <definedName name="SSASAS" localSheetId="10" hidden="1">{#N/A,#N/A,FALSE,"Project Cost Summary";#N/A,#N/A,FALSE,"Man Hour Summary"}</definedName>
    <definedName name="SSASAS" localSheetId="9" hidden="1">{#N/A,#N/A,FALSE,"Project Cost Summary";#N/A,#N/A,FALSE,"Man Hour Summary"}</definedName>
    <definedName name="SSASAS" localSheetId="8" hidden="1">{#N/A,#N/A,FALSE,"Project Cost Summary";#N/A,#N/A,FALSE,"Man Hour Summary"}</definedName>
    <definedName name="SSASAS" localSheetId="3" hidden="1">{#N/A,#N/A,FALSE,"Project Cost Summary";#N/A,#N/A,FALSE,"Man Hour Summary"}</definedName>
    <definedName name="SSASAS" localSheetId="6" hidden="1">{#N/A,#N/A,FALSE,"Project Cost Summary";#N/A,#N/A,FALSE,"Man Hour Summary"}</definedName>
    <definedName name="SSASAS" localSheetId="7" hidden="1">{#N/A,#N/A,FALSE,"Project Cost Summary";#N/A,#N/A,FALSE,"Man Hour Summary"}</definedName>
    <definedName name="SSASAS" localSheetId="5" hidden="1">{#N/A,#N/A,FALSE,"Project Cost Summary";#N/A,#N/A,FALSE,"Man Hour Summary"}</definedName>
    <definedName name="SSASAS" hidden="1">{#N/A,#N/A,FALSE,"Project Cost Summary";#N/A,#N/A,FALSE,"Man Hour Summary"}</definedName>
    <definedName name="sss" localSheetId="16" hidden="1">{"'Sheet1'!$L$16"}</definedName>
    <definedName name="sss" localSheetId="17" hidden="1">{"'Sheet1'!$L$16"}</definedName>
    <definedName name="sss" hidden="1">255</definedName>
    <definedName name="sss_1" localSheetId="18" hidden="1">{#N/A,#N/A,TRUE,"Basic";#N/A,#N/A,TRUE,"EXT-TABLE";#N/A,#N/A,TRUE,"STEEL";#N/A,#N/A,TRUE,"INT-Table";#N/A,#N/A,TRUE,"STEEL";#N/A,#N/A,TRUE,"Door"}</definedName>
    <definedName name="sss_1" hidden="1">{#N/A,#N/A,TRUE,"Basic";#N/A,#N/A,TRUE,"EXT-TABLE";#N/A,#N/A,TRUE,"STEEL";#N/A,#N/A,TRUE,"INT-Table";#N/A,#N/A,TRUE,"STEEL";#N/A,#N/A,TRUE,"Door"}</definedName>
    <definedName name="sss_1_1" localSheetId="18" hidden="1">{#N/A,#N/A,TRUE,"Basic";#N/A,#N/A,TRUE,"EXT-TABLE";#N/A,#N/A,TRUE,"STEEL";#N/A,#N/A,TRUE,"INT-Table";#N/A,#N/A,TRUE,"STEEL";#N/A,#N/A,TRUE,"Door"}</definedName>
    <definedName name="sss_1_1" hidden="1">{#N/A,#N/A,TRUE,"Basic";#N/A,#N/A,TRUE,"EXT-TABLE";#N/A,#N/A,TRUE,"STEEL";#N/A,#N/A,TRUE,"INT-Table";#N/A,#N/A,TRUE,"STEEL";#N/A,#N/A,TRUE,"Door"}</definedName>
    <definedName name="sss_1_2" localSheetId="18" hidden="1">{#N/A,#N/A,TRUE,"Basic";#N/A,#N/A,TRUE,"EXT-TABLE";#N/A,#N/A,TRUE,"STEEL";#N/A,#N/A,TRUE,"INT-Table";#N/A,#N/A,TRUE,"STEEL";#N/A,#N/A,TRUE,"Door"}</definedName>
    <definedName name="sss_1_2" hidden="1">{#N/A,#N/A,TRUE,"Basic";#N/A,#N/A,TRUE,"EXT-TABLE";#N/A,#N/A,TRUE,"STEEL";#N/A,#N/A,TRUE,"INT-Table";#N/A,#N/A,TRUE,"STEEL";#N/A,#N/A,TRUE,"Door"}</definedName>
    <definedName name="sss_2" localSheetId="18" hidden="1">{#N/A,#N/A,TRUE,"Basic";#N/A,#N/A,TRUE,"EXT-TABLE";#N/A,#N/A,TRUE,"STEEL";#N/A,#N/A,TRUE,"INT-Table";#N/A,#N/A,TRUE,"STEEL";#N/A,#N/A,TRUE,"Door"}</definedName>
    <definedName name="sss_2" hidden="1">{#N/A,#N/A,TRUE,"Basic";#N/A,#N/A,TRUE,"EXT-TABLE";#N/A,#N/A,TRUE,"STEEL";#N/A,#N/A,TRUE,"INT-Table";#N/A,#N/A,TRUE,"STEEL";#N/A,#N/A,TRUE,"Door"}</definedName>
    <definedName name="sss_2_1" localSheetId="18" hidden="1">{#N/A,#N/A,TRUE,"Basic";#N/A,#N/A,TRUE,"EXT-TABLE";#N/A,#N/A,TRUE,"STEEL";#N/A,#N/A,TRUE,"INT-Table";#N/A,#N/A,TRUE,"STEEL";#N/A,#N/A,TRUE,"Door"}</definedName>
    <definedName name="sss_2_1" hidden="1">{#N/A,#N/A,TRUE,"Basic";#N/A,#N/A,TRUE,"EXT-TABLE";#N/A,#N/A,TRUE,"STEEL";#N/A,#N/A,TRUE,"INT-Table";#N/A,#N/A,TRUE,"STEEL";#N/A,#N/A,TRUE,"Door"}</definedName>
    <definedName name="sss_2_2" localSheetId="18" hidden="1">{#N/A,#N/A,TRUE,"Basic";#N/A,#N/A,TRUE,"EXT-TABLE";#N/A,#N/A,TRUE,"STEEL";#N/A,#N/A,TRUE,"INT-Table";#N/A,#N/A,TRUE,"STEEL";#N/A,#N/A,TRUE,"Door"}</definedName>
    <definedName name="sss_2_2" hidden="1">{#N/A,#N/A,TRUE,"Basic";#N/A,#N/A,TRUE,"EXT-TABLE";#N/A,#N/A,TRUE,"STEEL";#N/A,#N/A,TRUE,"INT-Table";#N/A,#N/A,TRUE,"STEEL";#N/A,#N/A,TRUE,"Door"}</definedName>
    <definedName name="sss_3" localSheetId="18" hidden="1">{#N/A,#N/A,TRUE,"Basic";#N/A,#N/A,TRUE,"EXT-TABLE";#N/A,#N/A,TRUE,"STEEL";#N/A,#N/A,TRUE,"INT-Table";#N/A,#N/A,TRUE,"STEEL";#N/A,#N/A,TRUE,"Door"}</definedName>
    <definedName name="sss_3" hidden="1">{#N/A,#N/A,TRUE,"Basic";#N/A,#N/A,TRUE,"EXT-TABLE";#N/A,#N/A,TRUE,"STEEL";#N/A,#N/A,TRUE,"INT-Table";#N/A,#N/A,TRUE,"STEEL";#N/A,#N/A,TRUE,"Door"}</definedName>
    <definedName name="sss_3_1" localSheetId="18" hidden="1">{#N/A,#N/A,TRUE,"Basic";#N/A,#N/A,TRUE,"EXT-TABLE";#N/A,#N/A,TRUE,"STEEL";#N/A,#N/A,TRUE,"INT-Table";#N/A,#N/A,TRUE,"STEEL";#N/A,#N/A,TRUE,"Door"}</definedName>
    <definedName name="sss_3_1" hidden="1">{#N/A,#N/A,TRUE,"Basic";#N/A,#N/A,TRUE,"EXT-TABLE";#N/A,#N/A,TRUE,"STEEL";#N/A,#N/A,TRUE,"INT-Table";#N/A,#N/A,TRUE,"STEEL";#N/A,#N/A,TRUE,"Door"}</definedName>
    <definedName name="sss_3_2" localSheetId="18" hidden="1">{#N/A,#N/A,TRUE,"Basic";#N/A,#N/A,TRUE,"EXT-TABLE";#N/A,#N/A,TRUE,"STEEL";#N/A,#N/A,TRUE,"INT-Table";#N/A,#N/A,TRUE,"STEEL";#N/A,#N/A,TRUE,"Door"}</definedName>
    <definedName name="sss_3_2" hidden="1">{#N/A,#N/A,TRUE,"Basic";#N/A,#N/A,TRUE,"EXT-TABLE";#N/A,#N/A,TRUE,"STEEL";#N/A,#N/A,TRUE,"INT-Table";#N/A,#N/A,TRUE,"STEEL";#N/A,#N/A,TRUE,"Door"}</definedName>
    <definedName name="sss_4" localSheetId="18" hidden="1">{#N/A,#N/A,TRUE,"Basic";#N/A,#N/A,TRUE,"EXT-TABLE";#N/A,#N/A,TRUE,"STEEL";#N/A,#N/A,TRUE,"INT-Table";#N/A,#N/A,TRUE,"STEEL";#N/A,#N/A,TRUE,"Door"}</definedName>
    <definedName name="sss_4" hidden="1">{#N/A,#N/A,TRUE,"Basic";#N/A,#N/A,TRUE,"EXT-TABLE";#N/A,#N/A,TRUE,"STEEL";#N/A,#N/A,TRUE,"INT-Table";#N/A,#N/A,TRUE,"STEEL";#N/A,#N/A,TRUE,"Door"}</definedName>
    <definedName name="sss_4_1" localSheetId="18" hidden="1">{#N/A,#N/A,TRUE,"Basic";#N/A,#N/A,TRUE,"EXT-TABLE";#N/A,#N/A,TRUE,"STEEL";#N/A,#N/A,TRUE,"INT-Table";#N/A,#N/A,TRUE,"STEEL";#N/A,#N/A,TRUE,"Door"}</definedName>
    <definedName name="sss_4_1" hidden="1">{#N/A,#N/A,TRUE,"Basic";#N/A,#N/A,TRUE,"EXT-TABLE";#N/A,#N/A,TRUE,"STEEL";#N/A,#N/A,TRUE,"INT-Table";#N/A,#N/A,TRUE,"STEEL";#N/A,#N/A,TRUE,"Door"}</definedName>
    <definedName name="sss_4_2" localSheetId="18" hidden="1">{#N/A,#N/A,TRUE,"Basic";#N/A,#N/A,TRUE,"EXT-TABLE";#N/A,#N/A,TRUE,"STEEL";#N/A,#N/A,TRUE,"INT-Table";#N/A,#N/A,TRUE,"STEEL";#N/A,#N/A,TRUE,"Door"}</definedName>
    <definedName name="sss_4_2" hidden="1">{#N/A,#N/A,TRUE,"Basic";#N/A,#N/A,TRUE,"EXT-TABLE";#N/A,#N/A,TRUE,"STEEL";#N/A,#N/A,TRUE,"INT-Table";#N/A,#N/A,TRUE,"STEEL";#N/A,#N/A,TRUE,"Door"}</definedName>
    <definedName name="sss_5" localSheetId="18" hidden="1">{#N/A,#N/A,TRUE,"Basic";#N/A,#N/A,TRUE,"EXT-TABLE";#N/A,#N/A,TRUE,"STEEL";#N/A,#N/A,TRUE,"INT-Table";#N/A,#N/A,TRUE,"STEEL";#N/A,#N/A,TRUE,"Door"}</definedName>
    <definedName name="sss_5" hidden="1">{#N/A,#N/A,TRUE,"Basic";#N/A,#N/A,TRUE,"EXT-TABLE";#N/A,#N/A,TRUE,"STEEL";#N/A,#N/A,TRUE,"INT-Table";#N/A,#N/A,TRUE,"STEEL";#N/A,#N/A,TRUE,"Door"}</definedName>
    <definedName name="sss_5_1" localSheetId="18" hidden="1">{#N/A,#N/A,TRUE,"Basic";#N/A,#N/A,TRUE,"EXT-TABLE";#N/A,#N/A,TRUE,"STEEL";#N/A,#N/A,TRUE,"INT-Table";#N/A,#N/A,TRUE,"STEEL";#N/A,#N/A,TRUE,"Door"}</definedName>
    <definedName name="sss_5_1" hidden="1">{#N/A,#N/A,TRUE,"Basic";#N/A,#N/A,TRUE,"EXT-TABLE";#N/A,#N/A,TRUE,"STEEL";#N/A,#N/A,TRUE,"INT-Table";#N/A,#N/A,TRUE,"STEEL";#N/A,#N/A,TRUE,"Door"}</definedName>
    <definedName name="sss_5_2" localSheetId="18" hidden="1">{#N/A,#N/A,TRUE,"Basic";#N/A,#N/A,TRUE,"EXT-TABLE";#N/A,#N/A,TRUE,"STEEL";#N/A,#N/A,TRUE,"INT-Table";#N/A,#N/A,TRUE,"STEEL";#N/A,#N/A,TRUE,"Door"}</definedName>
    <definedName name="sss_5_2" hidden="1">{#N/A,#N/A,TRUE,"Basic";#N/A,#N/A,TRUE,"EXT-TABLE";#N/A,#N/A,TRUE,"STEEL";#N/A,#N/A,TRUE,"INT-Table";#N/A,#N/A,TRUE,"STEEL";#N/A,#N/A,TRUE,"Door"}</definedName>
    <definedName name="ssss" localSheetId="18" hidden="1">{#N/A,#N/A,TRUE,"Basic";#N/A,#N/A,TRUE,"EXT-TABLE";#N/A,#N/A,TRUE,"STEEL";#N/A,#N/A,TRUE,"INT-Table";#N/A,#N/A,TRUE,"STEEL";#N/A,#N/A,TRUE,"Door"}</definedName>
    <definedName name="ssss" hidden="1">{#N/A,#N/A,TRUE,"Basic";#N/A,#N/A,TRUE,"EXT-TABLE";#N/A,#N/A,TRUE,"STEEL";#N/A,#N/A,TRUE,"INT-Table";#N/A,#N/A,TRUE,"STEEL";#N/A,#N/A,TRUE,"Door"}</definedName>
    <definedName name="ssss_1" localSheetId="18" hidden="1">{#N/A,#N/A,TRUE,"Basic";#N/A,#N/A,TRUE,"EXT-TABLE";#N/A,#N/A,TRUE,"STEEL";#N/A,#N/A,TRUE,"INT-Table";#N/A,#N/A,TRUE,"STEEL";#N/A,#N/A,TRUE,"Door"}</definedName>
    <definedName name="ssss_1" hidden="1">{#N/A,#N/A,TRUE,"Basic";#N/A,#N/A,TRUE,"EXT-TABLE";#N/A,#N/A,TRUE,"STEEL";#N/A,#N/A,TRUE,"INT-Table";#N/A,#N/A,TRUE,"STEEL";#N/A,#N/A,TRUE,"Door"}</definedName>
    <definedName name="ssss_1_1" localSheetId="18" hidden="1">{#N/A,#N/A,TRUE,"Basic";#N/A,#N/A,TRUE,"EXT-TABLE";#N/A,#N/A,TRUE,"STEEL";#N/A,#N/A,TRUE,"INT-Table";#N/A,#N/A,TRUE,"STEEL";#N/A,#N/A,TRUE,"Door"}</definedName>
    <definedName name="ssss_1_1" hidden="1">{#N/A,#N/A,TRUE,"Basic";#N/A,#N/A,TRUE,"EXT-TABLE";#N/A,#N/A,TRUE,"STEEL";#N/A,#N/A,TRUE,"INT-Table";#N/A,#N/A,TRUE,"STEEL";#N/A,#N/A,TRUE,"Door"}</definedName>
    <definedName name="ssss_1_2" localSheetId="18" hidden="1">{#N/A,#N/A,TRUE,"Basic";#N/A,#N/A,TRUE,"EXT-TABLE";#N/A,#N/A,TRUE,"STEEL";#N/A,#N/A,TRUE,"INT-Table";#N/A,#N/A,TRUE,"STEEL";#N/A,#N/A,TRUE,"Door"}</definedName>
    <definedName name="ssss_1_2" hidden="1">{#N/A,#N/A,TRUE,"Basic";#N/A,#N/A,TRUE,"EXT-TABLE";#N/A,#N/A,TRUE,"STEEL";#N/A,#N/A,TRUE,"INT-Table";#N/A,#N/A,TRUE,"STEEL";#N/A,#N/A,TRUE,"Door"}</definedName>
    <definedName name="ssss_2" localSheetId="18" hidden="1">{#N/A,#N/A,TRUE,"Basic";#N/A,#N/A,TRUE,"EXT-TABLE";#N/A,#N/A,TRUE,"STEEL";#N/A,#N/A,TRUE,"INT-Table";#N/A,#N/A,TRUE,"STEEL";#N/A,#N/A,TRUE,"Door"}</definedName>
    <definedName name="ssss_2" hidden="1">{#N/A,#N/A,TRUE,"Basic";#N/A,#N/A,TRUE,"EXT-TABLE";#N/A,#N/A,TRUE,"STEEL";#N/A,#N/A,TRUE,"INT-Table";#N/A,#N/A,TRUE,"STEEL";#N/A,#N/A,TRUE,"Door"}</definedName>
    <definedName name="ssss_2_1" localSheetId="18" hidden="1">{#N/A,#N/A,TRUE,"Basic";#N/A,#N/A,TRUE,"EXT-TABLE";#N/A,#N/A,TRUE,"STEEL";#N/A,#N/A,TRUE,"INT-Table";#N/A,#N/A,TRUE,"STEEL";#N/A,#N/A,TRUE,"Door"}</definedName>
    <definedName name="ssss_2_1" hidden="1">{#N/A,#N/A,TRUE,"Basic";#N/A,#N/A,TRUE,"EXT-TABLE";#N/A,#N/A,TRUE,"STEEL";#N/A,#N/A,TRUE,"INT-Table";#N/A,#N/A,TRUE,"STEEL";#N/A,#N/A,TRUE,"Door"}</definedName>
    <definedName name="ssss_2_2" localSheetId="18" hidden="1">{#N/A,#N/A,TRUE,"Basic";#N/A,#N/A,TRUE,"EXT-TABLE";#N/A,#N/A,TRUE,"STEEL";#N/A,#N/A,TRUE,"INT-Table";#N/A,#N/A,TRUE,"STEEL";#N/A,#N/A,TRUE,"Door"}</definedName>
    <definedName name="ssss_2_2" hidden="1">{#N/A,#N/A,TRUE,"Basic";#N/A,#N/A,TRUE,"EXT-TABLE";#N/A,#N/A,TRUE,"STEEL";#N/A,#N/A,TRUE,"INT-Table";#N/A,#N/A,TRUE,"STEEL";#N/A,#N/A,TRUE,"Door"}</definedName>
    <definedName name="ssss_3" localSheetId="18" hidden="1">{#N/A,#N/A,TRUE,"Basic";#N/A,#N/A,TRUE,"EXT-TABLE";#N/A,#N/A,TRUE,"STEEL";#N/A,#N/A,TRUE,"INT-Table";#N/A,#N/A,TRUE,"STEEL";#N/A,#N/A,TRUE,"Door"}</definedName>
    <definedName name="ssss_3" hidden="1">{#N/A,#N/A,TRUE,"Basic";#N/A,#N/A,TRUE,"EXT-TABLE";#N/A,#N/A,TRUE,"STEEL";#N/A,#N/A,TRUE,"INT-Table";#N/A,#N/A,TRUE,"STEEL";#N/A,#N/A,TRUE,"Door"}</definedName>
    <definedName name="ssss_3_1" localSheetId="18" hidden="1">{#N/A,#N/A,TRUE,"Basic";#N/A,#N/A,TRUE,"EXT-TABLE";#N/A,#N/A,TRUE,"STEEL";#N/A,#N/A,TRUE,"INT-Table";#N/A,#N/A,TRUE,"STEEL";#N/A,#N/A,TRUE,"Door"}</definedName>
    <definedName name="ssss_3_1" hidden="1">{#N/A,#N/A,TRUE,"Basic";#N/A,#N/A,TRUE,"EXT-TABLE";#N/A,#N/A,TRUE,"STEEL";#N/A,#N/A,TRUE,"INT-Table";#N/A,#N/A,TRUE,"STEEL";#N/A,#N/A,TRUE,"Door"}</definedName>
    <definedName name="ssss_3_2" localSheetId="18" hidden="1">{#N/A,#N/A,TRUE,"Basic";#N/A,#N/A,TRUE,"EXT-TABLE";#N/A,#N/A,TRUE,"STEEL";#N/A,#N/A,TRUE,"INT-Table";#N/A,#N/A,TRUE,"STEEL";#N/A,#N/A,TRUE,"Door"}</definedName>
    <definedName name="ssss_3_2" hidden="1">{#N/A,#N/A,TRUE,"Basic";#N/A,#N/A,TRUE,"EXT-TABLE";#N/A,#N/A,TRUE,"STEEL";#N/A,#N/A,TRUE,"INT-Table";#N/A,#N/A,TRUE,"STEEL";#N/A,#N/A,TRUE,"Door"}</definedName>
    <definedName name="ssss_4" localSheetId="18" hidden="1">{#N/A,#N/A,TRUE,"Basic";#N/A,#N/A,TRUE,"EXT-TABLE";#N/A,#N/A,TRUE,"STEEL";#N/A,#N/A,TRUE,"INT-Table";#N/A,#N/A,TRUE,"STEEL";#N/A,#N/A,TRUE,"Door"}</definedName>
    <definedName name="ssss_4" hidden="1">{#N/A,#N/A,TRUE,"Basic";#N/A,#N/A,TRUE,"EXT-TABLE";#N/A,#N/A,TRUE,"STEEL";#N/A,#N/A,TRUE,"INT-Table";#N/A,#N/A,TRUE,"STEEL";#N/A,#N/A,TRUE,"Door"}</definedName>
    <definedName name="ssss_4_1" localSheetId="18" hidden="1">{#N/A,#N/A,TRUE,"Basic";#N/A,#N/A,TRUE,"EXT-TABLE";#N/A,#N/A,TRUE,"STEEL";#N/A,#N/A,TRUE,"INT-Table";#N/A,#N/A,TRUE,"STEEL";#N/A,#N/A,TRUE,"Door"}</definedName>
    <definedName name="ssss_4_1" hidden="1">{#N/A,#N/A,TRUE,"Basic";#N/A,#N/A,TRUE,"EXT-TABLE";#N/A,#N/A,TRUE,"STEEL";#N/A,#N/A,TRUE,"INT-Table";#N/A,#N/A,TRUE,"STEEL";#N/A,#N/A,TRUE,"Door"}</definedName>
    <definedName name="ssss_4_2" localSheetId="18" hidden="1">{#N/A,#N/A,TRUE,"Basic";#N/A,#N/A,TRUE,"EXT-TABLE";#N/A,#N/A,TRUE,"STEEL";#N/A,#N/A,TRUE,"INT-Table";#N/A,#N/A,TRUE,"STEEL";#N/A,#N/A,TRUE,"Door"}</definedName>
    <definedName name="ssss_4_2" hidden="1">{#N/A,#N/A,TRUE,"Basic";#N/A,#N/A,TRUE,"EXT-TABLE";#N/A,#N/A,TRUE,"STEEL";#N/A,#N/A,TRUE,"INT-Table";#N/A,#N/A,TRUE,"STEEL";#N/A,#N/A,TRUE,"Door"}</definedName>
    <definedName name="ssss_5" localSheetId="18" hidden="1">{#N/A,#N/A,TRUE,"Basic";#N/A,#N/A,TRUE,"EXT-TABLE";#N/A,#N/A,TRUE,"STEEL";#N/A,#N/A,TRUE,"INT-Table";#N/A,#N/A,TRUE,"STEEL";#N/A,#N/A,TRUE,"Door"}</definedName>
    <definedName name="ssss_5" hidden="1">{#N/A,#N/A,TRUE,"Basic";#N/A,#N/A,TRUE,"EXT-TABLE";#N/A,#N/A,TRUE,"STEEL";#N/A,#N/A,TRUE,"INT-Table";#N/A,#N/A,TRUE,"STEEL";#N/A,#N/A,TRUE,"Door"}</definedName>
    <definedName name="ssss_5_1" localSheetId="18" hidden="1">{#N/A,#N/A,TRUE,"Basic";#N/A,#N/A,TRUE,"EXT-TABLE";#N/A,#N/A,TRUE,"STEEL";#N/A,#N/A,TRUE,"INT-Table";#N/A,#N/A,TRUE,"STEEL";#N/A,#N/A,TRUE,"Door"}</definedName>
    <definedName name="ssss_5_1" hidden="1">{#N/A,#N/A,TRUE,"Basic";#N/A,#N/A,TRUE,"EXT-TABLE";#N/A,#N/A,TRUE,"STEEL";#N/A,#N/A,TRUE,"INT-Table";#N/A,#N/A,TRUE,"STEEL";#N/A,#N/A,TRUE,"Door"}</definedName>
    <definedName name="ssss_5_2" localSheetId="18" hidden="1">{#N/A,#N/A,TRUE,"Basic";#N/A,#N/A,TRUE,"EXT-TABLE";#N/A,#N/A,TRUE,"STEEL";#N/A,#N/A,TRUE,"INT-Table";#N/A,#N/A,TRUE,"STEEL";#N/A,#N/A,TRUE,"Door"}</definedName>
    <definedName name="ssss_5_2" hidden="1">{#N/A,#N/A,TRUE,"Basic";#N/A,#N/A,TRUE,"EXT-TABLE";#N/A,#N/A,TRUE,"STEEL";#N/A,#N/A,TRUE,"INT-Table";#N/A,#N/A,TRUE,"STEEL";#N/A,#N/A,TRUE,"Door"}</definedName>
    <definedName name="ssssss" localSheetId="18" hidden="1">{"'现金流量表（全部投资）'!$B$4:$P$23"}</definedName>
    <definedName name="ssssss" hidden="1">{"'现金流量表（全部投资）'!$B$4:$P$23"}</definedName>
    <definedName name="sssssssssssssssssss" localSheetId="18" hidden="1">{#N/A,#N/A,TRUE,"Basic";#N/A,#N/A,TRUE,"EXT-TABLE";#N/A,#N/A,TRUE,"STEEL";#N/A,#N/A,TRUE,"INT-Table";#N/A,#N/A,TRUE,"STEEL";#N/A,#N/A,TRUE,"Door"}</definedName>
    <definedName name="sssssssssssssssssss" hidden="1">{#N/A,#N/A,TRUE,"Basic";#N/A,#N/A,TRUE,"EXT-TABLE";#N/A,#N/A,TRUE,"STEEL";#N/A,#N/A,TRUE,"INT-Table";#N/A,#N/A,TRUE,"STEEL";#N/A,#N/A,TRUE,"Door"}</definedName>
    <definedName name="Stack_Area" localSheetId="11">'[41]Noise (3)'!$O$55</definedName>
    <definedName name="Stack_Area" localSheetId="1">'[41]Noise (3)'!$O$55</definedName>
    <definedName name="Stack_Area" localSheetId="2">'[41]Noise (3)'!$O$55</definedName>
    <definedName name="Stack_Area" localSheetId="4">'[41]Noise (3)'!$O$55</definedName>
    <definedName name="Stack_Area" localSheetId="19">'[41]Noise (3)'!$O$55</definedName>
    <definedName name="Stack_Area" localSheetId="10">'[41]Noise (3)'!$O$55</definedName>
    <definedName name="Stack_Area" localSheetId="9">'[41]Noise (3)'!$O$55</definedName>
    <definedName name="Stack_Area" localSheetId="8">'[41]Noise (3)'!$O$55</definedName>
    <definedName name="Stack_Area" localSheetId="3">'[41]Noise (3)'!$O$55</definedName>
    <definedName name="Stack_Area" localSheetId="6">'[41]Noise (3)'!$O$55</definedName>
    <definedName name="Stack_Area" localSheetId="7">'[41]Noise (3)'!$O$55</definedName>
    <definedName name="Stack_Area" localSheetId="5">'[41]Noise (3)'!$O$55</definedName>
    <definedName name="Stack_Area">#REF!</definedName>
    <definedName name="StackType" localSheetId="11">'[41]Noise (3)'!$C$9</definedName>
    <definedName name="StackType" localSheetId="1">'[41]Noise (3)'!$C$9</definedName>
    <definedName name="StackType" localSheetId="2">'[41]Noise (3)'!$C$9</definedName>
    <definedName name="StackType" localSheetId="4">'[41]Noise (3)'!$C$9</definedName>
    <definedName name="StackType" localSheetId="19">'[41]Noise (3)'!$C$9</definedName>
    <definedName name="StackType" localSheetId="10">'[41]Noise (3)'!$C$9</definedName>
    <definedName name="StackType" localSheetId="9">'[41]Noise (3)'!$C$9</definedName>
    <definedName name="StackType" localSheetId="8">'[41]Noise (3)'!$C$9</definedName>
    <definedName name="StackType" localSheetId="3">'[41]Noise (3)'!$C$9</definedName>
    <definedName name="StackType" localSheetId="6">'[41]Noise (3)'!$C$9</definedName>
    <definedName name="StackType" localSheetId="7">'[41]Noise (3)'!$C$9</definedName>
    <definedName name="StackType" localSheetId="5">'[41]Noise (3)'!$C$9</definedName>
    <definedName name="StackType">#REF!</definedName>
    <definedName name="Staggered" localSheetId="11">'[41]Noise (3)'!$C$36</definedName>
    <definedName name="Staggered" localSheetId="1">'[41]Noise (3)'!$C$36</definedName>
    <definedName name="Staggered" localSheetId="2">'[41]Noise (3)'!$C$36</definedName>
    <definedName name="Staggered" localSheetId="4">'[41]Noise (3)'!$C$36</definedName>
    <definedName name="Staggered" localSheetId="19">'[41]Noise (3)'!$C$36</definedName>
    <definedName name="Staggered" localSheetId="10">'[41]Noise (3)'!$C$36</definedName>
    <definedName name="Staggered" localSheetId="9">'[41]Noise (3)'!$C$36</definedName>
    <definedName name="Staggered" localSheetId="8">'[41]Noise (3)'!$C$36</definedName>
    <definedName name="Staggered" localSheetId="3">'[41]Noise (3)'!$C$36</definedName>
    <definedName name="Staggered" localSheetId="6">'[41]Noise (3)'!$C$36</definedName>
    <definedName name="Staggered" localSheetId="7">'[41]Noise (3)'!$C$36</definedName>
    <definedName name="Staggered" localSheetId="5">'[41]Noise (3)'!$C$36</definedName>
    <definedName name="Staggered">#REF!</definedName>
    <definedName name="StaggeredTable" localSheetId="11">[41]Tables!$A$70:$A$72</definedName>
    <definedName name="StaggeredTable" localSheetId="1">[41]Tables!$A$70:$A$72</definedName>
    <definedName name="StaggeredTable" localSheetId="2">[41]Tables!$A$70:$A$72</definedName>
    <definedName name="StaggeredTable" localSheetId="4">[41]Tables!$A$70:$A$72</definedName>
    <definedName name="StaggeredTable" localSheetId="19">[41]Tables!$A$70:$A$72</definedName>
    <definedName name="StaggeredTable" localSheetId="10">[41]Tables!$A$70:$A$72</definedName>
    <definedName name="StaggeredTable" localSheetId="9">[41]Tables!$A$70:$A$72</definedName>
    <definedName name="StaggeredTable" localSheetId="8">[41]Tables!$A$70:$A$72</definedName>
    <definedName name="StaggeredTable" localSheetId="3">[41]Tables!$A$70:$A$72</definedName>
    <definedName name="StaggeredTable" localSheetId="6">[41]Tables!$A$70:$A$72</definedName>
    <definedName name="StaggeredTable" localSheetId="7">[41]Tables!$A$70:$A$72</definedName>
    <definedName name="StaggeredTable" localSheetId="5">[41]Tables!$A$70:$A$72</definedName>
    <definedName name="StaggeredTable">#REF!</definedName>
    <definedName name="Stahlbau_Eigenfertigung">#REF!</definedName>
    <definedName name="Stahlbauvarianten">#REF!</definedName>
    <definedName name="STAIR" localSheetId="18" hidden="1">{"'장비'!$A$3:$M$12"}</definedName>
    <definedName name="Stair" localSheetId="1">#REF!</definedName>
    <definedName name="Stair" localSheetId="2">#REF!</definedName>
    <definedName name="Stair" localSheetId="4">#REF!</definedName>
    <definedName name="Stair" localSheetId="19">#REF!</definedName>
    <definedName name="Stair" localSheetId="10">#REF!</definedName>
    <definedName name="Stair" localSheetId="9">#REF!</definedName>
    <definedName name="Stair" localSheetId="8">#REF!</definedName>
    <definedName name="Stair" localSheetId="3">#REF!</definedName>
    <definedName name="Stair" localSheetId="6">#REF!</definedName>
    <definedName name="Stair" localSheetId="7">#REF!</definedName>
    <definedName name="Stair" localSheetId="5">#REF!</definedName>
    <definedName name="STAIR" hidden="1">{"'장비'!$A$3:$M$12"}</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 localSheetId="11">'[41]Noise (3)'!$O$42</definedName>
    <definedName name="Std_Splitter_Plate" localSheetId="1">'[41]Noise (3)'!$O$42</definedName>
    <definedName name="Std_Splitter_Plate" localSheetId="2">'[41]Noise (3)'!$O$42</definedName>
    <definedName name="Std_Splitter_Plate" localSheetId="4">'[41]Noise (3)'!$O$42</definedName>
    <definedName name="Std_Splitter_Plate" localSheetId="19">'[41]Noise (3)'!$O$42</definedName>
    <definedName name="Std_Splitter_Plate" localSheetId="10">'[41]Noise (3)'!$O$42</definedName>
    <definedName name="Std_Splitter_Plate" localSheetId="9">'[41]Noise (3)'!$O$42</definedName>
    <definedName name="Std_Splitter_Plate" localSheetId="8">'[41]Noise (3)'!$O$42</definedName>
    <definedName name="Std_Splitter_Plate" localSheetId="3">'[41]Noise (3)'!$O$42</definedName>
    <definedName name="Std_Splitter_Plate" localSheetId="6">'[41]Noise (3)'!$O$42</definedName>
    <definedName name="Std_Splitter_Plate" localSheetId="7">'[41]Noise (3)'!$O$42</definedName>
    <definedName name="Std_Splitter_Plate" localSheetId="5">'[41]Noise (3)'!$O$42</definedName>
    <definedName name="Std_Splitter_Plate">#REF!</definedName>
    <definedName name="SteelPrice" localSheetId="11">[51]Cover!$D$15</definedName>
    <definedName name="SteelPrice" localSheetId="1">[51]Cover!$D$15</definedName>
    <definedName name="SteelPrice" localSheetId="2">[51]Cover!$D$15</definedName>
    <definedName name="SteelPrice" localSheetId="4">[51]Cover!$D$15</definedName>
    <definedName name="SteelPrice" localSheetId="19">[51]Cover!$D$15</definedName>
    <definedName name="SteelPrice" localSheetId="10">[51]Cover!$D$15</definedName>
    <definedName name="SteelPrice" localSheetId="9">[51]Cover!$D$15</definedName>
    <definedName name="SteelPrice" localSheetId="8">[51]Cover!$D$15</definedName>
    <definedName name="SteelPrice" localSheetId="3">[51]Cover!$D$15</definedName>
    <definedName name="SteelPrice" localSheetId="6">[51]Cover!$D$15</definedName>
    <definedName name="SteelPrice" localSheetId="7">[51]Cover!$D$15</definedName>
    <definedName name="SteelPrice" localSheetId="5">[51]Cover!$D$15</definedName>
    <definedName name="SteelPrice">#REF!</definedName>
    <definedName name="Stellmotor">#REF!</definedName>
    <definedName name="Stot" localSheetId="11">[51]Summary!$F$11</definedName>
    <definedName name="Stot" localSheetId="1">[51]Summary!$F$11</definedName>
    <definedName name="Stot" localSheetId="2">[51]Summary!$F$11</definedName>
    <definedName name="Stot" localSheetId="4">[51]Summary!$F$11</definedName>
    <definedName name="Stot" localSheetId="19">[51]Summary!$F$11</definedName>
    <definedName name="Stot" localSheetId="10">[51]Summary!$F$11</definedName>
    <definedName name="Stot" localSheetId="9">[51]Summary!$F$11</definedName>
    <definedName name="Stot" localSheetId="8">[51]Summary!$F$11</definedName>
    <definedName name="Stot" localSheetId="3">[51]Summary!$F$11</definedName>
    <definedName name="Stot" localSheetId="6">[51]Summary!$F$11</definedName>
    <definedName name="Stot" localSheetId="7">[51]Summary!$F$11</definedName>
    <definedName name="Stot" localSheetId="5">[51]Summary!$F$11</definedName>
    <definedName name="Stot">#REF!</definedName>
    <definedName name="STR" localSheetId="18" hidden="1">{#N/A,#N/A,FALSE,"Project Cost Summary";#N/A,#N/A,FALSE,"Man Hour Summary"}</definedName>
    <definedName name="STR" localSheetId="1" hidden="1">{#N/A,#N/A,FALSE,"Project Cost Summary";#N/A,#N/A,FALSE,"Man Hour Summary"}</definedName>
    <definedName name="STR" localSheetId="2" hidden="1">{#N/A,#N/A,FALSE,"Project Cost Summary";#N/A,#N/A,FALSE,"Man Hour Summary"}</definedName>
    <definedName name="STR" localSheetId="4" hidden="1">{#N/A,#N/A,FALSE,"Project Cost Summary";#N/A,#N/A,FALSE,"Man Hour Summary"}</definedName>
    <definedName name="STR" localSheetId="19" hidden="1">{#N/A,#N/A,FALSE,"Project Cost Summary";#N/A,#N/A,FALSE,"Man Hour Summary"}</definedName>
    <definedName name="STR" localSheetId="10" hidden="1">{#N/A,#N/A,FALSE,"Project Cost Summary";#N/A,#N/A,FALSE,"Man Hour Summary"}</definedName>
    <definedName name="STR" localSheetId="9" hidden="1">{#N/A,#N/A,FALSE,"Project Cost Summary";#N/A,#N/A,FALSE,"Man Hour Summary"}</definedName>
    <definedName name="STR" localSheetId="8" hidden="1">{#N/A,#N/A,FALSE,"Project Cost Summary";#N/A,#N/A,FALSE,"Man Hour Summary"}</definedName>
    <definedName name="STR" localSheetId="3" hidden="1">{#N/A,#N/A,FALSE,"Project Cost Summary";#N/A,#N/A,FALSE,"Man Hour Summary"}</definedName>
    <definedName name="STR" localSheetId="6" hidden="1">{#N/A,#N/A,FALSE,"Project Cost Summary";#N/A,#N/A,FALSE,"Man Hour Summary"}</definedName>
    <definedName name="STR" localSheetId="7" hidden="1">{#N/A,#N/A,FALSE,"Project Cost Summary";#N/A,#N/A,FALSE,"Man Hour Summary"}</definedName>
    <definedName name="STR" localSheetId="5" hidden="1">{#N/A,#N/A,FALSE,"Project Cost Summary";#N/A,#N/A,FALSE,"Man Hour Summary"}</definedName>
    <definedName name="STR" hidden="1">{#N/A,#N/A,FALSE,"Project Cost Summary";#N/A,#N/A,FALSE,"Man Hour Summary"}</definedName>
    <definedName name="StressCode">#REF!</definedName>
    <definedName name="Structural" localSheetId="11">[51]Summary!$D$11</definedName>
    <definedName name="Structural" localSheetId="1">[51]Summary!$D$11</definedName>
    <definedName name="Structural" localSheetId="2">[51]Summary!$D$11</definedName>
    <definedName name="Structural" localSheetId="4">[51]Summary!$D$11</definedName>
    <definedName name="Structural" localSheetId="19">[51]Summary!$D$11</definedName>
    <definedName name="Structural" localSheetId="10">[51]Summary!$D$11</definedName>
    <definedName name="Structural" localSheetId="9">[51]Summary!$D$11</definedName>
    <definedName name="Structural" localSheetId="8">[51]Summary!$D$11</definedName>
    <definedName name="Structural" localSheetId="3">[51]Summary!$D$11</definedName>
    <definedName name="Structural" localSheetId="6">[51]Summary!$D$11</definedName>
    <definedName name="Structural" localSheetId="7">[51]Summary!$D$11</definedName>
    <definedName name="Structural" localSheetId="5">[51]Summary!$D$11</definedName>
    <definedName name="Structural">#REF!</definedName>
    <definedName name="StudPattern" localSheetId="11">[34]DATA_LIST!$D$4:$D$9</definedName>
    <definedName name="StudPattern" localSheetId="1">[34]DATA_LIST!$D$4:$D$9</definedName>
    <definedName name="StudPattern" localSheetId="2">[34]DATA_LIST!$D$4:$D$9</definedName>
    <definedName name="StudPattern" localSheetId="4">[34]DATA_LIST!$D$4:$D$9</definedName>
    <definedName name="StudPattern" localSheetId="19">[34]DATA_LIST!$D$4:$D$9</definedName>
    <definedName name="StudPattern" localSheetId="10">[34]DATA_LIST!$D$4:$D$9</definedName>
    <definedName name="StudPattern" localSheetId="9">[34]DATA_LIST!$D$4:$D$9</definedName>
    <definedName name="StudPattern" localSheetId="8">[34]DATA_LIST!$D$4:$D$9</definedName>
    <definedName name="StudPattern" localSheetId="3">[34]DATA_LIST!$D$4:$D$9</definedName>
    <definedName name="StudPattern" localSheetId="6">[34]DATA_LIST!$D$4:$D$9</definedName>
    <definedName name="StudPattern" localSheetId="7">[34]DATA_LIST!$D$4:$D$9</definedName>
    <definedName name="StudPattern" localSheetId="5">[34]DATA_LIST!$D$4:$D$9</definedName>
    <definedName name="StudPattern">#REF!</definedName>
    <definedName name="SUB_FC">#REF!</definedName>
    <definedName name="SUB_LC">#REF!</definedName>
    <definedName name="Subject">#REF!</definedName>
    <definedName name="sum" localSheetId="18" hidden="1">{#N/A,#N/A,TRUE,"Basic";#N/A,#N/A,TRUE,"EXT-TABLE";#N/A,#N/A,TRUE,"STEEL";#N/A,#N/A,TRUE,"INT-Table";#N/A,#N/A,TRUE,"STEEL";#N/A,#N/A,TRUE,"Door"}</definedName>
    <definedName name="SUM" localSheetId="1">#REF!,#REF!</definedName>
    <definedName name="SUM" localSheetId="2">#REF!,#REF!</definedName>
    <definedName name="SUM" localSheetId="4">#REF!,#REF!</definedName>
    <definedName name="SUM" localSheetId="19">#REF!,#REF!</definedName>
    <definedName name="SUM" localSheetId="10">#REF!,#REF!</definedName>
    <definedName name="SUM" localSheetId="9">#REF!,#REF!</definedName>
    <definedName name="SUM" localSheetId="8">#REF!,#REF!</definedName>
    <definedName name="SUM" localSheetId="3">#REF!,#REF!</definedName>
    <definedName name="SUM" localSheetId="6">#REF!,#REF!</definedName>
    <definedName name="SUM" localSheetId="7">#REF!,#REF!</definedName>
    <definedName name="SUM" localSheetId="5">#REF!,#REF!</definedName>
    <definedName name="sum" hidden="1">{#N/A,#N/A,TRUE,"Basic";#N/A,#N/A,TRUE,"EXT-TABLE";#N/A,#N/A,TRUE,"STEEL";#N/A,#N/A,TRUE,"INT-Table";#N/A,#N/A,TRUE,"STEEL";#N/A,#N/A,TRUE,"Door"}</definedName>
    <definedName name="sum_1" localSheetId="18" hidden="1">{#N/A,#N/A,TRUE,"Basic";#N/A,#N/A,TRUE,"EXT-TABLE";#N/A,#N/A,TRUE,"STEEL";#N/A,#N/A,TRUE,"INT-Table";#N/A,#N/A,TRUE,"STEEL";#N/A,#N/A,TRUE,"Door"}</definedName>
    <definedName name="sum_1" hidden="1">{#N/A,#N/A,TRUE,"Basic";#N/A,#N/A,TRUE,"EXT-TABLE";#N/A,#N/A,TRUE,"STEEL";#N/A,#N/A,TRUE,"INT-Table";#N/A,#N/A,TRUE,"STEEL";#N/A,#N/A,TRUE,"Door"}</definedName>
    <definedName name="sum_1_1" localSheetId="18" hidden="1">{#N/A,#N/A,TRUE,"Basic";#N/A,#N/A,TRUE,"EXT-TABLE";#N/A,#N/A,TRUE,"STEEL";#N/A,#N/A,TRUE,"INT-Table";#N/A,#N/A,TRUE,"STEEL";#N/A,#N/A,TRUE,"Door"}</definedName>
    <definedName name="sum_1_1" hidden="1">{#N/A,#N/A,TRUE,"Basic";#N/A,#N/A,TRUE,"EXT-TABLE";#N/A,#N/A,TRUE,"STEEL";#N/A,#N/A,TRUE,"INT-Table";#N/A,#N/A,TRUE,"STEEL";#N/A,#N/A,TRUE,"Door"}</definedName>
    <definedName name="sum_1_2" localSheetId="18" hidden="1">{#N/A,#N/A,TRUE,"Basic";#N/A,#N/A,TRUE,"EXT-TABLE";#N/A,#N/A,TRUE,"STEEL";#N/A,#N/A,TRUE,"INT-Table";#N/A,#N/A,TRUE,"STEEL";#N/A,#N/A,TRUE,"Door"}</definedName>
    <definedName name="sum_1_2" hidden="1">{#N/A,#N/A,TRUE,"Basic";#N/A,#N/A,TRUE,"EXT-TABLE";#N/A,#N/A,TRUE,"STEEL";#N/A,#N/A,TRUE,"INT-Table";#N/A,#N/A,TRUE,"STEEL";#N/A,#N/A,TRUE,"Door"}</definedName>
    <definedName name="sum_2" localSheetId="18" hidden="1">{#N/A,#N/A,TRUE,"Basic";#N/A,#N/A,TRUE,"EXT-TABLE";#N/A,#N/A,TRUE,"STEEL";#N/A,#N/A,TRUE,"INT-Table";#N/A,#N/A,TRUE,"STEEL";#N/A,#N/A,TRUE,"Door"}</definedName>
    <definedName name="sum_2" hidden="1">{#N/A,#N/A,TRUE,"Basic";#N/A,#N/A,TRUE,"EXT-TABLE";#N/A,#N/A,TRUE,"STEEL";#N/A,#N/A,TRUE,"INT-Table";#N/A,#N/A,TRUE,"STEEL";#N/A,#N/A,TRUE,"Door"}</definedName>
    <definedName name="sum_2_1" localSheetId="18" hidden="1">{#N/A,#N/A,TRUE,"Basic";#N/A,#N/A,TRUE,"EXT-TABLE";#N/A,#N/A,TRUE,"STEEL";#N/A,#N/A,TRUE,"INT-Table";#N/A,#N/A,TRUE,"STEEL";#N/A,#N/A,TRUE,"Door"}</definedName>
    <definedName name="sum_2_1" hidden="1">{#N/A,#N/A,TRUE,"Basic";#N/A,#N/A,TRUE,"EXT-TABLE";#N/A,#N/A,TRUE,"STEEL";#N/A,#N/A,TRUE,"INT-Table";#N/A,#N/A,TRUE,"STEEL";#N/A,#N/A,TRUE,"Door"}</definedName>
    <definedName name="sum_2_2" localSheetId="18" hidden="1">{#N/A,#N/A,TRUE,"Basic";#N/A,#N/A,TRUE,"EXT-TABLE";#N/A,#N/A,TRUE,"STEEL";#N/A,#N/A,TRUE,"INT-Table";#N/A,#N/A,TRUE,"STEEL";#N/A,#N/A,TRUE,"Door"}</definedName>
    <definedName name="sum_2_2" hidden="1">{#N/A,#N/A,TRUE,"Basic";#N/A,#N/A,TRUE,"EXT-TABLE";#N/A,#N/A,TRUE,"STEEL";#N/A,#N/A,TRUE,"INT-Table";#N/A,#N/A,TRUE,"STEEL";#N/A,#N/A,TRUE,"Door"}</definedName>
    <definedName name="sum_3" localSheetId="18" hidden="1">{#N/A,#N/A,TRUE,"Basic";#N/A,#N/A,TRUE,"EXT-TABLE";#N/A,#N/A,TRUE,"STEEL";#N/A,#N/A,TRUE,"INT-Table";#N/A,#N/A,TRUE,"STEEL";#N/A,#N/A,TRUE,"Door"}</definedName>
    <definedName name="sum_3" hidden="1">{#N/A,#N/A,TRUE,"Basic";#N/A,#N/A,TRUE,"EXT-TABLE";#N/A,#N/A,TRUE,"STEEL";#N/A,#N/A,TRUE,"INT-Table";#N/A,#N/A,TRUE,"STEEL";#N/A,#N/A,TRUE,"Door"}</definedName>
    <definedName name="sum_3_1" localSheetId="18" hidden="1">{#N/A,#N/A,TRUE,"Basic";#N/A,#N/A,TRUE,"EXT-TABLE";#N/A,#N/A,TRUE,"STEEL";#N/A,#N/A,TRUE,"INT-Table";#N/A,#N/A,TRUE,"STEEL";#N/A,#N/A,TRUE,"Door"}</definedName>
    <definedName name="sum_3_1" hidden="1">{#N/A,#N/A,TRUE,"Basic";#N/A,#N/A,TRUE,"EXT-TABLE";#N/A,#N/A,TRUE,"STEEL";#N/A,#N/A,TRUE,"INT-Table";#N/A,#N/A,TRUE,"STEEL";#N/A,#N/A,TRUE,"Door"}</definedName>
    <definedName name="sum_3_2" localSheetId="18" hidden="1">{#N/A,#N/A,TRUE,"Basic";#N/A,#N/A,TRUE,"EXT-TABLE";#N/A,#N/A,TRUE,"STEEL";#N/A,#N/A,TRUE,"INT-Table";#N/A,#N/A,TRUE,"STEEL";#N/A,#N/A,TRUE,"Door"}</definedName>
    <definedName name="sum_3_2" hidden="1">{#N/A,#N/A,TRUE,"Basic";#N/A,#N/A,TRUE,"EXT-TABLE";#N/A,#N/A,TRUE,"STEEL";#N/A,#N/A,TRUE,"INT-Table";#N/A,#N/A,TRUE,"STEEL";#N/A,#N/A,TRUE,"Door"}</definedName>
    <definedName name="sum_4" localSheetId="18" hidden="1">{#N/A,#N/A,TRUE,"Basic";#N/A,#N/A,TRUE,"EXT-TABLE";#N/A,#N/A,TRUE,"STEEL";#N/A,#N/A,TRUE,"INT-Table";#N/A,#N/A,TRUE,"STEEL";#N/A,#N/A,TRUE,"Door"}</definedName>
    <definedName name="sum_4" hidden="1">{#N/A,#N/A,TRUE,"Basic";#N/A,#N/A,TRUE,"EXT-TABLE";#N/A,#N/A,TRUE,"STEEL";#N/A,#N/A,TRUE,"INT-Table";#N/A,#N/A,TRUE,"STEEL";#N/A,#N/A,TRUE,"Door"}</definedName>
    <definedName name="sum_4_1" localSheetId="18" hidden="1">{#N/A,#N/A,TRUE,"Basic";#N/A,#N/A,TRUE,"EXT-TABLE";#N/A,#N/A,TRUE,"STEEL";#N/A,#N/A,TRUE,"INT-Table";#N/A,#N/A,TRUE,"STEEL";#N/A,#N/A,TRUE,"Door"}</definedName>
    <definedName name="sum_4_1" hidden="1">{#N/A,#N/A,TRUE,"Basic";#N/A,#N/A,TRUE,"EXT-TABLE";#N/A,#N/A,TRUE,"STEEL";#N/A,#N/A,TRUE,"INT-Table";#N/A,#N/A,TRUE,"STEEL";#N/A,#N/A,TRUE,"Door"}</definedName>
    <definedName name="sum_4_2" localSheetId="18" hidden="1">{#N/A,#N/A,TRUE,"Basic";#N/A,#N/A,TRUE,"EXT-TABLE";#N/A,#N/A,TRUE,"STEEL";#N/A,#N/A,TRUE,"INT-Table";#N/A,#N/A,TRUE,"STEEL";#N/A,#N/A,TRUE,"Door"}</definedName>
    <definedName name="sum_4_2" hidden="1">{#N/A,#N/A,TRUE,"Basic";#N/A,#N/A,TRUE,"EXT-TABLE";#N/A,#N/A,TRUE,"STEEL";#N/A,#N/A,TRUE,"INT-Table";#N/A,#N/A,TRUE,"STEEL";#N/A,#N/A,TRUE,"Door"}</definedName>
    <definedName name="sum_5" localSheetId="18" hidden="1">{#N/A,#N/A,TRUE,"Basic";#N/A,#N/A,TRUE,"EXT-TABLE";#N/A,#N/A,TRUE,"STEEL";#N/A,#N/A,TRUE,"INT-Table";#N/A,#N/A,TRUE,"STEEL";#N/A,#N/A,TRUE,"Door"}</definedName>
    <definedName name="sum_5" hidden="1">{#N/A,#N/A,TRUE,"Basic";#N/A,#N/A,TRUE,"EXT-TABLE";#N/A,#N/A,TRUE,"STEEL";#N/A,#N/A,TRUE,"INT-Table";#N/A,#N/A,TRUE,"STEEL";#N/A,#N/A,TRUE,"Door"}</definedName>
    <definedName name="sum_5_1" localSheetId="18" hidden="1">{#N/A,#N/A,TRUE,"Basic";#N/A,#N/A,TRUE,"EXT-TABLE";#N/A,#N/A,TRUE,"STEEL";#N/A,#N/A,TRUE,"INT-Table";#N/A,#N/A,TRUE,"STEEL";#N/A,#N/A,TRUE,"Door"}</definedName>
    <definedName name="sum_5_1" hidden="1">{#N/A,#N/A,TRUE,"Basic";#N/A,#N/A,TRUE,"EXT-TABLE";#N/A,#N/A,TRUE,"STEEL";#N/A,#N/A,TRUE,"INT-Table";#N/A,#N/A,TRUE,"STEEL";#N/A,#N/A,TRUE,"Door"}</definedName>
    <definedName name="sum_5_2" localSheetId="18" hidden="1">{#N/A,#N/A,TRUE,"Basic";#N/A,#N/A,TRUE,"EXT-TABLE";#N/A,#N/A,TRUE,"STEEL";#N/A,#N/A,TRUE,"INT-Table";#N/A,#N/A,TRUE,"STEEL";#N/A,#N/A,TRUE,"Door"}</definedName>
    <definedName name="sum_5_2" hidden="1">{#N/A,#N/A,TRUE,"Basic";#N/A,#N/A,TRUE,"EXT-TABLE";#N/A,#N/A,TRUE,"STEEL";#N/A,#N/A,TRUE,"INT-Table";#N/A,#N/A,TRUE,"STEEL";#N/A,#N/A,TRUE,"Door"}</definedName>
    <definedName name="Sum_Ins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localSheetId="18" hidden="1">{#N/A,#N/A,TRUE,"SUM";#N/A,#N/A,TRUE,"EE";#N/A,#N/A,TRUE,"AC";#N/A,#N/A,TRUE,"SN"}</definedName>
    <definedName name="summar" hidden="1">{#N/A,#N/A,TRUE,"SUM";#N/A,#N/A,TRUE,"EE";#N/A,#N/A,TRUE,"AC";#N/A,#N/A,TRUE,"SN"}</definedName>
    <definedName name="SUMMARY">#REF!</definedName>
    <definedName name="SUMMARY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PLY">#REF!</definedName>
    <definedName name="Supply_CIF">#REF!</definedName>
    <definedName name="SUPPLY1">#REF!</definedName>
    <definedName name="SUS">[59]작성기준!$C$20</definedName>
    <definedName name="swk" localSheetId="11" hidden="1">'[97]Page 1'!#REF!</definedName>
    <definedName name="swk" localSheetId="1" hidden="1">'[97]Page 1'!#REF!</definedName>
    <definedName name="swk" localSheetId="2" hidden="1">'[97]Page 1'!#REF!</definedName>
    <definedName name="swk" localSheetId="4" hidden="1">'[97]Page 1'!#REF!</definedName>
    <definedName name="swk" localSheetId="19" hidden="1">'[97]Page 1'!#REF!</definedName>
    <definedName name="swk" localSheetId="10" hidden="1">'[97]Page 1'!#REF!</definedName>
    <definedName name="swk" localSheetId="9" hidden="1">'[97]Page 1'!#REF!</definedName>
    <definedName name="swk" localSheetId="8" hidden="1">'[97]Page 1'!#REF!</definedName>
    <definedName name="swk" localSheetId="3" hidden="1">'[97]Page 1'!#REF!</definedName>
    <definedName name="swk" localSheetId="6" hidden="1">'[97]Page 1'!#REF!</definedName>
    <definedName name="swk" localSheetId="7" hidden="1">'[97]Page 1'!#REF!</definedName>
    <definedName name="swk" localSheetId="5" hidden="1">'[97]Page 1'!#REF!</definedName>
    <definedName name="swk" hidden="1">#REF!</definedName>
    <definedName name="SWL_GT" localSheetId="11">'[41]Noise (3)'!$G$77:$P$77</definedName>
    <definedName name="SWL_GT" localSheetId="1">'[41]Noise (3)'!$G$77:$P$77</definedName>
    <definedName name="SWL_GT" localSheetId="2">'[41]Noise (3)'!$G$77:$P$77</definedName>
    <definedName name="SWL_GT" localSheetId="4">'[41]Noise (3)'!$G$77:$P$77</definedName>
    <definedName name="SWL_GT" localSheetId="19">'[41]Noise (3)'!$G$77:$P$77</definedName>
    <definedName name="SWL_GT" localSheetId="10">'[41]Noise (3)'!$G$77:$P$77</definedName>
    <definedName name="SWL_GT" localSheetId="9">'[41]Noise (3)'!$G$77:$P$77</definedName>
    <definedName name="SWL_GT" localSheetId="8">'[41]Noise (3)'!$G$77:$P$77</definedName>
    <definedName name="SWL_GT" localSheetId="3">'[41]Noise (3)'!$G$77:$P$77</definedName>
    <definedName name="SWL_GT" localSheetId="6">'[41]Noise (3)'!$G$77:$P$77</definedName>
    <definedName name="SWL_GT" localSheetId="7">'[41]Noise (3)'!$G$77:$P$77</definedName>
    <definedName name="SWL_GT" localSheetId="5">'[41]Noise (3)'!$G$77:$P$77</definedName>
    <definedName name="SWL_GT">#REF!</definedName>
    <definedName name="Swvu.DETT.._.COSTI." hidden="1">#REF!</definedName>
    <definedName name="Swvu.RIEPIL.." hidden="1">#REF!</definedName>
    <definedName name="SX" localSheetId="18" hidden="1">{#N/A,#N/A,FALSE,"CCTV"}</definedName>
    <definedName name="SX" localSheetId="1" hidden="1">{#N/A,#N/A,FALSE,"CCTV"}</definedName>
    <definedName name="SX" localSheetId="2" hidden="1">{#N/A,#N/A,FALSE,"CCTV"}</definedName>
    <definedName name="SX" localSheetId="4" hidden="1">{#N/A,#N/A,FALSE,"CCTV"}</definedName>
    <definedName name="SX" localSheetId="19" hidden="1">{#N/A,#N/A,FALSE,"CCTV"}</definedName>
    <definedName name="SX" localSheetId="10" hidden="1">{#N/A,#N/A,FALSE,"CCTV"}</definedName>
    <definedName name="SX" localSheetId="9" hidden="1">{#N/A,#N/A,FALSE,"CCTV"}</definedName>
    <definedName name="SX" localSheetId="8" hidden="1">{#N/A,#N/A,FALSE,"CCTV"}</definedName>
    <definedName name="SX" localSheetId="3" hidden="1">{#N/A,#N/A,FALSE,"CCTV"}</definedName>
    <definedName name="SX" localSheetId="6" hidden="1">{#N/A,#N/A,FALSE,"CCTV"}</definedName>
    <definedName name="SX" localSheetId="7" hidden="1">{#N/A,#N/A,FALSE,"CCTV"}</definedName>
    <definedName name="SX" localSheetId="5" hidden="1">{#N/A,#N/A,FALSE,"CCTV"}</definedName>
    <definedName name="SX" hidden="1">{#N/A,#N/A,FALSE,"CCTV"}</definedName>
    <definedName name="sy" localSheetId="18" hidden="1">{"'Liquid'!$A$1:$U$57"}</definedName>
    <definedName name="sy" hidden="1">{"'Liquid'!$A$1:$U$57"}</definedName>
    <definedName name="T">#REF!</definedName>
    <definedName name="T.3" localSheetId="18" hidden="1">{"'Sheet1'!$L$16"}</definedName>
    <definedName name="T.3" localSheetId="11" hidden="1">{"'Sheet1'!$L$16"}</definedName>
    <definedName name="T.3" localSheetId="1" hidden="1">{"'Sheet1'!$L$16"}</definedName>
    <definedName name="T.3" localSheetId="2" hidden="1">{"'Sheet1'!$L$16"}</definedName>
    <definedName name="T.3" localSheetId="12" hidden="1">{"'Sheet1'!$L$16"}</definedName>
    <definedName name="T.3" localSheetId="4" hidden="1">{"'Sheet1'!$L$16"}</definedName>
    <definedName name="T.3" localSheetId="19" hidden="1">{"'Sheet1'!$L$16"}</definedName>
    <definedName name="T.3" localSheetId="10" hidden="1">{"'Sheet1'!$L$16"}</definedName>
    <definedName name="T.3" localSheetId="9" hidden="1">{"'Sheet1'!$L$16"}</definedName>
    <definedName name="T.3" localSheetId="8" hidden="1">{"'Sheet1'!$L$16"}</definedName>
    <definedName name="T.3" localSheetId="3" hidden="1">{"'Sheet1'!$L$16"}</definedName>
    <definedName name="T.3" localSheetId="6" hidden="1">{"'Sheet1'!$L$16"}</definedName>
    <definedName name="T.3" localSheetId="7" hidden="1">{"'Sheet1'!$L$16"}</definedName>
    <definedName name="T.3" localSheetId="5" hidden="1">{"'Sheet1'!$L$16"}</definedName>
    <definedName name="T.3" localSheetId="13" hidden="1">{"'Sheet1'!$L$16"}</definedName>
    <definedName name="T.3" hidden="1">{"'Sheet1'!$L$16"}</definedName>
    <definedName name="T1_">#N/A</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2_">#N/A</definedName>
    <definedName name="T3_">#N/A</definedName>
    <definedName name="T4_">#N/A</definedName>
    <definedName name="TA" localSheetId="18" hidden="1">{#N/A,#N/A,FALSE,"CCTV"}</definedName>
    <definedName name="TA" localSheetId="11" hidden="1">{#N/A,#N/A,FALSE,"CCTV"}</definedName>
    <definedName name="TA" localSheetId="1" hidden="1">{#N/A,#N/A,FALSE,"CCTV"}</definedName>
    <definedName name="TA" localSheetId="2" hidden="1">{#N/A,#N/A,FALSE,"CCTV"}</definedName>
    <definedName name="TA" localSheetId="4" hidden="1">{#N/A,#N/A,FALSE,"CCTV"}</definedName>
    <definedName name="TA" localSheetId="19" hidden="1">{#N/A,#N/A,FALSE,"CCTV"}</definedName>
    <definedName name="TA" localSheetId="10" hidden="1">{#N/A,#N/A,FALSE,"CCTV"}</definedName>
    <definedName name="TA" localSheetId="9" hidden="1">{#N/A,#N/A,FALSE,"CCTV"}</definedName>
    <definedName name="TA" localSheetId="8" hidden="1">{#N/A,#N/A,FALSE,"CCTV"}</definedName>
    <definedName name="TA" localSheetId="3" hidden="1">{#N/A,#N/A,FALSE,"CCTV"}</definedName>
    <definedName name="TA" localSheetId="6" hidden="1">{#N/A,#N/A,FALSE,"CCTV"}</definedName>
    <definedName name="TA" localSheetId="7" hidden="1">{#N/A,#N/A,FALSE,"CCTV"}</definedName>
    <definedName name="TA" localSheetId="5" hidden="1">{#N/A,#N/A,FALSE,"CCTV"}</definedName>
    <definedName name="TA" hidden="1">{#N/A,#N/A,FALSE,"CCTV"}</definedName>
    <definedName name="TAB">#REF!</definedName>
    <definedName name="tabisous">#REF!</definedName>
    <definedName name="table">#REF!</definedName>
    <definedName name="TABLE0">#REF!</definedName>
    <definedName name="table1" localSheetId="1">'[98]SPT vs PHI'!$E$2:$F$47</definedName>
    <definedName name="table1" localSheetId="2">'[98]SPT vs PHI'!$E$2:$F$47</definedName>
    <definedName name="table1" localSheetId="4">'[98]SPT vs PHI'!$E$2:$F$47</definedName>
    <definedName name="table1" localSheetId="19">'[98]SPT vs PHI'!$E$2:$F$47</definedName>
    <definedName name="table1" localSheetId="10">'[98]SPT vs PHI'!$E$2:$F$47</definedName>
    <definedName name="table1" localSheetId="9">'[98]SPT vs PHI'!$E$2:$F$47</definedName>
    <definedName name="table1" localSheetId="8">'[98]SPT vs PHI'!$E$2:$F$47</definedName>
    <definedName name="table1" localSheetId="3">'[98]SPT vs PHI'!$E$2:$F$47</definedName>
    <definedName name="table1" localSheetId="6">'[98]SPT vs PHI'!$E$2:$F$47</definedName>
    <definedName name="table1" localSheetId="7">'[98]SPT vs PHI'!$E$2:$F$47</definedName>
    <definedName name="table1" localSheetId="5">'[98]SPT vs PHI'!$E$2:$F$47</definedName>
    <definedName name="table1">#REF!</definedName>
    <definedName name="table2" localSheetId="11">[99]LP!$D$15:$AO$46</definedName>
    <definedName name="table2" localSheetId="1">[99]LP!$D$15:$AO$46</definedName>
    <definedName name="table2" localSheetId="2">[99]LP!$D$15:$AO$46</definedName>
    <definedName name="table2" localSheetId="4">[99]LP!$D$15:$AO$46</definedName>
    <definedName name="table2" localSheetId="19">[99]LP!$D$15:$AO$46</definedName>
    <definedName name="table2" localSheetId="10">[99]LP!$D$15:$AO$46</definedName>
    <definedName name="table2" localSheetId="9">[99]LP!$D$15:$AO$46</definedName>
    <definedName name="table2" localSheetId="8">[99]LP!$D$15:$AO$46</definedName>
    <definedName name="table2" localSheetId="3">[99]LP!$D$15:$AO$46</definedName>
    <definedName name="table2" localSheetId="6">[99]LP!$D$15:$AO$46</definedName>
    <definedName name="table2" localSheetId="7">[99]LP!$D$15:$AO$46</definedName>
    <definedName name="table2" localSheetId="5">[99]LP!$D$15:$AO$46</definedName>
    <definedName name="table2">#REF!</definedName>
    <definedName name="TABLEAU" localSheetId="11">[100]TAUX!$A$4:$C$14</definedName>
    <definedName name="TABLEAU" localSheetId="1">[100]TAUX!$A$4:$C$14</definedName>
    <definedName name="TABLEAU" localSheetId="2">[100]TAUX!$A$4:$C$14</definedName>
    <definedName name="TABLEAU" localSheetId="4">[100]TAUX!$A$4:$C$14</definedName>
    <definedName name="TABLEAU" localSheetId="19">[100]TAUX!$A$4:$C$14</definedName>
    <definedName name="TABLEAU" localSheetId="10">[100]TAUX!$A$4:$C$14</definedName>
    <definedName name="TABLEAU" localSheetId="9">[100]TAUX!$A$4:$C$14</definedName>
    <definedName name="TABLEAU" localSheetId="8">[100]TAUX!$A$4:$C$14</definedName>
    <definedName name="TABLEAU" localSheetId="3">[100]TAUX!$A$4:$C$14</definedName>
    <definedName name="TABLEAU" localSheetId="6">[100]TAUX!$A$4:$C$14</definedName>
    <definedName name="TABLEAU" localSheetId="7">[100]TAUX!$A$4:$C$14</definedName>
    <definedName name="TABLEAU" localSheetId="5">[100]TAUX!$A$4:$C$14</definedName>
    <definedName name="tableau">#REF!</definedName>
    <definedName name="TableSummary" hidden="1">#REF!</definedName>
    <definedName name="TamdanTB" localSheetId="18" hidden="1">{"'Sheet1'!$L$16"}</definedName>
    <definedName name="TamdanTB" localSheetId="11" hidden="1">{"'Sheet1'!$L$16"}</definedName>
    <definedName name="TamdanTB" localSheetId="1" hidden="1">{"'Sheet1'!$L$16"}</definedName>
    <definedName name="TamdanTB" localSheetId="2" hidden="1">{"'Sheet1'!$L$16"}</definedName>
    <definedName name="TamdanTB" localSheetId="12" hidden="1">{"'Sheet1'!$L$16"}</definedName>
    <definedName name="TamdanTB" localSheetId="4" hidden="1">{"'Sheet1'!$L$16"}</definedName>
    <definedName name="TamdanTB" localSheetId="19" hidden="1">{"'Sheet1'!$L$16"}</definedName>
    <definedName name="TamdanTB" localSheetId="10" hidden="1">{"'Sheet1'!$L$16"}</definedName>
    <definedName name="TamdanTB" localSheetId="9" hidden="1">{"'Sheet1'!$L$16"}</definedName>
    <definedName name="TamdanTB" localSheetId="8" hidden="1">{"'Sheet1'!$L$16"}</definedName>
    <definedName name="TamdanTB" localSheetId="3" hidden="1">{"'Sheet1'!$L$16"}</definedName>
    <definedName name="TamdanTB" localSheetId="6" hidden="1">{"'Sheet1'!$L$16"}</definedName>
    <definedName name="TamdanTB" localSheetId="7" hidden="1">{"'Sheet1'!$L$16"}</definedName>
    <definedName name="TamdanTB" localSheetId="5" hidden="1">{"'Sheet1'!$L$16"}</definedName>
    <definedName name="TamdanTB" localSheetId="13" hidden="1">{"'Sheet1'!$L$16"}</definedName>
    <definedName name="TamdanTB" hidden="1">{"'Sheet1'!$L$16"}</definedName>
    <definedName name="TAN_K" localSheetId="11">[29]Breech_Duct!$B$72</definedName>
    <definedName name="TAN_K" localSheetId="1">[29]Breech_Duct!$B$72</definedName>
    <definedName name="TAN_K" localSheetId="2">[29]Breech_Duct!$B$72</definedName>
    <definedName name="TAN_K" localSheetId="4">[29]Breech_Duct!$B$72</definedName>
    <definedName name="TAN_K" localSheetId="19">[29]Breech_Duct!$B$72</definedName>
    <definedName name="TAN_K" localSheetId="10">[29]Breech_Duct!$B$72</definedName>
    <definedName name="TAN_K" localSheetId="9">[29]Breech_Duct!$B$72</definedName>
    <definedName name="TAN_K" localSheetId="8">[29]Breech_Duct!$B$72</definedName>
    <definedName name="TAN_K" localSheetId="3">[29]Breech_Duct!$B$72</definedName>
    <definedName name="TAN_K" localSheetId="6">[29]Breech_Duct!$B$72</definedName>
    <definedName name="TAN_K" localSheetId="7">[29]Breech_Duct!$B$72</definedName>
    <definedName name="TAN_K" localSheetId="5">[29]Breech_Duct!$B$72</definedName>
    <definedName name="TAN_K">#REF!</definedName>
    <definedName name="TAN_L" localSheetId="11">[29]Breech_Duct!$B$75</definedName>
    <definedName name="TAN_L" localSheetId="1">[29]Breech_Duct!$B$75</definedName>
    <definedName name="TAN_L" localSheetId="2">[29]Breech_Duct!$B$75</definedName>
    <definedName name="TAN_L" localSheetId="4">[29]Breech_Duct!$B$75</definedName>
    <definedName name="TAN_L" localSheetId="19">[29]Breech_Duct!$B$75</definedName>
    <definedName name="TAN_L" localSheetId="10">[29]Breech_Duct!$B$75</definedName>
    <definedName name="TAN_L" localSheetId="9">[29]Breech_Duct!$B$75</definedName>
    <definedName name="TAN_L" localSheetId="8">[29]Breech_Duct!$B$75</definedName>
    <definedName name="TAN_L" localSheetId="3">[29]Breech_Duct!$B$75</definedName>
    <definedName name="TAN_L" localSheetId="6">[29]Breech_Duct!$B$75</definedName>
    <definedName name="TAN_L" localSheetId="7">[29]Breech_Duct!$B$75</definedName>
    <definedName name="TAN_L" localSheetId="5">[29]Breech_Duct!$B$75</definedName>
    <definedName name="TAN_L">#REF!</definedName>
    <definedName name="TAN_P" localSheetId="11">[29]Breech_Duct!$B$79</definedName>
    <definedName name="TAN_P" localSheetId="1">[29]Breech_Duct!$B$79</definedName>
    <definedName name="TAN_P" localSheetId="2">[29]Breech_Duct!$B$79</definedName>
    <definedName name="TAN_P" localSheetId="4">[29]Breech_Duct!$B$79</definedName>
    <definedName name="TAN_P" localSheetId="19">[29]Breech_Duct!$B$79</definedName>
    <definedName name="TAN_P" localSheetId="10">[29]Breech_Duct!$B$79</definedName>
    <definedName name="TAN_P" localSheetId="9">[29]Breech_Duct!$B$79</definedName>
    <definedName name="TAN_P" localSheetId="8">[29]Breech_Duct!$B$79</definedName>
    <definedName name="TAN_P" localSheetId="3">[29]Breech_Duct!$B$79</definedName>
    <definedName name="TAN_P" localSheetId="6">[29]Breech_Duct!$B$79</definedName>
    <definedName name="TAN_P" localSheetId="7">[29]Breech_Duct!$B$79</definedName>
    <definedName name="TAN_P" localSheetId="5">[29]Breech_Duct!$B$79</definedName>
    <definedName name="TAN_P">#REF!</definedName>
    <definedName name="Tax">#REF!</definedName>
    <definedName name="tbao" localSheetId="18" hidden="1">{"'Sheet1'!$L$16"}</definedName>
    <definedName name="tbao" localSheetId="11" hidden="1">{"'Sheet1'!$L$16"}</definedName>
    <definedName name="tbao" localSheetId="1" hidden="1">{"'Sheet1'!$L$16"}</definedName>
    <definedName name="tbao" localSheetId="2" hidden="1">{"'Sheet1'!$L$16"}</definedName>
    <definedName name="tbao" localSheetId="12" hidden="1">{"'Sheet1'!$L$16"}</definedName>
    <definedName name="tbao" localSheetId="4" hidden="1">{"'Sheet1'!$L$16"}</definedName>
    <definedName name="tbao" localSheetId="19" hidden="1">{"'Sheet1'!$L$16"}</definedName>
    <definedName name="tbao" localSheetId="10" hidden="1">{"'Sheet1'!$L$16"}</definedName>
    <definedName name="tbao" localSheetId="9" hidden="1">{"'Sheet1'!$L$16"}</definedName>
    <definedName name="tbao" localSheetId="8" hidden="1">{"'Sheet1'!$L$16"}</definedName>
    <definedName name="tbao" localSheetId="3" hidden="1">{"'Sheet1'!$L$16"}</definedName>
    <definedName name="tbao" localSheetId="6" hidden="1">{"'Sheet1'!$L$16"}</definedName>
    <definedName name="tbao" localSheetId="7" hidden="1">{"'Sheet1'!$L$16"}</definedName>
    <definedName name="tbao" localSheetId="5" hidden="1">{"'Sheet1'!$L$16"}</definedName>
    <definedName name="tbao" localSheetId="13" hidden="1">{"'Sheet1'!$L$16"}</definedName>
    <definedName name="tbao" hidden="1">{"'Sheet1'!$L$16"}</definedName>
    <definedName name="tbl_ProdInfo" localSheetId="12">#REF!</definedName>
    <definedName name="tbl_ProdInfo" localSheetId="13">#REF!</definedName>
    <definedName name="tbl_ProdInfo">#REF!</definedName>
    <definedName name="TBN_GEN_소계">#REF!</definedName>
    <definedName name="tbtram">#REF!</definedName>
    <definedName name="tc">#REF!</definedName>
    <definedName name="TC_NHANH1">#REF!</definedName>
    <definedName name="TCHN" localSheetId="11">[78]Summary!$I$57</definedName>
    <definedName name="TCHN" localSheetId="1">[78]Summary!$I$57</definedName>
    <definedName name="TCHN" localSheetId="2">[78]Summary!$I$57</definedName>
    <definedName name="TCHN" localSheetId="4">[78]Summary!$I$57</definedName>
    <definedName name="TCHN" localSheetId="19">[78]Summary!$I$57</definedName>
    <definedName name="TCHN" localSheetId="10">[78]Summary!$I$57</definedName>
    <definedName name="TCHN" localSheetId="9">[78]Summary!$I$57</definedName>
    <definedName name="TCHN" localSheetId="8">[78]Summary!$I$57</definedName>
    <definedName name="TCHN" localSheetId="3">[78]Summary!$I$57</definedName>
    <definedName name="TCHN" localSheetId="6">[78]Summary!$I$57</definedName>
    <definedName name="TCHN" localSheetId="7">[78]Summary!$I$57</definedName>
    <definedName name="TCHN" localSheetId="5">[78]Summary!$I$57</definedName>
    <definedName name="TCHN">#REF!</definedName>
    <definedName name="ｔｃi">#REF!</definedName>
    <definedName name="td1p">#REF!</definedName>
    <definedName name="td3p">#REF!</definedName>
    <definedName name="TDK">#REF!</definedName>
    <definedName name="tdnc1p">#REF!</definedName>
    <definedName name="tdtr2cnc">#REF!</definedName>
    <definedName name="tdtr2cvl">#REF!</definedName>
    <definedName name="tdvl1p">#REF!</definedName>
    <definedName name="te">#REF!</definedName>
    <definedName name="tech" localSheetId="11">[101]Tech.!$B$6:$V$24</definedName>
    <definedName name="tech" localSheetId="1">[101]Tech.!$B$6:$V$24</definedName>
    <definedName name="tech" localSheetId="2">[101]Tech.!$B$6:$V$24</definedName>
    <definedName name="tech" localSheetId="4">[101]Tech.!$B$6:$V$24</definedName>
    <definedName name="tech" localSheetId="19">[101]Tech.!$B$6:$V$24</definedName>
    <definedName name="tech" localSheetId="10">[101]Tech.!$B$6:$V$24</definedName>
    <definedName name="tech" localSheetId="9">[101]Tech.!$B$6:$V$24</definedName>
    <definedName name="tech" localSheetId="8">[101]Tech.!$B$6:$V$24</definedName>
    <definedName name="tech" localSheetId="3">[101]Tech.!$B$6:$V$24</definedName>
    <definedName name="tech" localSheetId="6">[101]Tech.!$B$6:$V$24</definedName>
    <definedName name="tech" localSheetId="7">[101]Tech.!$B$6:$V$24</definedName>
    <definedName name="tech" localSheetId="5">[101]Tech.!$B$6:$V$24</definedName>
    <definedName name="tech">#REF!</definedName>
    <definedName name="TElecHours" localSheetId="11">'[51]Labor Sum'!$C$24</definedName>
    <definedName name="TElecHours" localSheetId="1">'[51]Labor Sum'!$C$24</definedName>
    <definedName name="TElecHours" localSheetId="2">'[51]Labor Sum'!$C$24</definedName>
    <definedName name="TElecHours" localSheetId="4">'[51]Labor Sum'!$C$24</definedName>
    <definedName name="TElecHours" localSheetId="19">'[51]Labor Sum'!$C$24</definedName>
    <definedName name="TElecHours" localSheetId="10">'[51]Labor Sum'!$C$24</definedName>
    <definedName name="TElecHours" localSheetId="9">'[51]Labor Sum'!$C$24</definedName>
    <definedName name="TElecHours" localSheetId="8">'[51]Labor Sum'!$C$24</definedName>
    <definedName name="TElecHours" localSheetId="3">'[51]Labor Sum'!$C$24</definedName>
    <definedName name="TElecHours" localSheetId="6">'[51]Labor Sum'!$C$24</definedName>
    <definedName name="TElecHours" localSheetId="7">'[51]Labor Sum'!$C$24</definedName>
    <definedName name="TElecHours" localSheetId="5">'[51]Labor Sum'!$C$24</definedName>
    <definedName name="TElecHours">#REF!</definedName>
    <definedName name="TElectLabor" localSheetId="11">'[51]Labor Sum'!#REF!</definedName>
    <definedName name="TElectLabor" localSheetId="1">'[51]Labor Sum'!#REF!</definedName>
    <definedName name="TElectLabor" localSheetId="2">'[51]Labor Sum'!#REF!</definedName>
    <definedName name="TElectLabor" localSheetId="4">'[51]Labor Sum'!#REF!</definedName>
    <definedName name="TElectLabor" localSheetId="19">'[51]Labor Sum'!#REF!</definedName>
    <definedName name="TElectLabor" localSheetId="10">'[51]Labor Sum'!#REF!</definedName>
    <definedName name="TElectLabor" localSheetId="9">'[51]Labor Sum'!#REF!</definedName>
    <definedName name="TElectLabor" localSheetId="8">'[51]Labor Sum'!#REF!</definedName>
    <definedName name="TElectLabor" localSheetId="3">'[51]Labor Sum'!#REF!</definedName>
    <definedName name="TElectLabor" localSheetId="6">'[51]Labor Sum'!#REF!</definedName>
    <definedName name="TElectLabor" localSheetId="7">'[51]Labor Sum'!#REF!</definedName>
    <definedName name="TElectLabor" localSheetId="5">'[51]Labor Sum'!#REF!</definedName>
    <definedName name="TElectLabor">#REF!</definedName>
    <definedName name="tem" localSheetId="16" hidden="1">{"'Sheet1'!$L$16"}</definedName>
    <definedName name="tem" localSheetId="18" hidden="1">{"'Sheet1'!$L$16"}</definedName>
    <definedName name="tem" localSheetId="11" hidden="1">{"'Sheet1'!$L$16"}</definedName>
    <definedName name="tem" localSheetId="1" hidden="1">{"'Sheet1'!$L$16"}</definedName>
    <definedName name="tem" localSheetId="2" hidden="1">{"'Sheet1'!$L$16"}</definedName>
    <definedName name="tem" localSheetId="17" hidden="1">{"'Sheet1'!$L$16"}</definedName>
    <definedName name="tem" localSheetId="12" hidden="1">{"'Sheet1'!$L$16"}</definedName>
    <definedName name="tem" localSheetId="4" hidden="1">{"'Sheet1'!$L$16"}</definedName>
    <definedName name="tem" localSheetId="19" hidden="1">{"'Sheet1'!$L$16"}</definedName>
    <definedName name="tem" localSheetId="10" hidden="1">{"'Sheet1'!$L$16"}</definedName>
    <definedName name="tem" localSheetId="9" hidden="1">{"'Sheet1'!$L$16"}</definedName>
    <definedName name="tem" localSheetId="8" hidden="1">{"'Sheet1'!$L$16"}</definedName>
    <definedName name="tem" localSheetId="3" hidden="1">{"'Sheet1'!$L$16"}</definedName>
    <definedName name="tem" localSheetId="6" hidden="1">{"'Sheet1'!$L$16"}</definedName>
    <definedName name="tem" localSheetId="7" hidden="1">{"'Sheet1'!$L$16"}</definedName>
    <definedName name="tem" localSheetId="5" hidden="1">{"'Sheet1'!$L$16"}</definedName>
    <definedName name="tem" localSheetId="13" hidden="1">{"'Sheet1'!$L$16"}</definedName>
    <definedName name="tem" hidden="1">{"'Sheet1'!$L$16"}</definedName>
    <definedName name="TEMA_09">[32]Tables!$B$28:$AA$31</definedName>
    <definedName name="temp" localSheetId="18" hidden="1">{"'Break down'!$A$4"}</definedName>
    <definedName name="TEMP" localSheetId="11">[52]PipeSummary!$AJ$10:$AO$10</definedName>
    <definedName name="TEMP" localSheetId="1">[52]PipeSummary!$AJ$10:$AO$10</definedName>
    <definedName name="TEMP" localSheetId="2">[52]PipeSummary!$AJ$10:$AO$10</definedName>
    <definedName name="TEMP" localSheetId="4">[52]PipeSummary!$AJ$10:$AO$10</definedName>
    <definedName name="TEMP" localSheetId="19">[52]PipeSummary!$AJ$10:$AO$10</definedName>
    <definedName name="TEMP" localSheetId="10">[52]PipeSummary!$AJ$10:$AO$10</definedName>
    <definedName name="TEMP" localSheetId="9">[52]PipeSummary!$AJ$10:$AO$10</definedName>
    <definedName name="TEMP" localSheetId="8">[52]PipeSummary!$AJ$10:$AO$10</definedName>
    <definedName name="TEMP" localSheetId="3">[52]PipeSummary!$AJ$10:$AO$10</definedName>
    <definedName name="TEMP" localSheetId="6">[52]PipeSummary!$AJ$10:$AO$10</definedName>
    <definedName name="TEMP" localSheetId="7">[52]PipeSummary!$AJ$10:$AO$10</definedName>
    <definedName name="TEMP" localSheetId="5">[52]PipeSummary!$AJ$10:$AO$10</definedName>
    <definedName name="temp" hidden="1">{"'Break down'!$A$4"}</definedName>
    <definedName name="Temperatura">#REF!</definedName>
    <definedName name="Temperaturklasse">#REF!</definedName>
    <definedName name="TempUnit">#REF!</definedName>
    <definedName name="teri" localSheetId="18" hidden="1">{#N/A,#N/A,TRUE,"Basic";#N/A,#N/A,TRUE,"EXT-TABLE";#N/A,#N/A,TRUE,"STEEL";#N/A,#N/A,TRUE,"INT-Table";#N/A,#N/A,TRUE,"STEEL";#N/A,#N/A,TRUE,"Door"}</definedName>
    <definedName name="teri" hidden="1">{#N/A,#N/A,TRUE,"Basic";#N/A,#N/A,TRUE,"EXT-TABLE";#N/A,#N/A,TRUE,"STEEL";#N/A,#N/A,TRUE,"INT-Table";#N/A,#N/A,TRUE,"STEEL";#N/A,#N/A,TRUE,"Door"}</definedName>
    <definedName name="teri_1" localSheetId="18" hidden="1">{#N/A,#N/A,TRUE,"Basic";#N/A,#N/A,TRUE,"EXT-TABLE";#N/A,#N/A,TRUE,"STEEL";#N/A,#N/A,TRUE,"INT-Table";#N/A,#N/A,TRUE,"STEEL";#N/A,#N/A,TRUE,"Door"}</definedName>
    <definedName name="teri_1" hidden="1">{#N/A,#N/A,TRUE,"Basic";#N/A,#N/A,TRUE,"EXT-TABLE";#N/A,#N/A,TRUE,"STEEL";#N/A,#N/A,TRUE,"INT-Table";#N/A,#N/A,TRUE,"STEEL";#N/A,#N/A,TRUE,"Door"}</definedName>
    <definedName name="teri_1_1" localSheetId="18" hidden="1">{#N/A,#N/A,TRUE,"Basic";#N/A,#N/A,TRUE,"EXT-TABLE";#N/A,#N/A,TRUE,"STEEL";#N/A,#N/A,TRUE,"INT-Table";#N/A,#N/A,TRUE,"STEEL";#N/A,#N/A,TRUE,"Door"}</definedName>
    <definedName name="teri_1_1" hidden="1">{#N/A,#N/A,TRUE,"Basic";#N/A,#N/A,TRUE,"EXT-TABLE";#N/A,#N/A,TRUE,"STEEL";#N/A,#N/A,TRUE,"INT-Table";#N/A,#N/A,TRUE,"STEEL";#N/A,#N/A,TRUE,"Door"}</definedName>
    <definedName name="teri_1_2" localSheetId="18" hidden="1">{#N/A,#N/A,TRUE,"Basic";#N/A,#N/A,TRUE,"EXT-TABLE";#N/A,#N/A,TRUE,"STEEL";#N/A,#N/A,TRUE,"INT-Table";#N/A,#N/A,TRUE,"STEEL";#N/A,#N/A,TRUE,"Door"}</definedName>
    <definedName name="teri_1_2" hidden="1">{#N/A,#N/A,TRUE,"Basic";#N/A,#N/A,TRUE,"EXT-TABLE";#N/A,#N/A,TRUE,"STEEL";#N/A,#N/A,TRUE,"INT-Table";#N/A,#N/A,TRUE,"STEEL";#N/A,#N/A,TRUE,"Door"}</definedName>
    <definedName name="teri_2" localSheetId="18" hidden="1">{#N/A,#N/A,TRUE,"Basic";#N/A,#N/A,TRUE,"EXT-TABLE";#N/A,#N/A,TRUE,"STEEL";#N/A,#N/A,TRUE,"INT-Table";#N/A,#N/A,TRUE,"STEEL";#N/A,#N/A,TRUE,"Door"}</definedName>
    <definedName name="teri_2" hidden="1">{#N/A,#N/A,TRUE,"Basic";#N/A,#N/A,TRUE,"EXT-TABLE";#N/A,#N/A,TRUE,"STEEL";#N/A,#N/A,TRUE,"INT-Table";#N/A,#N/A,TRUE,"STEEL";#N/A,#N/A,TRUE,"Door"}</definedName>
    <definedName name="teri_2_1" localSheetId="18" hidden="1">{#N/A,#N/A,TRUE,"Basic";#N/A,#N/A,TRUE,"EXT-TABLE";#N/A,#N/A,TRUE,"STEEL";#N/A,#N/A,TRUE,"INT-Table";#N/A,#N/A,TRUE,"STEEL";#N/A,#N/A,TRUE,"Door"}</definedName>
    <definedName name="teri_2_1" hidden="1">{#N/A,#N/A,TRUE,"Basic";#N/A,#N/A,TRUE,"EXT-TABLE";#N/A,#N/A,TRUE,"STEEL";#N/A,#N/A,TRUE,"INT-Table";#N/A,#N/A,TRUE,"STEEL";#N/A,#N/A,TRUE,"Door"}</definedName>
    <definedName name="teri_2_2" localSheetId="18" hidden="1">{#N/A,#N/A,TRUE,"Basic";#N/A,#N/A,TRUE,"EXT-TABLE";#N/A,#N/A,TRUE,"STEEL";#N/A,#N/A,TRUE,"INT-Table";#N/A,#N/A,TRUE,"STEEL";#N/A,#N/A,TRUE,"Door"}</definedName>
    <definedName name="teri_2_2" hidden="1">{#N/A,#N/A,TRUE,"Basic";#N/A,#N/A,TRUE,"EXT-TABLE";#N/A,#N/A,TRUE,"STEEL";#N/A,#N/A,TRUE,"INT-Table";#N/A,#N/A,TRUE,"STEEL";#N/A,#N/A,TRUE,"Door"}</definedName>
    <definedName name="teri_3" localSheetId="18" hidden="1">{#N/A,#N/A,TRUE,"Basic";#N/A,#N/A,TRUE,"EXT-TABLE";#N/A,#N/A,TRUE,"STEEL";#N/A,#N/A,TRUE,"INT-Table";#N/A,#N/A,TRUE,"STEEL";#N/A,#N/A,TRUE,"Door"}</definedName>
    <definedName name="teri_3" hidden="1">{#N/A,#N/A,TRUE,"Basic";#N/A,#N/A,TRUE,"EXT-TABLE";#N/A,#N/A,TRUE,"STEEL";#N/A,#N/A,TRUE,"INT-Table";#N/A,#N/A,TRUE,"STEEL";#N/A,#N/A,TRUE,"Door"}</definedName>
    <definedName name="teri_3_1" localSheetId="18" hidden="1">{#N/A,#N/A,TRUE,"Basic";#N/A,#N/A,TRUE,"EXT-TABLE";#N/A,#N/A,TRUE,"STEEL";#N/A,#N/A,TRUE,"INT-Table";#N/A,#N/A,TRUE,"STEEL";#N/A,#N/A,TRUE,"Door"}</definedName>
    <definedName name="teri_3_1" hidden="1">{#N/A,#N/A,TRUE,"Basic";#N/A,#N/A,TRUE,"EXT-TABLE";#N/A,#N/A,TRUE,"STEEL";#N/A,#N/A,TRUE,"INT-Table";#N/A,#N/A,TRUE,"STEEL";#N/A,#N/A,TRUE,"Door"}</definedName>
    <definedName name="teri_3_2" localSheetId="18" hidden="1">{#N/A,#N/A,TRUE,"Basic";#N/A,#N/A,TRUE,"EXT-TABLE";#N/A,#N/A,TRUE,"STEEL";#N/A,#N/A,TRUE,"INT-Table";#N/A,#N/A,TRUE,"STEEL";#N/A,#N/A,TRUE,"Door"}</definedName>
    <definedName name="teri_3_2" hidden="1">{#N/A,#N/A,TRUE,"Basic";#N/A,#N/A,TRUE,"EXT-TABLE";#N/A,#N/A,TRUE,"STEEL";#N/A,#N/A,TRUE,"INT-Table";#N/A,#N/A,TRUE,"STEEL";#N/A,#N/A,TRUE,"Door"}</definedName>
    <definedName name="teri_4" localSheetId="18" hidden="1">{#N/A,#N/A,TRUE,"Basic";#N/A,#N/A,TRUE,"EXT-TABLE";#N/A,#N/A,TRUE,"STEEL";#N/A,#N/A,TRUE,"INT-Table";#N/A,#N/A,TRUE,"STEEL";#N/A,#N/A,TRUE,"Door"}</definedName>
    <definedName name="teri_4" hidden="1">{#N/A,#N/A,TRUE,"Basic";#N/A,#N/A,TRUE,"EXT-TABLE";#N/A,#N/A,TRUE,"STEEL";#N/A,#N/A,TRUE,"INT-Table";#N/A,#N/A,TRUE,"STEEL";#N/A,#N/A,TRUE,"Door"}</definedName>
    <definedName name="teri_4_1" localSheetId="18" hidden="1">{#N/A,#N/A,TRUE,"Basic";#N/A,#N/A,TRUE,"EXT-TABLE";#N/A,#N/A,TRUE,"STEEL";#N/A,#N/A,TRUE,"INT-Table";#N/A,#N/A,TRUE,"STEEL";#N/A,#N/A,TRUE,"Door"}</definedName>
    <definedName name="teri_4_1" hidden="1">{#N/A,#N/A,TRUE,"Basic";#N/A,#N/A,TRUE,"EXT-TABLE";#N/A,#N/A,TRUE,"STEEL";#N/A,#N/A,TRUE,"INT-Table";#N/A,#N/A,TRUE,"STEEL";#N/A,#N/A,TRUE,"Door"}</definedName>
    <definedName name="teri_4_2" localSheetId="18" hidden="1">{#N/A,#N/A,TRUE,"Basic";#N/A,#N/A,TRUE,"EXT-TABLE";#N/A,#N/A,TRUE,"STEEL";#N/A,#N/A,TRUE,"INT-Table";#N/A,#N/A,TRUE,"STEEL";#N/A,#N/A,TRUE,"Door"}</definedName>
    <definedName name="teri_4_2" hidden="1">{#N/A,#N/A,TRUE,"Basic";#N/A,#N/A,TRUE,"EXT-TABLE";#N/A,#N/A,TRUE,"STEEL";#N/A,#N/A,TRUE,"INT-Table";#N/A,#N/A,TRUE,"STEEL";#N/A,#N/A,TRUE,"Door"}</definedName>
    <definedName name="teri_5" localSheetId="18" hidden="1">{#N/A,#N/A,TRUE,"Basic";#N/A,#N/A,TRUE,"EXT-TABLE";#N/A,#N/A,TRUE,"STEEL";#N/A,#N/A,TRUE,"INT-Table";#N/A,#N/A,TRUE,"STEEL";#N/A,#N/A,TRUE,"Door"}</definedName>
    <definedName name="teri_5" hidden="1">{#N/A,#N/A,TRUE,"Basic";#N/A,#N/A,TRUE,"EXT-TABLE";#N/A,#N/A,TRUE,"STEEL";#N/A,#N/A,TRUE,"INT-Table";#N/A,#N/A,TRUE,"STEEL";#N/A,#N/A,TRUE,"Door"}</definedName>
    <definedName name="teri_5_1" localSheetId="18" hidden="1">{#N/A,#N/A,TRUE,"Basic";#N/A,#N/A,TRUE,"EXT-TABLE";#N/A,#N/A,TRUE,"STEEL";#N/A,#N/A,TRUE,"INT-Table";#N/A,#N/A,TRUE,"STEEL";#N/A,#N/A,TRUE,"Door"}</definedName>
    <definedName name="teri_5_1" hidden="1">{#N/A,#N/A,TRUE,"Basic";#N/A,#N/A,TRUE,"EXT-TABLE";#N/A,#N/A,TRUE,"STEEL";#N/A,#N/A,TRUE,"INT-Table";#N/A,#N/A,TRUE,"STEEL";#N/A,#N/A,TRUE,"Door"}</definedName>
    <definedName name="teri_5_2" localSheetId="18" hidden="1">{#N/A,#N/A,TRUE,"Basic";#N/A,#N/A,TRUE,"EXT-TABLE";#N/A,#N/A,TRUE,"STEEL";#N/A,#N/A,TRUE,"INT-Table";#N/A,#N/A,TRUE,"STEEL";#N/A,#N/A,TRUE,"Door"}</definedName>
    <definedName name="teri_5_2" hidden="1">{#N/A,#N/A,TRUE,"Basic";#N/A,#N/A,TRUE,"EXT-TABLE";#N/A,#N/A,TRUE,"STEEL";#N/A,#N/A,TRUE,"INT-Table";#N/A,#N/A,TRUE,"STEEL";#N/A,#N/A,TRUE,"Door"}</definedName>
    <definedName name="test">#REF!</definedName>
    <definedName name="testing" localSheetId="11" hidden="1">[102]BM!#REF!</definedName>
    <definedName name="testing" localSheetId="1" hidden="1">[102]BM!#REF!</definedName>
    <definedName name="testing" localSheetId="2" hidden="1">[102]BM!#REF!</definedName>
    <definedName name="testing" localSheetId="4" hidden="1">[102]BM!#REF!</definedName>
    <definedName name="testing" localSheetId="19" hidden="1">[102]BM!#REF!</definedName>
    <definedName name="testing" localSheetId="10" hidden="1">[102]BM!#REF!</definedName>
    <definedName name="testing" localSheetId="9" hidden="1">[102]BM!#REF!</definedName>
    <definedName name="testing" localSheetId="8" hidden="1">[102]BM!#REF!</definedName>
    <definedName name="testing" localSheetId="3" hidden="1">[102]BM!#REF!</definedName>
    <definedName name="testing" localSheetId="6" hidden="1">[102]BM!#REF!</definedName>
    <definedName name="testing" localSheetId="7" hidden="1">[102]BM!#REF!</definedName>
    <definedName name="testing" localSheetId="5" hidden="1">[102]BM!#REF!</definedName>
    <definedName name="testing" hidden="1">#REF!</definedName>
    <definedName name="TEWGDSGVDSFGVDSVGSD" localSheetId="18" hidden="1">{#N/A,#N/A,FALSE,"운반시간"}</definedName>
    <definedName name="TEWGDSGVDSFGVDSVGSD" hidden="1">{#N/A,#N/A,FALSE,"운반시간"}</definedName>
    <definedName name="TEWR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localSheetId="11" hidden="1">{#N/A,#N/A,FALSE,"CCTV"}</definedName>
    <definedName name="TG" localSheetId="1" hidden="1">{#N/A,#N/A,FALSE,"CCTV"}</definedName>
    <definedName name="TG" localSheetId="2" hidden="1">{#N/A,#N/A,FALSE,"CCTV"}</definedName>
    <definedName name="TG" localSheetId="4" hidden="1">{#N/A,#N/A,FALSE,"CCTV"}</definedName>
    <definedName name="TG" localSheetId="19" hidden="1">{#N/A,#N/A,FALSE,"CCTV"}</definedName>
    <definedName name="TG" localSheetId="10" hidden="1">{#N/A,#N/A,FALSE,"CCTV"}</definedName>
    <definedName name="TG" localSheetId="9" hidden="1">{#N/A,#N/A,FALSE,"CCTV"}</definedName>
    <definedName name="TG" localSheetId="8" hidden="1">{#N/A,#N/A,FALSE,"CCTV"}</definedName>
    <definedName name="TG" localSheetId="3" hidden="1">{#N/A,#N/A,FALSE,"CCTV"}</definedName>
    <definedName name="TG" localSheetId="6" hidden="1">{#N/A,#N/A,FALSE,"CCTV"}</definedName>
    <definedName name="TG" localSheetId="7" hidden="1">{#N/A,#N/A,FALSE,"CCTV"}</definedName>
    <definedName name="TG" localSheetId="5" hidden="1">{#N/A,#N/A,FALSE,"CCTV"}</definedName>
    <definedName name="TG">#REF!</definedName>
    <definedName name="tha" localSheetId="18" hidden="1">{"'Sheet1'!$L$16"}</definedName>
    <definedName name="tha" localSheetId="11" hidden="1">{"'Sheet1'!$L$16"}</definedName>
    <definedName name="tha" localSheetId="1" hidden="1">{"'Sheet1'!$L$16"}</definedName>
    <definedName name="tha" localSheetId="2" hidden="1">{"'Sheet1'!$L$16"}</definedName>
    <definedName name="tha" localSheetId="12" hidden="1">{"'Sheet1'!$L$16"}</definedName>
    <definedName name="tha" localSheetId="4" hidden="1">{"'Sheet1'!$L$16"}</definedName>
    <definedName name="tha" localSheetId="19" hidden="1">{"'Sheet1'!$L$16"}</definedName>
    <definedName name="tha" localSheetId="10" hidden="1">{"'Sheet1'!$L$16"}</definedName>
    <definedName name="tha" localSheetId="9" hidden="1">{"'Sheet1'!$L$16"}</definedName>
    <definedName name="tha" localSheetId="8" hidden="1">{"'Sheet1'!$L$16"}</definedName>
    <definedName name="tha" localSheetId="3" hidden="1">{"'Sheet1'!$L$16"}</definedName>
    <definedName name="tha" localSheetId="6" hidden="1">{"'Sheet1'!$L$16"}</definedName>
    <definedName name="tha" localSheetId="7" hidden="1">{"'Sheet1'!$L$16"}</definedName>
    <definedName name="tha" localSheetId="5" hidden="1">{"'Sheet1'!$L$16"}</definedName>
    <definedName name="tha" localSheetId="13" hidden="1">{"'Sheet1'!$L$16"}</definedName>
    <definedName name="tha" hidden="1">{"'Sheet1'!$L$16"}</definedName>
    <definedName name="THA_">#REF!</definedName>
    <definedName name="Thang1" localSheetId="18" hidden="1">{"'Sheet1'!$L$16"}</definedName>
    <definedName name="Thang1" localSheetId="11" hidden="1">{"'Sheet1'!$L$16"}</definedName>
    <definedName name="Thang1" localSheetId="1" hidden="1">{"'Sheet1'!$L$16"}</definedName>
    <definedName name="Thang1" localSheetId="2" hidden="1">{"'Sheet1'!$L$16"}</definedName>
    <definedName name="Thang1" localSheetId="12" hidden="1">{"'Sheet1'!$L$16"}</definedName>
    <definedName name="Thang1" localSheetId="4" hidden="1">{"'Sheet1'!$L$16"}</definedName>
    <definedName name="Thang1" localSheetId="19" hidden="1">{"'Sheet1'!$L$16"}</definedName>
    <definedName name="Thang1" localSheetId="10" hidden="1">{"'Sheet1'!$L$16"}</definedName>
    <definedName name="Thang1" localSheetId="9" hidden="1">{"'Sheet1'!$L$16"}</definedName>
    <definedName name="Thang1" localSheetId="8" hidden="1">{"'Sheet1'!$L$16"}</definedName>
    <definedName name="Thang1" localSheetId="3" hidden="1">{"'Sheet1'!$L$16"}</definedName>
    <definedName name="Thang1" localSheetId="6" hidden="1">{"'Sheet1'!$L$16"}</definedName>
    <definedName name="Thang1" localSheetId="7" hidden="1">{"'Sheet1'!$L$16"}</definedName>
    <definedName name="Thang1" localSheetId="5" hidden="1">{"'Sheet1'!$L$16"}</definedName>
    <definedName name="Thang1" localSheetId="13" hidden="1">{"'Sheet1'!$L$16"}</definedName>
    <definedName name="Thang1" hidden="1">{"'Sheet1'!$L$16"}</definedName>
    <definedName name="thang10" localSheetId="18" hidden="1">{"'Sheet1'!$L$16"}</definedName>
    <definedName name="thang10" localSheetId="11" hidden="1">{"'Sheet1'!$L$16"}</definedName>
    <definedName name="thang10" localSheetId="1" hidden="1">{"'Sheet1'!$L$16"}</definedName>
    <definedName name="thang10" localSheetId="2" hidden="1">{"'Sheet1'!$L$16"}</definedName>
    <definedName name="thang10" localSheetId="12" hidden="1">{"'Sheet1'!$L$16"}</definedName>
    <definedName name="thang10" localSheetId="4" hidden="1">{"'Sheet1'!$L$16"}</definedName>
    <definedName name="thang10" localSheetId="19" hidden="1">{"'Sheet1'!$L$16"}</definedName>
    <definedName name="thang10" localSheetId="10" hidden="1">{"'Sheet1'!$L$16"}</definedName>
    <definedName name="thang10" localSheetId="9" hidden="1">{"'Sheet1'!$L$16"}</definedName>
    <definedName name="thang10" localSheetId="8" hidden="1">{"'Sheet1'!$L$16"}</definedName>
    <definedName name="thang10" localSheetId="3" hidden="1">{"'Sheet1'!$L$16"}</definedName>
    <definedName name="thang10" localSheetId="6" hidden="1">{"'Sheet1'!$L$16"}</definedName>
    <definedName name="thang10" localSheetId="7" hidden="1">{"'Sheet1'!$L$16"}</definedName>
    <definedName name="thang10" localSheetId="5" hidden="1">{"'Sheet1'!$L$16"}</definedName>
    <definedName name="thang10" localSheetId="13" hidden="1">{"'Sheet1'!$L$16"}</definedName>
    <definedName name="thang10" hidden="1">{"'Sheet1'!$L$16"}</definedName>
    <definedName name="thanh" localSheetId="18" hidden="1">{"'Sheet1'!$L$16"}</definedName>
    <definedName name="thanh" localSheetId="11" hidden="1">{"'Sheet1'!$L$16"}</definedName>
    <definedName name="thanh" localSheetId="1" hidden="1">{"'Sheet1'!$L$16"}</definedName>
    <definedName name="thanh" localSheetId="2" hidden="1">{"'Sheet1'!$L$16"}</definedName>
    <definedName name="thanh" localSheetId="12" hidden="1">{"'Sheet1'!$L$16"}</definedName>
    <definedName name="thanh" localSheetId="4" hidden="1">{"'Sheet1'!$L$16"}</definedName>
    <definedName name="thanh" localSheetId="19" hidden="1">{"'Sheet1'!$L$16"}</definedName>
    <definedName name="thanh" localSheetId="10" hidden="1">{"'Sheet1'!$L$16"}</definedName>
    <definedName name="thanh" localSheetId="9" hidden="1">{"'Sheet1'!$L$16"}</definedName>
    <definedName name="thanh" localSheetId="8" hidden="1">{"'Sheet1'!$L$16"}</definedName>
    <definedName name="thanh" localSheetId="3" hidden="1">{"'Sheet1'!$L$16"}</definedName>
    <definedName name="thanh" localSheetId="6" hidden="1">{"'Sheet1'!$L$16"}</definedName>
    <definedName name="thanh" localSheetId="7" hidden="1">{"'Sheet1'!$L$16"}</definedName>
    <definedName name="thanh" localSheetId="5" hidden="1">{"'Sheet1'!$L$16"}</definedName>
    <definedName name="thanh" localSheetId="13" hidden="1">{"'Sheet1'!$L$16"}</definedName>
    <definedName name="thanh" hidden="1">{"'Sheet1'!$L$16"}</definedName>
    <definedName name="thao" localSheetId="18" hidden="1">{"'Sheet1'!$L$16"}</definedName>
    <definedName name="thao" localSheetId="11" hidden="1">{"'Sheet1'!$L$16"}</definedName>
    <definedName name="thao" localSheetId="1" hidden="1">{"'Sheet1'!$L$16"}</definedName>
    <definedName name="thao" localSheetId="2" hidden="1">{"'Sheet1'!$L$16"}</definedName>
    <definedName name="thao" localSheetId="12" hidden="1">{"'Sheet1'!$L$16"}</definedName>
    <definedName name="thao" localSheetId="4" hidden="1">{"'Sheet1'!$L$16"}</definedName>
    <definedName name="thao" localSheetId="19" hidden="1">{"'Sheet1'!$L$16"}</definedName>
    <definedName name="thao" localSheetId="10" hidden="1">{"'Sheet1'!$L$16"}</definedName>
    <definedName name="thao" localSheetId="9" hidden="1">{"'Sheet1'!$L$16"}</definedName>
    <definedName name="thao" localSheetId="8" hidden="1">{"'Sheet1'!$L$16"}</definedName>
    <definedName name="thao" localSheetId="3" hidden="1">{"'Sheet1'!$L$16"}</definedName>
    <definedName name="thao" localSheetId="6" hidden="1">{"'Sheet1'!$L$16"}</definedName>
    <definedName name="thao" localSheetId="7" hidden="1">{"'Sheet1'!$L$16"}</definedName>
    <definedName name="thao" localSheetId="5" hidden="1">{"'Sheet1'!$L$16"}</definedName>
    <definedName name="thao" localSheetId="13" hidden="1">{"'Sheet1'!$L$16"}</definedName>
    <definedName name="thao" hidden="1">{"'Sheet1'!$L$16"}</definedName>
    <definedName name="THGO1pnc">#REF!</definedName>
    <definedName name="thht">#REF!</definedName>
    <definedName name="THI">#REF!</definedName>
    <definedName name="Thick">#REF!</definedName>
    <definedName name="Thirty2nds">#REF!</definedName>
    <definedName name="Thk_Splitters" localSheetId="11">'[41]Noise (3)'!$C$39</definedName>
    <definedName name="Thk_Splitters" localSheetId="1">'[41]Noise (3)'!$C$39</definedName>
    <definedName name="Thk_Splitters" localSheetId="2">'[41]Noise (3)'!$C$39</definedName>
    <definedName name="Thk_Splitters" localSheetId="4">'[41]Noise (3)'!$C$39</definedName>
    <definedName name="Thk_Splitters" localSheetId="19">'[41]Noise (3)'!$C$39</definedName>
    <definedName name="Thk_Splitters" localSheetId="10">'[41]Noise (3)'!$C$39</definedName>
    <definedName name="Thk_Splitters" localSheetId="9">'[41]Noise (3)'!$C$39</definedName>
    <definedName name="Thk_Splitters" localSheetId="8">'[41]Noise (3)'!$C$39</definedName>
    <definedName name="Thk_Splitters" localSheetId="3">'[41]Noise (3)'!$C$39</definedName>
    <definedName name="Thk_Splitters" localSheetId="6">'[41]Noise (3)'!$C$39</definedName>
    <definedName name="Thk_Splitters" localSheetId="7">'[41]Noise (3)'!$C$39</definedName>
    <definedName name="Thk_Splitters" localSheetId="5">'[41]Noise (3)'!$C$39</definedName>
    <definedName name="Thk_Splitters">#REF!</definedName>
    <definedName name="thkp3">#REF!</definedName>
    <definedName name="THKP7YT" localSheetId="18" hidden="1">{"'Sheet1'!$L$16"}</definedName>
    <definedName name="THKP7YT" localSheetId="11" hidden="1">{"'Sheet1'!$L$16"}</definedName>
    <definedName name="THKP7YT" localSheetId="1" hidden="1">{"'Sheet1'!$L$16"}</definedName>
    <definedName name="THKP7YT" localSheetId="2" hidden="1">{"'Sheet1'!$L$16"}</definedName>
    <definedName name="THKP7YT" localSheetId="12" hidden="1">{"'Sheet1'!$L$16"}</definedName>
    <definedName name="THKP7YT" localSheetId="4" hidden="1">{"'Sheet1'!$L$16"}</definedName>
    <definedName name="THKP7YT" localSheetId="19" hidden="1">{"'Sheet1'!$L$16"}</definedName>
    <definedName name="THKP7YT" localSheetId="10" hidden="1">{"'Sheet1'!$L$16"}</definedName>
    <definedName name="THKP7YT" localSheetId="9" hidden="1">{"'Sheet1'!$L$16"}</definedName>
    <definedName name="THKP7YT" localSheetId="8" hidden="1">{"'Sheet1'!$L$16"}</definedName>
    <definedName name="THKP7YT" localSheetId="3" hidden="1">{"'Sheet1'!$L$16"}</definedName>
    <definedName name="THKP7YT" localSheetId="6" hidden="1">{"'Sheet1'!$L$16"}</definedName>
    <definedName name="THKP7YT" localSheetId="7" hidden="1">{"'Sheet1'!$L$16"}</definedName>
    <definedName name="THKP7YT" localSheetId="5" hidden="1">{"'Sheet1'!$L$16"}</definedName>
    <definedName name="THKP7YT" localSheetId="13" hidden="1">{"'Sheet1'!$L$16"}</definedName>
    <definedName name="THKP7YT" hidden="1">{"'Sheet1'!$L$16"}</definedName>
    <definedName name="thtt">#REF!</definedName>
    <definedName name="thu" localSheetId="18" hidden="1">{"'Sheet1'!$L$16"}</definedName>
    <definedName name="thu" localSheetId="11" hidden="1">{"'Sheet1'!$L$16"}</definedName>
    <definedName name="thu" localSheetId="1" hidden="1">{"'Sheet1'!$L$16"}</definedName>
    <definedName name="thu" localSheetId="2" hidden="1">{"'Sheet1'!$L$16"}</definedName>
    <definedName name="thu" localSheetId="12" hidden="1">{"'Sheet1'!$L$16"}</definedName>
    <definedName name="thu" localSheetId="4" hidden="1">{"'Sheet1'!$L$16"}</definedName>
    <definedName name="thu" localSheetId="19" hidden="1">{"'Sheet1'!$L$16"}</definedName>
    <definedName name="thu" localSheetId="10" hidden="1">{"'Sheet1'!$L$16"}</definedName>
    <definedName name="thu" localSheetId="9" hidden="1">{"'Sheet1'!$L$16"}</definedName>
    <definedName name="thu" localSheetId="8" hidden="1">{"'Sheet1'!$L$16"}</definedName>
    <definedName name="thu" localSheetId="3" hidden="1">{"'Sheet1'!$L$16"}</definedName>
    <definedName name="thu" localSheetId="6" hidden="1">{"'Sheet1'!$L$16"}</definedName>
    <definedName name="thu" localSheetId="7" hidden="1">{"'Sheet1'!$L$16"}</definedName>
    <definedName name="thu" localSheetId="5" hidden="1">{"'Sheet1'!$L$16"}</definedName>
    <definedName name="thu" localSheetId="13" hidden="1">{"'Sheet1'!$L$16"}</definedName>
    <definedName name="thu" hidden="1">{"'Sheet1'!$L$16"}</definedName>
    <definedName name="thuy" localSheetId="18" hidden="1">{"'Sheet1'!$L$16"}</definedName>
    <definedName name="thuy" localSheetId="11" hidden="1">{"'Sheet1'!$L$16"}</definedName>
    <definedName name="thuy" localSheetId="1" hidden="1">{"'Sheet1'!$L$16"}</definedName>
    <definedName name="thuy" localSheetId="2" hidden="1">{"'Sheet1'!$L$16"}</definedName>
    <definedName name="thuy" localSheetId="12" hidden="1">{"'Sheet1'!$L$16"}</definedName>
    <definedName name="thuy" localSheetId="4" hidden="1">{"'Sheet1'!$L$16"}</definedName>
    <definedName name="thuy" localSheetId="19" hidden="1">{"'Sheet1'!$L$16"}</definedName>
    <definedName name="thuy" localSheetId="10" hidden="1">{"'Sheet1'!$L$16"}</definedName>
    <definedName name="thuy" localSheetId="9" hidden="1">{"'Sheet1'!$L$16"}</definedName>
    <definedName name="thuy" localSheetId="8" hidden="1">{"'Sheet1'!$L$16"}</definedName>
    <definedName name="thuy" localSheetId="3" hidden="1">{"'Sheet1'!$L$16"}</definedName>
    <definedName name="thuy" localSheetId="6" hidden="1">{"'Sheet1'!$L$16"}</definedName>
    <definedName name="thuy" localSheetId="7" hidden="1">{"'Sheet1'!$L$16"}</definedName>
    <definedName name="thuy" localSheetId="5" hidden="1">{"'Sheet1'!$L$16"}</definedName>
    <definedName name="thuy" localSheetId="13" hidden="1">{"'Sheet1'!$L$16"}</definedName>
    <definedName name="thuy" hidden="1">{"'Sheet1'!$L$16"}</definedName>
    <definedName name="thvlmoi" localSheetId="18" hidden="1">{"'Sheet1'!$L$16"}</definedName>
    <definedName name="thvlmoi" localSheetId="11" hidden="1">{"'Sheet1'!$L$16"}</definedName>
    <definedName name="thvlmoi" localSheetId="1" hidden="1">{"'Sheet1'!$L$16"}</definedName>
    <definedName name="thvlmoi" localSheetId="2" hidden="1">{"'Sheet1'!$L$16"}</definedName>
    <definedName name="thvlmoi" localSheetId="12" hidden="1">{"'Sheet1'!$L$16"}</definedName>
    <definedName name="thvlmoi" localSheetId="4" hidden="1">{"'Sheet1'!$L$16"}</definedName>
    <definedName name="thvlmoi" localSheetId="19" hidden="1">{"'Sheet1'!$L$16"}</definedName>
    <definedName name="thvlmoi" localSheetId="10" hidden="1">{"'Sheet1'!$L$16"}</definedName>
    <definedName name="thvlmoi" localSheetId="9" hidden="1">{"'Sheet1'!$L$16"}</definedName>
    <definedName name="thvlmoi" localSheetId="8" hidden="1">{"'Sheet1'!$L$16"}</definedName>
    <definedName name="thvlmoi" localSheetId="3" hidden="1">{"'Sheet1'!$L$16"}</definedName>
    <definedName name="thvlmoi" localSheetId="6" hidden="1">{"'Sheet1'!$L$16"}</definedName>
    <definedName name="thvlmoi" localSheetId="7" hidden="1">{"'Sheet1'!$L$16"}</definedName>
    <definedName name="thvlmoi" localSheetId="5" hidden="1">{"'Sheet1'!$L$16"}</definedName>
    <definedName name="thvlmoi" localSheetId="13" hidden="1">{"'Sheet1'!$L$16"}</definedName>
    <definedName name="thvlmoi" hidden="1">{"'Sheet1'!$L$16"}</definedName>
    <definedName name="thvlmoimoi" localSheetId="18" hidden="1">{"'Sheet1'!$L$16"}</definedName>
    <definedName name="thvlmoimoi" localSheetId="11" hidden="1">{"'Sheet1'!$L$16"}</definedName>
    <definedName name="thvlmoimoi" localSheetId="1" hidden="1">{"'Sheet1'!$L$16"}</definedName>
    <definedName name="thvlmoimoi" localSheetId="2" hidden="1">{"'Sheet1'!$L$16"}</definedName>
    <definedName name="thvlmoimoi" localSheetId="12" hidden="1">{"'Sheet1'!$L$16"}</definedName>
    <definedName name="thvlmoimoi" localSheetId="4" hidden="1">{"'Sheet1'!$L$16"}</definedName>
    <definedName name="thvlmoimoi" localSheetId="19" hidden="1">{"'Sheet1'!$L$16"}</definedName>
    <definedName name="thvlmoimoi" localSheetId="10" hidden="1">{"'Sheet1'!$L$16"}</definedName>
    <definedName name="thvlmoimoi" localSheetId="9" hidden="1">{"'Sheet1'!$L$16"}</definedName>
    <definedName name="thvlmoimoi" localSheetId="8" hidden="1">{"'Sheet1'!$L$16"}</definedName>
    <definedName name="thvlmoimoi" localSheetId="3" hidden="1">{"'Sheet1'!$L$16"}</definedName>
    <definedName name="thvlmoimoi" localSheetId="6" hidden="1">{"'Sheet1'!$L$16"}</definedName>
    <definedName name="thvlmoimoi" localSheetId="7" hidden="1">{"'Sheet1'!$L$16"}</definedName>
    <definedName name="thvlmoimoi" localSheetId="5" hidden="1">{"'Sheet1'!$L$16"}</definedName>
    <definedName name="thvlmoimoi" localSheetId="13" hidden="1">{"'Sheet1'!$L$16"}</definedName>
    <definedName name="thvlmoimoi" hidden="1">{"'Sheet1'!$L$16"}</definedName>
    <definedName name="THVT_A">[57]THVT!$F$9</definedName>
    <definedName name="TI" hidden="1">#REF!</definedName>
    <definedName name="TI_CLAD" localSheetId="18" hidden="1">{#N/A,#N/A,FALSE,"Sheet1"}</definedName>
    <definedName name="TI_CLAD" hidden="1">{#N/A,#N/A,FALSE,"Sheet1"}</definedName>
    <definedName name="tidf" localSheetId="18" hidden="1">{"'Sheet1'!$L$16"}</definedName>
    <definedName name="tidf" hidden="1">{"'Sheet1'!$L$16"}</definedName>
    <definedName name="Tile" localSheetId="18" hidden="1">{#N/A,#N/A,FALSE,"type1";#N/A,#N/A,FALSE,"지지력";#N/A,#N/A,FALSE,"PILE계산";#N/A,#N/A,FALSE,"PILE ";#N/A,#N/A,FALSE,"철근량";#N/A,#N/A,FALSE,"균열검토";#N/A,#N/A,FALSE,"날개벽";#N/A,#N/A,FALSE,"주철근조립도";#N/A,#N/A,FALSE,"교좌"}</definedName>
    <definedName name="Tile" localSheetId="11" hidden="1">{#N/A,#N/A,FALSE,"type1";#N/A,#N/A,FALSE,"지지력";#N/A,#N/A,FALSE,"PILE계산";#N/A,#N/A,FALSE,"PILE ";#N/A,#N/A,FALSE,"철근량";#N/A,#N/A,FALSE,"균열검토";#N/A,#N/A,FALSE,"날개벽";#N/A,#N/A,FALSE,"주철근조립도";#N/A,#N/A,FALSE,"교좌"}</definedName>
    <definedName name="Tile" localSheetId="1" hidden="1">{#N/A,#N/A,FALSE,"type1";#N/A,#N/A,FALSE,"지지력";#N/A,#N/A,FALSE,"PILE계산";#N/A,#N/A,FALSE,"PILE ";#N/A,#N/A,FALSE,"철근량";#N/A,#N/A,FALSE,"균열검토";#N/A,#N/A,FALSE,"날개벽";#N/A,#N/A,FALSE,"주철근조립도";#N/A,#N/A,FALSE,"교좌"}</definedName>
    <definedName name="Tile" localSheetId="2" hidden="1">{#N/A,#N/A,FALSE,"type1";#N/A,#N/A,FALSE,"지지력";#N/A,#N/A,FALSE,"PILE계산";#N/A,#N/A,FALSE,"PILE ";#N/A,#N/A,FALSE,"철근량";#N/A,#N/A,FALSE,"균열검토";#N/A,#N/A,FALSE,"날개벽";#N/A,#N/A,FALSE,"주철근조립도";#N/A,#N/A,FALSE,"교좌"}</definedName>
    <definedName name="Tile" localSheetId="4" hidden="1">{#N/A,#N/A,FALSE,"type1";#N/A,#N/A,FALSE,"지지력";#N/A,#N/A,FALSE,"PILE계산";#N/A,#N/A,FALSE,"PILE ";#N/A,#N/A,FALSE,"철근량";#N/A,#N/A,FALSE,"균열검토";#N/A,#N/A,FALSE,"날개벽";#N/A,#N/A,FALSE,"주철근조립도";#N/A,#N/A,FALSE,"교좌"}</definedName>
    <definedName name="Tile" localSheetId="19" hidden="1">{#N/A,#N/A,FALSE,"type1";#N/A,#N/A,FALSE,"지지력";#N/A,#N/A,FALSE,"PILE계산";#N/A,#N/A,FALSE,"PILE ";#N/A,#N/A,FALSE,"철근량";#N/A,#N/A,FALSE,"균열검토";#N/A,#N/A,FALSE,"날개벽";#N/A,#N/A,FALSE,"주철근조립도";#N/A,#N/A,FALSE,"교좌"}</definedName>
    <definedName name="Tile" localSheetId="10" hidden="1">{#N/A,#N/A,FALSE,"type1";#N/A,#N/A,FALSE,"지지력";#N/A,#N/A,FALSE,"PILE계산";#N/A,#N/A,FALSE,"PILE ";#N/A,#N/A,FALSE,"철근량";#N/A,#N/A,FALSE,"균열검토";#N/A,#N/A,FALSE,"날개벽";#N/A,#N/A,FALSE,"주철근조립도";#N/A,#N/A,FALSE,"교좌"}</definedName>
    <definedName name="Tile" localSheetId="9" hidden="1">{#N/A,#N/A,FALSE,"type1";#N/A,#N/A,FALSE,"지지력";#N/A,#N/A,FALSE,"PILE계산";#N/A,#N/A,FALSE,"PILE ";#N/A,#N/A,FALSE,"철근량";#N/A,#N/A,FALSE,"균열검토";#N/A,#N/A,FALSE,"날개벽";#N/A,#N/A,FALSE,"주철근조립도";#N/A,#N/A,FALSE,"교좌"}</definedName>
    <definedName name="Tile" localSheetId="8" hidden="1">{#N/A,#N/A,FALSE,"type1";#N/A,#N/A,FALSE,"지지력";#N/A,#N/A,FALSE,"PILE계산";#N/A,#N/A,FALSE,"PILE ";#N/A,#N/A,FALSE,"철근량";#N/A,#N/A,FALSE,"균열검토";#N/A,#N/A,FALSE,"날개벽";#N/A,#N/A,FALSE,"주철근조립도";#N/A,#N/A,FALSE,"교좌"}</definedName>
    <definedName name="Tile" localSheetId="3" hidden="1">{#N/A,#N/A,FALSE,"type1";#N/A,#N/A,FALSE,"지지력";#N/A,#N/A,FALSE,"PILE계산";#N/A,#N/A,FALSE,"PILE ";#N/A,#N/A,FALSE,"철근량";#N/A,#N/A,FALSE,"균열검토";#N/A,#N/A,FALSE,"날개벽";#N/A,#N/A,FALSE,"주철근조립도";#N/A,#N/A,FALSE,"교좌"}</definedName>
    <definedName name="Tile" localSheetId="6" hidden="1">{#N/A,#N/A,FALSE,"type1";#N/A,#N/A,FALSE,"지지력";#N/A,#N/A,FALSE,"PILE계산";#N/A,#N/A,FALSE,"PILE ";#N/A,#N/A,FALSE,"철근량";#N/A,#N/A,FALSE,"균열검토";#N/A,#N/A,FALSE,"날개벽";#N/A,#N/A,FALSE,"주철근조립도";#N/A,#N/A,FALSE,"교좌"}</definedName>
    <definedName name="Tile" localSheetId="7" hidden="1">{#N/A,#N/A,FALSE,"type1";#N/A,#N/A,FALSE,"지지력";#N/A,#N/A,FALSE,"PILE계산";#N/A,#N/A,FALSE,"PILE ";#N/A,#N/A,FALSE,"철근량";#N/A,#N/A,FALSE,"균열검토";#N/A,#N/A,FALSE,"날개벽";#N/A,#N/A,FALSE,"주철근조립도";#N/A,#N/A,FALSE,"교좌"}</definedName>
    <definedName name="Tile" localSheetId="5"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M" localSheetId="18" hidden="1">{"'Sheet1'!$L$16"}</definedName>
    <definedName name="TIM" hidden="1">{"'Sheet1'!$L$16"}</definedName>
    <definedName name="TIMONE2">#REF!</definedName>
    <definedName name="TIMONE3">#REF!</definedName>
    <definedName name="TIMONE4">#REF!</definedName>
    <definedName name="TINHKHOILUONGVT" localSheetId="18" hidden="1">{"'Sheet1'!$L$16"}</definedName>
    <definedName name="TINHKHOILUONGVT" hidden="1">{"'Sheet1'!$L$16"}</definedName>
    <definedName name="TIT" localSheetId="11">[1]PP!$HG$1:$IB$1</definedName>
    <definedName name="TIT" localSheetId="1">#REF!</definedName>
    <definedName name="TIT" localSheetId="2">#REF!</definedName>
    <definedName name="TIT" localSheetId="4">#REF!</definedName>
    <definedName name="TIT" localSheetId="19">#REF!</definedName>
    <definedName name="TIT" localSheetId="10">#REF!</definedName>
    <definedName name="TIT" localSheetId="9">#REF!</definedName>
    <definedName name="TIT" localSheetId="8">#REF!</definedName>
    <definedName name="TIT" localSheetId="3">#REF!</definedName>
    <definedName name="TIT" localSheetId="6">#REF!</definedName>
    <definedName name="TIT" localSheetId="7">#REF!</definedName>
    <definedName name="TIT" localSheetId="5">#REF!</definedName>
    <definedName name="TIT">#REF!</definedName>
    <definedName name="TITAN">#REF!</definedName>
    <definedName name="TITLE">[33]cover!#REF!</definedName>
    <definedName name="tj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#REF!</definedName>
    <definedName name="TL_HP_DRUM">OFFSET(#REF!,1,0,COUNTA(#REF!)-1)</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LAC120">#REF!</definedName>
    <definedName name="TLAC35">#REF!</definedName>
    <definedName name="TLAC50">#REF!</definedName>
    <definedName name="TLAC70">#REF!</definedName>
    <definedName name="TLAC95">#REF!</definedName>
    <definedName name="TLDPres">#REF!</definedName>
    <definedName name="TLDTmp">#REF!</definedName>
    <definedName name="tlLock">#REF!</definedName>
    <definedName name="TLO">#REF!</definedName>
    <definedName name="TLPD">#REF!</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hidden="1">#REF!</definedName>
    <definedName name="TM210S15S2012E10C04C24EAM" hidden="1">#REF!</definedName>
    <definedName name="TM210S16S2012E11C18C23EAM" hidden="1">#REF!</definedName>
    <definedName name="TM210S16S2012E3C59C15EPM" hidden="1">#REF!</definedName>
    <definedName name="TM210S18S2007E1C51C00EPM" hidden="1">#REF!</definedName>
    <definedName name="TM210S19S2007E3C12C45EPM" hidden="1">#REF!</definedName>
    <definedName name="TM210S8S2012E1C58C13EPM" hidden="1">#REF!</definedName>
    <definedName name="TM21S17S2013E5C01C44EPM" hidden="1">#REF!</definedName>
    <definedName name="TM21S29S2013E10C40C37EAM" hidden="1">#REF!</definedName>
    <definedName name="TM21S3S2013E9C34C04EAM" hidden="1">#REF!</definedName>
    <definedName name="TM21S4S2013E4C43C18EPM" hidden="1">#REF!</definedName>
    <definedName name="TM22S10S2013E11C33C42EPM" hidden="1">#REF!</definedName>
    <definedName name="TM22S14S02E6C30C55EPM" hidden="1">#REF!</definedName>
    <definedName name="TM22S8S02E3C58C40EPM" hidden="1">#REF!</definedName>
    <definedName name="TM22S8S2013E12C17C28EPM" hidden="1">#REF!</definedName>
    <definedName name="TM23S17S2006E1C55C53EPM" hidden="1">#REF!</definedName>
    <definedName name="TM23S26S2013E9C02C25EAM" hidden="1">#REF!</definedName>
    <definedName name="TM23S5S2013E7C59C43EAM" hidden="1">#REF!</definedName>
    <definedName name="TM24S16S2015E11C19C41EAM" hidden="1">#REF!</definedName>
    <definedName name="TM25S23S2006E9C33C09EAM" hidden="1">#REF!</definedName>
    <definedName name="TM26S25S2013E9C15C15EAM" hidden="1">#REF!</definedName>
    <definedName name="TM26S28S2013E9C20C16EAM" hidden="1">#REF!</definedName>
    <definedName name="tmAttPipeHdr">#REF!</definedName>
    <definedName name="TMechLabor" localSheetId="11">'[51]Labor Sum'!$C$11</definedName>
    <definedName name="TMechLabor" localSheetId="1">'[51]Labor Sum'!$C$11</definedName>
    <definedName name="TMechLabor" localSheetId="2">'[51]Labor Sum'!$C$11</definedName>
    <definedName name="TMechLabor" localSheetId="4">'[51]Labor Sum'!$C$11</definedName>
    <definedName name="TMechLabor" localSheetId="19">'[51]Labor Sum'!$C$11</definedName>
    <definedName name="TMechLabor" localSheetId="10">'[51]Labor Sum'!$C$11</definedName>
    <definedName name="TMechLabor" localSheetId="9">'[51]Labor Sum'!$C$11</definedName>
    <definedName name="TMechLabor" localSheetId="8">'[51]Labor Sum'!$C$11</definedName>
    <definedName name="TMechLabor" localSheetId="3">'[51]Labor Sum'!$C$11</definedName>
    <definedName name="TMechLabor" localSheetId="6">'[51]Labor Sum'!$C$11</definedName>
    <definedName name="TMechLabor" localSheetId="7">'[51]Labor Sum'!$C$11</definedName>
    <definedName name="TMechLabor" localSheetId="5">'[51]Labor Sum'!$C$11</definedName>
    <definedName name="TMechLabor">#REF!</definedName>
    <definedName name="tmEvMdBur">#REF!</definedName>
    <definedName name="tmEvTbBur">#REF!</definedName>
    <definedName name="tmini">#REF!</definedName>
    <definedName name="tmPipeCustomize">#REF!</definedName>
    <definedName name="tmSHFin">#REF!</definedName>
    <definedName name="tmSHMd">#REF!</definedName>
    <definedName name="tmSHMdBur">#REF!</definedName>
    <definedName name="tmSHNFin">#REF!</definedName>
    <definedName name="tmSHPipe">#REF!</definedName>
    <definedName name="tmSHTb">#REF!</definedName>
    <definedName name="tmSHTbBur">#REF!</definedName>
    <definedName name="tn">#REF!</definedName>
    <definedName name="TN1breinhart" hidden="1">"BW506"</definedName>
    <definedName name="TN1CTurner"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hidden="1">#REF!</definedName>
    <definedName name="TN1PSUN" hidden="1">"BW506"</definedName>
    <definedName name="TN1rfranzen" hidden="1">"BW506"</definedName>
    <definedName name="TN1sbuffington" hidden="1">#REF!</definedName>
    <definedName name="TN1smcgillis" hidden="1">"BW506"</definedName>
    <definedName name="TN1wkullman" hidden="1">"BW506"</definedName>
    <definedName name="Tổ_nhóm">'[68]Nhan cong 2020'!$H$7:$H$50000</definedName>
    <definedName name="TOESLAG">#REF!</definedName>
    <definedName name="TOL">#REF!</definedName>
    <definedName name="Tổng_công">'[68]Nhan cong 2020'!$M$7:$M$50000</definedName>
    <definedName name="Tool_Loss_Rate">#REF!</definedName>
    <definedName name="Top" localSheetId="11">[102]CCS!$D$4</definedName>
    <definedName name="Top" localSheetId="1">[102]CCS!$D$4</definedName>
    <definedName name="Top" localSheetId="2">[102]CCS!$D$4</definedName>
    <definedName name="Top" localSheetId="4">[102]CCS!$D$4</definedName>
    <definedName name="Top" localSheetId="19">[102]CCS!$D$4</definedName>
    <definedName name="Top" localSheetId="10">[102]CCS!$D$4</definedName>
    <definedName name="Top" localSheetId="9">[102]CCS!$D$4</definedName>
    <definedName name="Top" localSheetId="8">[102]CCS!$D$4</definedName>
    <definedName name="Top" localSheetId="3">[102]CCS!$D$4</definedName>
    <definedName name="Top" localSheetId="6">[102]CCS!$D$4</definedName>
    <definedName name="Top" localSheetId="7">[102]CCS!$D$4</definedName>
    <definedName name="Top" localSheetId="5">[102]CCS!$D$4</definedName>
    <definedName name="Top">#REF!</definedName>
    <definedName name="topdl">#REF!</definedName>
    <definedName name="toptable">#REF!</definedName>
    <definedName name="tot">#REF!</definedName>
    <definedName name="TOT_MATL">[76]Proposal!#REF!</definedName>
    <definedName name="TOT_P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"TOTAL+'990309 수정'!$A$5:$AE$501"</definedName>
    <definedName name="Total_q_ty">[47]Data_analysis!$J$2:$J$1048576</definedName>
    <definedName name="Total_Weight__kg">[47]Data_analysis!$K$2:$K$1048576</definedName>
    <definedName name="TOTAL1">#REF!</definedName>
    <definedName name="TotalCases">#REF!</definedName>
    <definedName name="TotalFinalPrice" localSheetId="11">[51]Summary!$J$26</definedName>
    <definedName name="TotalFinalPrice" localSheetId="1">[51]Summary!$J$26</definedName>
    <definedName name="TotalFinalPrice" localSheetId="2">[51]Summary!$J$26</definedName>
    <definedName name="TotalFinalPrice" localSheetId="4">[51]Summary!$J$26</definedName>
    <definedName name="TotalFinalPrice" localSheetId="19">[51]Summary!$J$26</definedName>
    <definedName name="TotalFinalPrice" localSheetId="10">[51]Summary!$J$26</definedName>
    <definedName name="TotalFinalPrice" localSheetId="9">[51]Summary!$J$26</definedName>
    <definedName name="TotalFinalPrice" localSheetId="8">[51]Summary!$J$26</definedName>
    <definedName name="TotalFinalPrice" localSheetId="3">[51]Summary!$J$26</definedName>
    <definedName name="TotalFinalPrice" localSheetId="6">[51]Summary!$J$26</definedName>
    <definedName name="TotalFinalPrice" localSheetId="7">[51]Summary!$J$26</definedName>
    <definedName name="TotalFinalPrice" localSheetId="5">[51]Summary!$J$26</definedName>
    <definedName name="TotalFinalPrice">#REF!</definedName>
    <definedName name="totallenght" localSheetId="11">[51]Summary!$V$11</definedName>
    <definedName name="totallenght" localSheetId="1">[51]Summary!$V$11</definedName>
    <definedName name="totallenght" localSheetId="2">[51]Summary!$V$11</definedName>
    <definedName name="totallenght" localSheetId="4">[51]Summary!$V$11</definedName>
    <definedName name="totallenght" localSheetId="19">[51]Summary!$V$11</definedName>
    <definedName name="totallenght" localSheetId="10">[51]Summary!$V$11</definedName>
    <definedName name="totallenght" localSheetId="9">[51]Summary!$V$11</definedName>
    <definedName name="totallenght" localSheetId="8">[51]Summary!$V$11</definedName>
    <definedName name="totallenght" localSheetId="3">[51]Summary!$V$11</definedName>
    <definedName name="totallenght" localSheetId="6">[51]Summary!$V$11</definedName>
    <definedName name="totallenght" localSheetId="7">[51]Summary!$V$11</definedName>
    <definedName name="totallenght" localSheetId="5">[51]Summary!$V$11</definedName>
    <definedName name="totallenght">#REF!</definedName>
    <definedName name="TotalWeight" localSheetId="11">[51]Summary!$S$11</definedName>
    <definedName name="TotalWeight" localSheetId="1">[51]Summary!$S$11</definedName>
    <definedName name="TotalWeight" localSheetId="2">[51]Summary!$S$11</definedName>
    <definedName name="TotalWeight" localSheetId="4">[51]Summary!$S$11</definedName>
    <definedName name="TotalWeight" localSheetId="19">[51]Summary!$S$11</definedName>
    <definedName name="TotalWeight" localSheetId="10">[51]Summary!$S$11</definedName>
    <definedName name="TotalWeight" localSheetId="9">[51]Summary!$S$11</definedName>
    <definedName name="TotalWeight" localSheetId="8">[51]Summary!$S$11</definedName>
    <definedName name="TotalWeight" localSheetId="3">[51]Summary!$S$11</definedName>
    <definedName name="TotalWeight" localSheetId="6">[51]Summary!$S$11</definedName>
    <definedName name="TotalWeight" localSheetId="7">[51]Summary!$S$11</definedName>
    <definedName name="TotalWeight" localSheetId="5">[51]Summary!$S$11</definedName>
    <definedName name="TotalWeight">#REF!</definedName>
    <definedName name="totfpj">#REF!</definedName>
    <definedName name="totfpo">#REF!</definedName>
    <definedName name="TPEL">#REF!</definedName>
    <definedName name="TPLRP">#REF!</definedName>
    <definedName name="TPMLabor" localSheetId="11">'[51]Labor Sum'!$K$11</definedName>
    <definedName name="TPMLabor" localSheetId="1">'[51]Labor Sum'!$K$11</definedName>
    <definedName name="TPMLabor" localSheetId="2">'[51]Labor Sum'!$K$11</definedName>
    <definedName name="TPMLabor" localSheetId="4">'[51]Labor Sum'!$K$11</definedName>
    <definedName name="TPMLabor" localSheetId="19">'[51]Labor Sum'!$K$11</definedName>
    <definedName name="TPMLabor" localSheetId="10">'[51]Labor Sum'!$K$11</definedName>
    <definedName name="TPMLabor" localSheetId="9">'[51]Labor Sum'!$K$11</definedName>
    <definedName name="TPMLabor" localSheetId="8">'[51]Labor Sum'!$K$11</definedName>
    <definedName name="TPMLabor" localSheetId="3">'[51]Labor Sum'!$K$11</definedName>
    <definedName name="TPMLabor" localSheetId="6">'[51]Labor Sum'!$K$11</definedName>
    <definedName name="TPMLabor" localSheetId="7">'[51]Labor Sum'!$K$11</definedName>
    <definedName name="TPMLabor" localSheetId="5">'[51]Labor Sum'!$K$11</definedName>
    <definedName name="TPMLabor">#REF!</definedName>
    <definedName name="TPMLaborElec" localSheetId="11">'[51]Labor Sum'!$K$24</definedName>
    <definedName name="TPMLaborElec" localSheetId="1">'[51]Labor Sum'!$K$24</definedName>
    <definedName name="TPMLaborElec" localSheetId="2">'[51]Labor Sum'!$K$24</definedName>
    <definedName name="TPMLaborElec" localSheetId="4">'[51]Labor Sum'!$K$24</definedName>
    <definedName name="TPMLaborElec" localSheetId="19">'[51]Labor Sum'!$K$24</definedName>
    <definedName name="TPMLaborElec" localSheetId="10">'[51]Labor Sum'!$K$24</definedName>
    <definedName name="TPMLaborElec" localSheetId="9">'[51]Labor Sum'!$K$24</definedName>
    <definedName name="TPMLaborElec" localSheetId="8">'[51]Labor Sum'!$K$24</definedName>
    <definedName name="TPMLaborElec" localSheetId="3">'[51]Labor Sum'!$K$24</definedName>
    <definedName name="TPMLaborElec" localSheetId="6">'[51]Labor Sum'!$K$24</definedName>
    <definedName name="TPMLaborElec" localSheetId="7">'[51]Labor Sum'!$K$24</definedName>
    <definedName name="TPMLaborElec" localSheetId="5">'[51]Labor Sum'!$K$24</definedName>
    <definedName name="TPMLaborElec">#REF!</definedName>
    <definedName name="TProcLabor" localSheetId="11">'[51]Labor Sum'!$E$11</definedName>
    <definedName name="TProcLabor" localSheetId="1">'[51]Labor Sum'!$E$11</definedName>
    <definedName name="TProcLabor" localSheetId="2">'[51]Labor Sum'!$E$11</definedName>
    <definedName name="TProcLabor" localSheetId="4">'[51]Labor Sum'!$E$11</definedName>
    <definedName name="TProcLabor" localSheetId="19">'[51]Labor Sum'!$E$11</definedName>
    <definedName name="TProcLabor" localSheetId="10">'[51]Labor Sum'!$E$11</definedName>
    <definedName name="TProcLabor" localSheetId="9">'[51]Labor Sum'!$E$11</definedName>
    <definedName name="TProcLabor" localSheetId="8">'[51]Labor Sum'!$E$11</definedName>
    <definedName name="TProcLabor" localSheetId="3">'[51]Labor Sum'!$E$11</definedName>
    <definedName name="TProcLabor" localSheetId="6">'[51]Labor Sum'!$E$11</definedName>
    <definedName name="TProcLabor" localSheetId="7">'[51]Labor Sum'!$E$11</definedName>
    <definedName name="TProcLabor" localSheetId="5">'[51]Labor Sum'!$E$11</definedName>
    <definedName name="TProcLabor">#REF!</definedName>
    <definedName name="TProcLaborELec" localSheetId="11">'[51]Labor Sum'!$E$24</definedName>
    <definedName name="TProcLaborELec" localSheetId="1">'[51]Labor Sum'!$E$24</definedName>
    <definedName name="TProcLaborELec" localSheetId="2">'[51]Labor Sum'!$E$24</definedName>
    <definedName name="TProcLaborELec" localSheetId="4">'[51]Labor Sum'!$E$24</definedName>
    <definedName name="TProcLaborELec" localSheetId="19">'[51]Labor Sum'!$E$24</definedName>
    <definedName name="TProcLaborELec" localSheetId="10">'[51]Labor Sum'!$E$24</definedName>
    <definedName name="TProcLaborELec" localSheetId="9">'[51]Labor Sum'!$E$24</definedName>
    <definedName name="TProcLaborELec" localSheetId="8">'[51]Labor Sum'!$E$24</definedName>
    <definedName name="TProcLaborELec" localSheetId="3">'[51]Labor Sum'!$E$24</definedName>
    <definedName name="TProcLaborELec" localSheetId="6">'[51]Labor Sum'!$E$24</definedName>
    <definedName name="TProcLaborELec" localSheetId="7">'[51]Labor Sum'!$E$24</definedName>
    <definedName name="TProcLaborELec" localSheetId="5">'[51]Labor Sum'!$E$24</definedName>
    <definedName name="TProcLaborELec">#REF!</definedName>
    <definedName name="TQAQCLabor" localSheetId="11">'[51]Labor Sum'!$G$11</definedName>
    <definedName name="TQAQCLabor" localSheetId="1">'[51]Labor Sum'!$G$11</definedName>
    <definedName name="TQAQCLabor" localSheetId="2">'[51]Labor Sum'!$G$11</definedName>
    <definedName name="TQAQCLabor" localSheetId="4">'[51]Labor Sum'!$G$11</definedName>
    <definedName name="TQAQCLabor" localSheetId="19">'[51]Labor Sum'!$G$11</definedName>
    <definedName name="TQAQCLabor" localSheetId="10">'[51]Labor Sum'!$G$11</definedName>
    <definedName name="TQAQCLabor" localSheetId="9">'[51]Labor Sum'!$G$11</definedName>
    <definedName name="TQAQCLabor" localSheetId="8">'[51]Labor Sum'!$G$11</definedName>
    <definedName name="TQAQCLabor" localSheetId="3">'[51]Labor Sum'!$G$11</definedName>
    <definedName name="TQAQCLabor" localSheetId="6">'[51]Labor Sum'!$G$11</definedName>
    <definedName name="TQAQCLabor" localSheetId="7">'[51]Labor Sum'!$G$11</definedName>
    <definedName name="TQAQCLabor" localSheetId="5">'[51]Labor Sum'!$G$11</definedName>
    <definedName name="TQAQCLabor">#REF!</definedName>
    <definedName name="TQAQCLaborElec" localSheetId="11">'[51]Labor Sum'!$G$24</definedName>
    <definedName name="TQAQCLaborElec" localSheetId="1">'[51]Labor Sum'!$G$24</definedName>
    <definedName name="TQAQCLaborElec" localSheetId="2">'[51]Labor Sum'!$G$24</definedName>
    <definedName name="TQAQCLaborElec" localSheetId="4">'[51]Labor Sum'!$G$24</definedName>
    <definedName name="TQAQCLaborElec" localSheetId="19">'[51]Labor Sum'!$G$24</definedName>
    <definedName name="TQAQCLaborElec" localSheetId="10">'[51]Labor Sum'!$G$24</definedName>
    <definedName name="TQAQCLaborElec" localSheetId="9">'[51]Labor Sum'!$G$24</definedName>
    <definedName name="TQAQCLaborElec" localSheetId="8">'[51]Labor Sum'!$G$24</definedName>
    <definedName name="TQAQCLaborElec" localSheetId="3">'[51]Labor Sum'!$G$24</definedName>
    <definedName name="TQAQCLaborElec" localSheetId="6">'[51]Labor Sum'!$G$24</definedName>
    <definedName name="TQAQCLaborElec" localSheetId="7">'[51]Labor Sum'!$G$24</definedName>
    <definedName name="TQAQCLaborElec" localSheetId="5">'[51]Labor Sum'!$G$24</definedName>
    <definedName name="TQAQCLaborElec">#REF!</definedName>
    <definedName name="TRADE2">#REF!</definedName>
    <definedName name="tran" localSheetId="18" hidden="1">{"'现金流量表（全部投资）'!$B$4:$P$23"}</definedName>
    <definedName name="tran" hidden="1">{"'现金流量表（全部投资）'!$B$4:$P$23"}</definedName>
    <definedName name="TRANING_FEE">#REF!</definedName>
    <definedName name="TransitionDuctWt">#REF!</definedName>
    <definedName name="Transport">#REF!</definedName>
    <definedName name="Transportkosten">#REF!</definedName>
    <definedName name="TRASF">#REF!</definedName>
    <definedName name="Travel" localSheetId="11">[51]Summary!$D$19</definedName>
    <definedName name="Travel" localSheetId="1">[51]Summary!$D$19</definedName>
    <definedName name="Travel" localSheetId="2">[51]Summary!$D$19</definedName>
    <definedName name="Travel" localSheetId="4">[51]Summary!$D$19</definedName>
    <definedName name="Travel" localSheetId="19">[51]Summary!$D$19</definedName>
    <definedName name="Travel" localSheetId="10">[51]Summary!$D$19</definedName>
    <definedName name="Travel" localSheetId="9">[51]Summary!$D$19</definedName>
    <definedName name="Travel" localSheetId="8">[51]Summary!$D$19</definedName>
    <definedName name="Travel" localSheetId="3">[51]Summary!$D$19</definedName>
    <definedName name="Travel" localSheetId="6">[51]Summary!$D$19</definedName>
    <definedName name="Travel" localSheetId="7">[51]Summary!$D$19</definedName>
    <definedName name="Travel" localSheetId="5">[51]Summary!$D$19</definedName>
    <definedName name="Travel">#REF!</definedName>
    <definedName name="TravelTotal" localSheetId="11">[51]Summary!$L$11</definedName>
    <definedName name="TravelTotal" localSheetId="1">[51]Summary!$L$11</definedName>
    <definedName name="TravelTotal" localSheetId="2">[51]Summary!$L$11</definedName>
    <definedName name="TravelTotal" localSheetId="4">[51]Summary!$L$11</definedName>
    <definedName name="TravelTotal" localSheetId="19">[51]Summary!$L$11</definedName>
    <definedName name="TravelTotal" localSheetId="10">[51]Summary!$L$11</definedName>
    <definedName name="TravelTotal" localSheetId="9">[51]Summary!$L$11</definedName>
    <definedName name="TravelTotal" localSheetId="8">[51]Summary!$L$11</definedName>
    <definedName name="TravelTotal" localSheetId="3">[51]Summary!$L$11</definedName>
    <definedName name="TravelTotal" localSheetId="6">[51]Summary!$L$11</definedName>
    <definedName name="TravelTotal" localSheetId="7">[51]Summary!$L$11</definedName>
    <definedName name="TravelTotal" localSheetId="5">[51]Summary!$L$11</definedName>
    <definedName name="TravelTotal">#REF!</definedName>
    <definedName name="Travi">#REF!</definedName>
    <definedName name="TRD">#REF!</definedName>
    <definedName name="TRE" localSheetId="11">[1]PP!$IE$2</definedName>
    <definedName name="TRE" localSheetId="1">[1]PP!$IE$2</definedName>
    <definedName name="TRE" localSheetId="2">[1]PP!$IE$2</definedName>
    <definedName name="TRE" localSheetId="4">[1]PP!$IE$2</definedName>
    <definedName name="TRE" localSheetId="19">[1]PP!$IE$2</definedName>
    <definedName name="TRE" localSheetId="10">[1]PP!$IE$2</definedName>
    <definedName name="TRE" localSheetId="9">[1]PP!$IE$2</definedName>
    <definedName name="TRE" localSheetId="8">[1]PP!$IE$2</definedName>
    <definedName name="TRE" localSheetId="3">[1]PP!$IE$2</definedName>
    <definedName name="TRE" localSheetId="6">[1]PP!$IE$2</definedName>
    <definedName name="TRE" localSheetId="7">[1]PP!$IE$2</definedName>
    <definedName name="TRE" localSheetId="5">[1]PP!$IE$2</definedName>
    <definedName name="TRE">#REF!</definedName>
    <definedName name="TRI">'[53]GM 000'!$I$1</definedName>
    <definedName name="TRID">#REF!</definedName>
    <definedName name="trn">#REF!</definedName>
    <definedName name="TrolleyCount">#REF!</definedName>
    <definedName name="TROMG">[103]XL4Poppy!$C$9</definedName>
    <definedName name="TS_OD">2400</definedName>
    <definedName name="TSchedLabor" localSheetId="11">'[51]Labor Sum'!$I$11</definedName>
    <definedName name="TSchedLabor" localSheetId="1">'[51]Labor Sum'!$I$11</definedName>
    <definedName name="TSchedLabor" localSheetId="2">'[51]Labor Sum'!$I$11</definedName>
    <definedName name="TSchedLabor" localSheetId="4">'[51]Labor Sum'!$I$11</definedName>
    <definedName name="TSchedLabor" localSheetId="19">'[51]Labor Sum'!$I$11</definedName>
    <definedName name="TSchedLabor" localSheetId="10">'[51]Labor Sum'!$I$11</definedName>
    <definedName name="TSchedLabor" localSheetId="9">'[51]Labor Sum'!$I$11</definedName>
    <definedName name="TSchedLabor" localSheetId="8">'[51]Labor Sum'!$I$11</definedName>
    <definedName name="TSchedLabor" localSheetId="3">'[51]Labor Sum'!$I$11</definedName>
    <definedName name="TSchedLabor" localSheetId="6">'[51]Labor Sum'!$I$11</definedName>
    <definedName name="TSchedLabor" localSheetId="7">'[51]Labor Sum'!$I$11</definedName>
    <definedName name="TSchedLabor" localSheetId="5">'[51]Labor Sum'!$I$11</definedName>
    <definedName name="TSchedLabor">#REF!</definedName>
    <definedName name="TSchedLaborElec" localSheetId="11">'[51]Labor Sum'!$I$24</definedName>
    <definedName name="TSchedLaborElec" localSheetId="1">'[51]Labor Sum'!$I$24</definedName>
    <definedName name="TSchedLaborElec" localSheetId="2">'[51]Labor Sum'!$I$24</definedName>
    <definedName name="TSchedLaborElec" localSheetId="4">'[51]Labor Sum'!$I$24</definedName>
    <definedName name="TSchedLaborElec" localSheetId="19">'[51]Labor Sum'!$I$24</definedName>
    <definedName name="TSchedLaborElec" localSheetId="10">'[51]Labor Sum'!$I$24</definedName>
    <definedName name="TSchedLaborElec" localSheetId="9">'[51]Labor Sum'!$I$24</definedName>
    <definedName name="TSchedLaborElec" localSheetId="8">'[51]Labor Sum'!$I$24</definedName>
    <definedName name="TSchedLaborElec" localSheetId="3">'[51]Labor Sum'!$I$24</definedName>
    <definedName name="TSchedLaborElec" localSheetId="6">'[51]Labor Sum'!$I$24</definedName>
    <definedName name="TSchedLaborElec" localSheetId="7">'[51]Labor Sum'!$I$24</definedName>
    <definedName name="TSchedLaborElec" localSheetId="5">'[51]Labor Sum'!$I$24</definedName>
    <definedName name="TSchedLaborElec">#REF!</definedName>
    <definedName name="tstack">#REF!</definedName>
    <definedName name="TSUPPOT" localSheetId="18" hidden="1">{#N/A,#N/A,FALSE,"CCTV"}</definedName>
    <definedName name="TSUPPOT" localSheetId="11" hidden="1">{#N/A,#N/A,FALSE,"CCTV"}</definedName>
    <definedName name="TSUPPOT" localSheetId="1" hidden="1">{#N/A,#N/A,FALSE,"CCTV"}</definedName>
    <definedName name="TSUPPOT" localSheetId="2" hidden="1">{#N/A,#N/A,FALSE,"CCTV"}</definedName>
    <definedName name="TSUPPOT" localSheetId="4" hidden="1">{#N/A,#N/A,FALSE,"CCTV"}</definedName>
    <definedName name="TSUPPOT" localSheetId="19" hidden="1">{#N/A,#N/A,FALSE,"CCTV"}</definedName>
    <definedName name="TSUPPOT" localSheetId="10" hidden="1">{#N/A,#N/A,FALSE,"CCTV"}</definedName>
    <definedName name="TSUPPOT" localSheetId="9" hidden="1">{#N/A,#N/A,FALSE,"CCTV"}</definedName>
    <definedName name="TSUPPOT" localSheetId="8" hidden="1">{#N/A,#N/A,FALSE,"CCTV"}</definedName>
    <definedName name="TSUPPOT" localSheetId="3" hidden="1">{#N/A,#N/A,FALSE,"CCTV"}</definedName>
    <definedName name="TSUPPOT" localSheetId="6" hidden="1">{#N/A,#N/A,FALSE,"CCTV"}</definedName>
    <definedName name="TSUPPOT" localSheetId="7" hidden="1">{#N/A,#N/A,FALSE,"CCTV"}</definedName>
    <definedName name="TSUPPOT" localSheetId="5" hidden="1">{#N/A,#N/A,FALSE,"CCTV"}</definedName>
    <definedName name="TSUPPOT" hidden="1">{#N/A,#N/A,FALSE,"CCTV"}</definedName>
    <definedName name="TT" hidden="1">#REF!</definedName>
    <definedName name="TT_1P">#REF!</definedName>
    <definedName name="TT_3p">#REF!</definedName>
    <definedName name="ttronmk">#REF!</definedName>
    <definedName name="ttt" localSheetId="18" hidden="1">{"'장비'!$A$3:$M$12"}</definedName>
    <definedName name="ttt" hidden="1">{"'장비'!$A$3:$M$12"}</definedName>
    <definedName name="tu">#REF!</definedName>
    <definedName name="tuan" localSheetId="18" hidden="1">{#N/A,#N/A,FALSE,"CCTV"}</definedName>
    <definedName name="tuan" hidden="1">{#N/A,#N/A,FALSE,"CCTV"}</definedName>
    <definedName name="TUBE" localSheetId="18" hidden="1">{#N/A,#N/A,FALSE,"CCTV"}</definedName>
    <definedName name="TUBE" localSheetId="11" hidden="1">{#N/A,#N/A,FALSE,"CCTV"}</definedName>
    <definedName name="TUBE" localSheetId="1" hidden="1">{#N/A,#N/A,FALSE,"CCTV"}</definedName>
    <definedName name="TUBE" localSheetId="2" hidden="1">{#N/A,#N/A,FALSE,"CCTV"}</definedName>
    <definedName name="TUBE" localSheetId="4" hidden="1">{#N/A,#N/A,FALSE,"CCTV"}</definedName>
    <definedName name="TUBE" localSheetId="19" hidden="1">{#N/A,#N/A,FALSE,"CCTV"}</definedName>
    <definedName name="TUBE" localSheetId="10" hidden="1">{#N/A,#N/A,FALSE,"CCTV"}</definedName>
    <definedName name="TUBE" localSheetId="9" hidden="1">{#N/A,#N/A,FALSE,"CCTV"}</definedName>
    <definedName name="TUBE" localSheetId="8" hidden="1">{#N/A,#N/A,FALSE,"CCTV"}</definedName>
    <definedName name="TUBE" localSheetId="3" hidden="1">{#N/A,#N/A,FALSE,"CCTV"}</definedName>
    <definedName name="TUBE" localSheetId="6" hidden="1">{#N/A,#N/A,FALSE,"CCTV"}</definedName>
    <definedName name="TUBE" localSheetId="7" hidden="1">{#N/A,#N/A,FALSE,"CCTV"}</definedName>
    <definedName name="TUBE" localSheetId="5" hidden="1">{#N/A,#N/A,FALSE,"CCTV"}</definedName>
    <definedName name="TUBE" hidden="1">{#N/A,#N/A,FALSE,"CCTV"}</definedName>
    <definedName name="Tube_Nego율">0.99</definedName>
    <definedName name="tube_test_press1_12">#REF!</definedName>
    <definedName name="TUBING_MATERIAL" localSheetId="11">'[71]DATA LISTS'!$A$21:$A$30</definedName>
    <definedName name="TUBING_MATERIAL" localSheetId="1">'[71]DATA LISTS'!$A$21:$A$30</definedName>
    <definedName name="TUBING_MATERIAL" localSheetId="2">'[71]DATA LISTS'!$A$21:$A$30</definedName>
    <definedName name="TUBING_MATERIAL" localSheetId="4">'[71]DATA LISTS'!$A$21:$A$30</definedName>
    <definedName name="TUBING_MATERIAL" localSheetId="19">'[71]DATA LISTS'!$A$21:$A$30</definedName>
    <definedName name="TUBING_MATERIAL" localSheetId="10">'[71]DATA LISTS'!$A$21:$A$30</definedName>
    <definedName name="TUBING_MATERIAL" localSheetId="9">'[71]DATA LISTS'!$A$21:$A$30</definedName>
    <definedName name="TUBING_MATERIAL" localSheetId="8">'[71]DATA LISTS'!$A$21:$A$30</definedName>
    <definedName name="TUBING_MATERIAL" localSheetId="3">'[71]DATA LISTS'!$A$21:$A$30</definedName>
    <definedName name="TUBING_MATERIAL" localSheetId="6">'[71]DATA LISTS'!$A$21:$A$30</definedName>
    <definedName name="TUBING_MATERIAL" localSheetId="7">'[71]DATA LISTS'!$A$21:$A$30</definedName>
    <definedName name="TUBING_MATERIAL" localSheetId="5">'[71]DATA LISTS'!$A$21:$A$30</definedName>
    <definedName name="TUBING_MATERIAL">#REF!</definedName>
    <definedName name="Türen">#REF!</definedName>
    <definedName name="tuy" localSheetId="18" hidden="1">{"'장비'!$A$3:$M$12"}</definedName>
    <definedName name="tuy" hidden="1">{"'장비'!$A$3:$M$12"}</definedName>
    <definedName name="tuyennhanh" localSheetId="18" hidden="1">{"'Sheet1'!$L$16"}</definedName>
    <definedName name="tuyennhanh" localSheetId="11" hidden="1">{"'Sheet1'!$L$16"}</definedName>
    <definedName name="tuyennhanh" localSheetId="1" hidden="1">{"'Sheet1'!$L$16"}</definedName>
    <definedName name="tuyennhanh" localSheetId="2" hidden="1">{"'Sheet1'!$L$16"}</definedName>
    <definedName name="tuyennhanh" localSheetId="12" hidden="1">{"'Sheet1'!$L$16"}</definedName>
    <definedName name="tuyennhanh" localSheetId="4" hidden="1">{"'Sheet1'!$L$16"}</definedName>
    <definedName name="tuyennhanh" localSheetId="19" hidden="1">{"'Sheet1'!$L$16"}</definedName>
    <definedName name="tuyennhanh" localSheetId="10" hidden="1">{"'Sheet1'!$L$16"}</definedName>
    <definedName name="tuyennhanh" localSheetId="9" hidden="1">{"'Sheet1'!$L$16"}</definedName>
    <definedName name="tuyennhanh" localSheetId="8" hidden="1">{"'Sheet1'!$L$16"}</definedName>
    <definedName name="tuyennhanh" localSheetId="3" hidden="1">{"'Sheet1'!$L$16"}</definedName>
    <definedName name="tuyennhanh" localSheetId="6" hidden="1">{"'Sheet1'!$L$16"}</definedName>
    <definedName name="tuyennhanh" localSheetId="7" hidden="1">{"'Sheet1'!$L$16"}</definedName>
    <definedName name="tuyennhanh" localSheetId="5" hidden="1">{"'Sheet1'!$L$16"}</definedName>
    <definedName name="tuyennhanh" localSheetId="13" hidden="1">{"'Sheet1'!$L$16"}</definedName>
    <definedName name="tuyennhanh" hidden="1">{"'Sheet1'!$L$16"}</definedName>
    <definedName name="TV" localSheetId="18" hidden="1">{#N/A,#N/A,FALSE,"CCTV"}</definedName>
    <definedName name="TV" localSheetId="1" hidden="1">{#N/A,#N/A,FALSE,"CCTV"}</definedName>
    <definedName name="TV" localSheetId="2" hidden="1">{#N/A,#N/A,FALSE,"CCTV"}</definedName>
    <definedName name="TV" localSheetId="4" hidden="1">{#N/A,#N/A,FALSE,"CCTV"}</definedName>
    <definedName name="TV" localSheetId="19" hidden="1">{#N/A,#N/A,FALSE,"CCTV"}</definedName>
    <definedName name="TV" localSheetId="10" hidden="1">{#N/A,#N/A,FALSE,"CCTV"}</definedName>
    <definedName name="TV" localSheetId="9" hidden="1">{#N/A,#N/A,FALSE,"CCTV"}</definedName>
    <definedName name="TV" localSheetId="8" hidden="1">{#N/A,#N/A,FALSE,"CCTV"}</definedName>
    <definedName name="TV" localSheetId="3" hidden="1">{#N/A,#N/A,FALSE,"CCTV"}</definedName>
    <definedName name="TV" localSheetId="6" hidden="1">{#N/A,#N/A,FALSE,"CCTV"}</definedName>
    <definedName name="TV" localSheetId="7" hidden="1">{#N/A,#N/A,FALSE,"CCTV"}</definedName>
    <definedName name="TV" localSheetId="5" hidden="1">{#N/A,#N/A,FALSE,"CCTV"}</definedName>
    <definedName name="TV" hidden="1">{#N/A,#N/A,FALSE,"CCTV"}</definedName>
    <definedName name="tv75nc">#REF!</definedName>
    <definedName name="tv75vl">#REF!</definedName>
    <definedName name="tx">#REF!</definedName>
    <definedName name="TY" hidden="1">#REF!</definedName>
    <definedName name="Type">'[53]GM 000'!$I$3</definedName>
    <definedName name="TypeDat">[75]WeightTable!$AX:$BC</definedName>
    <definedName name="tyt" localSheetId="18" hidden="1">{"'장비'!$A$3:$M$12"}</definedName>
    <definedName name="tyt" hidden="1">{"'장비'!$A$3:$M$12"}</definedName>
    <definedName name="tyyuy" localSheetId="18" hidden="1">{"'장비'!$A$3:$M$12"}</definedName>
    <definedName name="tyyuy" hidden="1">{"'장비'!$A$3:$M$12"}</definedName>
    <definedName name="ü" localSheetId="18" hidden="1">{#N/A,#N/A,TRUE,"Projektskizze";#N/A,#N/A,TRUE,"AuslDat";#N/A,#N/A,TRUE,"Kalkulation";#N/A,#N/A,TRUE,"Md-Berechnung"}</definedName>
    <definedName name="ü" localSheetId="11" hidden="1">{#N/A,#N/A,TRUE,"Projektskizze";#N/A,#N/A,TRUE,"AuslDat";#N/A,#N/A,TRUE,"Kalkulation";#N/A,#N/A,TRUE,"Md-Berechnung"}</definedName>
    <definedName name="ü" localSheetId="1" hidden="1">{#N/A,#N/A,TRUE,"Projektskizze";#N/A,#N/A,TRUE,"AuslDat";#N/A,#N/A,TRUE,"Kalkulation";#N/A,#N/A,TRUE,"Md-Berechnung"}</definedName>
    <definedName name="ü" localSheetId="2" hidden="1">{#N/A,#N/A,TRUE,"Projektskizze";#N/A,#N/A,TRUE,"AuslDat";#N/A,#N/A,TRUE,"Kalkulation";#N/A,#N/A,TRUE,"Md-Berechnung"}</definedName>
    <definedName name="ü" localSheetId="4" hidden="1">{#N/A,#N/A,TRUE,"Projektskizze";#N/A,#N/A,TRUE,"AuslDat";#N/A,#N/A,TRUE,"Kalkulation";#N/A,#N/A,TRUE,"Md-Berechnung"}</definedName>
    <definedName name="ü" localSheetId="19" hidden="1">{#N/A,#N/A,TRUE,"Projektskizze";#N/A,#N/A,TRUE,"AuslDat";#N/A,#N/A,TRUE,"Kalkulation";#N/A,#N/A,TRUE,"Md-Berechnung"}</definedName>
    <definedName name="ü" localSheetId="10" hidden="1">{#N/A,#N/A,TRUE,"Projektskizze";#N/A,#N/A,TRUE,"AuslDat";#N/A,#N/A,TRUE,"Kalkulation";#N/A,#N/A,TRUE,"Md-Berechnung"}</definedName>
    <definedName name="ü" localSheetId="9" hidden="1">{#N/A,#N/A,TRUE,"Projektskizze";#N/A,#N/A,TRUE,"AuslDat";#N/A,#N/A,TRUE,"Kalkulation";#N/A,#N/A,TRUE,"Md-Berechnung"}</definedName>
    <definedName name="ü" localSheetId="8" hidden="1">{#N/A,#N/A,TRUE,"Projektskizze";#N/A,#N/A,TRUE,"AuslDat";#N/A,#N/A,TRUE,"Kalkulation";#N/A,#N/A,TRUE,"Md-Berechnung"}</definedName>
    <definedName name="ü" localSheetId="3" hidden="1">{#N/A,#N/A,TRUE,"Projektskizze";#N/A,#N/A,TRUE,"AuslDat";#N/A,#N/A,TRUE,"Kalkulation";#N/A,#N/A,TRUE,"Md-Berechnung"}</definedName>
    <definedName name="ü" localSheetId="6" hidden="1">{#N/A,#N/A,TRUE,"Projektskizze";#N/A,#N/A,TRUE,"AuslDat";#N/A,#N/A,TRUE,"Kalkulation";#N/A,#N/A,TRUE,"Md-Berechnung"}</definedName>
    <definedName name="ü" localSheetId="7" hidden="1">{#N/A,#N/A,TRUE,"Projektskizze";#N/A,#N/A,TRUE,"AuslDat";#N/A,#N/A,TRUE,"Kalkulation";#N/A,#N/A,TRUE,"Md-Berechnung"}</definedName>
    <definedName name="ü" localSheetId="5" hidden="1">{#N/A,#N/A,TRUE,"Projektskizze";#N/A,#N/A,TRUE,"AuslDat";#N/A,#N/A,TRUE,"Kalkulation";#N/A,#N/A,TRUE,"Md-Berechnung"}</definedName>
    <definedName name="ü" hidden="1">{#N/A,#N/A,TRUE,"Projektskizze";#N/A,#N/A,TRUE,"AuslDat";#N/A,#N/A,TRUE,"Kalkulation";#N/A,#N/A,TRUE,"Md-Berechnung"}</definedName>
    <definedName name="UB" localSheetId="18" hidden="1">{#N/A,#N/A,FALSE,"CCTV"}</definedName>
    <definedName name="UB" localSheetId="11" hidden="1">{#N/A,#N/A,FALSE,"CCTV"}</definedName>
    <definedName name="UB" localSheetId="1" hidden="1">{#N/A,#N/A,FALSE,"CCTV"}</definedName>
    <definedName name="UB" localSheetId="2" hidden="1">{#N/A,#N/A,FALSE,"CCTV"}</definedName>
    <definedName name="UB" localSheetId="4" hidden="1">{#N/A,#N/A,FALSE,"CCTV"}</definedName>
    <definedName name="UB" localSheetId="19" hidden="1">{#N/A,#N/A,FALSE,"CCTV"}</definedName>
    <definedName name="UB" localSheetId="10" hidden="1">{#N/A,#N/A,FALSE,"CCTV"}</definedName>
    <definedName name="UB" localSheetId="9" hidden="1">{#N/A,#N/A,FALSE,"CCTV"}</definedName>
    <definedName name="UB" localSheetId="8" hidden="1">{#N/A,#N/A,FALSE,"CCTV"}</definedName>
    <definedName name="UB" localSheetId="3" hidden="1">{#N/A,#N/A,FALSE,"CCTV"}</definedName>
    <definedName name="UB" localSheetId="6" hidden="1">{#N/A,#N/A,FALSE,"CCTV"}</definedName>
    <definedName name="UB" localSheetId="7" hidden="1">{#N/A,#N/A,FALSE,"CCTV"}</definedName>
    <definedName name="UB" localSheetId="5" hidden="1">{#N/A,#N/A,FALSE,"CCTV"}</definedName>
    <definedName name="UB" hidden="1">{#N/A,#N/A,FALSE,"CCTV"}</definedName>
    <definedName name="Ud" localSheetId="12">#REF!</definedName>
    <definedName name="Ud" localSheetId="13">#REF!</definedName>
    <definedName name="Ud">#REF!</definedName>
    <definedName name="UI" hidden="1">#REF!</definedName>
    <definedName name="UI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12">#REF!</definedName>
    <definedName name="UNIT" localSheetId="13">#REF!</definedName>
    <definedName name="UNIT">#REF!</definedName>
    <definedName name="Units_Selector_Range">'[104]Pump Units'!$B$4:$B$8</definedName>
    <definedName name="unnamed">#REF!</definedName>
    <definedName name="UNO" localSheetId="11">[1]PP!$ID$3</definedName>
    <definedName name="UNO" localSheetId="1">[1]PP!$ID$3</definedName>
    <definedName name="UNO" localSheetId="2">[1]PP!$ID$3</definedName>
    <definedName name="UNO" localSheetId="4">[1]PP!$ID$3</definedName>
    <definedName name="UNO" localSheetId="19">[1]PP!$ID$3</definedName>
    <definedName name="UNO" localSheetId="10">[1]PP!$ID$3</definedName>
    <definedName name="UNO" localSheetId="9">[1]PP!$ID$3</definedName>
    <definedName name="UNO" localSheetId="8">[1]PP!$ID$3</definedName>
    <definedName name="UNO" localSheetId="3">[1]PP!$ID$3</definedName>
    <definedName name="UNO" localSheetId="6">[1]PP!$ID$3</definedName>
    <definedName name="UNO" localSheetId="7">[1]PP!$ID$3</definedName>
    <definedName name="UNO" localSheetId="5">[1]PP!$ID$3</definedName>
    <definedName name="UNO">#REF!</definedName>
    <definedName name="UP">#REF!,#REF!,#REF!,#REF!,#REF!,#REF!,#REF!,#REF!,#REF!,#REF!,#REF!</definedName>
    <definedName name="UpdateTechSpec">#N/A</definedName>
    <definedName name="Upper_noz">#REF!</definedName>
    <definedName name="UpperNoz" localSheetId="11">'[80]HEADER &amp; NOZZLES'!$L$189:$N$236</definedName>
    <definedName name="UpperNoz" localSheetId="1">'[80]HEADER &amp; NOZZLES'!$L$189:$N$236</definedName>
    <definedName name="UpperNoz" localSheetId="2">'[80]HEADER &amp; NOZZLES'!$L$189:$N$236</definedName>
    <definedName name="UpperNoz" localSheetId="4">'[80]HEADER &amp; NOZZLES'!$L$189:$N$236</definedName>
    <definedName name="UpperNoz" localSheetId="19">'[80]HEADER &amp; NOZZLES'!$L$189:$N$236</definedName>
    <definedName name="UpperNoz" localSheetId="10">'[80]HEADER &amp; NOZZLES'!$L$189:$N$236</definedName>
    <definedName name="UpperNoz" localSheetId="9">'[80]HEADER &amp; NOZZLES'!$L$189:$N$236</definedName>
    <definedName name="UpperNoz" localSheetId="8">'[80]HEADER &amp; NOZZLES'!$L$189:$N$236</definedName>
    <definedName name="UpperNoz" localSheetId="3">'[80]HEADER &amp; NOZZLES'!$L$189:$N$236</definedName>
    <definedName name="UpperNoz" localSheetId="6">'[80]HEADER &amp; NOZZLES'!$L$189:$N$236</definedName>
    <definedName name="UpperNoz" localSheetId="7">'[80]HEADER &amp; NOZZLES'!$L$189:$N$236</definedName>
    <definedName name="UpperNoz" localSheetId="5">'[80]HEADER &amp; NOZZLES'!$L$189:$N$236</definedName>
    <definedName name="UpperNoz">#REF!</definedName>
    <definedName name="US">[105]Factor!$B$41</definedName>
    <definedName name="usd">#REF!</definedName>
    <definedName name="USD_FC_Rate">#REF!</definedName>
    <definedName name="USD_LC_Rate">#REF!</definedName>
    <definedName name="UT" hidden="1">#REF!</definedName>
    <definedName name="UTPNT" localSheetId="1">[44]보일러!UTPNT</definedName>
    <definedName name="UTPNT" localSheetId="2">[44]보일러!UTPNT</definedName>
    <definedName name="UTPNT" localSheetId="4">[44]보일러!UTPNT</definedName>
    <definedName name="UTPNT" localSheetId="19">[44]보일러!UTPNT</definedName>
    <definedName name="UTPNT" localSheetId="10">[44]보일러!UTPNT</definedName>
    <definedName name="UTPNT" localSheetId="9">[44]보일러!UTPNT</definedName>
    <definedName name="UTPNT" localSheetId="8">[44]보일러!UTPNT</definedName>
    <definedName name="UTPNT" localSheetId="3">[44]보일러!UTPNT</definedName>
    <definedName name="UTPNT" localSheetId="6">[44]보일러!UTPNT</definedName>
    <definedName name="UTPNT" localSheetId="7">[44]보일러!UTPNT</definedName>
    <definedName name="UTPNT" localSheetId="5">[44]보일러!UTPNT</definedName>
    <definedName name="UTPNT">[44]보일러!UTPNT</definedName>
    <definedName name="UU" localSheetId="18" hidden="1">{#N/A,#N/A,FALSE,"JACKETS (1100 t) (1)"}</definedName>
    <definedName name="UU" localSheetId="11" hidden="1">{#N/A,#N/A,FALSE,"JACKETS (1100 t) (1)"}</definedName>
    <definedName name="UU" localSheetId="1" hidden="1">{#N/A,#N/A,FALSE,"JACKETS (1100 t) (1)"}</definedName>
    <definedName name="UU" localSheetId="2" hidden="1">{#N/A,#N/A,FALSE,"JACKETS (1100 t) (1)"}</definedName>
    <definedName name="UU" localSheetId="4" hidden="1">{#N/A,#N/A,FALSE,"JACKETS (1100 t) (1)"}</definedName>
    <definedName name="UU" localSheetId="19" hidden="1">{#N/A,#N/A,FALSE,"JACKETS (1100 t) (1)"}</definedName>
    <definedName name="UU" localSheetId="10" hidden="1">{#N/A,#N/A,FALSE,"JACKETS (1100 t) (1)"}</definedName>
    <definedName name="UU" localSheetId="9" hidden="1">{#N/A,#N/A,FALSE,"JACKETS (1100 t) (1)"}</definedName>
    <definedName name="UU" localSheetId="8" hidden="1">{#N/A,#N/A,FALSE,"JACKETS (1100 t) (1)"}</definedName>
    <definedName name="UU" localSheetId="3" hidden="1">{#N/A,#N/A,FALSE,"JACKETS (1100 t) (1)"}</definedName>
    <definedName name="UU" localSheetId="6" hidden="1">{#N/A,#N/A,FALSE,"JACKETS (1100 t) (1)"}</definedName>
    <definedName name="UU" localSheetId="7" hidden="1">{#N/A,#N/A,FALSE,"JACKETS (1100 t) (1)"}</definedName>
    <definedName name="UU" localSheetId="5" hidden="1">{#N/A,#N/A,FALSE,"JACKETS (1100 t) (1)"}</definedName>
    <definedName name="UU" hidden="1">{#N/A,#N/A,FALSE,"JACKETS (1100 t) (1)"}</definedName>
    <definedName name="UUU" localSheetId="18" hidden="1">{#N/A,#N/A,FALSE,"CCTV"}</definedName>
    <definedName name="UUU" localSheetId="11" hidden="1">{#N/A,#N/A,FALSE,"CCTV"}</definedName>
    <definedName name="UUU" localSheetId="1" hidden="1">{#N/A,#N/A,FALSE,"CCTV"}</definedName>
    <definedName name="UUU" localSheetId="2" hidden="1">{#N/A,#N/A,FALSE,"CCTV"}</definedName>
    <definedName name="UUU" localSheetId="4" hidden="1">{#N/A,#N/A,FALSE,"CCTV"}</definedName>
    <definedName name="UUU" localSheetId="19" hidden="1">{#N/A,#N/A,FALSE,"CCTV"}</definedName>
    <definedName name="UUU" localSheetId="10" hidden="1">{#N/A,#N/A,FALSE,"CCTV"}</definedName>
    <definedName name="UUU" localSheetId="9" hidden="1">{#N/A,#N/A,FALSE,"CCTV"}</definedName>
    <definedName name="UUU" localSheetId="8" hidden="1">{#N/A,#N/A,FALSE,"CCTV"}</definedName>
    <definedName name="UUU" localSheetId="3" hidden="1">{#N/A,#N/A,FALSE,"CCTV"}</definedName>
    <definedName name="UUU" localSheetId="6" hidden="1">{#N/A,#N/A,FALSE,"CCTV"}</definedName>
    <definedName name="UUU" localSheetId="7" hidden="1">{#N/A,#N/A,FALSE,"CCTV"}</definedName>
    <definedName name="UUU" localSheetId="5" hidden="1">{#N/A,#N/A,FALSE,"CCTV"}</definedName>
    <definedName name="UUU" hidden="1">{#N/A,#N/A,FALSE,"CCTV"}</definedName>
    <definedName name="uuuuuu" localSheetId="18" hidden="1">{"'장비'!$A$3:$M$12"}</definedName>
    <definedName name="uuuuuu" hidden="1">{"'장비'!$A$3:$M$12"}</definedName>
    <definedName name="Uy" localSheetId="12">#REF!</definedName>
    <definedName name="Uy" localSheetId="13">#REF!</definedName>
    <definedName name="Uy">#REF!</definedName>
    <definedName name="UYT" localSheetId="18" hidden="1">{#N/A,#N/A,FALSE,"CCTV"}</definedName>
    <definedName name="UYT" hidden="1">{#N/A,#N/A,FALSE,"CCTV"}</definedName>
    <definedName name="V">[106]VS배관내역서!#REF!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[107]CondPol!$F$69</definedName>
    <definedName name="var" hidden="1">#REF!</definedName>
    <definedName name="VARIINST">#REF!</definedName>
    <definedName name="VARIPURC">#REF!</definedName>
    <definedName name="VATM" localSheetId="18" hidden="1">{"'Sheet1'!$L$16"}</definedName>
    <definedName name="VATM" localSheetId="11" hidden="1">{"'Sheet1'!$L$16"}</definedName>
    <definedName name="VATM" localSheetId="1" hidden="1">{"'Sheet1'!$L$16"}</definedName>
    <definedName name="VATM" localSheetId="2" hidden="1">{"'Sheet1'!$L$16"}</definedName>
    <definedName name="VATM" localSheetId="12" hidden="1">{"'Sheet1'!$L$16"}</definedName>
    <definedName name="VATM" localSheetId="4" hidden="1">{"'Sheet1'!$L$16"}</definedName>
    <definedName name="VATM" localSheetId="19" hidden="1">{"'Sheet1'!$L$16"}</definedName>
    <definedName name="VATM" localSheetId="10" hidden="1">{"'Sheet1'!$L$16"}</definedName>
    <definedName name="VATM" localSheetId="9" hidden="1">{"'Sheet1'!$L$16"}</definedName>
    <definedName name="VATM" localSheetId="8" hidden="1">{"'Sheet1'!$L$16"}</definedName>
    <definedName name="VATM" localSheetId="3" hidden="1">{"'Sheet1'!$L$16"}</definedName>
    <definedName name="VATM" localSheetId="6" hidden="1">{"'Sheet1'!$L$16"}</definedName>
    <definedName name="VATM" localSheetId="7" hidden="1">{"'Sheet1'!$L$16"}</definedName>
    <definedName name="VATM" localSheetId="5" hidden="1">{"'Sheet1'!$L$16"}</definedName>
    <definedName name="VATM" localSheetId="13" hidden="1">{"'Sheet1'!$L$16"}</definedName>
    <definedName name="VATM" hidden="1">{"'Sheet1'!$L$16"}</definedName>
    <definedName name="vcat">[107]CondPol!$F$68</definedName>
    <definedName name="VCHT">#REF!</definedName>
    <definedName name="vcoto" localSheetId="18" hidden="1">{"'Sheet1'!$L$16"}</definedName>
    <definedName name="vcoto" localSheetId="11" hidden="1">{"'Sheet1'!$L$16"}</definedName>
    <definedName name="vcoto" localSheetId="1" hidden="1">{"'Sheet1'!$L$16"}</definedName>
    <definedName name="vcoto" localSheetId="2" hidden="1">{"'Sheet1'!$L$16"}</definedName>
    <definedName name="vcoto" localSheetId="12" hidden="1">{"'Sheet1'!$L$16"}</definedName>
    <definedName name="vcoto" localSheetId="4" hidden="1">{"'Sheet1'!$L$16"}</definedName>
    <definedName name="vcoto" localSheetId="19" hidden="1">{"'Sheet1'!$L$16"}</definedName>
    <definedName name="vcoto" localSheetId="10" hidden="1">{"'Sheet1'!$L$16"}</definedName>
    <definedName name="vcoto" localSheetId="9" hidden="1">{"'Sheet1'!$L$16"}</definedName>
    <definedName name="vcoto" localSheetId="8" hidden="1">{"'Sheet1'!$L$16"}</definedName>
    <definedName name="vcoto" localSheetId="3" hidden="1">{"'Sheet1'!$L$16"}</definedName>
    <definedName name="vcoto" localSheetId="6" hidden="1">{"'Sheet1'!$L$16"}</definedName>
    <definedName name="vcoto" localSheetId="7" hidden="1">{"'Sheet1'!$L$16"}</definedName>
    <definedName name="vcoto" localSheetId="5" hidden="1">{"'Sheet1'!$L$16"}</definedName>
    <definedName name="vcoto" localSheetId="13" hidden="1">{"'Sheet1'!$L$16"}</definedName>
    <definedName name="vcoto" hidden="1">{"'Sheet1'!$L$16"}</definedName>
    <definedName name="VCTT">#REF!</definedName>
    <definedName name="vd3p">#REF!</definedName>
    <definedName name="Vel_Max" localSheetId="11">'[41]Noise (3)'!$O$40</definedName>
    <definedName name="Vel_Max" localSheetId="1">'[41]Noise (3)'!$O$40</definedName>
    <definedName name="Vel_Max" localSheetId="2">'[41]Noise (3)'!$O$40</definedName>
    <definedName name="Vel_Max" localSheetId="4">'[41]Noise (3)'!$O$40</definedName>
    <definedName name="Vel_Max" localSheetId="19">'[41]Noise (3)'!$O$40</definedName>
    <definedName name="Vel_Max" localSheetId="10">'[41]Noise (3)'!$O$40</definedName>
    <definedName name="Vel_Max" localSheetId="9">'[41]Noise (3)'!$O$40</definedName>
    <definedName name="Vel_Max" localSheetId="8">'[41]Noise (3)'!$O$40</definedName>
    <definedName name="Vel_Max" localSheetId="3">'[41]Noise (3)'!$O$40</definedName>
    <definedName name="Vel_Max" localSheetId="6">'[41]Noise (3)'!$O$40</definedName>
    <definedName name="Vel_Max" localSheetId="7">'[41]Noise (3)'!$O$40</definedName>
    <definedName name="Vel_Max" localSheetId="5">'[41]Noise (3)'!$O$40</definedName>
    <definedName name="Vel_Max">#REF!</definedName>
    <definedName name="Velocidad_chimenea">#REF!</definedName>
    <definedName name="Velocidad_conducto">#REF!</definedName>
    <definedName name="VelocityArea" localSheetId="11">[34]DATA_LIST!$B$14:$B$19</definedName>
    <definedName name="VelocityArea" localSheetId="1">[34]DATA_LIST!$B$14:$B$19</definedName>
    <definedName name="VelocityArea" localSheetId="2">[34]DATA_LIST!$B$14:$B$19</definedName>
    <definedName name="VelocityArea" localSheetId="4">[34]DATA_LIST!$B$14:$B$19</definedName>
    <definedName name="VelocityArea" localSheetId="19">[34]DATA_LIST!$B$14:$B$19</definedName>
    <definedName name="VelocityArea" localSheetId="10">[34]DATA_LIST!$B$14:$B$19</definedName>
    <definedName name="VelocityArea" localSheetId="9">[34]DATA_LIST!$B$14:$B$19</definedName>
    <definedName name="VelocityArea" localSheetId="8">[34]DATA_LIST!$B$14:$B$19</definedName>
    <definedName name="VelocityArea" localSheetId="3">[34]DATA_LIST!$B$14:$B$19</definedName>
    <definedName name="VelocityArea" localSheetId="6">[34]DATA_LIST!$B$14:$B$19</definedName>
    <definedName name="VelocityArea" localSheetId="7">[34]DATA_LIST!$B$14:$B$19</definedName>
    <definedName name="VelocityArea" localSheetId="5">[34]DATA_LIST!$B$14:$B$19</definedName>
    <definedName name="VelocityArea">#REF!</definedName>
    <definedName name="VEN" localSheetId="18" hidden="1">{#N/A,#N/A,TRUE,"SUM";#N/A,#N/A,TRUE,"EE";#N/A,#N/A,TRUE,"AC";#N/A,#N/A,TRUE,"SN"}</definedName>
    <definedName name="VEN" hidden="1">{#N/A,#N/A,TRUE,"SUM";#N/A,#N/A,TRUE,"EE";#N/A,#N/A,TRUE,"AC";#N/A,#N/A,TRUE,"SN"}</definedName>
    <definedName name="Vendor">'[107]w''t table'!$AE$2:$AF$5</definedName>
    <definedName name="Vendor_fill" hidden="1">#REF!</definedName>
    <definedName name="VendorDocType">#REF!</definedName>
    <definedName name="Verpackungsart">#REF!</definedName>
    <definedName name="Verpackungspreise">#REF!</definedName>
    <definedName name="VerticalAdder1">#REF!</definedName>
    <definedName name="VerticalAdder10">#REF!</definedName>
    <definedName name="VerticalAdder11">#REF!</definedName>
    <definedName name="VerticalAdder12">#REF!</definedName>
    <definedName name="VerticalAdder2">#REF!</definedName>
    <definedName name="VerticalAdder4">#REF!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localSheetId="18" hidden="1">{"'Sheet1'!$L$16"}</definedName>
    <definedName name="vf" hidden="1">{"'Sheet1'!$L$16"}</definedName>
    <definedName name="vffsfs" localSheetId="18" hidden="1">{#N/A,#N/A,TRUE,"Basic";#N/A,#N/A,TRUE,"EXT-TABLE";#N/A,#N/A,TRUE,"STEEL";#N/A,#N/A,TRUE,"INT-Table";#N/A,#N/A,TRUE,"STEEL";#N/A,#N/A,TRUE,"Door"}</definedName>
    <definedName name="vffsfs" hidden="1">{#N/A,#N/A,TRUE,"Basic";#N/A,#N/A,TRUE,"EXT-TABLE";#N/A,#N/A,TRUE,"STEEL";#N/A,#N/A,TRUE,"INT-Table";#N/A,#N/A,TRUE,"STEEL";#N/A,#N/A,TRUE,"Door"}</definedName>
    <definedName name="vffsfs_1" localSheetId="18" hidden="1">{#N/A,#N/A,TRUE,"Basic";#N/A,#N/A,TRUE,"EXT-TABLE";#N/A,#N/A,TRUE,"STEEL";#N/A,#N/A,TRUE,"INT-Table";#N/A,#N/A,TRUE,"STEEL";#N/A,#N/A,TRUE,"Door"}</definedName>
    <definedName name="vffsfs_1" hidden="1">{#N/A,#N/A,TRUE,"Basic";#N/A,#N/A,TRUE,"EXT-TABLE";#N/A,#N/A,TRUE,"STEEL";#N/A,#N/A,TRUE,"INT-Table";#N/A,#N/A,TRUE,"STEEL";#N/A,#N/A,TRUE,"Door"}</definedName>
    <definedName name="vffsfs_1_1" localSheetId="18" hidden="1">{#N/A,#N/A,TRUE,"Basic";#N/A,#N/A,TRUE,"EXT-TABLE";#N/A,#N/A,TRUE,"STEEL";#N/A,#N/A,TRUE,"INT-Table";#N/A,#N/A,TRUE,"STEEL";#N/A,#N/A,TRUE,"Door"}</definedName>
    <definedName name="vffsfs_1_1" hidden="1">{#N/A,#N/A,TRUE,"Basic";#N/A,#N/A,TRUE,"EXT-TABLE";#N/A,#N/A,TRUE,"STEEL";#N/A,#N/A,TRUE,"INT-Table";#N/A,#N/A,TRUE,"STEEL";#N/A,#N/A,TRUE,"Door"}</definedName>
    <definedName name="vffsfs_1_2" localSheetId="18" hidden="1">{#N/A,#N/A,TRUE,"Basic";#N/A,#N/A,TRUE,"EXT-TABLE";#N/A,#N/A,TRUE,"STEEL";#N/A,#N/A,TRUE,"INT-Table";#N/A,#N/A,TRUE,"STEEL";#N/A,#N/A,TRUE,"Door"}</definedName>
    <definedName name="vffsfs_1_2" hidden="1">{#N/A,#N/A,TRUE,"Basic";#N/A,#N/A,TRUE,"EXT-TABLE";#N/A,#N/A,TRUE,"STEEL";#N/A,#N/A,TRUE,"INT-Table";#N/A,#N/A,TRUE,"STEEL";#N/A,#N/A,TRUE,"Door"}</definedName>
    <definedName name="vffsfs_2" localSheetId="18" hidden="1">{#N/A,#N/A,TRUE,"Basic";#N/A,#N/A,TRUE,"EXT-TABLE";#N/A,#N/A,TRUE,"STEEL";#N/A,#N/A,TRUE,"INT-Table";#N/A,#N/A,TRUE,"STEEL";#N/A,#N/A,TRUE,"Door"}</definedName>
    <definedName name="vffsfs_2" hidden="1">{#N/A,#N/A,TRUE,"Basic";#N/A,#N/A,TRUE,"EXT-TABLE";#N/A,#N/A,TRUE,"STEEL";#N/A,#N/A,TRUE,"INT-Table";#N/A,#N/A,TRUE,"STEEL";#N/A,#N/A,TRUE,"Door"}</definedName>
    <definedName name="vffsfs_2_1" localSheetId="18" hidden="1">{#N/A,#N/A,TRUE,"Basic";#N/A,#N/A,TRUE,"EXT-TABLE";#N/A,#N/A,TRUE,"STEEL";#N/A,#N/A,TRUE,"INT-Table";#N/A,#N/A,TRUE,"STEEL";#N/A,#N/A,TRUE,"Door"}</definedName>
    <definedName name="vffsfs_2_1" hidden="1">{#N/A,#N/A,TRUE,"Basic";#N/A,#N/A,TRUE,"EXT-TABLE";#N/A,#N/A,TRUE,"STEEL";#N/A,#N/A,TRUE,"INT-Table";#N/A,#N/A,TRUE,"STEEL";#N/A,#N/A,TRUE,"Door"}</definedName>
    <definedName name="vffsfs_2_2" localSheetId="18" hidden="1">{#N/A,#N/A,TRUE,"Basic";#N/A,#N/A,TRUE,"EXT-TABLE";#N/A,#N/A,TRUE,"STEEL";#N/A,#N/A,TRUE,"INT-Table";#N/A,#N/A,TRUE,"STEEL";#N/A,#N/A,TRUE,"Door"}</definedName>
    <definedName name="vffsfs_2_2" hidden="1">{#N/A,#N/A,TRUE,"Basic";#N/A,#N/A,TRUE,"EXT-TABLE";#N/A,#N/A,TRUE,"STEEL";#N/A,#N/A,TRUE,"INT-Table";#N/A,#N/A,TRUE,"STEEL";#N/A,#N/A,TRUE,"Door"}</definedName>
    <definedName name="vffsfs_3" localSheetId="18" hidden="1">{#N/A,#N/A,TRUE,"Basic";#N/A,#N/A,TRUE,"EXT-TABLE";#N/A,#N/A,TRUE,"STEEL";#N/A,#N/A,TRUE,"INT-Table";#N/A,#N/A,TRUE,"STEEL";#N/A,#N/A,TRUE,"Door"}</definedName>
    <definedName name="vffsfs_3" hidden="1">{#N/A,#N/A,TRUE,"Basic";#N/A,#N/A,TRUE,"EXT-TABLE";#N/A,#N/A,TRUE,"STEEL";#N/A,#N/A,TRUE,"INT-Table";#N/A,#N/A,TRUE,"STEEL";#N/A,#N/A,TRUE,"Door"}</definedName>
    <definedName name="vffsfs_3_1" localSheetId="18" hidden="1">{#N/A,#N/A,TRUE,"Basic";#N/A,#N/A,TRUE,"EXT-TABLE";#N/A,#N/A,TRUE,"STEEL";#N/A,#N/A,TRUE,"INT-Table";#N/A,#N/A,TRUE,"STEEL";#N/A,#N/A,TRUE,"Door"}</definedName>
    <definedName name="vffsfs_3_1" hidden="1">{#N/A,#N/A,TRUE,"Basic";#N/A,#N/A,TRUE,"EXT-TABLE";#N/A,#N/A,TRUE,"STEEL";#N/A,#N/A,TRUE,"INT-Table";#N/A,#N/A,TRUE,"STEEL";#N/A,#N/A,TRUE,"Door"}</definedName>
    <definedName name="vffsfs_3_2" localSheetId="18" hidden="1">{#N/A,#N/A,TRUE,"Basic";#N/A,#N/A,TRUE,"EXT-TABLE";#N/A,#N/A,TRUE,"STEEL";#N/A,#N/A,TRUE,"INT-Table";#N/A,#N/A,TRUE,"STEEL";#N/A,#N/A,TRUE,"Door"}</definedName>
    <definedName name="vffsfs_3_2" hidden="1">{#N/A,#N/A,TRUE,"Basic";#N/A,#N/A,TRUE,"EXT-TABLE";#N/A,#N/A,TRUE,"STEEL";#N/A,#N/A,TRUE,"INT-Table";#N/A,#N/A,TRUE,"STEEL";#N/A,#N/A,TRUE,"Door"}</definedName>
    <definedName name="vffsfs_4" localSheetId="18" hidden="1">{#N/A,#N/A,TRUE,"Basic";#N/A,#N/A,TRUE,"EXT-TABLE";#N/A,#N/A,TRUE,"STEEL";#N/A,#N/A,TRUE,"INT-Table";#N/A,#N/A,TRUE,"STEEL";#N/A,#N/A,TRUE,"Door"}</definedName>
    <definedName name="vffsfs_4" hidden="1">{#N/A,#N/A,TRUE,"Basic";#N/A,#N/A,TRUE,"EXT-TABLE";#N/A,#N/A,TRUE,"STEEL";#N/A,#N/A,TRUE,"INT-Table";#N/A,#N/A,TRUE,"STEEL";#N/A,#N/A,TRUE,"Door"}</definedName>
    <definedName name="vffsfs_4_1" localSheetId="18" hidden="1">{#N/A,#N/A,TRUE,"Basic";#N/A,#N/A,TRUE,"EXT-TABLE";#N/A,#N/A,TRUE,"STEEL";#N/A,#N/A,TRUE,"INT-Table";#N/A,#N/A,TRUE,"STEEL";#N/A,#N/A,TRUE,"Door"}</definedName>
    <definedName name="vffsfs_4_1" hidden="1">{#N/A,#N/A,TRUE,"Basic";#N/A,#N/A,TRUE,"EXT-TABLE";#N/A,#N/A,TRUE,"STEEL";#N/A,#N/A,TRUE,"INT-Table";#N/A,#N/A,TRUE,"STEEL";#N/A,#N/A,TRUE,"Door"}</definedName>
    <definedName name="vffsfs_4_2" localSheetId="18" hidden="1">{#N/A,#N/A,TRUE,"Basic";#N/A,#N/A,TRUE,"EXT-TABLE";#N/A,#N/A,TRUE,"STEEL";#N/A,#N/A,TRUE,"INT-Table";#N/A,#N/A,TRUE,"STEEL";#N/A,#N/A,TRUE,"Door"}</definedName>
    <definedName name="vffsfs_4_2" hidden="1">{#N/A,#N/A,TRUE,"Basic";#N/A,#N/A,TRUE,"EXT-TABLE";#N/A,#N/A,TRUE,"STEEL";#N/A,#N/A,TRUE,"INT-Table";#N/A,#N/A,TRUE,"STEEL";#N/A,#N/A,TRUE,"Door"}</definedName>
    <definedName name="vffsfs_5" localSheetId="18" hidden="1">{#N/A,#N/A,TRUE,"Basic";#N/A,#N/A,TRUE,"EXT-TABLE";#N/A,#N/A,TRUE,"STEEL";#N/A,#N/A,TRUE,"INT-Table";#N/A,#N/A,TRUE,"STEEL";#N/A,#N/A,TRUE,"Door"}</definedName>
    <definedName name="vffsfs_5" hidden="1">{#N/A,#N/A,TRUE,"Basic";#N/A,#N/A,TRUE,"EXT-TABLE";#N/A,#N/A,TRUE,"STEEL";#N/A,#N/A,TRUE,"INT-Table";#N/A,#N/A,TRUE,"STEEL";#N/A,#N/A,TRUE,"Door"}</definedName>
    <definedName name="vffsfs_5_1" localSheetId="18" hidden="1">{#N/A,#N/A,TRUE,"Basic";#N/A,#N/A,TRUE,"EXT-TABLE";#N/A,#N/A,TRUE,"STEEL";#N/A,#N/A,TRUE,"INT-Table";#N/A,#N/A,TRUE,"STEEL";#N/A,#N/A,TRUE,"Door"}</definedName>
    <definedName name="vffsfs_5_1" hidden="1">{#N/A,#N/A,TRUE,"Basic";#N/A,#N/A,TRUE,"EXT-TABLE";#N/A,#N/A,TRUE,"STEEL";#N/A,#N/A,TRUE,"INT-Table";#N/A,#N/A,TRUE,"STEEL";#N/A,#N/A,TRUE,"Door"}</definedName>
    <definedName name="vffsfs_5_2" localSheetId="18" hidden="1">{#N/A,#N/A,TRUE,"Basic";#N/A,#N/A,TRUE,"EXT-TABLE";#N/A,#N/A,TRUE,"STEEL";#N/A,#N/A,TRUE,"INT-Table";#N/A,#N/A,TRUE,"STEEL";#N/A,#N/A,TRUE,"Door"}</definedName>
    <definedName name="vffsfs_5_2" hidden="1">{#N/A,#N/A,TRUE,"Basic";#N/A,#N/A,TRUE,"EXT-TABLE";#N/A,#N/A,TRUE,"STEEL";#N/A,#N/A,TRUE,"INT-Table";#N/A,#N/A,TRUE,"STEEL";#N/A,#N/A,TRUE,"Door"}</definedName>
    <definedName name="vhjh" localSheetId="18" hidden="1">{#N/A,#N/A,FALSE,"CCTV"}</definedName>
    <definedName name="vhjh" hidden="1">{#N/A,#N/A,FALSE,"CCTV"}</definedName>
    <definedName name="Viet" localSheetId="18" hidden="1">{"'Sheet1'!$L$16"}</definedName>
    <definedName name="Viet" localSheetId="11" hidden="1">{"'Sheet1'!$L$16"}</definedName>
    <definedName name="Viet" localSheetId="1" hidden="1">{"'Sheet1'!$L$16"}</definedName>
    <definedName name="Viet" localSheetId="2" hidden="1">{"'Sheet1'!$L$16"}</definedName>
    <definedName name="Viet" localSheetId="12" hidden="1">{"'Sheet1'!$L$16"}</definedName>
    <definedName name="Viet" localSheetId="4" hidden="1">{"'Sheet1'!$L$16"}</definedName>
    <definedName name="Viet" localSheetId="19" hidden="1">{"'Sheet1'!$L$16"}</definedName>
    <definedName name="Viet" localSheetId="10" hidden="1">{"'Sheet1'!$L$16"}</definedName>
    <definedName name="Viet" localSheetId="9" hidden="1">{"'Sheet1'!$L$16"}</definedName>
    <definedName name="Viet" localSheetId="8" hidden="1">{"'Sheet1'!$L$16"}</definedName>
    <definedName name="Viet" localSheetId="3" hidden="1">{"'Sheet1'!$L$16"}</definedName>
    <definedName name="Viet" localSheetId="6" hidden="1">{"'Sheet1'!$L$16"}</definedName>
    <definedName name="Viet" localSheetId="7" hidden="1">{"'Sheet1'!$L$16"}</definedName>
    <definedName name="Viet" localSheetId="5" hidden="1">{"'Sheet1'!$L$16"}</definedName>
    <definedName name="Viet" localSheetId="13" hidden="1">{"'Sheet1'!$L$16"}</definedName>
    <definedName name="Viet" hidden="1">{"'Sheet1'!$L$16"}</definedName>
    <definedName name="vinert">[107]CondPol!$F$70</definedName>
    <definedName name="vl1p">#REF!</definedName>
    <definedName name="vl3p">#REF!</definedName>
    <definedName name="vlct" localSheetId="18" hidden="1">{"'Sheet1'!$L$16"}</definedName>
    <definedName name="vlct" localSheetId="11" hidden="1">{"'Sheet1'!$L$16"}</definedName>
    <definedName name="vlct" localSheetId="1" hidden="1">{"'Sheet1'!$L$16"}</definedName>
    <definedName name="vlct" localSheetId="2" hidden="1">{"'Sheet1'!$L$16"}</definedName>
    <definedName name="vlct" localSheetId="12" hidden="1">{"'Sheet1'!$L$16"}</definedName>
    <definedName name="vlct" localSheetId="4" hidden="1">{"'Sheet1'!$L$16"}</definedName>
    <definedName name="vlct" localSheetId="19" hidden="1">{"'Sheet1'!$L$16"}</definedName>
    <definedName name="vlct" localSheetId="10" hidden="1">{"'Sheet1'!$L$16"}</definedName>
    <definedName name="vlct" localSheetId="9" hidden="1">{"'Sheet1'!$L$16"}</definedName>
    <definedName name="vlct" localSheetId="8" hidden="1">{"'Sheet1'!$L$16"}</definedName>
    <definedName name="vlct" localSheetId="3" hidden="1">{"'Sheet1'!$L$16"}</definedName>
    <definedName name="vlct" localSheetId="6" hidden="1">{"'Sheet1'!$L$16"}</definedName>
    <definedName name="vlct" localSheetId="7" hidden="1">{"'Sheet1'!$L$16"}</definedName>
    <definedName name="vlct" localSheetId="5" hidden="1">{"'Sheet1'!$L$16"}</definedName>
    <definedName name="vlct" localSheetId="13" hidden="1">{"'Sheet1'!$L$16"}</definedName>
    <definedName name="vlct" hidden="1">{"'Sheet1'!$L$16"}</definedName>
    <definedName name="vldn400">#REF!</definedName>
    <definedName name="vldn600">#REF!</definedName>
    <definedName name="vltram">#REF!</definedName>
    <definedName name="vn" localSheetId="18" hidden="1">{"'Sheet1'!$L$16"}</definedName>
    <definedName name="vn" hidden="1">{"'Sheet1'!$L$16"}</definedName>
    <definedName name="voldiam" localSheetId="11">[101]Tech.!$X$6:$Y$12</definedName>
    <definedName name="voldiam" localSheetId="1">[101]Tech.!$X$6:$Y$12</definedName>
    <definedName name="voldiam" localSheetId="2">[101]Tech.!$X$6:$Y$12</definedName>
    <definedName name="voldiam" localSheetId="4">[101]Tech.!$X$6:$Y$12</definedName>
    <definedName name="voldiam" localSheetId="19">[101]Tech.!$X$6:$Y$12</definedName>
    <definedName name="voldiam" localSheetId="10">[101]Tech.!$X$6:$Y$12</definedName>
    <definedName name="voldiam" localSheetId="9">[101]Tech.!$X$6:$Y$12</definedName>
    <definedName name="voldiam" localSheetId="8">[101]Tech.!$X$6:$Y$12</definedName>
    <definedName name="voldiam" localSheetId="3">[101]Tech.!$X$6:$Y$12</definedName>
    <definedName name="voldiam" localSheetId="6">[101]Tech.!$X$6:$Y$12</definedName>
    <definedName name="voldiam" localSheetId="7">[101]Tech.!$X$6:$Y$12</definedName>
    <definedName name="voldiam" localSheetId="5">[101]Tech.!$X$6:$Y$12</definedName>
    <definedName name="voldiam">#REF!</definedName>
    <definedName name="VQH" hidden="1">#REF!</definedName>
    <definedName name="vr3p">#REF!</definedName>
    <definedName name="vs">#REF!</definedName>
    <definedName name="VSD">#REF!</definedName>
    <definedName name="vsdim0">#REF!</definedName>
    <definedName name="vtot">[107]CondPol!$F$71</definedName>
    <definedName name="vv" localSheetId="18" hidden="1">{#N/A,#N/A,TRUE,"Mhr_Sum"}</definedName>
    <definedName name="vv" hidden="1">{#N/A,#N/A,TRUE,"Mhr_Sum"}</definedName>
    <definedName name="VXCVXVXC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localSheetId="18" hidden="1">{"'장비'!$A$3:$M$12"}</definedName>
    <definedName name="W" hidden="1">{"'장비'!$A$3:$M$12"}</definedName>
    <definedName name="WAGE">#REF!</definedName>
    <definedName name="wall_ship_ipt">#REF!</definedName>
    <definedName name="Warranty" localSheetId="11">[51]Summary!$D$21</definedName>
    <definedName name="Warranty" localSheetId="1">[51]Summary!$D$21</definedName>
    <definedName name="Warranty" localSheetId="2">[51]Summary!$D$21</definedName>
    <definedName name="Warranty" localSheetId="4">[51]Summary!$D$21</definedName>
    <definedName name="Warranty" localSheetId="19">[51]Summary!$D$21</definedName>
    <definedName name="Warranty" localSheetId="10">[51]Summary!$D$21</definedName>
    <definedName name="Warranty" localSheetId="9">[51]Summary!$D$21</definedName>
    <definedName name="Warranty" localSheetId="8">[51]Summary!$D$21</definedName>
    <definedName name="Warranty" localSheetId="3">[51]Summary!$D$21</definedName>
    <definedName name="Warranty" localSheetId="6">[51]Summary!$D$21</definedName>
    <definedName name="Warranty" localSheetId="7">[51]Summary!$D$21</definedName>
    <definedName name="Warranty" localSheetId="5">[51]Summary!$D$21</definedName>
    <definedName name="Warranty">#REF!</definedName>
    <definedName name="WarrantyTotal" localSheetId="11">[51]Summary!$N$11</definedName>
    <definedName name="WarrantyTotal" localSheetId="1">[51]Summary!$N$11</definedName>
    <definedName name="WarrantyTotal" localSheetId="2">[51]Summary!$N$11</definedName>
    <definedName name="WarrantyTotal" localSheetId="4">[51]Summary!$N$11</definedName>
    <definedName name="WarrantyTotal" localSheetId="19">[51]Summary!$N$11</definedName>
    <definedName name="WarrantyTotal" localSheetId="10">[51]Summary!$N$11</definedName>
    <definedName name="WarrantyTotal" localSheetId="9">[51]Summary!$N$11</definedName>
    <definedName name="WarrantyTotal" localSheetId="8">[51]Summary!$N$11</definedName>
    <definedName name="WarrantyTotal" localSheetId="3">[51]Summary!$N$11</definedName>
    <definedName name="WarrantyTotal" localSheetId="6">[51]Summary!$N$11</definedName>
    <definedName name="WarrantyTotal" localSheetId="7">[51]Summary!$N$11</definedName>
    <definedName name="WarrantyTotal" localSheetId="5">[51]Summary!$N$11</definedName>
    <definedName name="WarrantyTotal">#REF!</definedName>
    <definedName name="Waste" localSheetId="18" hidden="1">{#N/A,#N/A,TRUE,"Basic";#N/A,#N/A,TRUE,"EXT-TABLE";#N/A,#N/A,TRUE,"STEEL";#N/A,#N/A,TRUE,"INT-Table";#N/A,#N/A,TRUE,"STEEL";#N/A,#N/A,TRUE,"Door"}</definedName>
    <definedName name="Waste" hidden="1">{#N/A,#N/A,TRUE,"Basic";#N/A,#N/A,TRUE,"EXT-TABLE";#N/A,#N/A,TRUE,"STEEL";#N/A,#N/A,TRUE,"INT-Table";#N/A,#N/A,TRUE,"STEEL";#N/A,#N/A,TRUE,"Door"}</definedName>
    <definedName name="Waste_1" localSheetId="18" hidden="1">{#N/A,#N/A,TRUE,"Basic";#N/A,#N/A,TRUE,"EXT-TABLE";#N/A,#N/A,TRUE,"STEEL";#N/A,#N/A,TRUE,"INT-Table";#N/A,#N/A,TRUE,"STEEL";#N/A,#N/A,TRUE,"Door"}</definedName>
    <definedName name="Waste_1" hidden="1">{#N/A,#N/A,TRUE,"Basic";#N/A,#N/A,TRUE,"EXT-TABLE";#N/A,#N/A,TRUE,"STEEL";#N/A,#N/A,TRUE,"INT-Table";#N/A,#N/A,TRUE,"STEEL";#N/A,#N/A,TRUE,"Door"}</definedName>
    <definedName name="Waste_1_1" localSheetId="18" hidden="1">{#N/A,#N/A,TRUE,"Basic";#N/A,#N/A,TRUE,"EXT-TABLE";#N/A,#N/A,TRUE,"STEEL";#N/A,#N/A,TRUE,"INT-Table";#N/A,#N/A,TRUE,"STEEL";#N/A,#N/A,TRUE,"Door"}</definedName>
    <definedName name="Waste_1_1" hidden="1">{#N/A,#N/A,TRUE,"Basic";#N/A,#N/A,TRUE,"EXT-TABLE";#N/A,#N/A,TRUE,"STEEL";#N/A,#N/A,TRUE,"INT-Table";#N/A,#N/A,TRUE,"STEEL";#N/A,#N/A,TRUE,"Door"}</definedName>
    <definedName name="Waste_1_2" localSheetId="18" hidden="1">{#N/A,#N/A,TRUE,"Basic";#N/A,#N/A,TRUE,"EXT-TABLE";#N/A,#N/A,TRUE,"STEEL";#N/A,#N/A,TRUE,"INT-Table";#N/A,#N/A,TRUE,"STEEL";#N/A,#N/A,TRUE,"Door"}</definedName>
    <definedName name="Waste_1_2" hidden="1">{#N/A,#N/A,TRUE,"Basic";#N/A,#N/A,TRUE,"EXT-TABLE";#N/A,#N/A,TRUE,"STEEL";#N/A,#N/A,TRUE,"INT-Table";#N/A,#N/A,TRUE,"STEEL";#N/A,#N/A,TRUE,"Door"}</definedName>
    <definedName name="Waste_2" localSheetId="18" hidden="1">{#N/A,#N/A,TRUE,"Basic";#N/A,#N/A,TRUE,"EXT-TABLE";#N/A,#N/A,TRUE,"STEEL";#N/A,#N/A,TRUE,"INT-Table";#N/A,#N/A,TRUE,"STEEL";#N/A,#N/A,TRUE,"Door"}</definedName>
    <definedName name="Waste_2" hidden="1">{#N/A,#N/A,TRUE,"Basic";#N/A,#N/A,TRUE,"EXT-TABLE";#N/A,#N/A,TRUE,"STEEL";#N/A,#N/A,TRUE,"INT-Table";#N/A,#N/A,TRUE,"STEEL";#N/A,#N/A,TRUE,"Door"}</definedName>
    <definedName name="Waste_2_1" localSheetId="18" hidden="1">{#N/A,#N/A,TRUE,"Basic";#N/A,#N/A,TRUE,"EXT-TABLE";#N/A,#N/A,TRUE,"STEEL";#N/A,#N/A,TRUE,"INT-Table";#N/A,#N/A,TRUE,"STEEL";#N/A,#N/A,TRUE,"Door"}</definedName>
    <definedName name="Waste_2_1" hidden="1">{#N/A,#N/A,TRUE,"Basic";#N/A,#N/A,TRUE,"EXT-TABLE";#N/A,#N/A,TRUE,"STEEL";#N/A,#N/A,TRUE,"INT-Table";#N/A,#N/A,TRUE,"STEEL";#N/A,#N/A,TRUE,"Door"}</definedName>
    <definedName name="Waste_2_2" localSheetId="18" hidden="1">{#N/A,#N/A,TRUE,"Basic";#N/A,#N/A,TRUE,"EXT-TABLE";#N/A,#N/A,TRUE,"STEEL";#N/A,#N/A,TRUE,"INT-Table";#N/A,#N/A,TRUE,"STEEL";#N/A,#N/A,TRUE,"Door"}</definedName>
    <definedName name="Waste_2_2" hidden="1">{#N/A,#N/A,TRUE,"Basic";#N/A,#N/A,TRUE,"EXT-TABLE";#N/A,#N/A,TRUE,"STEEL";#N/A,#N/A,TRUE,"INT-Table";#N/A,#N/A,TRUE,"STEEL";#N/A,#N/A,TRUE,"Door"}</definedName>
    <definedName name="Waste_3" localSheetId="18" hidden="1">{#N/A,#N/A,TRUE,"Basic";#N/A,#N/A,TRUE,"EXT-TABLE";#N/A,#N/A,TRUE,"STEEL";#N/A,#N/A,TRUE,"INT-Table";#N/A,#N/A,TRUE,"STEEL";#N/A,#N/A,TRUE,"Door"}</definedName>
    <definedName name="Waste_3" hidden="1">{#N/A,#N/A,TRUE,"Basic";#N/A,#N/A,TRUE,"EXT-TABLE";#N/A,#N/A,TRUE,"STEEL";#N/A,#N/A,TRUE,"INT-Table";#N/A,#N/A,TRUE,"STEEL";#N/A,#N/A,TRUE,"Door"}</definedName>
    <definedName name="Waste_3_1" localSheetId="18" hidden="1">{#N/A,#N/A,TRUE,"Basic";#N/A,#N/A,TRUE,"EXT-TABLE";#N/A,#N/A,TRUE,"STEEL";#N/A,#N/A,TRUE,"INT-Table";#N/A,#N/A,TRUE,"STEEL";#N/A,#N/A,TRUE,"Door"}</definedName>
    <definedName name="Waste_3_1" hidden="1">{#N/A,#N/A,TRUE,"Basic";#N/A,#N/A,TRUE,"EXT-TABLE";#N/A,#N/A,TRUE,"STEEL";#N/A,#N/A,TRUE,"INT-Table";#N/A,#N/A,TRUE,"STEEL";#N/A,#N/A,TRUE,"Door"}</definedName>
    <definedName name="Waste_3_2" localSheetId="18" hidden="1">{#N/A,#N/A,TRUE,"Basic";#N/A,#N/A,TRUE,"EXT-TABLE";#N/A,#N/A,TRUE,"STEEL";#N/A,#N/A,TRUE,"INT-Table";#N/A,#N/A,TRUE,"STEEL";#N/A,#N/A,TRUE,"Door"}</definedName>
    <definedName name="Waste_3_2" hidden="1">{#N/A,#N/A,TRUE,"Basic";#N/A,#N/A,TRUE,"EXT-TABLE";#N/A,#N/A,TRUE,"STEEL";#N/A,#N/A,TRUE,"INT-Table";#N/A,#N/A,TRUE,"STEEL";#N/A,#N/A,TRUE,"Door"}</definedName>
    <definedName name="Waste_4" localSheetId="18" hidden="1">{#N/A,#N/A,TRUE,"Basic";#N/A,#N/A,TRUE,"EXT-TABLE";#N/A,#N/A,TRUE,"STEEL";#N/A,#N/A,TRUE,"INT-Table";#N/A,#N/A,TRUE,"STEEL";#N/A,#N/A,TRUE,"Door"}</definedName>
    <definedName name="Waste_4" hidden="1">{#N/A,#N/A,TRUE,"Basic";#N/A,#N/A,TRUE,"EXT-TABLE";#N/A,#N/A,TRUE,"STEEL";#N/A,#N/A,TRUE,"INT-Table";#N/A,#N/A,TRUE,"STEEL";#N/A,#N/A,TRUE,"Door"}</definedName>
    <definedName name="Waste_4_1" localSheetId="18" hidden="1">{#N/A,#N/A,TRUE,"Basic";#N/A,#N/A,TRUE,"EXT-TABLE";#N/A,#N/A,TRUE,"STEEL";#N/A,#N/A,TRUE,"INT-Table";#N/A,#N/A,TRUE,"STEEL";#N/A,#N/A,TRUE,"Door"}</definedName>
    <definedName name="Waste_4_1" hidden="1">{#N/A,#N/A,TRUE,"Basic";#N/A,#N/A,TRUE,"EXT-TABLE";#N/A,#N/A,TRUE,"STEEL";#N/A,#N/A,TRUE,"INT-Table";#N/A,#N/A,TRUE,"STEEL";#N/A,#N/A,TRUE,"Door"}</definedName>
    <definedName name="Waste_4_2" localSheetId="18" hidden="1">{#N/A,#N/A,TRUE,"Basic";#N/A,#N/A,TRUE,"EXT-TABLE";#N/A,#N/A,TRUE,"STEEL";#N/A,#N/A,TRUE,"INT-Table";#N/A,#N/A,TRUE,"STEEL";#N/A,#N/A,TRUE,"Door"}</definedName>
    <definedName name="Waste_4_2" hidden="1">{#N/A,#N/A,TRUE,"Basic";#N/A,#N/A,TRUE,"EXT-TABLE";#N/A,#N/A,TRUE,"STEEL";#N/A,#N/A,TRUE,"INT-Table";#N/A,#N/A,TRUE,"STEEL";#N/A,#N/A,TRUE,"Door"}</definedName>
    <definedName name="Waste_5" localSheetId="18" hidden="1">{#N/A,#N/A,TRUE,"Basic";#N/A,#N/A,TRUE,"EXT-TABLE";#N/A,#N/A,TRUE,"STEEL";#N/A,#N/A,TRUE,"INT-Table";#N/A,#N/A,TRUE,"STEEL";#N/A,#N/A,TRUE,"Door"}</definedName>
    <definedName name="Waste_5" hidden="1">{#N/A,#N/A,TRUE,"Basic";#N/A,#N/A,TRUE,"EXT-TABLE";#N/A,#N/A,TRUE,"STEEL";#N/A,#N/A,TRUE,"INT-Table";#N/A,#N/A,TRUE,"STEEL";#N/A,#N/A,TRUE,"Door"}</definedName>
    <definedName name="Waste_5_1" localSheetId="18" hidden="1">{#N/A,#N/A,TRUE,"Basic";#N/A,#N/A,TRUE,"EXT-TABLE";#N/A,#N/A,TRUE,"STEEL";#N/A,#N/A,TRUE,"INT-Table";#N/A,#N/A,TRUE,"STEEL";#N/A,#N/A,TRUE,"Door"}</definedName>
    <definedName name="Waste_5_1" hidden="1">{#N/A,#N/A,TRUE,"Basic";#N/A,#N/A,TRUE,"EXT-TABLE";#N/A,#N/A,TRUE,"STEEL";#N/A,#N/A,TRUE,"INT-Table";#N/A,#N/A,TRUE,"STEEL";#N/A,#N/A,TRUE,"Door"}</definedName>
    <definedName name="Waste_5_2" localSheetId="18" hidden="1">{#N/A,#N/A,TRUE,"Basic";#N/A,#N/A,TRUE,"EXT-TABLE";#N/A,#N/A,TRUE,"STEEL";#N/A,#N/A,TRUE,"INT-Table";#N/A,#N/A,TRUE,"STEEL";#N/A,#N/A,TRUE,"Door"}</definedName>
    <definedName name="Waste_5_2" hidden="1">{#N/A,#N/A,TRUE,"Basic";#N/A,#N/A,TRUE,"EXT-TABLE";#N/A,#N/A,TRUE,"STEEL";#N/A,#N/A,TRUE,"INT-Table";#N/A,#N/A,TRUE,"STEEL";#N/A,#N/A,TRUE,"Door"}</definedName>
    <definedName name="we" localSheetId="18" hidden="1">{#N/A,#N/A,FALSE,"CCTV"}</definedName>
    <definedName name="we" hidden="1">{#N/A,#N/A,FALSE,"CCTV"}</definedName>
    <definedName name="W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18" hidden="1">{#N/A,#N/A,FALSE,"CCTV"}</definedName>
    <definedName name="wef" hidden="1">{#N/A,#N/A,FALSE,"CCTV"}</definedName>
    <definedName name="weight" localSheetId="18" hidden="1">{#N/A,#N/A,FALSE,"CCTV"}</definedName>
    <definedName name="weight" hidden="1">{#N/A,#N/A,FALSE,"CCTV"}</definedName>
    <definedName name="Weights">#REF!</definedName>
    <definedName name="Weld">#REF!</definedName>
    <definedName name="WE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localSheetId="18" hidden="1">{#N/A,#N/A,FALSE,"Project Cost Summary";#N/A,#N/A,FALSE,"Man Hour Summary"}</definedName>
    <definedName name="WEQWEWER" localSheetId="1" hidden="1">{#N/A,#N/A,FALSE,"Project Cost Summary";#N/A,#N/A,FALSE,"Man Hour Summary"}</definedName>
    <definedName name="WEQWEWER" localSheetId="2" hidden="1">{#N/A,#N/A,FALSE,"Project Cost Summary";#N/A,#N/A,FALSE,"Man Hour Summary"}</definedName>
    <definedName name="WEQWEWER" localSheetId="4" hidden="1">{#N/A,#N/A,FALSE,"Project Cost Summary";#N/A,#N/A,FALSE,"Man Hour Summary"}</definedName>
    <definedName name="WEQWEWER" localSheetId="19" hidden="1">{#N/A,#N/A,FALSE,"Project Cost Summary";#N/A,#N/A,FALSE,"Man Hour Summary"}</definedName>
    <definedName name="WEQWEWER" localSheetId="10" hidden="1">{#N/A,#N/A,FALSE,"Project Cost Summary";#N/A,#N/A,FALSE,"Man Hour Summary"}</definedName>
    <definedName name="WEQWEWER" localSheetId="9" hidden="1">{#N/A,#N/A,FALSE,"Project Cost Summary";#N/A,#N/A,FALSE,"Man Hour Summary"}</definedName>
    <definedName name="WEQWEWER" localSheetId="8" hidden="1">{#N/A,#N/A,FALSE,"Project Cost Summary";#N/A,#N/A,FALSE,"Man Hour Summary"}</definedName>
    <definedName name="WEQWEWER" localSheetId="3" hidden="1">{#N/A,#N/A,FALSE,"Project Cost Summary";#N/A,#N/A,FALSE,"Man Hour Summary"}</definedName>
    <definedName name="WEQWEWER" localSheetId="6" hidden="1">{#N/A,#N/A,FALSE,"Project Cost Summary";#N/A,#N/A,FALSE,"Man Hour Summary"}</definedName>
    <definedName name="WEQWEWER" localSheetId="7" hidden="1">{#N/A,#N/A,FALSE,"Project Cost Summary";#N/A,#N/A,FALSE,"Man Hour Summary"}</definedName>
    <definedName name="WEQWEWER" localSheetId="5" hidden="1">{#N/A,#N/A,FALSE,"Project Cost Summary";#N/A,#N/A,FALSE,"Man Hour Summary"}</definedName>
    <definedName name="WEQWEWER" hidden="1">{#N/A,#N/A,FALSE,"Project Cost Summary";#N/A,#N/A,FALSE,"Man Hour Summary"}</definedName>
    <definedName name="wer" hidden="1">#REF!</definedName>
    <definedName name="werty" localSheetId="11" hidden="1">[108]OUTICOLPIP!#REF!</definedName>
    <definedName name="werty" localSheetId="1" hidden="1">[108]OUTICOLPIP!#REF!</definedName>
    <definedName name="werty" localSheetId="2" hidden="1">[108]OUTICOLPIP!#REF!</definedName>
    <definedName name="werty" localSheetId="4" hidden="1">[108]OUTICOLPIP!#REF!</definedName>
    <definedName name="werty" localSheetId="19" hidden="1">[108]OUTICOLPIP!#REF!</definedName>
    <definedName name="werty" localSheetId="10" hidden="1">[108]OUTICOLPIP!#REF!</definedName>
    <definedName name="werty" localSheetId="9" hidden="1">[108]OUTICOLPIP!#REF!</definedName>
    <definedName name="werty" localSheetId="8" hidden="1">[108]OUTICOLPIP!#REF!</definedName>
    <definedName name="werty" localSheetId="3" hidden="1">[108]OUTICOLPIP!#REF!</definedName>
    <definedName name="werty" localSheetId="6" hidden="1">[108]OUTICOLPIP!#REF!</definedName>
    <definedName name="werty" localSheetId="7" hidden="1">[108]OUTICOLPIP!#REF!</definedName>
    <definedName name="werty" localSheetId="5" hidden="1">[108]OUTICOLPIP!#REF!</definedName>
    <definedName name="werty" hidden="1">#REF!</definedName>
    <definedName name="WFC" hidden="1">#REF!</definedName>
    <definedName name="WHNHAP">[109]NHAP!$D$6:$N$1000</definedName>
    <definedName name="wi" localSheetId="11">[110]TO_COST_PPS_METRIC!$D$7</definedName>
    <definedName name="wi" localSheetId="1">[110]TO_COST_PPS_METRIC!$D$7</definedName>
    <definedName name="wi" localSheetId="2">[110]TO_COST_PPS_METRIC!$D$7</definedName>
    <definedName name="wi" localSheetId="4">[110]TO_COST_PPS_METRIC!$D$7</definedName>
    <definedName name="wi" localSheetId="19">[110]TO_COST_PPS_METRIC!$D$7</definedName>
    <definedName name="wi" localSheetId="10">[110]TO_COST_PPS_METRIC!$D$7</definedName>
    <definedName name="wi" localSheetId="9">[110]TO_COST_PPS_METRIC!$D$7</definedName>
    <definedName name="wi" localSheetId="8">[110]TO_COST_PPS_METRIC!$D$7</definedName>
    <definedName name="wi" localSheetId="3">[110]TO_COST_PPS_METRIC!$D$7</definedName>
    <definedName name="wi" localSheetId="6">[110]TO_COST_PPS_METRIC!$D$7</definedName>
    <definedName name="wi" localSheetId="7">[110]TO_COST_PPS_METRIC!$D$7</definedName>
    <definedName name="wi" localSheetId="5">[110]TO_COST_PPS_METRIC!$D$7</definedName>
    <definedName name="wi">#REF!</definedName>
    <definedName name="win.VESSE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#REF!</definedName>
    <definedName name="windi">#REF!</definedName>
    <definedName name="WindS">#REF!</definedName>
    <definedName name="wjs" localSheetId="18" hidden="1">{#N/A,#N/A,FALSE,"CCTV"}</definedName>
    <definedName name="wjs" localSheetId="11" hidden="1">{#N/A,#N/A,FALSE,"CCTV"}</definedName>
    <definedName name="wjs" localSheetId="1" hidden="1">{#N/A,#N/A,FALSE,"CCTV"}</definedName>
    <definedName name="wjs" localSheetId="2" hidden="1">{#N/A,#N/A,FALSE,"CCTV"}</definedName>
    <definedName name="wjs" localSheetId="4" hidden="1">{#N/A,#N/A,FALSE,"CCTV"}</definedName>
    <definedName name="wjs" localSheetId="19" hidden="1">{#N/A,#N/A,FALSE,"CCTV"}</definedName>
    <definedName name="wjs" localSheetId="10" hidden="1">{#N/A,#N/A,FALSE,"CCTV"}</definedName>
    <definedName name="wjs" localSheetId="9" hidden="1">{#N/A,#N/A,FALSE,"CCTV"}</definedName>
    <definedName name="wjs" localSheetId="8" hidden="1">{#N/A,#N/A,FALSE,"CCTV"}</definedName>
    <definedName name="wjs" localSheetId="3" hidden="1">{#N/A,#N/A,FALSE,"CCTV"}</definedName>
    <definedName name="wjs" localSheetId="6" hidden="1">{#N/A,#N/A,FALSE,"CCTV"}</definedName>
    <definedName name="wjs" localSheetId="7" hidden="1">{#N/A,#N/A,FALSE,"CCTV"}</definedName>
    <definedName name="wjs" localSheetId="5" hidden="1">{#N/A,#N/A,FALSE,"CCTV"}</definedName>
    <definedName name="wjs" hidden="1">{#N/A,#N/A,FALSE,"CCTV"}</definedName>
    <definedName name="WLF">#REF!</definedName>
    <definedName name="wm.조골재1" localSheetId="18" hidden="1">{#N/A,#N/A,FALSE,"조골재"}</definedName>
    <definedName name="wm.조골재1" hidden="1">{#N/A,#N/A,FALSE,"조골재"}</definedName>
    <definedName name="wn"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L">#REF!</definedName>
    <definedName name="won_usd">1/812.8</definedName>
    <definedName name="work">#REF!</definedName>
    <definedName name="WORKSHOP" localSheetId="18" hidden="1">{#N/A,#N/A,TRUE,"Basic";#N/A,#N/A,TRUE,"EXT-TABLE";#N/A,#N/A,TRUE,"STEEL";#N/A,#N/A,TRUE,"INT-Table";#N/A,#N/A,TRUE,"STEEL";#N/A,#N/A,TRUE,"Door"}</definedName>
    <definedName name="workshop" localSheetId="11" hidden="1">{#N/A,#N/A,FALSE,"CCTV"}</definedName>
    <definedName name="workshop" localSheetId="1" hidden="1">{#N/A,#N/A,FALSE,"CCTV"}</definedName>
    <definedName name="workshop" localSheetId="2" hidden="1">{#N/A,#N/A,FALSE,"CCTV"}</definedName>
    <definedName name="workshop" localSheetId="4" hidden="1">{#N/A,#N/A,FALSE,"CCTV"}</definedName>
    <definedName name="workshop" localSheetId="19" hidden="1">{#N/A,#N/A,FALSE,"CCTV"}</definedName>
    <definedName name="workshop" localSheetId="10" hidden="1">{#N/A,#N/A,FALSE,"CCTV"}</definedName>
    <definedName name="workshop" localSheetId="9" hidden="1">{#N/A,#N/A,FALSE,"CCTV"}</definedName>
    <definedName name="workshop" localSheetId="8" hidden="1">{#N/A,#N/A,FALSE,"CCTV"}</definedName>
    <definedName name="workshop" localSheetId="3" hidden="1">{#N/A,#N/A,FALSE,"CCTV"}</definedName>
    <definedName name="workshop" localSheetId="6" hidden="1">{#N/A,#N/A,FALSE,"CCTV"}</definedName>
    <definedName name="workshop" localSheetId="7" hidden="1">{#N/A,#N/A,FALSE,"CCTV"}</definedName>
    <definedName name="workshop" localSheetId="5" hidden="1">{#N/A,#N/A,FALSE,"CCTV"}</definedName>
    <definedName name="WORKSHOP" hidden="1">{#N/A,#N/A,TRUE,"Basic";#N/A,#N/A,TRUE,"EXT-TABLE";#N/A,#N/A,TRUE,"STEEL";#N/A,#N/A,TRUE,"INT-Table";#N/A,#N/A,TRUE,"STEEL";#N/A,#N/A,TRUE,"Door"}</definedName>
    <definedName name="WORKSHOP_1" localSheetId="18" hidden="1">{#N/A,#N/A,TRUE,"Basic";#N/A,#N/A,TRUE,"EXT-TABLE";#N/A,#N/A,TRUE,"STEEL";#N/A,#N/A,TRUE,"INT-Table";#N/A,#N/A,TRUE,"STEEL";#N/A,#N/A,TRUE,"Door"}</definedName>
    <definedName name="WORKSHOP_1" hidden="1">{#N/A,#N/A,TRUE,"Basic";#N/A,#N/A,TRUE,"EXT-TABLE";#N/A,#N/A,TRUE,"STEEL";#N/A,#N/A,TRUE,"INT-Table";#N/A,#N/A,TRUE,"STEEL";#N/A,#N/A,TRUE,"Door"}</definedName>
    <definedName name="WORKSHOP_1_1" localSheetId="18" hidden="1">{#N/A,#N/A,TRUE,"Basic";#N/A,#N/A,TRUE,"EXT-TABLE";#N/A,#N/A,TRUE,"STEEL";#N/A,#N/A,TRUE,"INT-Table";#N/A,#N/A,TRUE,"STEEL";#N/A,#N/A,TRUE,"Door"}</definedName>
    <definedName name="WORKSHOP_1_1" hidden="1">{#N/A,#N/A,TRUE,"Basic";#N/A,#N/A,TRUE,"EXT-TABLE";#N/A,#N/A,TRUE,"STEEL";#N/A,#N/A,TRUE,"INT-Table";#N/A,#N/A,TRUE,"STEEL";#N/A,#N/A,TRUE,"Door"}</definedName>
    <definedName name="WORKSHOP_1_2" localSheetId="18" hidden="1">{#N/A,#N/A,TRUE,"Basic";#N/A,#N/A,TRUE,"EXT-TABLE";#N/A,#N/A,TRUE,"STEEL";#N/A,#N/A,TRUE,"INT-Table";#N/A,#N/A,TRUE,"STEEL";#N/A,#N/A,TRUE,"Door"}</definedName>
    <definedName name="WORKSHOP_1_2" hidden="1">{#N/A,#N/A,TRUE,"Basic";#N/A,#N/A,TRUE,"EXT-TABLE";#N/A,#N/A,TRUE,"STEEL";#N/A,#N/A,TRUE,"INT-Table";#N/A,#N/A,TRUE,"STEEL";#N/A,#N/A,TRUE,"Door"}</definedName>
    <definedName name="WORKSHOP_2" localSheetId="18" hidden="1">{#N/A,#N/A,TRUE,"Basic";#N/A,#N/A,TRUE,"EXT-TABLE";#N/A,#N/A,TRUE,"STEEL";#N/A,#N/A,TRUE,"INT-Table";#N/A,#N/A,TRUE,"STEEL";#N/A,#N/A,TRUE,"Door"}</definedName>
    <definedName name="WORKSHOP_2" hidden="1">{#N/A,#N/A,TRUE,"Basic";#N/A,#N/A,TRUE,"EXT-TABLE";#N/A,#N/A,TRUE,"STEEL";#N/A,#N/A,TRUE,"INT-Table";#N/A,#N/A,TRUE,"STEEL";#N/A,#N/A,TRUE,"Door"}</definedName>
    <definedName name="WORKSHOP_2_1" localSheetId="18" hidden="1">{#N/A,#N/A,TRUE,"Basic";#N/A,#N/A,TRUE,"EXT-TABLE";#N/A,#N/A,TRUE,"STEEL";#N/A,#N/A,TRUE,"INT-Table";#N/A,#N/A,TRUE,"STEEL";#N/A,#N/A,TRUE,"Door"}</definedName>
    <definedName name="WORKSHOP_2_1" hidden="1">{#N/A,#N/A,TRUE,"Basic";#N/A,#N/A,TRUE,"EXT-TABLE";#N/A,#N/A,TRUE,"STEEL";#N/A,#N/A,TRUE,"INT-Table";#N/A,#N/A,TRUE,"STEEL";#N/A,#N/A,TRUE,"Door"}</definedName>
    <definedName name="WORKSHOP_2_2" localSheetId="18" hidden="1">{#N/A,#N/A,TRUE,"Basic";#N/A,#N/A,TRUE,"EXT-TABLE";#N/A,#N/A,TRUE,"STEEL";#N/A,#N/A,TRUE,"INT-Table";#N/A,#N/A,TRUE,"STEEL";#N/A,#N/A,TRUE,"Door"}</definedName>
    <definedName name="WORKSHOP_2_2" hidden="1">{#N/A,#N/A,TRUE,"Basic";#N/A,#N/A,TRUE,"EXT-TABLE";#N/A,#N/A,TRUE,"STEEL";#N/A,#N/A,TRUE,"INT-Table";#N/A,#N/A,TRUE,"STEEL";#N/A,#N/A,TRUE,"Door"}</definedName>
    <definedName name="WORKSHOP_3" localSheetId="18" hidden="1">{#N/A,#N/A,TRUE,"Basic";#N/A,#N/A,TRUE,"EXT-TABLE";#N/A,#N/A,TRUE,"STEEL";#N/A,#N/A,TRUE,"INT-Table";#N/A,#N/A,TRUE,"STEEL";#N/A,#N/A,TRUE,"Door"}</definedName>
    <definedName name="WORKSHOP_3" hidden="1">{#N/A,#N/A,TRUE,"Basic";#N/A,#N/A,TRUE,"EXT-TABLE";#N/A,#N/A,TRUE,"STEEL";#N/A,#N/A,TRUE,"INT-Table";#N/A,#N/A,TRUE,"STEEL";#N/A,#N/A,TRUE,"Door"}</definedName>
    <definedName name="WORKSHOP_3_1" localSheetId="18" hidden="1">{#N/A,#N/A,TRUE,"Basic";#N/A,#N/A,TRUE,"EXT-TABLE";#N/A,#N/A,TRUE,"STEEL";#N/A,#N/A,TRUE,"INT-Table";#N/A,#N/A,TRUE,"STEEL";#N/A,#N/A,TRUE,"Door"}</definedName>
    <definedName name="WORKSHOP_3_1" hidden="1">{#N/A,#N/A,TRUE,"Basic";#N/A,#N/A,TRUE,"EXT-TABLE";#N/A,#N/A,TRUE,"STEEL";#N/A,#N/A,TRUE,"INT-Table";#N/A,#N/A,TRUE,"STEEL";#N/A,#N/A,TRUE,"Door"}</definedName>
    <definedName name="WORKSHOP_3_2" localSheetId="18" hidden="1">{#N/A,#N/A,TRUE,"Basic";#N/A,#N/A,TRUE,"EXT-TABLE";#N/A,#N/A,TRUE,"STEEL";#N/A,#N/A,TRUE,"INT-Table";#N/A,#N/A,TRUE,"STEEL";#N/A,#N/A,TRUE,"Door"}</definedName>
    <definedName name="WORKSHOP_3_2" hidden="1">{#N/A,#N/A,TRUE,"Basic";#N/A,#N/A,TRUE,"EXT-TABLE";#N/A,#N/A,TRUE,"STEEL";#N/A,#N/A,TRUE,"INT-Table";#N/A,#N/A,TRUE,"STEEL";#N/A,#N/A,TRUE,"Door"}</definedName>
    <definedName name="WORKSHOP_4" localSheetId="18" hidden="1">{#N/A,#N/A,TRUE,"Basic";#N/A,#N/A,TRUE,"EXT-TABLE";#N/A,#N/A,TRUE,"STEEL";#N/A,#N/A,TRUE,"INT-Table";#N/A,#N/A,TRUE,"STEEL";#N/A,#N/A,TRUE,"Door"}</definedName>
    <definedName name="WORKSHOP_4" hidden="1">{#N/A,#N/A,TRUE,"Basic";#N/A,#N/A,TRUE,"EXT-TABLE";#N/A,#N/A,TRUE,"STEEL";#N/A,#N/A,TRUE,"INT-Table";#N/A,#N/A,TRUE,"STEEL";#N/A,#N/A,TRUE,"Door"}</definedName>
    <definedName name="WORKSHOP_4_1" localSheetId="18" hidden="1">{#N/A,#N/A,TRUE,"Basic";#N/A,#N/A,TRUE,"EXT-TABLE";#N/A,#N/A,TRUE,"STEEL";#N/A,#N/A,TRUE,"INT-Table";#N/A,#N/A,TRUE,"STEEL";#N/A,#N/A,TRUE,"Door"}</definedName>
    <definedName name="WORKSHOP_4_1" hidden="1">{#N/A,#N/A,TRUE,"Basic";#N/A,#N/A,TRUE,"EXT-TABLE";#N/A,#N/A,TRUE,"STEEL";#N/A,#N/A,TRUE,"INT-Table";#N/A,#N/A,TRUE,"STEEL";#N/A,#N/A,TRUE,"Door"}</definedName>
    <definedName name="WORKSHOP_4_2" localSheetId="18" hidden="1">{#N/A,#N/A,TRUE,"Basic";#N/A,#N/A,TRUE,"EXT-TABLE";#N/A,#N/A,TRUE,"STEEL";#N/A,#N/A,TRUE,"INT-Table";#N/A,#N/A,TRUE,"STEEL";#N/A,#N/A,TRUE,"Door"}</definedName>
    <definedName name="WORKSHOP_4_2" hidden="1">{#N/A,#N/A,TRUE,"Basic";#N/A,#N/A,TRUE,"EXT-TABLE";#N/A,#N/A,TRUE,"STEEL";#N/A,#N/A,TRUE,"INT-Table";#N/A,#N/A,TRUE,"STEEL";#N/A,#N/A,TRUE,"Door"}</definedName>
    <definedName name="WORKSHOP_5" localSheetId="18" hidden="1">{#N/A,#N/A,TRUE,"Basic";#N/A,#N/A,TRUE,"EXT-TABLE";#N/A,#N/A,TRUE,"STEEL";#N/A,#N/A,TRUE,"INT-Table";#N/A,#N/A,TRUE,"STEEL";#N/A,#N/A,TRUE,"Door"}</definedName>
    <definedName name="WORKSHOP_5" hidden="1">{#N/A,#N/A,TRUE,"Basic";#N/A,#N/A,TRUE,"EXT-TABLE";#N/A,#N/A,TRUE,"STEEL";#N/A,#N/A,TRUE,"INT-Table";#N/A,#N/A,TRUE,"STEEL";#N/A,#N/A,TRUE,"Door"}</definedName>
    <definedName name="WORKSHOP_5_1" localSheetId="18" hidden="1">{#N/A,#N/A,TRUE,"Basic";#N/A,#N/A,TRUE,"EXT-TABLE";#N/A,#N/A,TRUE,"STEEL";#N/A,#N/A,TRUE,"INT-Table";#N/A,#N/A,TRUE,"STEEL";#N/A,#N/A,TRUE,"Door"}</definedName>
    <definedName name="WORKSHOP_5_1" hidden="1">{#N/A,#N/A,TRUE,"Basic";#N/A,#N/A,TRUE,"EXT-TABLE";#N/A,#N/A,TRUE,"STEEL";#N/A,#N/A,TRUE,"INT-Table";#N/A,#N/A,TRUE,"STEEL";#N/A,#N/A,TRUE,"Door"}</definedName>
    <definedName name="WORKSHOP_5_2" localSheetId="18" hidden="1">{#N/A,#N/A,TRUE,"Basic";#N/A,#N/A,TRUE,"EXT-TABLE";#N/A,#N/A,TRUE,"STEEL";#N/A,#N/A,TRUE,"INT-Table";#N/A,#N/A,TRUE,"STEEL";#N/A,#N/A,TRUE,"Door"}</definedName>
    <definedName name="WORKSHOP_5_2" hidden="1">{#N/A,#N/A,TRUE,"Basic";#N/A,#N/A,TRUE,"EXT-TABLE";#N/A,#N/A,TRUE,"STEEL";#N/A,#N/A,TRUE,"INT-Table";#N/A,#N/A,TRUE,"STEEL";#N/A,#N/A,TRUE,"Door"}</definedName>
    <definedName name="WR" localSheetId="18" hidden="1">{#N/A,#N/A,FALSE,"CCTV"}</definedName>
    <definedName name="WR" localSheetId="11" hidden="1">{#N/A,#N/A,FALSE,"CCTV"}</definedName>
    <definedName name="WR" localSheetId="1" hidden="1">{#N/A,#N/A,FALSE,"CCTV"}</definedName>
    <definedName name="WR" localSheetId="2" hidden="1">{#N/A,#N/A,FALSE,"CCTV"}</definedName>
    <definedName name="WR" localSheetId="4" hidden="1">{#N/A,#N/A,FALSE,"CCTV"}</definedName>
    <definedName name="WR" localSheetId="19" hidden="1">{#N/A,#N/A,FALSE,"CCTV"}</definedName>
    <definedName name="WR" localSheetId="10" hidden="1">{#N/A,#N/A,FALSE,"CCTV"}</definedName>
    <definedName name="WR" localSheetId="9" hidden="1">{#N/A,#N/A,FALSE,"CCTV"}</definedName>
    <definedName name="WR" localSheetId="8" hidden="1">{#N/A,#N/A,FALSE,"CCTV"}</definedName>
    <definedName name="WR" localSheetId="3" hidden="1">{#N/A,#N/A,FALSE,"CCTV"}</definedName>
    <definedName name="WR" localSheetId="6" hidden="1">{#N/A,#N/A,FALSE,"CCTV"}</definedName>
    <definedName name="WR" localSheetId="7" hidden="1">{#N/A,#N/A,FALSE,"CCTV"}</definedName>
    <definedName name="WR" localSheetId="5" hidden="1">{#N/A,#N/A,FALSE,"CCTV"}</definedName>
    <definedName name="WR" hidden="1">{#N/A,#N/A,FALSE,"CCTV"}</definedName>
    <definedName name="WRITE" localSheetId="18" hidden="1">{#N/A,#N/A,FALSE,"CCTV"}</definedName>
    <definedName name="WRITE" localSheetId="11" hidden="1">{#N/A,#N/A,FALSE,"CCTV"}</definedName>
    <definedName name="WRITE" localSheetId="1" hidden="1">{#N/A,#N/A,FALSE,"CCTV"}</definedName>
    <definedName name="WRITE" localSheetId="2" hidden="1">{#N/A,#N/A,FALSE,"CCTV"}</definedName>
    <definedName name="WRITE" localSheetId="4" hidden="1">{#N/A,#N/A,FALSE,"CCTV"}</definedName>
    <definedName name="WRITE" localSheetId="19" hidden="1">{#N/A,#N/A,FALSE,"CCTV"}</definedName>
    <definedName name="WRITE" localSheetId="10" hidden="1">{#N/A,#N/A,FALSE,"CCTV"}</definedName>
    <definedName name="WRITE" localSheetId="9" hidden="1">{#N/A,#N/A,FALSE,"CCTV"}</definedName>
    <definedName name="WRITE" localSheetId="8" hidden="1">{#N/A,#N/A,FALSE,"CCTV"}</definedName>
    <definedName name="WRITE" localSheetId="3" hidden="1">{#N/A,#N/A,FALSE,"CCTV"}</definedName>
    <definedName name="WRITE" localSheetId="6" hidden="1">{#N/A,#N/A,FALSE,"CCTV"}</definedName>
    <definedName name="WRITE" localSheetId="7" hidden="1">{#N/A,#N/A,FALSE,"CCTV"}</definedName>
    <definedName name="WRITE" localSheetId="5" hidden="1">{#N/A,#N/A,FALSE,"CCTV"}</definedName>
    <definedName name="WRITE" hidden="1">{#N/A,#N/A,FALSE,"CCTV"}</definedName>
    <definedName name="write1" localSheetId="18" hidden="1">{#N/A,#N/A,FALSE,"CCTV"}</definedName>
    <definedName name="write1" hidden="1">{#N/A,#N/A,FALSE,"CCTV"}</definedName>
    <definedName name="WRM" localSheetId="18" hidden="1">{#N/A,#N/A,FALSE,"CCTV"}</definedName>
    <definedName name="WRM" hidden="1">{#N/A,#N/A,FALSE,"CCTV"}</definedName>
    <definedName name="WRN" localSheetId="18" hidden="1">{#N/A,#N/A,FALSE,"CCTV"}</definedName>
    <definedName name="WRN" hidden="1">{#N/A,#N/A,FALSE,"CCTV"}</definedName>
    <definedName name="wrn.01_E26V_240." localSheetId="18" hidden="1">{#N/A,#N/A,TRUE,"FRONTPAGE";#N/A,#N/A,TRUE,"BASIS";#N/A,#N/A,TRUE,"VER_VES";#N/A,#N/A,TRUE,"RECEIVER"}</definedName>
    <definedName name="wrn.01_E26V_240." localSheetId="1" hidden="1">{#N/A,#N/A,TRUE,"FRONTPAGE";#N/A,#N/A,TRUE,"BASIS";#N/A,#N/A,TRUE,"VER_VES";#N/A,#N/A,TRUE,"RECEIVER"}</definedName>
    <definedName name="wrn.01_E26V_240." localSheetId="2" hidden="1">{#N/A,#N/A,TRUE,"FRONTPAGE";#N/A,#N/A,TRUE,"BASIS";#N/A,#N/A,TRUE,"VER_VES";#N/A,#N/A,TRUE,"RECEIVER"}</definedName>
    <definedName name="wrn.01_E26V_240." localSheetId="4" hidden="1">{#N/A,#N/A,TRUE,"FRONTPAGE";#N/A,#N/A,TRUE,"BASIS";#N/A,#N/A,TRUE,"VER_VES";#N/A,#N/A,TRUE,"RECEIVER"}</definedName>
    <definedName name="wrn.01_E26V_240." localSheetId="19" hidden="1">{#N/A,#N/A,TRUE,"FRONTPAGE";#N/A,#N/A,TRUE,"BASIS";#N/A,#N/A,TRUE,"VER_VES";#N/A,#N/A,TRUE,"RECEIVER"}</definedName>
    <definedName name="wrn.01_E26V_240." localSheetId="10" hidden="1">{#N/A,#N/A,TRUE,"FRONTPAGE";#N/A,#N/A,TRUE,"BASIS";#N/A,#N/A,TRUE,"VER_VES";#N/A,#N/A,TRUE,"RECEIVER"}</definedName>
    <definedName name="wrn.01_E26V_240." localSheetId="9" hidden="1">{#N/A,#N/A,TRUE,"FRONTPAGE";#N/A,#N/A,TRUE,"BASIS";#N/A,#N/A,TRUE,"VER_VES";#N/A,#N/A,TRUE,"RECEIVER"}</definedName>
    <definedName name="wrn.01_E26V_240." localSheetId="8" hidden="1">{#N/A,#N/A,TRUE,"FRONTPAGE";#N/A,#N/A,TRUE,"BASIS";#N/A,#N/A,TRUE,"VER_VES";#N/A,#N/A,TRUE,"RECEIVER"}</definedName>
    <definedName name="wrn.01_E26V_240." localSheetId="3" hidden="1">{#N/A,#N/A,TRUE,"FRONTPAGE";#N/A,#N/A,TRUE,"BASIS";#N/A,#N/A,TRUE,"VER_VES";#N/A,#N/A,TRUE,"RECEIVER"}</definedName>
    <definedName name="wrn.01_E26V_240." localSheetId="6" hidden="1">{#N/A,#N/A,TRUE,"FRONTPAGE";#N/A,#N/A,TRUE,"BASIS";#N/A,#N/A,TRUE,"VER_VES";#N/A,#N/A,TRUE,"RECEIVER"}</definedName>
    <definedName name="wrn.01_E26V_240." localSheetId="7" hidden="1">{#N/A,#N/A,TRUE,"FRONTPAGE";#N/A,#N/A,TRUE,"BASIS";#N/A,#N/A,TRUE,"VER_VES";#N/A,#N/A,TRUE,"RECEIVER"}</definedName>
    <definedName name="wrn.01_E26V_240." localSheetId="5" hidden="1">{#N/A,#N/A,TRUE,"FRONTPAGE";#N/A,#N/A,TRUE,"BASIS";#N/A,#N/A,TRUE,"VER_VES";#N/A,#N/A,TRUE,"RECEIVER"}</definedName>
    <definedName name="wrn.01_E26V_240." hidden="1">{#N/A,#N/A,TRUE,"FRONTPAGE";#N/A,#N/A,TRUE,"BASIS";#N/A,#N/A,TRUE,"VER_VES";#N/A,#N/A,TRUE,"RECEIVER"}</definedName>
    <definedName name="wrn.11_96._.Polifin." localSheetId="18" hidden="1">{#N/A,#N/A,FALSE,"Project Cost Summary";#N/A,#N/A,FALSE,"Man Hour Summary"}</definedName>
    <definedName name="wrn.11_96._.Polifin." localSheetId="1" hidden="1">{#N/A,#N/A,FALSE,"Project Cost Summary";#N/A,#N/A,FALSE,"Man Hour Summary"}</definedName>
    <definedName name="wrn.11_96._.Polifin." localSheetId="2" hidden="1">{#N/A,#N/A,FALSE,"Project Cost Summary";#N/A,#N/A,FALSE,"Man Hour Summary"}</definedName>
    <definedName name="wrn.11_96._.Polifin." localSheetId="4" hidden="1">{#N/A,#N/A,FALSE,"Project Cost Summary";#N/A,#N/A,FALSE,"Man Hour Summary"}</definedName>
    <definedName name="wrn.11_96._.Polifin." localSheetId="19" hidden="1">{#N/A,#N/A,FALSE,"Project Cost Summary";#N/A,#N/A,FALSE,"Man Hour Summary"}</definedName>
    <definedName name="wrn.11_96._.Polifin." localSheetId="10" hidden="1">{#N/A,#N/A,FALSE,"Project Cost Summary";#N/A,#N/A,FALSE,"Man Hour Summary"}</definedName>
    <definedName name="wrn.11_96._.Polifin." localSheetId="9" hidden="1">{#N/A,#N/A,FALSE,"Project Cost Summary";#N/A,#N/A,FALSE,"Man Hour Summary"}</definedName>
    <definedName name="wrn.11_96._.Polifin." localSheetId="8" hidden="1">{#N/A,#N/A,FALSE,"Project Cost Summary";#N/A,#N/A,FALSE,"Man Hour Summary"}</definedName>
    <definedName name="wrn.11_96._.Polifin." localSheetId="3" hidden="1">{#N/A,#N/A,FALSE,"Project Cost Summary";#N/A,#N/A,FALSE,"Man Hour Summary"}</definedName>
    <definedName name="wrn.11_96._.Polifin." localSheetId="6" hidden="1">{#N/A,#N/A,FALSE,"Project Cost Summary";#N/A,#N/A,FALSE,"Man Hour Summary"}</definedName>
    <definedName name="wrn.11_96._.Polifin." localSheetId="7" hidden="1">{#N/A,#N/A,FALSE,"Project Cost Summary";#N/A,#N/A,FALSE,"Man Hour Summary"}</definedName>
    <definedName name="wrn.11_96._.Polifin." localSheetId="5" hidden="1">{#N/A,#N/A,FALSE,"Project Cost Summary";#N/A,#N/A,FALSE,"Man Hour Summary"}</definedName>
    <definedName name="wrn.11_96._.Polifin." hidden="1">{#N/A,#N/A,FALSE,"Project Cost Summary";#N/A,#N/A,FALSE,"Man Hour Summary"}</definedName>
    <definedName name="wrn.2번." localSheetId="18" hidden="1">{#N/A,#N/A,FALSE,"2~8번"}</definedName>
    <definedName name="wrn.2번." hidden="1">{#N/A,#N/A,FALSE,"2~8번"}</definedName>
    <definedName name="wrn.A." localSheetId="18" hidden="1">{#N/A,#N/A,FALSE,"Vessel1 1";#N/A,#N/A,FALSE,"Vessel1 2";#N/A,#N/A,FALSE,"Vessel1 3";#N/A,#N/A,FALSE,"Vessel1 4";#N/A,#N/A,FALSE,"Vessel1 5";#N/A,#N/A,FALSE,"Vessel1 6";#N/A,#N/A,FALSE,"Vessel1 7";#N/A,#N/A,FALSE,"Vessel1 8";#N/A,#N/A,FALSE,"Vessel1 9";#N/A,#N/A,FALSE,"Vessel1 10";#N/A,#N/A,FALSE,"Vessel1 11"}</definedName>
    <definedName name="wrn.A." localSheetId="11" hidden="1">{#N/A,#N/A,FALSE,"Vessel1 1";#N/A,#N/A,FALSE,"Vessel1 2";#N/A,#N/A,FALSE,"Vessel1 3";#N/A,#N/A,FALSE,"Vessel1 4";#N/A,#N/A,FALSE,"Vessel1 5";#N/A,#N/A,FALSE,"Vessel1 6";#N/A,#N/A,FALSE,"Vessel1 7";#N/A,#N/A,FALSE,"Vessel1 8";#N/A,#N/A,FALSE,"Vessel1 9";#N/A,#N/A,FALSE,"Vessel1 10";#N/A,#N/A,FALSE,"Vessel1 11"}</definedName>
    <definedName name="wrn.A." localSheetId="1" hidden="1">{#N/A,#N/A,FALSE,"Vessel1 1";#N/A,#N/A,FALSE,"Vessel1 2";#N/A,#N/A,FALSE,"Vessel1 3";#N/A,#N/A,FALSE,"Vessel1 4";#N/A,#N/A,FALSE,"Vessel1 5";#N/A,#N/A,FALSE,"Vessel1 6";#N/A,#N/A,FALSE,"Vessel1 7";#N/A,#N/A,FALSE,"Vessel1 8";#N/A,#N/A,FALSE,"Vessel1 9";#N/A,#N/A,FALSE,"Vessel1 10";#N/A,#N/A,FALSE,"Vessel1 11"}</definedName>
    <definedName name="wrn.A." localSheetId="2" hidden="1">{#N/A,#N/A,FALSE,"Vessel1 1";#N/A,#N/A,FALSE,"Vessel1 2";#N/A,#N/A,FALSE,"Vessel1 3";#N/A,#N/A,FALSE,"Vessel1 4";#N/A,#N/A,FALSE,"Vessel1 5";#N/A,#N/A,FALSE,"Vessel1 6";#N/A,#N/A,FALSE,"Vessel1 7";#N/A,#N/A,FALSE,"Vessel1 8";#N/A,#N/A,FALSE,"Vessel1 9";#N/A,#N/A,FALSE,"Vessel1 10";#N/A,#N/A,FALSE,"Vessel1 11"}</definedName>
    <definedName name="wrn.A." localSheetId="4" hidden="1">{#N/A,#N/A,FALSE,"Vessel1 1";#N/A,#N/A,FALSE,"Vessel1 2";#N/A,#N/A,FALSE,"Vessel1 3";#N/A,#N/A,FALSE,"Vessel1 4";#N/A,#N/A,FALSE,"Vessel1 5";#N/A,#N/A,FALSE,"Vessel1 6";#N/A,#N/A,FALSE,"Vessel1 7";#N/A,#N/A,FALSE,"Vessel1 8";#N/A,#N/A,FALSE,"Vessel1 9";#N/A,#N/A,FALSE,"Vessel1 10";#N/A,#N/A,FALSE,"Vessel1 11"}</definedName>
    <definedName name="wrn.A." localSheetId="19" hidden="1">{#N/A,#N/A,FALSE,"Vessel1 1";#N/A,#N/A,FALSE,"Vessel1 2";#N/A,#N/A,FALSE,"Vessel1 3";#N/A,#N/A,FALSE,"Vessel1 4";#N/A,#N/A,FALSE,"Vessel1 5";#N/A,#N/A,FALSE,"Vessel1 6";#N/A,#N/A,FALSE,"Vessel1 7";#N/A,#N/A,FALSE,"Vessel1 8";#N/A,#N/A,FALSE,"Vessel1 9";#N/A,#N/A,FALSE,"Vessel1 10";#N/A,#N/A,FALSE,"Vessel1 11"}</definedName>
    <definedName name="wrn.A." localSheetId="10" hidden="1">{#N/A,#N/A,FALSE,"Vessel1 1";#N/A,#N/A,FALSE,"Vessel1 2";#N/A,#N/A,FALSE,"Vessel1 3";#N/A,#N/A,FALSE,"Vessel1 4";#N/A,#N/A,FALSE,"Vessel1 5";#N/A,#N/A,FALSE,"Vessel1 6";#N/A,#N/A,FALSE,"Vessel1 7";#N/A,#N/A,FALSE,"Vessel1 8";#N/A,#N/A,FALSE,"Vessel1 9";#N/A,#N/A,FALSE,"Vessel1 10";#N/A,#N/A,FALSE,"Vessel1 11"}</definedName>
    <definedName name="wrn.A." localSheetId="9" hidden="1">{#N/A,#N/A,FALSE,"Vessel1 1";#N/A,#N/A,FALSE,"Vessel1 2";#N/A,#N/A,FALSE,"Vessel1 3";#N/A,#N/A,FALSE,"Vessel1 4";#N/A,#N/A,FALSE,"Vessel1 5";#N/A,#N/A,FALSE,"Vessel1 6";#N/A,#N/A,FALSE,"Vessel1 7";#N/A,#N/A,FALSE,"Vessel1 8";#N/A,#N/A,FALSE,"Vessel1 9";#N/A,#N/A,FALSE,"Vessel1 10";#N/A,#N/A,FALSE,"Vessel1 11"}</definedName>
    <definedName name="wrn.A." localSheetId="8" hidden="1">{#N/A,#N/A,FALSE,"Vessel1 1";#N/A,#N/A,FALSE,"Vessel1 2";#N/A,#N/A,FALSE,"Vessel1 3";#N/A,#N/A,FALSE,"Vessel1 4";#N/A,#N/A,FALSE,"Vessel1 5";#N/A,#N/A,FALSE,"Vessel1 6";#N/A,#N/A,FALSE,"Vessel1 7";#N/A,#N/A,FALSE,"Vessel1 8";#N/A,#N/A,FALSE,"Vessel1 9";#N/A,#N/A,FALSE,"Vessel1 10";#N/A,#N/A,FALSE,"Vessel1 11"}</definedName>
    <definedName name="wrn.A." localSheetId="3" hidden="1">{#N/A,#N/A,FALSE,"Vessel1 1";#N/A,#N/A,FALSE,"Vessel1 2";#N/A,#N/A,FALSE,"Vessel1 3";#N/A,#N/A,FALSE,"Vessel1 4";#N/A,#N/A,FALSE,"Vessel1 5";#N/A,#N/A,FALSE,"Vessel1 6";#N/A,#N/A,FALSE,"Vessel1 7";#N/A,#N/A,FALSE,"Vessel1 8";#N/A,#N/A,FALSE,"Vessel1 9";#N/A,#N/A,FALSE,"Vessel1 10";#N/A,#N/A,FALSE,"Vessel1 11"}</definedName>
    <definedName name="wrn.A." localSheetId="6" hidden="1">{#N/A,#N/A,FALSE,"Vessel1 1";#N/A,#N/A,FALSE,"Vessel1 2";#N/A,#N/A,FALSE,"Vessel1 3";#N/A,#N/A,FALSE,"Vessel1 4";#N/A,#N/A,FALSE,"Vessel1 5";#N/A,#N/A,FALSE,"Vessel1 6";#N/A,#N/A,FALSE,"Vessel1 7";#N/A,#N/A,FALSE,"Vessel1 8";#N/A,#N/A,FALSE,"Vessel1 9";#N/A,#N/A,FALSE,"Vessel1 10";#N/A,#N/A,FALSE,"Vessel1 11"}</definedName>
    <definedName name="wrn.A." localSheetId="7" hidden="1">{#N/A,#N/A,FALSE,"Vessel1 1";#N/A,#N/A,FALSE,"Vessel1 2";#N/A,#N/A,FALSE,"Vessel1 3";#N/A,#N/A,FALSE,"Vessel1 4";#N/A,#N/A,FALSE,"Vessel1 5";#N/A,#N/A,FALSE,"Vessel1 6";#N/A,#N/A,FALSE,"Vessel1 7";#N/A,#N/A,FALSE,"Vessel1 8";#N/A,#N/A,FALSE,"Vessel1 9";#N/A,#N/A,FALSE,"Vessel1 10";#N/A,#N/A,FALSE,"Vessel1 11"}</definedName>
    <definedName name="wrn.A." localSheetId="5"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a." localSheetId="18" hidden="1">{#N/A,#N/A,FALSE,"Sheet1";#N/A,#N/A,FALSE,"Sheet1";#N/A,#N/A,FALSE,"Sheet1"}</definedName>
    <definedName name="wrn.aaa." localSheetId="11"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localSheetId="12" hidden="1">{#N/A,#N/A,FALSE,"Sheet1";#N/A,#N/A,FALSE,"Sheet1";#N/A,#N/A,FALSE,"Sheet1"}</definedName>
    <definedName name="wrn.aaa." localSheetId="4" hidden="1">{#N/A,#N/A,FALSE,"Sheet1";#N/A,#N/A,FALSE,"Sheet1";#N/A,#N/A,FALSE,"Sheet1"}</definedName>
    <definedName name="wrn.aaa." localSheetId="19" hidden="1">{#N/A,#N/A,FALSE,"Sheet1";#N/A,#N/A,FALSE,"Sheet1";#N/A,#N/A,FALSE,"Sheet1"}</definedName>
    <definedName name="wrn.aaa." localSheetId="10" hidden="1">{#N/A,#N/A,FALSE,"Sheet1";#N/A,#N/A,FALSE,"Sheet1";#N/A,#N/A,FALSE,"Sheet1"}</definedName>
    <definedName name="wrn.aaa." localSheetId="9" hidden="1">{#N/A,#N/A,FALSE,"Sheet1";#N/A,#N/A,FALSE,"Sheet1";#N/A,#N/A,FALSE,"Sheet1"}</definedName>
    <definedName name="wrn.aaa." localSheetId="8" hidden="1">{#N/A,#N/A,FALSE,"Sheet1";#N/A,#N/A,FALSE,"Sheet1";#N/A,#N/A,FALSE,"Sheet1"}</definedName>
    <definedName name="wrn.aaa." localSheetId="3" hidden="1">{#N/A,#N/A,FALSE,"Sheet1";#N/A,#N/A,FALSE,"Sheet1";#N/A,#N/A,FALSE,"Sheet1"}</definedName>
    <definedName name="wrn.aaa." localSheetId="6" hidden="1">{#N/A,#N/A,FALSE,"Sheet1";#N/A,#N/A,FALSE,"Sheet1";#N/A,#N/A,FALSE,"Sheet1"}</definedName>
    <definedName name="wrn.aaa." localSheetId="7" hidden="1">{#N/A,#N/A,FALSE,"Sheet1";#N/A,#N/A,FALSE,"Sheet1";#N/A,#N/A,FALSE,"Sheet1"}</definedName>
    <definedName name="wrn.aaa." localSheetId="5" hidden="1">{#N/A,#N/A,FALSE,"Sheet1";#N/A,#N/A,FALSE,"Sheet1";#N/A,#N/A,FALSE,"Sheet1"}</definedName>
    <definedName name="wrn.aaa." localSheetId="13" hidden="1">{#N/A,#N/A,FALSE,"Sheet1";#N/A,#N/A,FALSE,"Sheet1";#N/A,#N/A,FALSE,"Sheet1"}</definedName>
    <definedName name="wrn.aaa." hidden="1">{#N/A,#N/A,FALSE,"Sheet1";#N/A,#N/A,FALSE,"Sheet1";#N/A,#N/A,FALSE,"Sheet1"}</definedName>
    <definedName name="wrn.ac30prn." localSheetId="18"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ll._.Sheets." localSheetId="18" hidden="1">{#N/A,#N/A,FALSE,"HO Sum";#N/A,#N/A,FALSE,"HO Rates";#N/A,#N/A,FALSE,"Co Sum";#N/A,#N/A,FALSE,"Clients Office";#N/A,#N/A,FALSE,"Field Sum";#N/A,#N/A,FALSE,"Field Rates"}</definedName>
    <definedName name="wrn.All._.Sheets." localSheetId="11" hidden="1">{#N/A,#N/A,FALSE,"HO Sum";#N/A,#N/A,FALSE,"HO Rates";#N/A,#N/A,FALSE,"Co Sum";#N/A,#N/A,FALSE,"Clients Office";#N/A,#N/A,FALSE,"Field Sum";#N/A,#N/A,FALSE,"Field Rates"}</definedName>
    <definedName name="wrn.All._.Sheets." localSheetId="1" hidden="1">{#N/A,#N/A,FALSE,"HO Sum";#N/A,#N/A,FALSE,"HO Rates";#N/A,#N/A,FALSE,"Co Sum";#N/A,#N/A,FALSE,"Clients Office";#N/A,#N/A,FALSE,"Field Sum";#N/A,#N/A,FALSE,"Field Rates"}</definedName>
    <definedName name="wrn.All._.Sheets." localSheetId="2" hidden="1">{#N/A,#N/A,FALSE,"HO Sum";#N/A,#N/A,FALSE,"HO Rates";#N/A,#N/A,FALSE,"Co Sum";#N/A,#N/A,FALSE,"Clients Office";#N/A,#N/A,FALSE,"Field Sum";#N/A,#N/A,FALSE,"Field Rates"}</definedName>
    <definedName name="wrn.All._.Sheets." localSheetId="4" hidden="1">{#N/A,#N/A,FALSE,"HO Sum";#N/A,#N/A,FALSE,"HO Rates";#N/A,#N/A,FALSE,"Co Sum";#N/A,#N/A,FALSE,"Clients Office";#N/A,#N/A,FALSE,"Field Sum";#N/A,#N/A,FALSE,"Field Rates"}</definedName>
    <definedName name="wrn.All._.Sheets." localSheetId="19" hidden="1">{#N/A,#N/A,FALSE,"HO Sum";#N/A,#N/A,FALSE,"HO Rates";#N/A,#N/A,FALSE,"Co Sum";#N/A,#N/A,FALSE,"Clients Office";#N/A,#N/A,FALSE,"Field Sum";#N/A,#N/A,FALSE,"Field Rates"}</definedName>
    <definedName name="wrn.All._.Sheets." localSheetId="10" hidden="1">{#N/A,#N/A,FALSE,"HO Sum";#N/A,#N/A,FALSE,"HO Rates";#N/A,#N/A,FALSE,"Co Sum";#N/A,#N/A,FALSE,"Clients Office";#N/A,#N/A,FALSE,"Field Sum";#N/A,#N/A,FALSE,"Field Rates"}</definedName>
    <definedName name="wrn.All._.Sheets." localSheetId="9" hidden="1">{#N/A,#N/A,FALSE,"HO Sum";#N/A,#N/A,FALSE,"HO Rates";#N/A,#N/A,FALSE,"Co Sum";#N/A,#N/A,FALSE,"Clients Office";#N/A,#N/A,FALSE,"Field Sum";#N/A,#N/A,FALSE,"Field Rates"}</definedName>
    <definedName name="wrn.All._.Sheets." localSheetId="8" hidden="1">{#N/A,#N/A,FALSE,"HO Sum";#N/A,#N/A,FALSE,"HO Rates";#N/A,#N/A,FALSE,"Co Sum";#N/A,#N/A,FALSE,"Clients Office";#N/A,#N/A,FALSE,"Field Sum";#N/A,#N/A,FALSE,"Field Rates"}</definedName>
    <definedName name="wrn.All._.Sheets." localSheetId="3" hidden="1">{#N/A,#N/A,FALSE,"HO Sum";#N/A,#N/A,FALSE,"HO Rates";#N/A,#N/A,FALSE,"Co Sum";#N/A,#N/A,FALSE,"Clients Office";#N/A,#N/A,FALSE,"Field Sum";#N/A,#N/A,FALSE,"Field Rates"}</definedName>
    <definedName name="wrn.All._.Sheets." localSheetId="6" hidden="1">{#N/A,#N/A,FALSE,"HO Sum";#N/A,#N/A,FALSE,"HO Rates";#N/A,#N/A,FALSE,"Co Sum";#N/A,#N/A,FALSE,"Clients Office";#N/A,#N/A,FALSE,"Field Sum";#N/A,#N/A,FALSE,"Field Rates"}</definedName>
    <definedName name="wrn.All._.Sheets." localSheetId="7" hidden="1">{#N/A,#N/A,FALSE,"HO Sum";#N/A,#N/A,FALSE,"HO Rates";#N/A,#N/A,FALSE,"Co Sum";#N/A,#N/A,FALSE,"Clients Office";#N/A,#N/A,FALSE,"Field Sum";#N/A,#N/A,FALSE,"Field Rates"}</definedName>
    <definedName name="wrn.All._.Sheets." localSheetId="5" hidden="1">{#N/A,#N/A,FALSE,"HO Sum";#N/A,#N/A,FALSE,"HO Rates";#N/A,#N/A,FALSE,"Co Sum";#N/A,#N/A,FALSE,"Clients Office";#N/A,#N/A,FALSE,"Field Sum";#N/A,#N/A,FALSE,"Field Rates"}</definedName>
    <definedName name="wrn.All._.Sheets." hidden="1">{#N/A,#N/A,FALSE,"HO Sum";#N/A,#N/A,FALSE,"HO Rates";#N/A,#N/A,FALSE,"Co Sum";#N/A,#N/A,FALSE,"Clients Office";#N/A,#N/A,FALSE,"Field Sum";#N/A,#N/A,FALSE,"Field Rates"}</definedName>
    <definedName name="wrn.Bestellübersicht." localSheetId="18" hidden="1">{"Übersicht","Bestellübersicht",FALSE,"Best.-Übersicht"}</definedName>
    <definedName name="wrn.Bestellübersicht." localSheetId="11" hidden="1">{"Übersicht","Bestellübersicht",FALSE,"Best.-Übersicht"}</definedName>
    <definedName name="wrn.Bestellübersicht." localSheetId="1" hidden="1">{"Übersicht","Bestellübersicht",FALSE,"Best.-Übersicht"}</definedName>
    <definedName name="wrn.Bestellübersicht." localSheetId="2" hidden="1">{"Übersicht","Bestellübersicht",FALSE,"Best.-Übersicht"}</definedName>
    <definedName name="wrn.Bestellübersicht." localSheetId="4" hidden="1">{"Übersicht","Bestellübersicht",FALSE,"Best.-Übersicht"}</definedName>
    <definedName name="wrn.Bestellübersicht." localSheetId="19" hidden="1">{"Übersicht","Bestellübersicht",FALSE,"Best.-Übersicht"}</definedName>
    <definedName name="wrn.Bestellübersicht." localSheetId="10" hidden="1">{"Übersicht","Bestellübersicht",FALSE,"Best.-Übersicht"}</definedName>
    <definedName name="wrn.Bestellübersicht." localSheetId="9" hidden="1">{"Übersicht","Bestellübersicht",FALSE,"Best.-Übersicht"}</definedName>
    <definedName name="wrn.Bestellübersicht." localSheetId="8" hidden="1">{"Übersicht","Bestellübersicht",FALSE,"Best.-Übersicht"}</definedName>
    <definedName name="wrn.Bestellübersicht." localSheetId="3" hidden="1">{"Übersicht","Bestellübersicht",FALSE,"Best.-Übersicht"}</definedName>
    <definedName name="wrn.Bestellübersicht." localSheetId="6" hidden="1">{"Übersicht","Bestellübersicht",FALSE,"Best.-Übersicht"}</definedName>
    <definedName name="wrn.Bestellübersicht." localSheetId="7" hidden="1">{"Übersicht","Bestellübersicht",FALSE,"Best.-Übersicht"}</definedName>
    <definedName name="wrn.Bestellübersicht." localSheetId="5" hidden="1">{"Übersicht","Bestellübersicht",FALSE,"Best.-Übersicht"}</definedName>
    <definedName name="wrn.Bestellübersicht." hidden="1">{"Übersicht","Bestellübersicht",FALSE,"Best.-Übersicht"}</definedName>
    <definedName name="wrn.Bestellungen." localSheetId="18" hidden="1">{"Bestellungen","Bestellübersicht",FALSE,"Best.-Übersicht"}</definedName>
    <definedName name="wrn.Bestellungen." localSheetId="11" hidden="1">{"Bestellungen","Bestellübersicht",FALSE,"Best.-Übersicht"}</definedName>
    <definedName name="wrn.Bestellungen." localSheetId="1" hidden="1">{"Bestellungen","Bestellübersicht",FALSE,"Best.-Übersicht"}</definedName>
    <definedName name="wrn.Bestellungen." localSheetId="2" hidden="1">{"Bestellungen","Bestellübersicht",FALSE,"Best.-Übersicht"}</definedName>
    <definedName name="wrn.Bestellungen." localSheetId="4" hidden="1">{"Bestellungen","Bestellübersicht",FALSE,"Best.-Übersicht"}</definedName>
    <definedName name="wrn.Bestellungen." localSheetId="19" hidden="1">{"Bestellungen","Bestellübersicht",FALSE,"Best.-Übersicht"}</definedName>
    <definedName name="wrn.Bestellungen." localSheetId="10" hidden="1">{"Bestellungen","Bestellübersicht",FALSE,"Best.-Übersicht"}</definedName>
    <definedName name="wrn.Bestellungen." localSheetId="9" hidden="1">{"Bestellungen","Bestellübersicht",FALSE,"Best.-Übersicht"}</definedName>
    <definedName name="wrn.Bestellungen." localSheetId="8" hidden="1">{"Bestellungen","Bestellübersicht",FALSE,"Best.-Übersicht"}</definedName>
    <definedName name="wrn.Bestellungen." localSheetId="3" hidden="1">{"Bestellungen","Bestellübersicht",FALSE,"Best.-Übersicht"}</definedName>
    <definedName name="wrn.Bestellungen." localSheetId="6" hidden="1">{"Bestellungen","Bestellübersicht",FALSE,"Best.-Übersicht"}</definedName>
    <definedName name="wrn.Bestellungen." localSheetId="7" hidden="1">{"Bestellungen","Bestellübersicht",FALSE,"Best.-Übersicht"}</definedName>
    <definedName name="wrn.Bestellungen." localSheetId="5" hidden="1">{"Bestellungen","Bestellübersicht",FALSE,"Best.-Übersicht"}</definedName>
    <definedName name="wrn.Bestellungen." hidden="1">{"Bestellungen","Bestellübersicht",FALSE,"Best.-Übersicht"}</definedName>
    <definedName name="wrn.BID._.WS."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9"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localSheetId="18" hidden="1">{#N/A,#N/A,TRUE,"Str.";#N/A,#N/A,TRUE,"Steel &amp; Roof";#N/A,#N/A,TRUE,"Arc.";#N/A,#N/A,TRUE,"Preliminary";#N/A,#N/A,TRUE,"Sum_Prelim"}</definedName>
    <definedName name="wrn.BILLS._.OF._.QUANTITY." hidden="1">{#N/A,#N/A,TRUE,"Str.";#N/A,#N/A,TRUE,"Steel &amp; Roof";#N/A,#N/A,TRUE,"Arc.";#N/A,#N/A,TRUE,"Preliminary";#N/A,#N/A,TRUE,"Sum_Prelim"}</definedName>
    <definedName name="wrn.BM." localSheetId="18" hidden="1">{#N/A,#N/A,TRUE,"Basic";#N/A,#N/A,TRUE,"EXT-TABLE";#N/A,#N/A,TRUE,"STEEL";#N/A,#N/A,TRUE,"INT-Table";#N/A,#N/A,TRUE,"STEEL";#N/A,#N/A,TRUE,"Door"}</definedName>
    <definedName name="wrn.BM." localSheetId="11" hidden="1">{#N/A,#N/A,FALSE,"CCTV"}</definedName>
    <definedName name="wrn.BM." localSheetId="1" hidden="1">{#N/A,#N/A,FALSE,"CCTV"}</definedName>
    <definedName name="wrn.BM." localSheetId="2" hidden="1">{#N/A,#N/A,FALSE,"CCTV"}</definedName>
    <definedName name="wrn.BM." localSheetId="4" hidden="1">{#N/A,#N/A,FALSE,"CCTV"}</definedName>
    <definedName name="wrn.BM." localSheetId="19" hidden="1">{#N/A,#N/A,FALSE,"CCTV"}</definedName>
    <definedName name="wrn.BM." localSheetId="10" hidden="1">{#N/A,#N/A,FALSE,"CCTV"}</definedName>
    <definedName name="wrn.BM." localSheetId="9" hidden="1">{#N/A,#N/A,FALSE,"CCTV"}</definedName>
    <definedName name="wrn.BM." localSheetId="8" hidden="1">{#N/A,#N/A,FALSE,"CCTV"}</definedName>
    <definedName name="wrn.BM." localSheetId="3" hidden="1">{#N/A,#N/A,FALSE,"CCTV"}</definedName>
    <definedName name="wrn.BM." localSheetId="6" hidden="1">{#N/A,#N/A,FALSE,"CCTV"}</definedName>
    <definedName name="wrn.BM." localSheetId="7" hidden="1">{#N/A,#N/A,FALSE,"CCTV"}</definedName>
    <definedName name="wrn.BM." localSheetId="5" hidden="1">{#N/A,#N/A,FALSE,"CCTV"}</definedName>
    <definedName name="wrn.BM." hidden="1">{#N/A,#N/A,TRUE,"Basic";#N/A,#N/A,TRUE,"EXT-TABLE";#N/A,#N/A,TRUE,"STEEL";#N/A,#N/A,TRUE,"INT-Table";#N/A,#N/A,TRUE,"STEEL";#N/A,#N/A,TRUE,"Door"}</definedName>
    <definedName name="wrn.BM._1" localSheetId="18" hidden="1">{#N/A,#N/A,TRUE,"Basic";#N/A,#N/A,TRUE,"EXT-TABLE";#N/A,#N/A,TRUE,"STEEL";#N/A,#N/A,TRUE,"INT-Table";#N/A,#N/A,TRUE,"STEEL";#N/A,#N/A,TRUE,"Door"}</definedName>
    <definedName name="wrn.BM._1" hidden="1">{#N/A,#N/A,TRUE,"Basic";#N/A,#N/A,TRUE,"EXT-TABLE";#N/A,#N/A,TRUE,"STEEL";#N/A,#N/A,TRUE,"INT-Table";#N/A,#N/A,TRUE,"STEEL";#N/A,#N/A,TRUE,"Door"}</definedName>
    <definedName name="wrn.BM._1_1" localSheetId="18" hidden="1">{#N/A,#N/A,TRUE,"Basic";#N/A,#N/A,TRUE,"EXT-TABLE";#N/A,#N/A,TRUE,"STEEL";#N/A,#N/A,TRUE,"INT-Table";#N/A,#N/A,TRUE,"STEEL";#N/A,#N/A,TRUE,"Door"}</definedName>
    <definedName name="wrn.BM._1_1" hidden="1">{#N/A,#N/A,TRUE,"Basic";#N/A,#N/A,TRUE,"EXT-TABLE";#N/A,#N/A,TRUE,"STEEL";#N/A,#N/A,TRUE,"INT-Table";#N/A,#N/A,TRUE,"STEEL";#N/A,#N/A,TRUE,"Door"}</definedName>
    <definedName name="wrn.BM._1_2" localSheetId="18" hidden="1">{#N/A,#N/A,TRUE,"Basic";#N/A,#N/A,TRUE,"EXT-TABLE";#N/A,#N/A,TRUE,"STEEL";#N/A,#N/A,TRUE,"INT-Table";#N/A,#N/A,TRUE,"STEEL";#N/A,#N/A,TRUE,"Door"}</definedName>
    <definedName name="wrn.BM._1_2" hidden="1">{#N/A,#N/A,TRUE,"Basic";#N/A,#N/A,TRUE,"EXT-TABLE";#N/A,#N/A,TRUE,"STEEL";#N/A,#N/A,TRUE,"INT-Table";#N/A,#N/A,TRUE,"STEEL";#N/A,#N/A,TRUE,"Door"}</definedName>
    <definedName name="wrn.BM._2" localSheetId="18" hidden="1">{#N/A,#N/A,TRUE,"Basic";#N/A,#N/A,TRUE,"EXT-TABLE";#N/A,#N/A,TRUE,"STEEL";#N/A,#N/A,TRUE,"INT-Table";#N/A,#N/A,TRUE,"STEEL";#N/A,#N/A,TRUE,"Door"}</definedName>
    <definedName name="wrn.BM._2" hidden="1">{#N/A,#N/A,TRUE,"Basic";#N/A,#N/A,TRUE,"EXT-TABLE";#N/A,#N/A,TRUE,"STEEL";#N/A,#N/A,TRUE,"INT-Table";#N/A,#N/A,TRUE,"STEEL";#N/A,#N/A,TRUE,"Door"}</definedName>
    <definedName name="wrn.BM._2_1" localSheetId="18" hidden="1">{#N/A,#N/A,TRUE,"Basic";#N/A,#N/A,TRUE,"EXT-TABLE";#N/A,#N/A,TRUE,"STEEL";#N/A,#N/A,TRUE,"INT-Table";#N/A,#N/A,TRUE,"STEEL";#N/A,#N/A,TRUE,"Door"}</definedName>
    <definedName name="wrn.BM._2_1" hidden="1">{#N/A,#N/A,TRUE,"Basic";#N/A,#N/A,TRUE,"EXT-TABLE";#N/A,#N/A,TRUE,"STEEL";#N/A,#N/A,TRUE,"INT-Table";#N/A,#N/A,TRUE,"STEEL";#N/A,#N/A,TRUE,"Door"}</definedName>
    <definedName name="wrn.BM._2_2" localSheetId="18" hidden="1">{#N/A,#N/A,TRUE,"Basic";#N/A,#N/A,TRUE,"EXT-TABLE";#N/A,#N/A,TRUE,"STEEL";#N/A,#N/A,TRUE,"INT-Table";#N/A,#N/A,TRUE,"STEEL";#N/A,#N/A,TRUE,"Door"}</definedName>
    <definedName name="wrn.BM._2_2" hidden="1">{#N/A,#N/A,TRUE,"Basic";#N/A,#N/A,TRUE,"EXT-TABLE";#N/A,#N/A,TRUE,"STEEL";#N/A,#N/A,TRUE,"INT-Table";#N/A,#N/A,TRUE,"STEEL";#N/A,#N/A,TRUE,"Door"}</definedName>
    <definedName name="wrn.BM._3" localSheetId="18" hidden="1">{#N/A,#N/A,TRUE,"Basic";#N/A,#N/A,TRUE,"EXT-TABLE";#N/A,#N/A,TRUE,"STEEL";#N/A,#N/A,TRUE,"INT-Table";#N/A,#N/A,TRUE,"STEEL";#N/A,#N/A,TRUE,"Door"}</definedName>
    <definedName name="wrn.BM._3" hidden="1">{#N/A,#N/A,TRUE,"Basic";#N/A,#N/A,TRUE,"EXT-TABLE";#N/A,#N/A,TRUE,"STEEL";#N/A,#N/A,TRUE,"INT-Table";#N/A,#N/A,TRUE,"STEEL";#N/A,#N/A,TRUE,"Door"}</definedName>
    <definedName name="wrn.BM._3_1" localSheetId="18" hidden="1">{#N/A,#N/A,TRUE,"Basic";#N/A,#N/A,TRUE,"EXT-TABLE";#N/A,#N/A,TRUE,"STEEL";#N/A,#N/A,TRUE,"INT-Table";#N/A,#N/A,TRUE,"STEEL";#N/A,#N/A,TRUE,"Door"}</definedName>
    <definedName name="wrn.BM._3_1" hidden="1">{#N/A,#N/A,TRUE,"Basic";#N/A,#N/A,TRUE,"EXT-TABLE";#N/A,#N/A,TRUE,"STEEL";#N/A,#N/A,TRUE,"INT-Table";#N/A,#N/A,TRUE,"STEEL";#N/A,#N/A,TRUE,"Door"}</definedName>
    <definedName name="wrn.BM._3_2" localSheetId="18" hidden="1">{#N/A,#N/A,TRUE,"Basic";#N/A,#N/A,TRUE,"EXT-TABLE";#N/A,#N/A,TRUE,"STEEL";#N/A,#N/A,TRUE,"INT-Table";#N/A,#N/A,TRUE,"STEEL";#N/A,#N/A,TRUE,"Door"}</definedName>
    <definedName name="wrn.BM._3_2" hidden="1">{#N/A,#N/A,TRUE,"Basic";#N/A,#N/A,TRUE,"EXT-TABLE";#N/A,#N/A,TRUE,"STEEL";#N/A,#N/A,TRUE,"INT-Table";#N/A,#N/A,TRUE,"STEEL";#N/A,#N/A,TRUE,"Door"}</definedName>
    <definedName name="wrn.BM._4" localSheetId="18" hidden="1">{#N/A,#N/A,TRUE,"Basic";#N/A,#N/A,TRUE,"EXT-TABLE";#N/A,#N/A,TRUE,"STEEL";#N/A,#N/A,TRUE,"INT-Table";#N/A,#N/A,TRUE,"STEEL";#N/A,#N/A,TRUE,"Door"}</definedName>
    <definedName name="wrn.BM._4" hidden="1">{#N/A,#N/A,TRUE,"Basic";#N/A,#N/A,TRUE,"EXT-TABLE";#N/A,#N/A,TRUE,"STEEL";#N/A,#N/A,TRUE,"INT-Table";#N/A,#N/A,TRUE,"STEEL";#N/A,#N/A,TRUE,"Door"}</definedName>
    <definedName name="wrn.BM._4_1" localSheetId="18" hidden="1">{#N/A,#N/A,TRUE,"Basic";#N/A,#N/A,TRUE,"EXT-TABLE";#N/A,#N/A,TRUE,"STEEL";#N/A,#N/A,TRUE,"INT-Table";#N/A,#N/A,TRUE,"STEEL";#N/A,#N/A,TRUE,"Door"}</definedName>
    <definedName name="wrn.BM._4_1" hidden="1">{#N/A,#N/A,TRUE,"Basic";#N/A,#N/A,TRUE,"EXT-TABLE";#N/A,#N/A,TRUE,"STEEL";#N/A,#N/A,TRUE,"INT-Table";#N/A,#N/A,TRUE,"STEEL";#N/A,#N/A,TRUE,"Door"}</definedName>
    <definedName name="wrn.BM._4_2" localSheetId="18" hidden="1">{#N/A,#N/A,TRUE,"Basic";#N/A,#N/A,TRUE,"EXT-TABLE";#N/A,#N/A,TRUE,"STEEL";#N/A,#N/A,TRUE,"INT-Table";#N/A,#N/A,TRUE,"STEEL";#N/A,#N/A,TRUE,"Door"}</definedName>
    <definedName name="wrn.BM._4_2" hidden="1">{#N/A,#N/A,TRUE,"Basic";#N/A,#N/A,TRUE,"EXT-TABLE";#N/A,#N/A,TRUE,"STEEL";#N/A,#N/A,TRUE,"INT-Table";#N/A,#N/A,TRUE,"STEEL";#N/A,#N/A,TRUE,"Door"}</definedName>
    <definedName name="wrn.BM._5" localSheetId="18" hidden="1">{#N/A,#N/A,TRUE,"Basic";#N/A,#N/A,TRUE,"EXT-TABLE";#N/A,#N/A,TRUE,"STEEL";#N/A,#N/A,TRUE,"INT-Table";#N/A,#N/A,TRUE,"STEEL";#N/A,#N/A,TRUE,"Door"}</definedName>
    <definedName name="wrn.BM._5" hidden="1">{#N/A,#N/A,TRUE,"Basic";#N/A,#N/A,TRUE,"EXT-TABLE";#N/A,#N/A,TRUE,"STEEL";#N/A,#N/A,TRUE,"INT-Table";#N/A,#N/A,TRUE,"STEEL";#N/A,#N/A,TRUE,"Door"}</definedName>
    <definedName name="wrn.BM._5_1" localSheetId="18" hidden="1">{#N/A,#N/A,TRUE,"Basic";#N/A,#N/A,TRUE,"EXT-TABLE";#N/A,#N/A,TRUE,"STEEL";#N/A,#N/A,TRUE,"INT-Table";#N/A,#N/A,TRUE,"STEEL";#N/A,#N/A,TRUE,"Door"}</definedName>
    <definedName name="wrn.BM._5_1" hidden="1">{#N/A,#N/A,TRUE,"Basic";#N/A,#N/A,TRUE,"EXT-TABLE";#N/A,#N/A,TRUE,"STEEL";#N/A,#N/A,TRUE,"INT-Table";#N/A,#N/A,TRUE,"STEEL";#N/A,#N/A,TRUE,"Door"}</definedName>
    <definedName name="wrn.BM._5_2" localSheetId="18" hidden="1">{#N/A,#N/A,TRUE,"Basic";#N/A,#N/A,TRUE,"EXT-TABLE";#N/A,#N/A,TRUE,"STEEL";#N/A,#N/A,TRUE,"INT-Table";#N/A,#N/A,TRUE,"STEEL";#N/A,#N/A,TRUE,"Door"}</definedName>
    <definedName name="wrn.BM._5_2" hidden="1">{#N/A,#N/A,TRUE,"Basic";#N/A,#N/A,TRUE,"EXT-TABLE";#N/A,#N/A,TRUE,"STEEL";#N/A,#N/A,TRUE,"INT-Table";#N/A,#N/A,TRUE,"STEEL";#N/A,#N/A,TRUE,"Door"}</definedName>
    <definedName name="wrn.BOOK11." localSheetId="18"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oq_summary." localSheetId="18" hidden="1">{#N/A,#N/A,FALSE,"Sum_BOQ";#N/A,#N/A,FALSE,"Preliminary";#N/A,#N/A,FALSE,"Sum_Prelim";#N/A,#N/A,FALSE,"Prime Cost&amp;Prov_sum"}</definedName>
    <definedName name="wrn.Boq_summary." hidden="1">{#N/A,#N/A,FALSE,"Sum_BOQ";#N/A,#N/A,FALSE,"Preliminary";#N/A,#N/A,FALSE,"Sum_Prelim";#N/A,#N/A,FALSE,"Prime Cost&amp;Prov_sum"}</definedName>
    <definedName name="wrn.CB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7"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18" hidden="1">{#N/A,#N/A,FALSE,"Chi tiÆt"}</definedName>
    <definedName name="wrn.chi._.tiÆt." localSheetId="11" hidden="1">{#N/A,#N/A,FALSE,"Chi tiÆt"}</definedName>
    <definedName name="wrn.chi._.tiÆt." localSheetId="1" hidden="1">{#N/A,#N/A,FALSE,"Chi tiÆt"}</definedName>
    <definedName name="wrn.chi._.tiÆt." localSheetId="2" hidden="1">{#N/A,#N/A,FALSE,"Chi tiÆt"}</definedName>
    <definedName name="wrn.chi._.tiÆt." localSheetId="12" hidden="1">{#N/A,#N/A,FALSE,"Chi tiÆt"}</definedName>
    <definedName name="wrn.chi._.tiÆt." localSheetId="4" hidden="1">{#N/A,#N/A,FALSE,"Chi tiÆt"}</definedName>
    <definedName name="wrn.chi._.tiÆt." localSheetId="19" hidden="1">{#N/A,#N/A,FALSE,"Chi tiÆt"}</definedName>
    <definedName name="wrn.chi._.tiÆt." localSheetId="10" hidden="1">{#N/A,#N/A,FALSE,"Chi tiÆt"}</definedName>
    <definedName name="wrn.chi._.tiÆt." localSheetId="9" hidden="1">{#N/A,#N/A,FALSE,"Chi tiÆt"}</definedName>
    <definedName name="wrn.chi._.tiÆt." localSheetId="8" hidden="1">{#N/A,#N/A,FALSE,"Chi tiÆt"}</definedName>
    <definedName name="wrn.chi._.tiÆt." localSheetId="3" hidden="1">{#N/A,#N/A,FALSE,"Chi tiÆt"}</definedName>
    <definedName name="wrn.chi._.tiÆt." localSheetId="6" hidden="1">{#N/A,#N/A,FALSE,"Chi tiÆt"}</definedName>
    <definedName name="wrn.chi._.tiÆt." localSheetId="7" hidden="1">{#N/A,#N/A,FALSE,"Chi tiÆt"}</definedName>
    <definedName name="wrn.chi._.tiÆt." localSheetId="5" hidden="1">{#N/A,#N/A,FALSE,"Chi tiÆt"}</definedName>
    <definedName name="wrn.chi._.tiÆt." localSheetId="13" hidden="1">{#N/A,#N/A,FALSE,"Chi tiÆt"}</definedName>
    <definedName name="wrn.chi._.tiÆt." hidden="1">{#N/A,#N/A,FALSE,"Chi tiÆt"}</definedName>
    <definedName name="wrn.Clients._.Office._.and._.sum." localSheetId="18" hidden="1">{#N/A,#N/A,FALSE,"Clients Office";#N/A,#N/A,FALSE,"Co Sum"}</definedName>
    <definedName name="wrn.Clients._.Office._.and._.sum." localSheetId="11" hidden="1">{#N/A,#N/A,FALSE,"Clients Office";#N/A,#N/A,FALSE,"Co Sum"}</definedName>
    <definedName name="wrn.Clients._.Office._.and._.sum." localSheetId="1" hidden="1">{#N/A,#N/A,FALSE,"Clients Office";#N/A,#N/A,FALSE,"Co Sum"}</definedName>
    <definedName name="wrn.Clients._.Office._.and._.sum." localSheetId="2" hidden="1">{#N/A,#N/A,FALSE,"Clients Office";#N/A,#N/A,FALSE,"Co Sum"}</definedName>
    <definedName name="wrn.Clients._.Office._.and._.sum." localSheetId="4" hidden="1">{#N/A,#N/A,FALSE,"Clients Office";#N/A,#N/A,FALSE,"Co Sum"}</definedName>
    <definedName name="wrn.Clients._.Office._.and._.sum." localSheetId="19" hidden="1">{#N/A,#N/A,FALSE,"Clients Office";#N/A,#N/A,FALSE,"Co Sum"}</definedName>
    <definedName name="wrn.Clients._.Office._.and._.sum." localSheetId="10" hidden="1">{#N/A,#N/A,FALSE,"Clients Office";#N/A,#N/A,FALSE,"Co Sum"}</definedName>
    <definedName name="wrn.Clients._.Office._.and._.sum." localSheetId="9" hidden="1">{#N/A,#N/A,FALSE,"Clients Office";#N/A,#N/A,FALSE,"Co Sum"}</definedName>
    <definedName name="wrn.Clients._.Office._.and._.sum." localSheetId="8" hidden="1">{#N/A,#N/A,FALSE,"Clients Office";#N/A,#N/A,FALSE,"Co Sum"}</definedName>
    <definedName name="wrn.Clients._.Office._.and._.sum." localSheetId="3" hidden="1">{#N/A,#N/A,FALSE,"Clients Office";#N/A,#N/A,FALSE,"Co Sum"}</definedName>
    <definedName name="wrn.Clients._.Office._.and._.sum." localSheetId="6" hidden="1">{#N/A,#N/A,FALSE,"Clients Office";#N/A,#N/A,FALSE,"Co Sum"}</definedName>
    <definedName name="wrn.Clients._.Office._.and._.sum." localSheetId="7" hidden="1">{#N/A,#N/A,FALSE,"Clients Office";#N/A,#N/A,FALSE,"Co Sum"}</definedName>
    <definedName name="wrn.Clients._.Office._.and._.sum." localSheetId="5" hidden="1">{#N/A,#N/A,FALSE,"Clients Office";#N/A,#N/A,FALSE,"Co Sum"}</definedName>
    <definedName name="wrn.Clients._.Office._.and._.sum." hidden="1">{#N/A,#N/A,FALSE,"Clients Office";#N/A,#N/A,FALSE,"Co Sum"}</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localSheetId="18" hidden="1">{#N/A,#N/A,FALSE,"Sheet1"}</definedName>
    <definedName name="wrn.cong." localSheetId="11" hidden="1">{#N/A,#N/A,FALSE,"Sheet1"}</definedName>
    <definedName name="wrn.cong." localSheetId="1" hidden="1">{#N/A,#N/A,FALSE,"Sheet1"}</definedName>
    <definedName name="wrn.cong." localSheetId="2" hidden="1">{#N/A,#N/A,FALSE,"Sheet1"}</definedName>
    <definedName name="wrn.cong." localSheetId="12" hidden="1">{#N/A,#N/A,FALSE,"Sheet1"}</definedName>
    <definedName name="wrn.cong." localSheetId="4" hidden="1">{#N/A,#N/A,FALSE,"Sheet1"}</definedName>
    <definedName name="wrn.cong." localSheetId="19" hidden="1">{#N/A,#N/A,FALSE,"Sheet1"}</definedName>
    <definedName name="wrn.cong." localSheetId="10" hidden="1">{#N/A,#N/A,FALSE,"Sheet1"}</definedName>
    <definedName name="wrn.cong." localSheetId="9" hidden="1">{#N/A,#N/A,FALSE,"Sheet1"}</definedName>
    <definedName name="wrn.cong." localSheetId="8" hidden="1">{#N/A,#N/A,FALSE,"Sheet1"}</definedName>
    <definedName name="wrn.cong." localSheetId="3" hidden="1">{#N/A,#N/A,FALSE,"Sheet1"}</definedName>
    <definedName name="wrn.cong." localSheetId="6" hidden="1">{#N/A,#N/A,FALSE,"Sheet1"}</definedName>
    <definedName name="wrn.cong." localSheetId="7" hidden="1">{#N/A,#N/A,FALSE,"Sheet1"}</definedName>
    <definedName name="wrn.cong." localSheetId="5" hidden="1">{#N/A,#N/A,FALSE,"Sheet1"}</definedName>
    <definedName name="wrn.cong." localSheetId="13" hidden="1">{#N/A,#N/A,FALSE,"Sheet1"}</definedName>
    <definedName name="wrn.cong." hidden="1">{#N/A,#N/A,FALSE,"Sheet1"}</definedName>
    <definedName name="wrn.Cost._.Summary." localSheetId="18" hidden="1">{"Cost Summary",#N/A,FALSE,"B";"Cost Detail 1",#N/A,FALSE,"C";"Cost Detail 2",#N/A,FALSE,"C"}</definedName>
    <definedName name="wrn.Cost._.Summary." localSheetId="11" hidden="1">{"Cost Summary",#N/A,FALSE,"B";"Cost Detail 1",#N/A,FALSE,"C";"Cost Detail 2",#N/A,FALSE,"C"}</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4" hidden="1">{"Cost Summary",#N/A,FALSE,"B";"Cost Detail 1",#N/A,FALSE,"C";"Cost Detail 2",#N/A,FALSE,"C"}</definedName>
    <definedName name="wrn.Cost._.Summary." localSheetId="19" hidden="1">{"Cost Summary",#N/A,FALSE,"B";"Cost Detail 1",#N/A,FALSE,"C";"Cost Detail 2",#N/A,FALSE,"C"}</definedName>
    <definedName name="wrn.Cost._.Summary." localSheetId="10" hidden="1">{"Cost Summary",#N/A,FALSE,"B";"Cost Detail 1",#N/A,FALSE,"C";"Cost Detail 2",#N/A,FALSE,"C"}</definedName>
    <definedName name="wrn.Cost._.Summary." localSheetId="9" hidden="1">{"Cost Summary",#N/A,FALSE,"B";"Cost Detail 1",#N/A,FALSE,"C";"Cost Detail 2",#N/A,FALSE,"C"}</definedName>
    <definedName name="wrn.Cost._.Summary." localSheetId="8" hidden="1">{"Cost Summary",#N/A,FALSE,"B";"Cost Detail 1",#N/A,FALSE,"C";"Cost Detail 2",#N/A,FALSE,"C"}</definedName>
    <definedName name="wrn.Cost._.Summary." localSheetId="3" hidden="1">{"Cost Summary",#N/A,FALSE,"B";"Cost Detail 1",#N/A,FALSE,"C";"Cost Detail 2",#N/A,FALSE,"C"}</definedName>
    <definedName name="wrn.Cost._.Summary." localSheetId="6" hidden="1">{"Cost Summary",#N/A,FALSE,"B";"Cost Detail 1",#N/A,FALSE,"C";"Cost Detail 2",#N/A,FALSE,"C"}</definedName>
    <definedName name="wrn.Cost._.Summary." localSheetId="7" hidden="1">{"Cost Summary",#N/A,FALSE,"B";"Cost Detail 1",#N/A,FALSE,"C";"Cost Detail 2",#N/A,FALSE,"C"}</definedName>
    <definedName name="wrn.Cost._.Summary." localSheetId="5" hidden="1">{"Cost Summary",#N/A,FALSE,"B";"Cost Detail 1",#N/A,FALSE,"C";"Cost Detail 2",#N/A,FALSE,"C"}</definedName>
    <definedName name="wrn.Cost._.Summary." hidden="1">{"Cost Summary",#N/A,FALSE,"B";"Cost Detail 1",#N/A,FALSE,"C";"Cost Detail 2",#N/A,FALSE,"C"}</definedName>
    <definedName name="wrn.Cost_Currency1." localSheetId="18" hidden="1">{#N/A,#N/A,FALSE,"valuta1"}</definedName>
    <definedName name="wrn.Cost_Currency1." localSheetId="11" hidden="1">{#N/A,#N/A,FALSE,"valuta1"}</definedName>
    <definedName name="wrn.Cost_Currency1." localSheetId="1" hidden="1">{#N/A,#N/A,FALSE,"valuta1"}</definedName>
    <definedName name="wrn.Cost_Currency1." localSheetId="2" hidden="1">{#N/A,#N/A,FALSE,"valuta1"}</definedName>
    <definedName name="wrn.Cost_Currency1." localSheetId="4" hidden="1">{#N/A,#N/A,FALSE,"valuta1"}</definedName>
    <definedName name="wrn.Cost_Currency1." localSheetId="19" hidden="1">{#N/A,#N/A,FALSE,"valuta1"}</definedName>
    <definedName name="wrn.Cost_Currency1." localSheetId="10" hidden="1">{#N/A,#N/A,FALSE,"valuta1"}</definedName>
    <definedName name="wrn.Cost_Currency1." localSheetId="9" hidden="1">{#N/A,#N/A,FALSE,"valuta1"}</definedName>
    <definedName name="wrn.Cost_Currency1." localSheetId="8" hidden="1">{#N/A,#N/A,FALSE,"valuta1"}</definedName>
    <definedName name="wrn.Cost_Currency1." localSheetId="3" hidden="1">{#N/A,#N/A,FALSE,"valuta1"}</definedName>
    <definedName name="wrn.Cost_Currency1." localSheetId="6" hidden="1">{#N/A,#N/A,FALSE,"valuta1"}</definedName>
    <definedName name="wrn.Cost_Currency1." localSheetId="7" hidden="1">{#N/A,#N/A,FALSE,"valuta1"}</definedName>
    <definedName name="wrn.Cost_Currency1." localSheetId="5" hidden="1">{#N/A,#N/A,FALSE,"valuta1"}</definedName>
    <definedName name="wrn.Cost_Currency1." hidden="1">{#N/A,#N/A,FALSE,"valuta1"}</definedName>
    <definedName name="wrn.costprint." localSheetId="18" hidden="1">{"cost",#N/A,FALSE,"B";"Sum",#N/A,FALSE,"C";"Sal1",#N/A,FALSE,"D";"Sal2",#N/A,FALSE,"D";"Mob",#N/A,FALSE,"E";"Eqpcst1",#N/A,FALSE,"F";"Eqpcst2",#N/A,FALSE,"F";"Eqpcst3",#N/A,FALSE,"F";"Est1",#N/A,FALSE,"G";"Est2",#N/A,FALSE,"G";"Fin",#N/A,FALSE,"H";"EqpCal",#N/A,FALSE,"I";"ManCal1",#N/A,FALSE,"J";"ManCal2",#N/A,FALSE,"J";"Consm",#N/A,FALSE,"L";"B O",#N/A,FALSE,"M";"S C",#N/A,FALSE,"N"}</definedName>
    <definedName name="wrn.costprint." localSheetId="11" hidden="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4" hidden="1">{"cost",#N/A,FALSE,"B";"Sum",#N/A,FALSE,"C";"Sal1",#N/A,FALSE,"D";"Sal2",#N/A,FALSE,"D";"Mob",#N/A,FALSE,"E";"Eqpcst1",#N/A,FALSE,"F";"Eqpcst2",#N/A,FALSE,"F";"Eqpcst3",#N/A,FALSE,"F";"Est1",#N/A,FALSE,"G";"Est2",#N/A,FALSE,"G";"Fin",#N/A,FALSE,"H";"EqpCal",#N/A,FALSE,"I";"ManCal1",#N/A,FALSE,"J";"ManCal2",#N/A,FALSE,"J";"Consm",#N/A,FALSE,"L";"B O",#N/A,FALSE,"M";"S C",#N/A,FALSE,"N"}</definedName>
    <definedName name="wrn.costprint." localSheetId="19"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9" hidden="1">{"cost",#N/A,FALSE,"B";"Sum",#N/A,FALSE,"C";"Sal1",#N/A,FALSE,"D";"Sal2",#N/A,FALSE,"D";"Mob",#N/A,FALSE,"E";"Eqpcst1",#N/A,FALSE,"F";"Eqpcst2",#N/A,FALSE,"F";"Eqpcst3",#N/A,FALSE,"F";"Est1",#N/A,FALSE,"G";"Est2",#N/A,FALSE,"G";"Fin",#N/A,FALSE,"H";"EqpCal",#N/A,FALSE,"I";"ManCal1",#N/A,FALSE,"J";"ManCal2",#N/A,FALSE,"J";"Consm",#N/A,FALSE,"L";"B O",#N/A,FALSE,"M";"S C",#N/A,FALSE,"N"}</definedName>
    <definedName name="wrn.costprint." localSheetId="8" hidden="1">{"cost",#N/A,FALSE,"B";"Sum",#N/A,FALSE,"C";"Sal1",#N/A,FALSE,"D";"Sal2",#N/A,FALSE,"D";"Mob",#N/A,FALSE,"E";"Eqpcst1",#N/A,FALSE,"F";"Eqpcst2",#N/A,FALSE,"F";"Eqpcst3",#N/A,FALSE,"F";"Est1",#N/A,FALSE,"G";"Est2",#N/A,FALSE,"G";"Fin",#N/A,FALSE,"H";"EqpCal",#N/A,FALSE,"I";"ManCal1",#N/A,FALSE,"J";"ManCal2",#N/A,FALSE,"J";"Consm",#N/A,FALSE,"L";"B O",#N/A,FALSE,"M";"S C",#N/A,FALSE,"N"}</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 localSheetId="5"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18" hidden="1">{"cost",#N/A,FALSE,"B";"Sum",#N/A,FALSE,"C";"Sal1",#N/A,FALSE,"D";"Sal2",#N/A,FALSE,"D";"Mob",#N/A,FALSE,"E";"Eqpcst1",#N/A,FALSE,"F";"Eqpcst2",#N/A,FALSE,"F";"Eqpcst3",#N/A,FALSE,"F";"Est1",#N/A,FALSE,"G";"Est2",#N/A,FALSE,"G";"Fin",#N/A,FALSE,"H";"EqpCal",#N/A,FALSE,"I";"ManCal1",#N/A,FALSE,"J";"ManCal2",#N/A,FALSE,"J";"Consm",#N/A,FALSE,"L";"B O",#N/A,FALSE,"M";"S C",#N/A,FALSE,"N"}</definedName>
    <definedName name="wrn.cp" localSheetId="11" hidden="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localSheetId="4" hidden="1">{"cost",#N/A,FALSE,"B";"Sum",#N/A,FALSE,"C";"Sal1",#N/A,FALSE,"D";"Sal2",#N/A,FALSE,"D";"Mob",#N/A,FALSE,"E";"Eqpcst1",#N/A,FALSE,"F";"Eqpcst2",#N/A,FALSE,"F";"Eqpcst3",#N/A,FALSE,"F";"Est1",#N/A,FALSE,"G";"Est2",#N/A,FALSE,"G";"Fin",#N/A,FALSE,"H";"EqpCal",#N/A,FALSE,"I";"ManCal1",#N/A,FALSE,"J";"ManCal2",#N/A,FALSE,"J";"Consm",#N/A,FALSE,"L";"B O",#N/A,FALSE,"M";"S C",#N/A,FALSE,"N"}</definedName>
    <definedName name="wrn.cp" localSheetId="19"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9" hidden="1">{"cost",#N/A,FALSE,"B";"Sum",#N/A,FALSE,"C";"Sal1",#N/A,FALSE,"D";"Sal2",#N/A,FALSE,"D";"Mob",#N/A,FALSE,"E";"Eqpcst1",#N/A,FALSE,"F";"Eqpcst2",#N/A,FALSE,"F";"Eqpcst3",#N/A,FALSE,"F";"Est1",#N/A,FALSE,"G";"Est2",#N/A,FALSE,"G";"Fin",#N/A,FALSE,"H";"EqpCal",#N/A,FALSE,"I";"ManCal1",#N/A,FALSE,"J";"ManCal2",#N/A,FALSE,"J";"Consm",#N/A,FALSE,"L";"B O",#N/A,FALSE,"M";"S C",#N/A,FALSE,"N"}</definedName>
    <definedName name="wrn.cp" localSheetId="8"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 localSheetId="5"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localSheetId="18" hidden="1">{#N/A,#N/A,FALSE,"BLOW";#N/A,#N/A,FALSE,"EXPAND";#N/A,#N/A,FALSE,"DRUM";#N/A,#N/A,FALSE,"DRYER";#N/A,#N/A,FALSE,"EXCH";#N/A,#N/A,FALSE,"FILTER";#N/A,#N/A,FALSE,"FURN";#N/A,#N/A,FALSE,"AGITATE";#N/A,#N/A,FALSE,"PUMP";#N/A,#N/A,FALSE,"REACT";#N/A,#N/A,FALSE,"TANK";#N/A,#N/A,FALSE,"TOWER";#N/A,#N/A,FALSE,"GEN"}</definedName>
    <definedName name="wrn.equip." localSheetId="11" hidden="1">{#N/A,#N/A,FALSE,"BLOW";#N/A,#N/A,FALSE,"EXPAND";#N/A,#N/A,FALSE,"DRUM";#N/A,#N/A,FALSE,"DRYER";#N/A,#N/A,FALSE,"EXCH";#N/A,#N/A,FALSE,"FILTER";#N/A,#N/A,FALSE,"FURN";#N/A,#N/A,FALSE,"AGITATE";#N/A,#N/A,FALSE,"PUMP";#N/A,#N/A,FALSE,"REACT";#N/A,#N/A,FALSE,"TANK";#N/A,#N/A,FALSE,"TOWER";#N/A,#N/A,FALSE,"GEN"}</definedName>
    <definedName name="wrn.equip." localSheetId="1" hidden="1">{#N/A,#N/A,FALSE,"BLOW";#N/A,#N/A,FALSE,"EXPAND";#N/A,#N/A,FALSE,"DRUM";#N/A,#N/A,FALSE,"DRYER";#N/A,#N/A,FALSE,"EXCH";#N/A,#N/A,FALSE,"FILTER";#N/A,#N/A,FALSE,"FURN";#N/A,#N/A,FALSE,"AGITATE";#N/A,#N/A,FALSE,"PUMP";#N/A,#N/A,FALSE,"REACT";#N/A,#N/A,FALSE,"TANK";#N/A,#N/A,FALSE,"TOWER";#N/A,#N/A,FALSE,"GEN"}</definedName>
    <definedName name="wrn.equip." localSheetId="2" hidden="1">{#N/A,#N/A,FALSE,"BLOW";#N/A,#N/A,FALSE,"EXPAND";#N/A,#N/A,FALSE,"DRUM";#N/A,#N/A,FALSE,"DRYER";#N/A,#N/A,FALSE,"EXCH";#N/A,#N/A,FALSE,"FILTER";#N/A,#N/A,FALSE,"FURN";#N/A,#N/A,FALSE,"AGITATE";#N/A,#N/A,FALSE,"PUMP";#N/A,#N/A,FALSE,"REACT";#N/A,#N/A,FALSE,"TANK";#N/A,#N/A,FALSE,"TOWER";#N/A,#N/A,FALSE,"GEN"}</definedName>
    <definedName name="wrn.equip." localSheetId="4" hidden="1">{#N/A,#N/A,FALSE,"BLOW";#N/A,#N/A,FALSE,"EXPAND";#N/A,#N/A,FALSE,"DRUM";#N/A,#N/A,FALSE,"DRYER";#N/A,#N/A,FALSE,"EXCH";#N/A,#N/A,FALSE,"FILTER";#N/A,#N/A,FALSE,"FURN";#N/A,#N/A,FALSE,"AGITATE";#N/A,#N/A,FALSE,"PUMP";#N/A,#N/A,FALSE,"REACT";#N/A,#N/A,FALSE,"TANK";#N/A,#N/A,FALSE,"TOWER";#N/A,#N/A,FALSE,"GEN"}</definedName>
    <definedName name="wrn.equip." localSheetId="19" hidden="1">{#N/A,#N/A,FALSE,"BLOW";#N/A,#N/A,FALSE,"EXPAND";#N/A,#N/A,FALSE,"DRUM";#N/A,#N/A,FALSE,"DRYER";#N/A,#N/A,FALSE,"EXCH";#N/A,#N/A,FALSE,"FILTER";#N/A,#N/A,FALSE,"FURN";#N/A,#N/A,FALSE,"AGITATE";#N/A,#N/A,FALSE,"PUMP";#N/A,#N/A,FALSE,"REACT";#N/A,#N/A,FALSE,"TANK";#N/A,#N/A,FALSE,"TOWER";#N/A,#N/A,FALSE,"GEN"}</definedName>
    <definedName name="wrn.equip." localSheetId="10" hidden="1">{#N/A,#N/A,FALSE,"BLOW";#N/A,#N/A,FALSE,"EXPAND";#N/A,#N/A,FALSE,"DRUM";#N/A,#N/A,FALSE,"DRYER";#N/A,#N/A,FALSE,"EXCH";#N/A,#N/A,FALSE,"FILTER";#N/A,#N/A,FALSE,"FURN";#N/A,#N/A,FALSE,"AGITATE";#N/A,#N/A,FALSE,"PUMP";#N/A,#N/A,FALSE,"REACT";#N/A,#N/A,FALSE,"TANK";#N/A,#N/A,FALSE,"TOWER";#N/A,#N/A,FALSE,"GEN"}</definedName>
    <definedName name="wrn.equip." localSheetId="9" hidden="1">{#N/A,#N/A,FALSE,"BLOW";#N/A,#N/A,FALSE,"EXPAND";#N/A,#N/A,FALSE,"DRUM";#N/A,#N/A,FALSE,"DRYER";#N/A,#N/A,FALSE,"EXCH";#N/A,#N/A,FALSE,"FILTER";#N/A,#N/A,FALSE,"FURN";#N/A,#N/A,FALSE,"AGITATE";#N/A,#N/A,FALSE,"PUMP";#N/A,#N/A,FALSE,"REACT";#N/A,#N/A,FALSE,"TANK";#N/A,#N/A,FALSE,"TOWER";#N/A,#N/A,FALSE,"GEN"}</definedName>
    <definedName name="wrn.equip." localSheetId="8" hidden="1">{#N/A,#N/A,FALSE,"BLOW";#N/A,#N/A,FALSE,"EXPAND";#N/A,#N/A,FALSE,"DRUM";#N/A,#N/A,FALSE,"DRYER";#N/A,#N/A,FALSE,"EXCH";#N/A,#N/A,FALSE,"FILTER";#N/A,#N/A,FALSE,"FURN";#N/A,#N/A,FALSE,"AGITATE";#N/A,#N/A,FALSE,"PUMP";#N/A,#N/A,FALSE,"REACT";#N/A,#N/A,FALSE,"TANK";#N/A,#N/A,FALSE,"TOWER";#N/A,#N/A,FALSE,"GEN"}</definedName>
    <definedName name="wrn.equip." localSheetId="3" hidden="1">{#N/A,#N/A,FALSE,"BLOW";#N/A,#N/A,FALSE,"EXPAND";#N/A,#N/A,FALSE,"DRUM";#N/A,#N/A,FALSE,"DRYER";#N/A,#N/A,FALSE,"EXCH";#N/A,#N/A,FALSE,"FILTER";#N/A,#N/A,FALSE,"FURN";#N/A,#N/A,FALSE,"AGITATE";#N/A,#N/A,FALSE,"PUMP";#N/A,#N/A,FALSE,"REACT";#N/A,#N/A,FALSE,"TANK";#N/A,#N/A,FALSE,"TOWER";#N/A,#N/A,FALSE,"GEN"}</definedName>
    <definedName name="wrn.equip." localSheetId="6" hidden="1">{#N/A,#N/A,FALSE,"BLOW";#N/A,#N/A,FALSE,"EXPAND";#N/A,#N/A,FALSE,"DRUM";#N/A,#N/A,FALSE,"DRYER";#N/A,#N/A,FALSE,"EXCH";#N/A,#N/A,FALSE,"FILTER";#N/A,#N/A,FALSE,"FURN";#N/A,#N/A,FALSE,"AGITATE";#N/A,#N/A,FALSE,"PUMP";#N/A,#N/A,FALSE,"REACT";#N/A,#N/A,FALSE,"TANK";#N/A,#N/A,FALSE,"TOWER";#N/A,#N/A,FALSE,"GEN"}</definedName>
    <definedName name="wrn.equip." localSheetId="7" hidden="1">{#N/A,#N/A,FALSE,"BLOW";#N/A,#N/A,FALSE,"EXPAND";#N/A,#N/A,FALSE,"DRUM";#N/A,#N/A,FALSE,"DRYER";#N/A,#N/A,FALSE,"EXCH";#N/A,#N/A,FALSE,"FILTER";#N/A,#N/A,FALSE,"FURN";#N/A,#N/A,FALSE,"AGITATE";#N/A,#N/A,FALSE,"PUMP";#N/A,#N/A,FALSE,"REACT";#N/A,#N/A,FALSE,"TANK";#N/A,#N/A,FALSE,"TOWER";#N/A,#N/A,FALSE,"GEN"}</definedName>
    <definedName name="wrn.equip." localSheetId="5"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quipment._.List." localSheetId="18" hidden="1">{#N/A,#N/A,TRUE,"COVERSHEET";#N/A,#N/A,TRUE,"LEGEND";#N/A,#N/A,TRUE,"LIST"}</definedName>
    <definedName name="wrn.Equipment._.List." localSheetId="11" hidden="1">{#N/A,#N/A,TRUE,"COVERSHEET";#N/A,#N/A,TRUE,"LEGEND";#N/A,#N/A,TRUE,"LIST"}</definedName>
    <definedName name="wrn.Equipment._.List." localSheetId="1" hidden="1">{#N/A,#N/A,TRUE,"COVERSHEET";#N/A,#N/A,TRUE,"LEGEND";#N/A,#N/A,TRUE,"LIST"}</definedName>
    <definedName name="wrn.Equipment._.List." localSheetId="2" hidden="1">{#N/A,#N/A,TRUE,"COVERSHEET";#N/A,#N/A,TRUE,"LEGEND";#N/A,#N/A,TRUE,"LIST"}</definedName>
    <definedName name="wrn.Equipment._.List." localSheetId="4" hidden="1">{#N/A,#N/A,TRUE,"COVERSHEET";#N/A,#N/A,TRUE,"LEGEND";#N/A,#N/A,TRUE,"LIST"}</definedName>
    <definedName name="wrn.Equipment._.List." localSheetId="19" hidden="1">{#N/A,#N/A,TRUE,"COVERSHEET";#N/A,#N/A,TRUE,"LEGEND";#N/A,#N/A,TRUE,"LIST"}</definedName>
    <definedName name="wrn.Equipment._.List." localSheetId="10" hidden="1">{#N/A,#N/A,TRUE,"COVERSHEET";#N/A,#N/A,TRUE,"LEGEND";#N/A,#N/A,TRUE,"LIST"}</definedName>
    <definedName name="wrn.Equipment._.List." localSheetId="9" hidden="1">{#N/A,#N/A,TRUE,"COVERSHEET";#N/A,#N/A,TRUE,"LEGEND";#N/A,#N/A,TRUE,"LIST"}</definedName>
    <definedName name="wrn.Equipment._.List." localSheetId="8" hidden="1">{#N/A,#N/A,TRUE,"COVERSHEET";#N/A,#N/A,TRUE,"LEGEND";#N/A,#N/A,TRUE,"LIST"}</definedName>
    <definedName name="wrn.Equipment._.List." localSheetId="3" hidden="1">{#N/A,#N/A,TRUE,"COVERSHEET";#N/A,#N/A,TRUE,"LEGEND";#N/A,#N/A,TRUE,"LIST"}</definedName>
    <definedName name="wrn.Equipment._.List." localSheetId="6" hidden="1">{#N/A,#N/A,TRUE,"COVERSHEET";#N/A,#N/A,TRUE,"LEGEND";#N/A,#N/A,TRUE,"LIST"}</definedName>
    <definedName name="wrn.Equipment._.List." localSheetId="7" hidden="1">{#N/A,#N/A,TRUE,"COVERSHEET";#N/A,#N/A,TRUE,"LEGEND";#N/A,#N/A,TRUE,"LIST"}</definedName>
    <definedName name="wrn.Equipment._.List." localSheetId="5" hidden="1">{#N/A,#N/A,TRUE,"COVERSHEET";#N/A,#N/A,TRUE,"LEGEND";#N/A,#N/A,TRUE,"LIST"}</definedName>
    <definedName name="wrn.Equipment._.List." hidden="1">{#N/A,#N/A,TRUE,"COVERSHEET";#N/A,#N/A,TRUE,"LEGEND";#N/A,#N/A,TRUE,"LIST"}</definedName>
    <definedName name="wrn.Field._.Office._.and._.Sum." localSheetId="18" hidden="1">{#N/A,#N/A,FALSE,"Field Rates";#N/A,#N/A,FALSE,"Field Sum"}</definedName>
    <definedName name="wrn.Field._.Office._.and._.Sum." localSheetId="11" hidden="1">{#N/A,#N/A,FALSE,"Field Rates";#N/A,#N/A,FALSE,"Field Sum"}</definedName>
    <definedName name="wrn.Field._.Office._.and._.Sum." localSheetId="1" hidden="1">{#N/A,#N/A,FALSE,"Field Rates";#N/A,#N/A,FALSE,"Field Sum"}</definedName>
    <definedName name="wrn.Field._.Office._.and._.Sum." localSheetId="2" hidden="1">{#N/A,#N/A,FALSE,"Field Rates";#N/A,#N/A,FALSE,"Field Sum"}</definedName>
    <definedName name="wrn.Field._.Office._.and._.Sum." localSheetId="4" hidden="1">{#N/A,#N/A,FALSE,"Field Rates";#N/A,#N/A,FALSE,"Field Sum"}</definedName>
    <definedName name="wrn.Field._.Office._.and._.Sum." localSheetId="19" hidden="1">{#N/A,#N/A,FALSE,"Field Rates";#N/A,#N/A,FALSE,"Field Sum"}</definedName>
    <definedName name="wrn.Field._.Office._.and._.Sum." localSheetId="10" hidden="1">{#N/A,#N/A,FALSE,"Field Rates";#N/A,#N/A,FALSE,"Field Sum"}</definedName>
    <definedName name="wrn.Field._.Office._.and._.Sum." localSheetId="9" hidden="1">{#N/A,#N/A,FALSE,"Field Rates";#N/A,#N/A,FALSE,"Field Sum"}</definedName>
    <definedName name="wrn.Field._.Office._.and._.Sum." localSheetId="8" hidden="1">{#N/A,#N/A,FALSE,"Field Rates";#N/A,#N/A,FALSE,"Field Sum"}</definedName>
    <definedName name="wrn.Field._.Office._.and._.Sum." localSheetId="3" hidden="1">{#N/A,#N/A,FALSE,"Field Rates";#N/A,#N/A,FALSE,"Field Sum"}</definedName>
    <definedName name="wrn.Field._.Office._.and._.Sum." localSheetId="6" hidden="1">{#N/A,#N/A,FALSE,"Field Rates";#N/A,#N/A,FALSE,"Field Sum"}</definedName>
    <definedName name="wrn.Field._.Office._.and._.Sum." localSheetId="7" hidden="1">{#N/A,#N/A,FALSE,"Field Rates";#N/A,#N/A,FALSE,"Field Sum"}</definedName>
    <definedName name="wrn.Field._.Office._.and._.Sum." localSheetId="5" hidden="1">{#N/A,#N/A,FALSE,"Field Rates";#N/A,#N/A,FALSE,"Field Sum"}</definedName>
    <definedName name="wrn.Field._.Office._.and._.Sum." hidden="1">{#N/A,#N/A,FALSE,"Field Rates";#N/A,#N/A,FALSE,"Field Sum"}</definedName>
    <definedName name="wrn.FORM." localSheetId="18"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18" hidden="1">{"b",#N/A,FALSE,"B";"C 1",#N/A,FALSE,"C";"C 2",#N/A,FALSE,"C";"D 1",#N/A,FALSE,"D";"d 2",#N/A,FALSE,"D";"D 3",#N/A,FALSE,"D";"E",#N/A,FALSE,"E";"F 1",#N/A,FALSE,"F";"F 2",#N/A,FALSE,"F";"F 3",#N/A,FALSE,"F";"G 1",#N/A,FALSE,"G";"G 2",#N/A,FALSE,"G";"I 1",#N/A,FALSE,"I";"J 1",#N/A,FALSE,"J";"J 2",#N/A,FALSE,"J";"L",#N/A,FALSE,"L";"M 1",#N/A,FALSE,"M";"N",#N/A,FALSE,"N"}</definedName>
    <definedName name="wrn.full." localSheetId="11" hidden="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4" hidden="1">{"b",#N/A,FALSE,"B";"C 1",#N/A,FALSE,"C";"C 2",#N/A,FALSE,"C";"D 1",#N/A,FALSE,"D";"d 2",#N/A,FALSE,"D";"D 3",#N/A,FALSE,"D";"E",#N/A,FALSE,"E";"F 1",#N/A,FALSE,"F";"F 2",#N/A,FALSE,"F";"F 3",#N/A,FALSE,"F";"G 1",#N/A,FALSE,"G";"G 2",#N/A,FALSE,"G";"I 1",#N/A,FALSE,"I";"J 1",#N/A,FALSE,"J";"J 2",#N/A,FALSE,"J";"L",#N/A,FALSE,"L";"M 1",#N/A,FALSE,"M";"N",#N/A,FALSE,"N"}</definedName>
    <definedName name="wrn.full." localSheetId="19"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9" hidden="1">{"b",#N/A,FALSE,"B";"C 1",#N/A,FALSE,"C";"C 2",#N/A,FALSE,"C";"D 1",#N/A,FALSE,"D";"d 2",#N/A,FALSE,"D";"D 3",#N/A,FALSE,"D";"E",#N/A,FALSE,"E";"F 1",#N/A,FALSE,"F";"F 2",#N/A,FALSE,"F";"F 3",#N/A,FALSE,"F";"G 1",#N/A,FALSE,"G";"G 2",#N/A,FALSE,"G";"I 1",#N/A,FALSE,"I";"J 1",#N/A,FALSE,"J";"J 2",#N/A,FALSE,"J";"L",#N/A,FALSE,"L";"M 1",#N/A,FALSE,"M";"N",#N/A,FALSE,"N"}</definedName>
    <definedName name="wrn.full." localSheetId="8" hidden="1">{"b",#N/A,FALSE,"B";"C 1",#N/A,FALSE,"C";"C 2",#N/A,FALSE,"C";"D 1",#N/A,FALSE,"D";"d 2",#N/A,FALSE,"D";"D 3",#N/A,FALSE,"D";"E",#N/A,FALSE,"E";"F 1",#N/A,FALSE,"F";"F 2",#N/A,FALSE,"F";"F 3",#N/A,FALSE,"F";"G 1",#N/A,FALSE,"G";"G 2",#N/A,FALSE,"G";"I 1",#N/A,FALSE,"I";"J 1",#N/A,FALSE,"J";"J 2",#N/A,FALSE,"J";"L",#N/A,FALSE,"L";"M 1",#N/A,FALSE,"M";"N",#N/A,FALSE,"N"}</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 localSheetId="5"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localSheetId="18" hidden="1">{#N/A,#N/A,FALSE,"HO Rates";#N/A,#N/A,FALSE,"HO Sum"}</definedName>
    <definedName name="wrn.HO._.Rates._.and._.Sum." localSheetId="11" hidden="1">{#N/A,#N/A,FALSE,"HO Rates";#N/A,#N/A,FALSE,"HO Sum"}</definedName>
    <definedName name="wrn.HO._.Rates._.and._.Sum." localSheetId="1" hidden="1">{#N/A,#N/A,FALSE,"HO Rates";#N/A,#N/A,FALSE,"HO Sum"}</definedName>
    <definedName name="wrn.HO._.Rates._.and._.Sum." localSheetId="2" hidden="1">{#N/A,#N/A,FALSE,"HO Rates";#N/A,#N/A,FALSE,"HO Sum"}</definedName>
    <definedName name="wrn.HO._.Rates._.and._.Sum." localSheetId="4" hidden="1">{#N/A,#N/A,FALSE,"HO Rates";#N/A,#N/A,FALSE,"HO Sum"}</definedName>
    <definedName name="wrn.HO._.Rates._.and._.Sum." localSheetId="19" hidden="1">{#N/A,#N/A,FALSE,"HO Rates";#N/A,#N/A,FALSE,"HO Sum"}</definedName>
    <definedName name="wrn.HO._.Rates._.and._.Sum." localSheetId="10" hidden="1">{#N/A,#N/A,FALSE,"HO Rates";#N/A,#N/A,FALSE,"HO Sum"}</definedName>
    <definedName name="wrn.HO._.Rates._.and._.Sum." localSheetId="9" hidden="1">{#N/A,#N/A,FALSE,"HO Rates";#N/A,#N/A,FALSE,"HO Sum"}</definedName>
    <definedName name="wrn.HO._.Rates._.and._.Sum." localSheetId="8" hidden="1">{#N/A,#N/A,FALSE,"HO Rates";#N/A,#N/A,FALSE,"HO Sum"}</definedName>
    <definedName name="wrn.HO._.Rates._.and._.Sum." localSheetId="3" hidden="1">{#N/A,#N/A,FALSE,"HO Rates";#N/A,#N/A,FALSE,"HO Sum"}</definedName>
    <definedName name="wrn.HO._.Rates._.and._.Sum." localSheetId="6" hidden="1">{#N/A,#N/A,FALSE,"HO Rates";#N/A,#N/A,FALSE,"HO Sum"}</definedName>
    <definedName name="wrn.HO._.Rates._.and._.Sum." localSheetId="7" hidden="1">{#N/A,#N/A,FALSE,"HO Rates";#N/A,#N/A,FALSE,"HO Sum"}</definedName>
    <definedName name="wrn.HO._.Rates._.and._.Sum." localSheetId="5" hidden="1">{#N/A,#N/A,FALSE,"HO Rates";#N/A,#N/A,FALSE,"HO Sum"}</definedName>
    <definedName name="wrn.HO._.Rates._.and._.Sum." hidden="1">{#N/A,#N/A,FALSE,"HO Rates";#N/A,#N/A,FALSE,"HO Sum"}</definedName>
    <definedName name="wrn.LIST." localSheetId="18" hidden="1">{#N/A,#N/A,FALSE,"AGITATE";#N/A,#N/A,FALSE,"DRYER";#N/A,#N/A,FALSE,"EXCH";#N/A,#N/A,FALSE,"FILTER";#N/A,#N/A,FALSE,"FURN";#N/A,#N/A,FALSE,"BLOW";#N/A,#N/A,FALSE,"PUMP";#N/A,#N/A,FALSE,"REACT";#N/A,#N/A,FALSE,"TOWER";#N/A,#N/A,FALSE,"TANK";#N/A,#N/A,FALSE,"DRUM";#N/A,#N/A,FALSE,"EXPAND";#N/A,#N/A,FALSE,"GEN";#N/A,#N/A,FALSE,"COVER";#N/A,#N/A,FALSE,"INDEX"}</definedName>
    <definedName name="wrn.LIST." localSheetId="11" hidden="1">{#N/A,#N/A,FALSE,"AGITATE";#N/A,#N/A,FALSE,"DRYER";#N/A,#N/A,FALSE,"EXCH";#N/A,#N/A,FALSE,"FILTER";#N/A,#N/A,FALSE,"FURN";#N/A,#N/A,FALSE,"BLOW";#N/A,#N/A,FALSE,"PUMP";#N/A,#N/A,FALSE,"REACT";#N/A,#N/A,FALSE,"TOWER";#N/A,#N/A,FALSE,"TANK";#N/A,#N/A,FALSE,"DRUM";#N/A,#N/A,FALSE,"EXPAND";#N/A,#N/A,FALSE,"GEN";#N/A,#N/A,FALSE,"COVER";#N/A,#N/A,FALSE,"INDEX"}</definedName>
    <definedName name="wrn.LIST." localSheetId="1" hidden="1">{#N/A,#N/A,FALSE,"AGITATE";#N/A,#N/A,FALSE,"DRYER";#N/A,#N/A,FALSE,"EXCH";#N/A,#N/A,FALSE,"FILTER";#N/A,#N/A,FALSE,"FURN";#N/A,#N/A,FALSE,"BLOW";#N/A,#N/A,FALSE,"PUMP";#N/A,#N/A,FALSE,"REACT";#N/A,#N/A,FALSE,"TOWER";#N/A,#N/A,FALSE,"TANK";#N/A,#N/A,FALSE,"DRUM";#N/A,#N/A,FALSE,"EXPAND";#N/A,#N/A,FALSE,"GEN";#N/A,#N/A,FALSE,"COVER";#N/A,#N/A,FALSE,"INDEX"}</definedName>
    <definedName name="wrn.LIST." localSheetId="2" hidden="1">{#N/A,#N/A,FALSE,"AGITATE";#N/A,#N/A,FALSE,"DRYER";#N/A,#N/A,FALSE,"EXCH";#N/A,#N/A,FALSE,"FILTER";#N/A,#N/A,FALSE,"FURN";#N/A,#N/A,FALSE,"BLOW";#N/A,#N/A,FALSE,"PUMP";#N/A,#N/A,FALSE,"REACT";#N/A,#N/A,FALSE,"TOWER";#N/A,#N/A,FALSE,"TANK";#N/A,#N/A,FALSE,"DRUM";#N/A,#N/A,FALSE,"EXPAND";#N/A,#N/A,FALSE,"GEN";#N/A,#N/A,FALSE,"COVER";#N/A,#N/A,FALSE,"INDEX"}</definedName>
    <definedName name="wrn.LIST." localSheetId="4" hidden="1">{#N/A,#N/A,FALSE,"AGITATE";#N/A,#N/A,FALSE,"DRYER";#N/A,#N/A,FALSE,"EXCH";#N/A,#N/A,FALSE,"FILTER";#N/A,#N/A,FALSE,"FURN";#N/A,#N/A,FALSE,"BLOW";#N/A,#N/A,FALSE,"PUMP";#N/A,#N/A,FALSE,"REACT";#N/A,#N/A,FALSE,"TOWER";#N/A,#N/A,FALSE,"TANK";#N/A,#N/A,FALSE,"DRUM";#N/A,#N/A,FALSE,"EXPAND";#N/A,#N/A,FALSE,"GEN";#N/A,#N/A,FALSE,"COVER";#N/A,#N/A,FALSE,"INDEX"}</definedName>
    <definedName name="wrn.LIST." localSheetId="19" hidden="1">{#N/A,#N/A,FALSE,"AGITATE";#N/A,#N/A,FALSE,"DRYER";#N/A,#N/A,FALSE,"EXCH";#N/A,#N/A,FALSE,"FILTER";#N/A,#N/A,FALSE,"FURN";#N/A,#N/A,FALSE,"BLOW";#N/A,#N/A,FALSE,"PUMP";#N/A,#N/A,FALSE,"REACT";#N/A,#N/A,FALSE,"TOWER";#N/A,#N/A,FALSE,"TANK";#N/A,#N/A,FALSE,"DRUM";#N/A,#N/A,FALSE,"EXPAND";#N/A,#N/A,FALSE,"GEN";#N/A,#N/A,FALSE,"COVER";#N/A,#N/A,FALSE,"INDEX"}</definedName>
    <definedName name="wrn.LIST." localSheetId="10" hidden="1">{#N/A,#N/A,FALSE,"AGITATE";#N/A,#N/A,FALSE,"DRYER";#N/A,#N/A,FALSE,"EXCH";#N/A,#N/A,FALSE,"FILTER";#N/A,#N/A,FALSE,"FURN";#N/A,#N/A,FALSE,"BLOW";#N/A,#N/A,FALSE,"PUMP";#N/A,#N/A,FALSE,"REACT";#N/A,#N/A,FALSE,"TOWER";#N/A,#N/A,FALSE,"TANK";#N/A,#N/A,FALSE,"DRUM";#N/A,#N/A,FALSE,"EXPAND";#N/A,#N/A,FALSE,"GEN";#N/A,#N/A,FALSE,"COVER";#N/A,#N/A,FALSE,"INDEX"}</definedName>
    <definedName name="wrn.LIST." localSheetId="9" hidden="1">{#N/A,#N/A,FALSE,"AGITATE";#N/A,#N/A,FALSE,"DRYER";#N/A,#N/A,FALSE,"EXCH";#N/A,#N/A,FALSE,"FILTER";#N/A,#N/A,FALSE,"FURN";#N/A,#N/A,FALSE,"BLOW";#N/A,#N/A,FALSE,"PUMP";#N/A,#N/A,FALSE,"REACT";#N/A,#N/A,FALSE,"TOWER";#N/A,#N/A,FALSE,"TANK";#N/A,#N/A,FALSE,"DRUM";#N/A,#N/A,FALSE,"EXPAND";#N/A,#N/A,FALSE,"GEN";#N/A,#N/A,FALSE,"COVER";#N/A,#N/A,FALSE,"INDEX"}</definedName>
    <definedName name="wrn.LIST." localSheetId="8" hidden="1">{#N/A,#N/A,FALSE,"AGITATE";#N/A,#N/A,FALSE,"DRYER";#N/A,#N/A,FALSE,"EXCH";#N/A,#N/A,FALSE,"FILTER";#N/A,#N/A,FALSE,"FURN";#N/A,#N/A,FALSE,"BLOW";#N/A,#N/A,FALSE,"PUMP";#N/A,#N/A,FALSE,"REACT";#N/A,#N/A,FALSE,"TOWER";#N/A,#N/A,FALSE,"TANK";#N/A,#N/A,FALSE,"DRUM";#N/A,#N/A,FALSE,"EXPAND";#N/A,#N/A,FALSE,"GEN";#N/A,#N/A,FALSE,"COVER";#N/A,#N/A,FALSE,"INDEX"}</definedName>
    <definedName name="wrn.LIST." localSheetId="3" hidden="1">{#N/A,#N/A,FALSE,"AGITATE";#N/A,#N/A,FALSE,"DRYER";#N/A,#N/A,FALSE,"EXCH";#N/A,#N/A,FALSE,"FILTER";#N/A,#N/A,FALSE,"FURN";#N/A,#N/A,FALSE,"BLOW";#N/A,#N/A,FALSE,"PUMP";#N/A,#N/A,FALSE,"REACT";#N/A,#N/A,FALSE,"TOWER";#N/A,#N/A,FALSE,"TANK";#N/A,#N/A,FALSE,"DRUM";#N/A,#N/A,FALSE,"EXPAND";#N/A,#N/A,FALSE,"GEN";#N/A,#N/A,FALSE,"COVER";#N/A,#N/A,FALSE,"INDEX"}</definedName>
    <definedName name="wrn.LIST." localSheetId="6" hidden="1">{#N/A,#N/A,FALSE,"AGITATE";#N/A,#N/A,FALSE,"DRYER";#N/A,#N/A,FALSE,"EXCH";#N/A,#N/A,FALSE,"FILTER";#N/A,#N/A,FALSE,"FURN";#N/A,#N/A,FALSE,"BLOW";#N/A,#N/A,FALSE,"PUMP";#N/A,#N/A,FALSE,"REACT";#N/A,#N/A,FALSE,"TOWER";#N/A,#N/A,FALSE,"TANK";#N/A,#N/A,FALSE,"DRUM";#N/A,#N/A,FALSE,"EXPAND";#N/A,#N/A,FALSE,"GEN";#N/A,#N/A,FALSE,"COVER";#N/A,#N/A,FALSE,"INDEX"}</definedName>
    <definedName name="wrn.LIST." localSheetId="7" hidden="1">{#N/A,#N/A,FALSE,"AGITATE";#N/A,#N/A,FALSE,"DRYER";#N/A,#N/A,FALSE,"EXCH";#N/A,#N/A,FALSE,"FILTER";#N/A,#N/A,FALSE,"FURN";#N/A,#N/A,FALSE,"BLOW";#N/A,#N/A,FALSE,"PUMP";#N/A,#N/A,FALSE,"REACT";#N/A,#N/A,FALSE,"TOWER";#N/A,#N/A,FALSE,"TANK";#N/A,#N/A,FALSE,"DRUM";#N/A,#N/A,FALSE,"EXPAND";#N/A,#N/A,FALSE,"GEN";#N/A,#N/A,FALSE,"COVER";#N/A,#N/A,FALSE,"INDEX"}</definedName>
    <definedName name="wrn.LIST." localSheetId="5"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localSheetId="18"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localSheetId="18" hidden="1">{#N/A,#N/A,TRUE,"Mhr_Sum"}</definedName>
    <definedName name="wrn.Mhr_Sum." localSheetId="11" hidden="1">{#N/A,#N/A,TRUE,"Mhr_Sum"}</definedName>
    <definedName name="wrn.Mhr_Sum." localSheetId="1" hidden="1">{#N/A,#N/A,TRUE,"Mhr_Sum"}</definedName>
    <definedName name="wrn.Mhr_Sum." localSheetId="2" hidden="1">{#N/A,#N/A,TRUE,"Mhr_Sum"}</definedName>
    <definedName name="wrn.Mhr_Sum." localSheetId="4" hidden="1">{#N/A,#N/A,TRUE,"Mhr_Sum"}</definedName>
    <definedName name="wrn.Mhr_Sum." localSheetId="19" hidden="1">{#N/A,#N/A,TRUE,"Mhr_Sum"}</definedName>
    <definedName name="wrn.Mhr_Sum." localSheetId="10" hidden="1">{#N/A,#N/A,TRUE,"Mhr_Sum"}</definedName>
    <definedName name="wrn.Mhr_Sum." localSheetId="9" hidden="1">{#N/A,#N/A,TRUE,"Mhr_Sum"}</definedName>
    <definedName name="wrn.Mhr_Sum." localSheetId="8" hidden="1">{#N/A,#N/A,TRUE,"Mhr_Sum"}</definedName>
    <definedName name="wrn.Mhr_Sum." localSheetId="3" hidden="1">{#N/A,#N/A,TRUE,"Mhr_Sum"}</definedName>
    <definedName name="wrn.Mhr_Sum." localSheetId="6" hidden="1">{#N/A,#N/A,TRUE,"Mhr_Sum"}</definedName>
    <definedName name="wrn.Mhr_Sum." localSheetId="7" hidden="1">{#N/A,#N/A,TRUE,"Mhr_Sum"}</definedName>
    <definedName name="wrn.Mhr_Sum." localSheetId="5" hidden="1">{#N/A,#N/A,TRUE,"Mhr_Sum"}</definedName>
    <definedName name="wrn.Mhr_Sum." hidden="1">{#N/A,#N/A,TRUE,"Mhr_Sum"}</definedName>
    <definedName name="wrn.mhr_summ." localSheetId="18" hidden="1">{#N/A,#N/A,FALSE,"Mhr_Sum"}</definedName>
    <definedName name="wrn.mhr_summ." localSheetId="11" hidden="1">{#N/A,#N/A,FALSE,"Mhr_Sum"}</definedName>
    <definedName name="wrn.mhr_summ." localSheetId="1" hidden="1">{#N/A,#N/A,FALSE,"Mhr_Sum"}</definedName>
    <definedName name="wrn.mhr_summ." localSheetId="2" hidden="1">{#N/A,#N/A,FALSE,"Mhr_Sum"}</definedName>
    <definedName name="wrn.mhr_summ." localSheetId="4" hidden="1">{#N/A,#N/A,FALSE,"Mhr_Sum"}</definedName>
    <definedName name="wrn.mhr_summ." localSheetId="19" hidden="1">{#N/A,#N/A,FALSE,"Mhr_Sum"}</definedName>
    <definedName name="wrn.mhr_summ." localSheetId="10" hidden="1">{#N/A,#N/A,FALSE,"Mhr_Sum"}</definedName>
    <definedName name="wrn.mhr_summ." localSheetId="9" hidden="1">{#N/A,#N/A,FALSE,"Mhr_Sum"}</definedName>
    <definedName name="wrn.mhr_summ." localSheetId="8" hidden="1">{#N/A,#N/A,FALSE,"Mhr_Sum"}</definedName>
    <definedName name="wrn.mhr_summ." localSheetId="3" hidden="1">{#N/A,#N/A,FALSE,"Mhr_Sum"}</definedName>
    <definedName name="wrn.mhr_summ." localSheetId="6" hidden="1">{#N/A,#N/A,FALSE,"Mhr_Sum"}</definedName>
    <definedName name="wrn.mhr_summ." localSheetId="7" hidden="1">{#N/A,#N/A,FALSE,"Mhr_Sum"}</definedName>
    <definedName name="wrn.mhr_summ." localSheetId="5" hidden="1">{#N/A,#N/A,FALSE,"Mhr_Sum"}</definedName>
    <definedName name="wrn.mhr_summ." hidden="1">{#N/A,#N/A,FALSE,"Mhr_Sum"}</definedName>
    <definedName name="wrn.Mhr_Tot." localSheetId="18" hidden="1">{#N/A,#N/A,TRUE,"Mhr_Sum"}</definedName>
    <definedName name="wrn.Mhr_Tot." localSheetId="11" hidden="1">{#N/A,#N/A,TRUE,"Mhr_Sum"}</definedName>
    <definedName name="wrn.Mhr_Tot." localSheetId="1" hidden="1">{#N/A,#N/A,TRUE,"Mhr_Sum"}</definedName>
    <definedName name="wrn.Mhr_Tot." localSheetId="2" hidden="1">{#N/A,#N/A,TRUE,"Mhr_Sum"}</definedName>
    <definedName name="wrn.Mhr_Tot." localSheetId="4" hidden="1">{#N/A,#N/A,TRUE,"Mhr_Sum"}</definedName>
    <definedName name="wrn.Mhr_Tot." localSheetId="19" hidden="1">{#N/A,#N/A,TRUE,"Mhr_Sum"}</definedName>
    <definedName name="wrn.Mhr_Tot." localSheetId="10" hidden="1">{#N/A,#N/A,TRUE,"Mhr_Sum"}</definedName>
    <definedName name="wrn.Mhr_Tot." localSheetId="9" hidden="1">{#N/A,#N/A,TRUE,"Mhr_Sum"}</definedName>
    <definedName name="wrn.Mhr_Tot." localSheetId="8" hidden="1">{#N/A,#N/A,TRUE,"Mhr_Sum"}</definedName>
    <definedName name="wrn.Mhr_Tot." localSheetId="3" hidden="1">{#N/A,#N/A,TRUE,"Mhr_Sum"}</definedName>
    <definedName name="wrn.Mhr_Tot." localSheetId="6" hidden="1">{#N/A,#N/A,TRUE,"Mhr_Sum"}</definedName>
    <definedName name="wrn.Mhr_Tot." localSheetId="7" hidden="1">{#N/A,#N/A,TRUE,"Mhr_Sum"}</definedName>
    <definedName name="wrn.Mhr_Tot." localSheetId="5" hidden="1">{#N/A,#N/A,TRUE,"Mhr_Sum"}</definedName>
    <definedName name="wrn.Mhr_Tot." hidden="1">{#N/A,#N/A,TRUE,"Mhr_Sum"}</definedName>
    <definedName name="wrn.Monthly._.Statement." localSheetId="18" hidden="1">{#N/A,#N/A,FALSE,"Tabelle2";#N/A,#N/A,FALSE,"Tabelle1"}</definedName>
    <definedName name="wrn.Monthly._.Statement." hidden="1">{#N/A,#N/A,FALSE,"Tabelle2";#N/A,#N/A,FALSE,"Tabelle1"}</definedName>
    <definedName name="wrn.OKA."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localSheetId="18" hidden="1">{#N/A,#N/A,FALSE,"Etusivu";#N/A,#N/A,FALSE,"Materiaalit";#N/A,#N/A,FALSE,"Erikoiskust";#N/A,#N/A,FALSE,"Työkust";#N/A,#N/A,FALSE,"OKA";#N/A,#N/A,FALSE,"TARJHINT"}</definedName>
    <definedName name="wrn.OKA._.ei._.laite._.ei._.sunn.b" localSheetId="11" hidden="1">{#N/A,#N/A,FALSE,"Etusivu";#N/A,#N/A,FALSE,"Materiaalit";#N/A,#N/A,FALSE,"Erikoiskust";#N/A,#N/A,FALSE,"Työkust";#N/A,#N/A,FALSE,"OKA";#N/A,#N/A,FALSE,"TARJHINT"}</definedName>
    <definedName name="wrn.OKA._.ei._.laite._.ei._.sunn.b" localSheetId="1" hidden="1">{#N/A,#N/A,FALSE,"Etusivu";#N/A,#N/A,FALSE,"Materiaalit";#N/A,#N/A,FALSE,"Erikoiskust";#N/A,#N/A,FALSE,"Työkust";#N/A,#N/A,FALSE,"OKA";#N/A,#N/A,FALSE,"TARJHINT"}</definedName>
    <definedName name="wrn.OKA._.ei._.laite._.ei._.sunn.b" localSheetId="2" hidden="1">{#N/A,#N/A,FALSE,"Etusivu";#N/A,#N/A,FALSE,"Materiaalit";#N/A,#N/A,FALSE,"Erikoiskust";#N/A,#N/A,FALSE,"Työkust";#N/A,#N/A,FALSE,"OKA";#N/A,#N/A,FALSE,"TARJHINT"}</definedName>
    <definedName name="wrn.OKA._.ei._.laite._.ei._.sunn.b" localSheetId="4" hidden="1">{#N/A,#N/A,FALSE,"Etusivu";#N/A,#N/A,FALSE,"Materiaalit";#N/A,#N/A,FALSE,"Erikoiskust";#N/A,#N/A,FALSE,"Työkust";#N/A,#N/A,FALSE,"OKA";#N/A,#N/A,FALSE,"TARJHINT"}</definedName>
    <definedName name="wrn.OKA._.ei._.laite._.ei._.sunn.b" localSheetId="19" hidden="1">{#N/A,#N/A,FALSE,"Etusivu";#N/A,#N/A,FALSE,"Materiaalit";#N/A,#N/A,FALSE,"Erikoiskust";#N/A,#N/A,FALSE,"Työkust";#N/A,#N/A,FALSE,"OKA";#N/A,#N/A,FALSE,"TARJHINT"}</definedName>
    <definedName name="wrn.OKA._.ei._.laite._.ei._.sunn.b" localSheetId="10" hidden="1">{#N/A,#N/A,FALSE,"Etusivu";#N/A,#N/A,FALSE,"Materiaalit";#N/A,#N/A,FALSE,"Erikoiskust";#N/A,#N/A,FALSE,"Työkust";#N/A,#N/A,FALSE,"OKA";#N/A,#N/A,FALSE,"TARJHINT"}</definedName>
    <definedName name="wrn.OKA._.ei._.laite._.ei._.sunn.b" localSheetId="9" hidden="1">{#N/A,#N/A,FALSE,"Etusivu";#N/A,#N/A,FALSE,"Materiaalit";#N/A,#N/A,FALSE,"Erikoiskust";#N/A,#N/A,FALSE,"Työkust";#N/A,#N/A,FALSE,"OKA";#N/A,#N/A,FALSE,"TARJHINT"}</definedName>
    <definedName name="wrn.OKA._.ei._.laite._.ei._.sunn.b" localSheetId="8" hidden="1">{#N/A,#N/A,FALSE,"Etusivu";#N/A,#N/A,FALSE,"Materiaalit";#N/A,#N/A,FALSE,"Erikoiskust";#N/A,#N/A,FALSE,"Työkust";#N/A,#N/A,FALSE,"OKA";#N/A,#N/A,FALSE,"TARJHINT"}</definedName>
    <definedName name="wrn.OKA._.ei._.laite._.ei._.sunn.b" localSheetId="3" hidden="1">{#N/A,#N/A,FALSE,"Etusivu";#N/A,#N/A,FALSE,"Materiaalit";#N/A,#N/A,FALSE,"Erikoiskust";#N/A,#N/A,FALSE,"Työkust";#N/A,#N/A,FALSE,"OKA";#N/A,#N/A,FALSE,"TARJHINT"}</definedName>
    <definedName name="wrn.OKA._.ei._.laite._.ei._.sunn.b" localSheetId="6" hidden="1">{#N/A,#N/A,FALSE,"Etusivu";#N/A,#N/A,FALSE,"Materiaalit";#N/A,#N/A,FALSE,"Erikoiskust";#N/A,#N/A,FALSE,"Työkust";#N/A,#N/A,FALSE,"OKA";#N/A,#N/A,FALSE,"TARJHINT"}</definedName>
    <definedName name="wrn.OKA._.ei._.laite._.ei._.sunn.b" localSheetId="7" hidden="1">{#N/A,#N/A,FALSE,"Etusivu";#N/A,#N/A,FALSE,"Materiaalit";#N/A,#N/A,FALSE,"Erikoiskust";#N/A,#N/A,FALSE,"Työkust";#N/A,#N/A,FALSE,"OKA";#N/A,#N/A,FALSE,"TARJHINT"}</definedName>
    <definedName name="wrn.OKA._.ei._.laite._.ei._.sunn.b" localSheetId="5" hidden="1">{#N/A,#N/A,FALSE,"Etusivu";#N/A,#N/A,FALSE,"Materiaalit";#N/A,#N/A,FALSE,"Erikoiskust";#N/A,#N/A,FALSE,"Työkust";#N/A,#N/A,FALSE,"OKA";#N/A,#N/A,FALSE,"TARJHINT"}</definedName>
    <definedName name="wrn.OKA._.ei._.laite._.ei._.sunn.b" hidden="1">{#N/A,#N/A,FALSE,"Etusivu";#N/A,#N/A,FALSE,"Materiaalit";#N/A,#N/A,FALSE,"Erikoiskust";#N/A,#N/A,FALSE,"Työkust";#N/A,#N/A,FALSE,"OKA";#N/A,#N/A,FALSE,"TARJHINT"}</definedName>
    <definedName name="wrn.OKA._.ei._.laite._.ei._.suunn." localSheetId="18" hidden="1">{#N/A,#N/A,FALSE,"Etusivu";#N/A,#N/A,FALSE,"Materiaalit";#N/A,#N/A,FALSE,"Erikoiskust";#N/A,#N/A,FALSE,"Työkust";#N/A,#N/A,FALSE,"OKA";#N/A,#N/A,FALSE,"TARJHINT"}</definedName>
    <definedName name="wrn.OKA._.ei._.laite._.ei._.suunn." localSheetId="11" hidden="1">{#N/A,#N/A,FALSE,"Etusivu";#N/A,#N/A,FALSE,"Materiaalit";#N/A,#N/A,FALSE,"Erikoiskust";#N/A,#N/A,FALSE,"Työkust";#N/A,#N/A,FALSE,"OKA";#N/A,#N/A,FALSE,"TARJHINT"}</definedName>
    <definedName name="wrn.OKA._.ei._.laite._.ei._.suunn." localSheetId="1" hidden="1">{#N/A,#N/A,FALSE,"Etusivu";#N/A,#N/A,FALSE,"Materiaalit";#N/A,#N/A,FALSE,"Erikoiskust";#N/A,#N/A,FALSE,"Työkust";#N/A,#N/A,FALSE,"OKA";#N/A,#N/A,FALSE,"TARJHINT"}</definedName>
    <definedName name="wrn.OKA._.ei._.laite._.ei._.suunn." localSheetId="2" hidden="1">{#N/A,#N/A,FALSE,"Etusivu";#N/A,#N/A,FALSE,"Materiaalit";#N/A,#N/A,FALSE,"Erikoiskust";#N/A,#N/A,FALSE,"Työkust";#N/A,#N/A,FALSE,"OKA";#N/A,#N/A,FALSE,"TARJHINT"}</definedName>
    <definedName name="wrn.OKA._.ei._.laite._.ei._.suunn." localSheetId="4" hidden="1">{#N/A,#N/A,FALSE,"Etusivu";#N/A,#N/A,FALSE,"Materiaalit";#N/A,#N/A,FALSE,"Erikoiskust";#N/A,#N/A,FALSE,"Työkust";#N/A,#N/A,FALSE,"OKA";#N/A,#N/A,FALSE,"TARJHINT"}</definedName>
    <definedName name="wrn.OKA._.ei._.laite._.ei._.suunn." localSheetId="19" hidden="1">{#N/A,#N/A,FALSE,"Etusivu";#N/A,#N/A,FALSE,"Materiaalit";#N/A,#N/A,FALSE,"Erikoiskust";#N/A,#N/A,FALSE,"Työkust";#N/A,#N/A,FALSE,"OKA";#N/A,#N/A,FALSE,"TARJHINT"}</definedName>
    <definedName name="wrn.OKA._.ei._.laite._.ei._.suunn." localSheetId="10" hidden="1">{#N/A,#N/A,FALSE,"Etusivu";#N/A,#N/A,FALSE,"Materiaalit";#N/A,#N/A,FALSE,"Erikoiskust";#N/A,#N/A,FALSE,"Työkust";#N/A,#N/A,FALSE,"OKA";#N/A,#N/A,FALSE,"TARJHINT"}</definedName>
    <definedName name="wrn.OKA._.ei._.laite._.ei._.suunn." localSheetId="9" hidden="1">{#N/A,#N/A,FALSE,"Etusivu";#N/A,#N/A,FALSE,"Materiaalit";#N/A,#N/A,FALSE,"Erikoiskust";#N/A,#N/A,FALSE,"Työkust";#N/A,#N/A,FALSE,"OKA";#N/A,#N/A,FALSE,"TARJHINT"}</definedName>
    <definedName name="wrn.OKA._.ei._.laite._.ei._.suunn." localSheetId="8" hidden="1">{#N/A,#N/A,FALSE,"Etusivu";#N/A,#N/A,FALSE,"Materiaalit";#N/A,#N/A,FALSE,"Erikoiskust";#N/A,#N/A,FALSE,"Työkust";#N/A,#N/A,FALSE,"OKA";#N/A,#N/A,FALSE,"TARJHINT"}</definedName>
    <definedName name="wrn.OKA._.ei._.laite._.ei._.suunn." localSheetId="3" hidden="1">{#N/A,#N/A,FALSE,"Etusivu";#N/A,#N/A,FALSE,"Materiaalit";#N/A,#N/A,FALSE,"Erikoiskust";#N/A,#N/A,FALSE,"Työkust";#N/A,#N/A,FALSE,"OKA";#N/A,#N/A,FALSE,"TARJHINT"}</definedName>
    <definedName name="wrn.OKA._.ei._.laite._.ei._.suunn." localSheetId="6" hidden="1">{#N/A,#N/A,FALSE,"Etusivu";#N/A,#N/A,FALSE,"Materiaalit";#N/A,#N/A,FALSE,"Erikoiskust";#N/A,#N/A,FALSE,"Työkust";#N/A,#N/A,FALSE,"OKA";#N/A,#N/A,FALSE,"TARJHINT"}</definedName>
    <definedName name="wrn.OKA._.ei._.laite._.ei._.suunn." localSheetId="7" hidden="1">{#N/A,#N/A,FALSE,"Etusivu";#N/A,#N/A,FALSE,"Materiaalit";#N/A,#N/A,FALSE,"Erikoiskust";#N/A,#N/A,FALSE,"Työkust";#N/A,#N/A,FALSE,"OKA";#N/A,#N/A,FALSE,"TARJHINT"}</definedName>
    <definedName name="wrn.OKA._.ei._.laite._.ei._.suunn." localSheetId="5"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localSheetId="18" hidden="1">{#N/A,#N/A,FALSE,"Etusivu";#N/A,#N/A,FALSE,"Materiaalit";#N/A,#N/A,FALSE,"Työkust";#N/A,#N/A,FALSE,"OKA";#N/A,#N/A,FALSE,"TARJHINT"}</definedName>
    <definedName name="wrn.OKA._.ei._.laite._.ek._.suunn." localSheetId="11" hidden="1">{#N/A,#N/A,FALSE,"Etusivu";#N/A,#N/A,FALSE,"Materiaalit";#N/A,#N/A,FALSE,"Työkust";#N/A,#N/A,FALSE,"OKA";#N/A,#N/A,FALSE,"TARJHINT"}</definedName>
    <definedName name="wrn.OKA._.ei._.laite._.ek._.suunn." localSheetId="1" hidden="1">{#N/A,#N/A,FALSE,"Etusivu";#N/A,#N/A,FALSE,"Materiaalit";#N/A,#N/A,FALSE,"Työkust";#N/A,#N/A,FALSE,"OKA";#N/A,#N/A,FALSE,"TARJHINT"}</definedName>
    <definedName name="wrn.OKA._.ei._.laite._.ek._.suunn." localSheetId="2" hidden="1">{#N/A,#N/A,FALSE,"Etusivu";#N/A,#N/A,FALSE,"Materiaalit";#N/A,#N/A,FALSE,"Työkust";#N/A,#N/A,FALSE,"OKA";#N/A,#N/A,FALSE,"TARJHINT"}</definedName>
    <definedName name="wrn.OKA._.ei._.laite._.ek._.suunn." localSheetId="4" hidden="1">{#N/A,#N/A,FALSE,"Etusivu";#N/A,#N/A,FALSE,"Materiaalit";#N/A,#N/A,FALSE,"Työkust";#N/A,#N/A,FALSE,"OKA";#N/A,#N/A,FALSE,"TARJHINT"}</definedName>
    <definedName name="wrn.OKA._.ei._.laite._.ek._.suunn." localSheetId="19" hidden="1">{#N/A,#N/A,FALSE,"Etusivu";#N/A,#N/A,FALSE,"Materiaalit";#N/A,#N/A,FALSE,"Työkust";#N/A,#N/A,FALSE,"OKA";#N/A,#N/A,FALSE,"TARJHINT"}</definedName>
    <definedName name="wrn.OKA._.ei._.laite._.ek._.suunn." localSheetId="10" hidden="1">{#N/A,#N/A,FALSE,"Etusivu";#N/A,#N/A,FALSE,"Materiaalit";#N/A,#N/A,FALSE,"Työkust";#N/A,#N/A,FALSE,"OKA";#N/A,#N/A,FALSE,"TARJHINT"}</definedName>
    <definedName name="wrn.OKA._.ei._.laite._.ek._.suunn." localSheetId="9" hidden="1">{#N/A,#N/A,FALSE,"Etusivu";#N/A,#N/A,FALSE,"Materiaalit";#N/A,#N/A,FALSE,"Työkust";#N/A,#N/A,FALSE,"OKA";#N/A,#N/A,FALSE,"TARJHINT"}</definedName>
    <definedName name="wrn.OKA._.ei._.laite._.ek._.suunn." localSheetId="8" hidden="1">{#N/A,#N/A,FALSE,"Etusivu";#N/A,#N/A,FALSE,"Materiaalit";#N/A,#N/A,FALSE,"Työkust";#N/A,#N/A,FALSE,"OKA";#N/A,#N/A,FALSE,"TARJHINT"}</definedName>
    <definedName name="wrn.OKA._.ei._.laite._.ek._.suunn." localSheetId="3" hidden="1">{#N/A,#N/A,FALSE,"Etusivu";#N/A,#N/A,FALSE,"Materiaalit";#N/A,#N/A,FALSE,"Työkust";#N/A,#N/A,FALSE,"OKA";#N/A,#N/A,FALSE,"TARJHINT"}</definedName>
    <definedName name="wrn.OKA._.ei._.laite._.ek._.suunn." localSheetId="6" hidden="1">{#N/A,#N/A,FALSE,"Etusivu";#N/A,#N/A,FALSE,"Materiaalit";#N/A,#N/A,FALSE,"Työkust";#N/A,#N/A,FALSE,"OKA";#N/A,#N/A,FALSE,"TARJHINT"}</definedName>
    <definedName name="wrn.OKA._.ei._.laite._.ek._.suunn." localSheetId="7" hidden="1">{#N/A,#N/A,FALSE,"Etusivu";#N/A,#N/A,FALSE,"Materiaalit";#N/A,#N/A,FALSE,"Työkust";#N/A,#N/A,FALSE,"OKA";#N/A,#N/A,FALSE,"TARJHINT"}</definedName>
    <definedName name="wrn.OKA._.ei._.laite._.ek._.suunn." localSheetId="5" hidden="1">{#N/A,#N/A,FALSE,"Etusivu";#N/A,#N/A,FALSE,"Materiaalit";#N/A,#N/A,FALSE,"Työkust";#N/A,#N/A,FALSE,"OKA";#N/A,#N/A,FALSE,"TARJHINT"}</definedName>
    <definedName name="wrn.OKA._.ei._.laite._.ek._.suunn." hidden="1">{#N/A,#N/A,FALSE,"Etusivu";#N/A,#N/A,FALSE,"Materiaalit";#N/A,#N/A,FALSE,"Työkust";#N/A,#N/A,FALSE,"OKA";#N/A,#N/A,FALSE,"TARJHINT"}</definedName>
    <definedName name="wrn.OKA._.ei._.laite._.ek._.suunn.b" localSheetId="18" hidden="1">{#N/A,#N/A,FALSE,"Etusivu";#N/A,#N/A,FALSE,"Materiaalit";#N/A,#N/A,FALSE,"Työkust";#N/A,#N/A,FALSE,"OKA";#N/A,#N/A,FALSE,"TARJHINT"}</definedName>
    <definedName name="wrn.OKA._.ei._.laite._.ek._.suunn.b" localSheetId="11" hidden="1">{#N/A,#N/A,FALSE,"Etusivu";#N/A,#N/A,FALSE,"Materiaalit";#N/A,#N/A,FALSE,"Työkust";#N/A,#N/A,FALSE,"OKA";#N/A,#N/A,FALSE,"TARJHINT"}</definedName>
    <definedName name="wrn.OKA._.ei._.laite._.ek._.suunn.b" localSheetId="1" hidden="1">{#N/A,#N/A,FALSE,"Etusivu";#N/A,#N/A,FALSE,"Materiaalit";#N/A,#N/A,FALSE,"Työkust";#N/A,#N/A,FALSE,"OKA";#N/A,#N/A,FALSE,"TARJHINT"}</definedName>
    <definedName name="wrn.OKA._.ei._.laite._.ek._.suunn.b" localSheetId="2" hidden="1">{#N/A,#N/A,FALSE,"Etusivu";#N/A,#N/A,FALSE,"Materiaalit";#N/A,#N/A,FALSE,"Työkust";#N/A,#N/A,FALSE,"OKA";#N/A,#N/A,FALSE,"TARJHINT"}</definedName>
    <definedName name="wrn.OKA._.ei._.laite._.ek._.suunn.b" localSheetId="4" hidden="1">{#N/A,#N/A,FALSE,"Etusivu";#N/A,#N/A,FALSE,"Materiaalit";#N/A,#N/A,FALSE,"Työkust";#N/A,#N/A,FALSE,"OKA";#N/A,#N/A,FALSE,"TARJHINT"}</definedName>
    <definedName name="wrn.OKA._.ei._.laite._.ek._.suunn.b" localSheetId="19" hidden="1">{#N/A,#N/A,FALSE,"Etusivu";#N/A,#N/A,FALSE,"Materiaalit";#N/A,#N/A,FALSE,"Työkust";#N/A,#N/A,FALSE,"OKA";#N/A,#N/A,FALSE,"TARJHINT"}</definedName>
    <definedName name="wrn.OKA._.ei._.laite._.ek._.suunn.b" localSheetId="10" hidden="1">{#N/A,#N/A,FALSE,"Etusivu";#N/A,#N/A,FALSE,"Materiaalit";#N/A,#N/A,FALSE,"Työkust";#N/A,#N/A,FALSE,"OKA";#N/A,#N/A,FALSE,"TARJHINT"}</definedName>
    <definedName name="wrn.OKA._.ei._.laite._.ek._.suunn.b" localSheetId="9" hidden="1">{#N/A,#N/A,FALSE,"Etusivu";#N/A,#N/A,FALSE,"Materiaalit";#N/A,#N/A,FALSE,"Työkust";#N/A,#N/A,FALSE,"OKA";#N/A,#N/A,FALSE,"TARJHINT"}</definedName>
    <definedName name="wrn.OKA._.ei._.laite._.ek._.suunn.b" localSheetId="8" hidden="1">{#N/A,#N/A,FALSE,"Etusivu";#N/A,#N/A,FALSE,"Materiaalit";#N/A,#N/A,FALSE,"Työkust";#N/A,#N/A,FALSE,"OKA";#N/A,#N/A,FALSE,"TARJHINT"}</definedName>
    <definedName name="wrn.OKA._.ei._.laite._.ek._.suunn.b" localSheetId="3" hidden="1">{#N/A,#N/A,FALSE,"Etusivu";#N/A,#N/A,FALSE,"Materiaalit";#N/A,#N/A,FALSE,"Työkust";#N/A,#N/A,FALSE,"OKA";#N/A,#N/A,FALSE,"TARJHINT"}</definedName>
    <definedName name="wrn.OKA._.ei._.laite._.ek._.suunn.b" localSheetId="6" hidden="1">{#N/A,#N/A,FALSE,"Etusivu";#N/A,#N/A,FALSE,"Materiaalit";#N/A,#N/A,FALSE,"Työkust";#N/A,#N/A,FALSE,"OKA";#N/A,#N/A,FALSE,"TARJHINT"}</definedName>
    <definedName name="wrn.OKA._.ei._.laite._.ek._.suunn.b" localSheetId="7" hidden="1">{#N/A,#N/A,FALSE,"Etusivu";#N/A,#N/A,FALSE,"Materiaalit";#N/A,#N/A,FALSE,"Työkust";#N/A,#N/A,FALSE,"OKA";#N/A,#N/A,FALSE,"TARJHINT"}</definedName>
    <definedName name="wrn.OKA._.ei._.laite._.ek._.suunn.b" localSheetId="5"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localSheetId="18" hidden="1">{#N/A,#N/A,TRUE,"Etusivu";#N/A,#N/A,TRUE,"Materiaalit";#N/A,#N/A,TRUE,"Erikoiskust";#N/A,#N/A,TRUE,"Työkust";#N/A,#N/A,TRUE,"Suunnittelu";#N/A,#N/A,TRUE,"OKA";#N/A,#N/A,TRUE,"TARJHINT"}</definedName>
    <definedName name="wrn.OKA._.ei._.laitteet." localSheetId="11" hidden="1">{#N/A,#N/A,TRUE,"Etusivu";#N/A,#N/A,TRUE,"Materiaalit";#N/A,#N/A,TRUE,"Erikoiskust";#N/A,#N/A,TRUE,"Työkust";#N/A,#N/A,TRUE,"Suunnittelu";#N/A,#N/A,TRUE,"OKA";#N/A,#N/A,TRUE,"TARJHINT"}</definedName>
    <definedName name="wrn.OKA._.ei._.laitteet." localSheetId="1" hidden="1">{#N/A,#N/A,TRUE,"Etusivu";#N/A,#N/A,TRUE,"Materiaalit";#N/A,#N/A,TRUE,"Erikoiskust";#N/A,#N/A,TRUE,"Työkust";#N/A,#N/A,TRUE,"Suunnittelu";#N/A,#N/A,TRUE,"OKA";#N/A,#N/A,TRUE,"TARJHINT"}</definedName>
    <definedName name="wrn.OKA._.ei._.laitteet." localSheetId="2" hidden="1">{#N/A,#N/A,TRUE,"Etusivu";#N/A,#N/A,TRUE,"Materiaalit";#N/A,#N/A,TRUE,"Erikoiskust";#N/A,#N/A,TRUE,"Työkust";#N/A,#N/A,TRUE,"Suunnittelu";#N/A,#N/A,TRUE,"OKA";#N/A,#N/A,TRUE,"TARJHINT"}</definedName>
    <definedName name="wrn.OKA._.ei._.laitteet." localSheetId="4" hidden="1">{#N/A,#N/A,TRUE,"Etusivu";#N/A,#N/A,TRUE,"Materiaalit";#N/A,#N/A,TRUE,"Erikoiskust";#N/A,#N/A,TRUE,"Työkust";#N/A,#N/A,TRUE,"Suunnittelu";#N/A,#N/A,TRUE,"OKA";#N/A,#N/A,TRUE,"TARJHINT"}</definedName>
    <definedName name="wrn.OKA._.ei._.laitteet." localSheetId="19" hidden="1">{#N/A,#N/A,TRUE,"Etusivu";#N/A,#N/A,TRUE,"Materiaalit";#N/A,#N/A,TRUE,"Erikoiskust";#N/A,#N/A,TRUE,"Työkust";#N/A,#N/A,TRUE,"Suunnittelu";#N/A,#N/A,TRUE,"OKA";#N/A,#N/A,TRUE,"TARJHINT"}</definedName>
    <definedName name="wrn.OKA._.ei._.laitteet." localSheetId="10" hidden="1">{#N/A,#N/A,TRUE,"Etusivu";#N/A,#N/A,TRUE,"Materiaalit";#N/A,#N/A,TRUE,"Erikoiskust";#N/A,#N/A,TRUE,"Työkust";#N/A,#N/A,TRUE,"Suunnittelu";#N/A,#N/A,TRUE,"OKA";#N/A,#N/A,TRUE,"TARJHINT"}</definedName>
    <definedName name="wrn.OKA._.ei._.laitteet." localSheetId="9" hidden="1">{#N/A,#N/A,TRUE,"Etusivu";#N/A,#N/A,TRUE,"Materiaalit";#N/A,#N/A,TRUE,"Erikoiskust";#N/A,#N/A,TRUE,"Työkust";#N/A,#N/A,TRUE,"Suunnittelu";#N/A,#N/A,TRUE,"OKA";#N/A,#N/A,TRUE,"TARJHINT"}</definedName>
    <definedName name="wrn.OKA._.ei._.laitteet." localSheetId="8" hidden="1">{#N/A,#N/A,TRUE,"Etusivu";#N/A,#N/A,TRUE,"Materiaalit";#N/A,#N/A,TRUE,"Erikoiskust";#N/A,#N/A,TRUE,"Työkust";#N/A,#N/A,TRUE,"Suunnittelu";#N/A,#N/A,TRUE,"OKA";#N/A,#N/A,TRUE,"TARJHINT"}</definedName>
    <definedName name="wrn.OKA._.ei._.laitteet." localSheetId="3" hidden="1">{#N/A,#N/A,TRUE,"Etusivu";#N/A,#N/A,TRUE,"Materiaalit";#N/A,#N/A,TRUE,"Erikoiskust";#N/A,#N/A,TRUE,"Työkust";#N/A,#N/A,TRUE,"Suunnittelu";#N/A,#N/A,TRUE,"OKA";#N/A,#N/A,TRUE,"TARJHINT"}</definedName>
    <definedName name="wrn.OKA._.ei._.laitteet." localSheetId="6" hidden="1">{#N/A,#N/A,TRUE,"Etusivu";#N/A,#N/A,TRUE,"Materiaalit";#N/A,#N/A,TRUE,"Erikoiskust";#N/A,#N/A,TRUE,"Työkust";#N/A,#N/A,TRUE,"Suunnittelu";#N/A,#N/A,TRUE,"OKA";#N/A,#N/A,TRUE,"TARJHINT"}</definedName>
    <definedName name="wrn.OKA._.ei._.laitteet." localSheetId="7" hidden="1">{#N/A,#N/A,TRUE,"Etusivu";#N/A,#N/A,TRUE,"Materiaalit";#N/A,#N/A,TRUE,"Erikoiskust";#N/A,#N/A,TRUE,"Työkust";#N/A,#N/A,TRUE,"Suunnittelu";#N/A,#N/A,TRUE,"OKA";#N/A,#N/A,TRUE,"TARJHINT"}</definedName>
    <definedName name="wrn.OKA._.ei._.laitteet." localSheetId="5" hidden="1">{#N/A,#N/A,TRUE,"Etusivu";#N/A,#N/A,TRUE,"Materiaalit";#N/A,#N/A,TRUE,"Erikoiskust";#N/A,#N/A,TRUE,"Työkust";#N/A,#N/A,TRUE,"Suunnittelu";#N/A,#N/A,TRUE,"OKA";#N/A,#N/A,TRUE,"TARJHINT"}</definedName>
    <definedName name="wrn.OKA._.ei._.laitteet." hidden="1">{#N/A,#N/A,TRUE,"Etusivu";#N/A,#N/A,TRUE,"Materiaalit";#N/A,#N/A,TRUE,"Erikoiskust";#N/A,#N/A,TRUE,"Työkust";#N/A,#N/A,TRUE,"Suunnittelu";#N/A,#N/A,TRUE,"OKA";#N/A,#N/A,TRUE,"TARJHINT"}</definedName>
    <definedName name="wrn.OKA._.ei._.laitteet.b" localSheetId="18" hidden="1">{#N/A,#N/A,TRUE,"Etusivu";#N/A,#N/A,TRUE,"Materiaalit";#N/A,#N/A,TRUE,"Erikoiskust";#N/A,#N/A,TRUE,"Työkust";#N/A,#N/A,TRUE,"Suunnittelu";#N/A,#N/A,TRUE,"OKA";#N/A,#N/A,TRUE,"TARJHINT"}</definedName>
    <definedName name="wrn.OKA._.ei._.laitteet.b" localSheetId="11" hidden="1">{#N/A,#N/A,TRUE,"Etusivu";#N/A,#N/A,TRUE,"Materiaalit";#N/A,#N/A,TRUE,"Erikoiskust";#N/A,#N/A,TRUE,"Työkust";#N/A,#N/A,TRUE,"Suunnittelu";#N/A,#N/A,TRUE,"OKA";#N/A,#N/A,TRUE,"TARJHINT"}</definedName>
    <definedName name="wrn.OKA._.ei._.laitteet.b" localSheetId="1" hidden="1">{#N/A,#N/A,TRUE,"Etusivu";#N/A,#N/A,TRUE,"Materiaalit";#N/A,#N/A,TRUE,"Erikoiskust";#N/A,#N/A,TRUE,"Työkust";#N/A,#N/A,TRUE,"Suunnittelu";#N/A,#N/A,TRUE,"OKA";#N/A,#N/A,TRUE,"TARJHINT"}</definedName>
    <definedName name="wrn.OKA._.ei._.laitteet.b" localSheetId="2" hidden="1">{#N/A,#N/A,TRUE,"Etusivu";#N/A,#N/A,TRUE,"Materiaalit";#N/A,#N/A,TRUE,"Erikoiskust";#N/A,#N/A,TRUE,"Työkust";#N/A,#N/A,TRUE,"Suunnittelu";#N/A,#N/A,TRUE,"OKA";#N/A,#N/A,TRUE,"TARJHINT"}</definedName>
    <definedName name="wrn.OKA._.ei._.laitteet.b" localSheetId="4" hidden="1">{#N/A,#N/A,TRUE,"Etusivu";#N/A,#N/A,TRUE,"Materiaalit";#N/A,#N/A,TRUE,"Erikoiskust";#N/A,#N/A,TRUE,"Työkust";#N/A,#N/A,TRUE,"Suunnittelu";#N/A,#N/A,TRUE,"OKA";#N/A,#N/A,TRUE,"TARJHINT"}</definedName>
    <definedName name="wrn.OKA._.ei._.laitteet.b" localSheetId="19" hidden="1">{#N/A,#N/A,TRUE,"Etusivu";#N/A,#N/A,TRUE,"Materiaalit";#N/A,#N/A,TRUE,"Erikoiskust";#N/A,#N/A,TRUE,"Työkust";#N/A,#N/A,TRUE,"Suunnittelu";#N/A,#N/A,TRUE,"OKA";#N/A,#N/A,TRUE,"TARJHINT"}</definedName>
    <definedName name="wrn.OKA._.ei._.laitteet.b" localSheetId="10" hidden="1">{#N/A,#N/A,TRUE,"Etusivu";#N/A,#N/A,TRUE,"Materiaalit";#N/A,#N/A,TRUE,"Erikoiskust";#N/A,#N/A,TRUE,"Työkust";#N/A,#N/A,TRUE,"Suunnittelu";#N/A,#N/A,TRUE,"OKA";#N/A,#N/A,TRUE,"TARJHINT"}</definedName>
    <definedName name="wrn.OKA._.ei._.laitteet.b" localSheetId="9" hidden="1">{#N/A,#N/A,TRUE,"Etusivu";#N/A,#N/A,TRUE,"Materiaalit";#N/A,#N/A,TRUE,"Erikoiskust";#N/A,#N/A,TRUE,"Työkust";#N/A,#N/A,TRUE,"Suunnittelu";#N/A,#N/A,TRUE,"OKA";#N/A,#N/A,TRUE,"TARJHINT"}</definedName>
    <definedName name="wrn.OKA._.ei._.laitteet.b" localSheetId="8" hidden="1">{#N/A,#N/A,TRUE,"Etusivu";#N/A,#N/A,TRUE,"Materiaalit";#N/A,#N/A,TRUE,"Erikoiskust";#N/A,#N/A,TRUE,"Työkust";#N/A,#N/A,TRUE,"Suunnittelu";#N/A,#N/A,TRUE,"OKA";#N/A,#N/A,TRUE,"TARJHINT"}</definedName>
    <definedName name="wrn.OKA._.ei._.laitteet.b" localSheetId="3" hidden="1">{#N/A,#N/A,TRUE,"Etusivu";#N/A,#N/A,TRUE,"Materiaalit";#N/A,#N/A,TRUE,"Erikoiskust";#N/A,#N/A,TRUE,"Työkust";#N/A,#N/A,TRUE,"Suunnittelu";#N/A,#N/A,TRUE,"OKA";#N/A,#N/A,TRUE,"TARJHINT"}</definedName>
    <definedName name="wrn.OKA._.ei._.laitteet.b" localSheetId="6" hidden="1">{#N/A,#N/A,TRUE,"Etusivu";#N/A,#N/A,TRUE,"Materiaalit";#N/A,#N/A,TRUE,"Erikoiskust";#N/A,#N/A,TRUE,"Työkust";#N/A,#N/A,TRUE,"Suunnittelu";#N/A,#N/A,TRUE,"OKA";#N/A,#N/A,TRUE,"TARJHINT"}</definedName>
    <definedName name="wrn.OKA._.ei._.laitteet.b" localSheetId="7" hidden="1">{#N/A,#N/A,TRUE,"Etusivu";#N/A,#N/A,TRUE,"Materiaalit";#N/A,#N/A,TRUE,"Erikoiskust";#N/A,#N/A,TRUE,"Työkust";#N/A,#N/A,TRUE,"Suunnittelu";#N/A,#N/A,TRUE,"OKA";#N/A,#N/A,TRUE,"TARJHINT"}</definedName>
    <definedName name="wrn.OKA._.ei._.laitteet.b" localSheetId="5"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localSheetId="18" hidden="1">{#N/A,#N/A,FALSE,"Etusivu";#N/A,#N/A,FALSE,"Materiaalit";#N/A,#N/A,FALSE,"Laitteet";#N/A,#N/A,FALSE,"Erikoiskust";#N/A,#N/A,FALSE,"Työkust";#N/A,#N/A,FALSE,"Suunnittelu";#N/A,#N/A,FALSE,"OKA";#N/A,#N/A,FALSE,"TARJHINT"}</definedName>
    <definedName name="wrn.OKA._.kaikki." localSheetId="11" hidden="1">{#N/A,#N/A,FALSE,"Etusivu";#N/A,#N/A,FALSE,"Materiaalit";#N/A,#N/A,FALSE,"Laitteet";#N/A,#N/A,FALSE,"Erikoiskust";#N/A,#N/A,FALSE,"Työkust";#N/A,#N/A,FALSE,"Suunnittelu";#N/A,#N/A,FALSE,"OKA";#N/A,#N/A,FALSE,"TARJHINT"}</definedName>
    <definedName name="wrn.OKA._.kaikki." localSheetId="1" hidden="1">{#N/A,#N/A,FALSE,"Etusivu";#N/A,#N/A,FALSE,"Materiaalit";#N/A,#N/A,FALSE,"Laitteet";#N/A,#N/A,FALSE,"Erikoiskust";#N/A,#N/A,FALSE,"Työkust";#N/A,#N/A,FALSE,"Suunnittelu";#N/A,#N/A,FALSE,"OKA";#N/A,#N/A,FALSE,"TARJHINT"}</definedName>
    <definedName name="wrn.OKA._.kaikki." localSheetId="2" hidden="1">{#N/A,#N/A,FALSE,"Etusivu";#N/A,#N/A,FALSE,"Materiaalit";#N/A,#N/A,FALSE,"Laitteet";#N/A,#N/A,FALSE,"Erikoiskust";#N/A,#N/A,FALSE,"Työkust";#N/A,#N/A,FALSE,"Suunnittelu";#N/A,#N/A,FALSE,"OKA";#N/A,#N/A,FALSE,"TARJHINT"}</definedName>
    <definedName name="wrn.OKA._.kaikki." localSheetId="4" hidden="1">{#N/A,#N/A,FALSE,"Etusivu";#N/A,#N/A,FALSE,"Materiaalit";#N/A,#N/A,FALSE,"Laitteet";#N/A,#N/A,FALSE,"Erikoiskust";#N/A,#N/A,FALSE,"Työkust";#N/A,#N/A,FALSE,"Suunnittelu";#N/A,#N/A,FALSE,"OKA";#N/A,#N/A,FALSE,"TARJHINT"}</definedName>
    <definedName name="wrn.OKA._.kaikki." localSheetId="19" hidden="1">{#N/A,#N/A,FALSE,"Etusivu";#N/A,#N/A,FALSE,"Materiaalit";#N/A,#N/A,FALSE,"Laitteet";#N/A,#N/A,FALSE,"Erikoiskust";#N/A,#N/A,FALSE,"Työkust";#N/A,#N/A,FALSE,"Suunnittelu";#N/A,#N/A,FALSE,"OKA";#N/A,#N/A,FALSE,"TARJHINT"}</definedName>
    <definedName name="wrn.OKA._.kaikki." localSheetId="10" hidden="1">{#N/A,#N/A,FALSE,"Etusivu";#N/A,#N/A,FALSE,"Materiaalit";#N/A,#N/A,FALSE,"Laitteet";#N/A,#N/A,FALSE,"Erikoiskust";#N/A,#N/A,FALSE,"Työkust";#N/A,#N/A,FALSE,"Suunnittelu";#N/A,#N/A,FALSE,"OKA";#N/A,#N/A,FALSE,"TARJHINT"}</definedName>
    <definedName name="wrn.OKA._.kaikki." localSheetId="9" hidden="1">{#N/A,#N/A,FALSE,"Etusivu";#N/A,#N/A,FALSE,"Materiaalit";#N/A,#N/A,FALSE,"Laitteet";#N/A,#N/A,FALSE,"Erikoiskust";#N/A,#N/A,FALSE,"Työkust";#N/A,#N/A,FALSE,"Suunnittelu";#N/A,#N/A,FALSE,"OKA";#N/A,#N/A,FALSE,"TARJHINT"}</definedName>
    <definedName name="wrn.OKA._.kaikki." localSheetId="8" hidden="1">{#N/A,#N/A,FALSE,"Etusivu";#N/A,#N/A,FALSE,"Materiaalit";#N/A,#N/A,FALSE,"Laitteet";#N/A,#N/A,FALSE,"Erikoiskust";#N/A,#N/A,FALSE,"Työkust";#N/A,#N/A,FALSE,"Suunnittelu";#N/A,#N/A,FALSE,"OKA";#N/A,#N/A,FALSE,"TARJHINT"}</definedName>
    <definedName name="wrn.OKA._.kaikki." localSheetId="3" hidden="1">{#N/A,#N/A,FALSE,"Etusivu";#N/A,#N/A,FALSE,"Materiaalit";#N/A,#N/A,FALSE,"Laitteet";#N/A,#N/A,FALSE,"Erikoiskust";#N/A,#N/A,FALSE,"Työkust";#N/A,#N/A,FALSE,"Suunnittelu";#N/A,#N/A,FALSE,"OKA";#N/A,#N/A,FALSE,"TARJHINT"}</definedName>
    <definedName name="wrn.OKA._.kaikki." localSheetId="6" hidden="1">{#N/A,#N/A,FALSE,"Etusivu";#N/A,#N/A,FALSE,"Materiaalit";#N/A,#N/A,FALSE,"Laitteet";#N/A,#N/A,FALSE,"Erikoiskust";#N/A,#N/A,FALSE,"Työkust";#N/A,#N/A,FALSE,"Suunnittelu";#N/A,#N/A,FALSE,"OKA";#N/A,#N/A,FALSE,"TARJHINT"}</definedName>
    <definedName name="wrn.OKA._.kaikki." localSheetId="7" hidden="1">{#N/A,#N/A,FALSE,"Etusivu";#N/A,#N/A,FALSE,"Materiaalit";#N/A,#N/A,FALSE,"Laitteet";#N/A,#N/A,FALSE,"Erikoiskust";#N/A,#N/A,FALSE,"Työkust";#N/A,#N/A,FALSE,"Suunnittelu";#N/A,#N/A,FALSE,"OKA";#N/A,#N/A,FALSE,"TARJHINT"}</definedName>
    <definedName name="wrn.OKA._.kaikki." localSheetId="5" hidden="1">{#N/A,#N/A,FALSE,"Etusivu";#N/A,#N/A,FALSE,"Materiaalit";#N/A,#N/A,FALSE,"Laitteet";#N/A,#N/A,FALSE,"Erikoiskust";#N/A,#N/A,FALSE,"Työkust";#N/A,#N/A,FALSE,"Suunnittelu";#N/A,#N/A,FALSE,"OKA";#N/A,#N/A,FALSE,"TARJHINT"}</definedName>
    <definedName name="wrn.OKA._.kaikki." hidden="1">{#N/A,#N/A,FALSE,"Etusivu";#N/A,#N/A,FALSE,"Materiaalit";#N/A,#N/A,FALSE,"Laitteet";#N/A,#N/A,FALSE,"Erikoiskust";#N/A,#N/A,FALSE,"Työkust";#N/A,#N/A,FALSE,"Suunnittelu";#N/A,#N/A,FALSE,"OKA";#N/A,#N/A,FALSE,"TARJHINT"}</definedName>
    <definedName name="wrn.OKA._.kaikki.b" localSheetId="18" hidden="1">{#N/A,#N/A,FALSE,"Etusivu";#N/A,#N/A,FALSE,"Materiaalit";#N/A,#N/A,FALSE,"Laitteet";#N/A,#N/A,FALSE,"Erikoiskust";#N/A,#N/A,FALSE,"Työkust";#N/A,#N/A,FALSE,"Suunnittelu";#N/A,#N/A,FALSE,"OKA";#N/A,#N/A,FALSE,"TARJHINT"}</definedName>
    <definedName name="wrn.OKA._.kaikki.b" localSheetId="11" hidden="1">{#N/A,#N/A,FALSE,"Etusivu";#N/A,#N/A,FALSE,"Materiaalit";#N/A,#N/A,FALSE,"Laitteet";#N/A,#N/A,FALSE,"Erikoiskust";#N/A,#N/A,FALSE,"Työkust";#N/A,#N/A,FALSE,"Suunnittelu";#N/A,#N/A,FALSE,"OKA";#N/A,#N/A,FALSE,"TARJHINT"}</definedName>
    <definedName name="wrn.OKA._.kaikki.b" localSheetId="1" hidden="1">{#N/A,#N/A,FALSE,"Etusivu";#N/A,#N/A,FALSE,"Materiaalit";#N/A,#N/A,FALSE,"Laitteet";#N/A,#N/A,FALSE,"Erikoiskust";#N/A,#N/A,FALSE,"Työkust";#N/A,#N/A,FALSE,"Suunnittelu";#N/A,#N/A,FALSE,"OKA";#N/A,#N/A,FALSE,"TARJHINT"}</definedName>
    <definedName name="wrn.OKA._.kaikki.b" localSheetId="2" hidden="1">{#N/A,#N/A,FALSE,"Etusivu";#N/A,#N/A,FALSE,"Materiaalit";#N/A,#N/A,FALSE,"Laitteet";#N/A,#N/A,FALSE,"Erikoiskust";#N/A,#N/A,FALSE,"Työkust";#N/A,#N/A,FALSE,"Suunnittelu";#N/A,#N/A,FALSE,"OKA";#N/A,#N/A,FALSE,"TARJHINT"}</definedName>
    <definedName name="wrn.OKA._.kaikki.b" localSheetId="4" hidden="1">{#N/A,#N/A,FALSE,"Etusivu";#N/A,#N/A,FALSE,"Materiaalit";#N/A,#N/A,FALSE,"Laitteet";#N/A,#N/A,FALSE,"Erikoiskust";#N/A,#N/A,FALSE,"Työkust";#N/A,#N/A,FALSE,"Suunnittelu";#N/A,#N/A,FALSE,"OKA";#N/A,#N/A,FALSE,"TARJHINT"}</definedName>
    <definedName name="wrn.OKA._.kaikki.b" localSheetId="19" hidden="1">{#N/A,#N/A,FALSE,"Etusivu";#N/A,#N/A,FALSE,"Materiaalit";#N/A,#N/A,FALSE,"Laitteet";#N/A,#N/A,FALSE,"Erikoiskust";#N/A,#N/A,FALSE,"Työkust";#N/A,#N/A,FALSE,"Suunnittelu";#N/A,#N/A,FALSE,"OKA";#N/A,#N/A,FALSE,"TARJHINT"}</definedName>
    <definedName name="wrn.OKA._.kaikki.b" localSheetId="10" hidden="1">{#N/A,#N/A,FALSE,"Etusivu";#N/A,#N/A,FALSE,"Materiaalit";#N/A,#N/A,FALSE,"Laitteet";#N/A,#N/A,FALSE,"Erikoiskust";#N/A,#N/A,FALSE,"Työkust";#N/A,#N/A,FALSE,"Suunnittelu";#N/A,#N/A,FALSE,"OKA";#N/A,#N/A,FALSE,"TARJHINT"}</definedName>
    <definedName name="wrn.OKA._.kaikki.b" localSheetId="9" hidden="1">{#N/A,#N/A,FALSE,"Etusivu";#N/A,#N/A,FALSE,"Materiaalit";#N/A,#N/A,FALSE,"Laitteet";#N/A,#N/A,FALSE,"Erikoiskust";#N/A,#N/A,FALSE,"Työkust";#N/A,#N/A,FALSE,"Suunnittelu";#N/A,#N/A,FALSE,"OKA";#N/A,#N/A,FALSE,"TARJHINT"}</definedName>
    <definedName name="wrn.OKA._.kaikki.b" localSheetId="8" hidden="1">{#N/A,#N/A,FALSE,"Etusivu";#N/A,#N/A,FALSE,"Materiaalit";#N/A,#N/A,FALSE,"Laitteet";#N/A,#N/A,FALSE,"Erikoiskust";#N/A,#N/A,FALSE,"Työkust";#N/A,#N/A,FALSE,"Suunnittelu";#N/A,#N/A,FALSE,"OKA";#N/A,#N/A,FALSE,"TARJHINT"}</definedName>
    <definedName name="wrn.OKA._.kaikki.b" localSheetId="3" hidden="1">{#N/A,#N/A,FALSE,"Etusivu";#N/A,#N/A,FALSE,"Materiaalit";#N/A,#N/A,FALSE,"Laitteet";#N/A,#N/A,FALSE,"Erikoiskust";#N/A,#N/A,FALSE,"Työkust";#N/A,#N/A,FALSE,"Suunnittelu";#N/A,#N/A,FALSE,"OKA";#N/A,#N/A,FALSE,"TARJHINT"}</definedName>
    <definedName name="wrn.OKA._.kaikki.b" localSheetId="6" hidden="1">{#N/A,#N/A,FALSE,"Etusivu";#N/A,#N/A,FALSE,"Materiaalit";#N/A,#N/A,FALSE,"Laitteet";#N/A,#N/A,FALSE,"Erikoiskust";#N/A,#N/A,FALSE,"Työkust";#N/A,#N/A,FALSE,"Suunnittelu";#N/A,#N/A,FALSE,"OKA";#N/A,#N/A,FALSE,"TARJHINT"}</definedName>
    <definedName name="wrn.OKA._.kaikki.b" localSheetId="7" hidden="1">{#N/A,#N/A,FALSE,"Etusivu";#N/A,#N/A,FALSE,"Materiaalit";#N/A,#N/A,FALSE,"Laitteet";#N/A,#N/A,FALSE,"Erikoiskust";#N/A,#N/A,FALSE,"Työkust";#N/A,#N/A,FALSE,"Suunnittelu";#N/A,#N/A,FALSE,"OKA";#N/A,#N/A,FALSE,"TARJHINT"}</definedName>
    <definedName name="wrn.OKA._.kaikki.b" localSheetId="5"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9"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localSheetId="18" hidden="1">{#N/A,#N/A,FALSE,"P&amp;LSUM";#N/A,#N/A,FALSE,"P&amp;LSUM Construction";#N/A,#N/A,FALSE,"P&amp;LSUM ROV";#N/A,#N/A,FALSE,"jobreport";#N/A,#N/A,FALSE,"OJI";#N/A,#N/A,FALSE,"OH"}</definedName>
    <definedName name="wrn.plan." localSheetId="11" hidden="1">{#N/A,#N/A,FALSE,"P&amp;LSUM";#N/A,#N/A,FALSE,"P&amp;LSUM Construction";#N/A,#N/A,FALSE,"P&amp;LSUM ROV";#N/A,#N/A,FALSE,"jobreport";#N/A,#N/A,FALSE,"OJI";#N/A,#N/A,FALSE,"OH"}</definedName>
    <definedName name="wrn.plan." localSheetId="1" hidden="1">{#N/A,#N/A,FALSE,"P&amp;LSUM";#N/A,#N/A,FALSE,"P&amp;LSUM Construction";#N/A,#N/A,FALSE,"P&amp;LSUM ROV";#N/A,#N/A,FALSE,"jobreport";#N/A,#N/A,FALSE,"OJI";#N/A,#N/A,FALSE,"OH"}</definedName>
    <definedName name="wrn.plan." localSheetId="2" hidden="1">{#N/A,#N/A,FALSE,"P&amp;LSUM";#N/A,#N/A,FALSE,"P&amp;LSUM Construction";#N/A,#N/A,FALSE,"P&amp;LSUM ROV";#N/A,#N/A,FALSE,"jobreport";#N/A,#N/A,FALSE,"OJI";#N/A,#N/A,FALSE,"OH"}</definedName>
    <definedName name="wrn.plan." localSheetId="4" hidden="1">{#N/A,#N/A,FALSE,"P&amp;LSUM";#N/A,#N/A,FALSE,"P&amp;LSUM Construction";#N/A,#N/A,FALSE,"P&amp;LSUM ROV";#N/A,#N/A,FALSE,"jobreport";#N/A,#N/A,FALSE,"OJI";#N/A,#N/A,FALSE,"OH"}</definedName>
    <definedName name="wrn.plan." localSheetId="19" hidden="1">{#N/A,#N/A,FALSE,"P&amp;LSUM";#N/A,#N/A,FALSE,"P&amp;LSUM Construction";#N/A,#N/A,FALSE,"P&amp;LSUM ROV";#N/A,#N/A,FALSE,"jobreport";#N/A,#N/A,FALSE,"OJI";#N/A,#N/A,FALSE,"OH"}</definedName>
    <definedName name="wrn.plan." localSheetId="10" hidden="1">{#N/A,#N/A,FALSE,"P&amp;LSUM";#N/A,#N/A,FALSE,"P&amp;LSUM Construction";#N/A,#N/A,FALSE,"P&amp;LSUM ROV";#N/A,#N/A,FALSE,"jobreport";#N/A,#N/A,FALSE,"OJI";#N/A,#N/A,FALSE,"OH"}</definedName>
    <definedName name="wrn.plan." localSheetId="9" hidden="1">{#N/A,#N/A,FALSE,"P&amp;LSUM";#N/A,#N/A,FALSE,"P&amp;LSUM Construction";#N/A,#N/A,FALSE,"P&amp;LSUM ROV";#N/A,#N/A,FALSE,"jobreport";#N/A,#N/A,FALSE,"OJI";#N/A,#N/A,FALSE,"OH"}</definedName>
    <definedName name="wrn.plan." localSheetId="8" hidden="1">{#N/A,#N/A,FALSE,"P&amp;LSUM";#N/A,#N/A,FALSE,"P&amp;LSUM Construction";#N/A,#N/A,FALSE,"P&amp;LSUM ROV";#N/A,#N/A,FALSE,"jobreport";#N/A,#N/A,FALSE,"OJI";#N/A,#N/A,FALSE,"OH"}</definedName>
    <definedName name="wrn.plan." localSheetId="3" hidden="1">{#N/A,#N/A,FALSE,"P&amp;LSUM";#N/A,#N/A,FALSE,"P&amp;LSUM Construction";#N/A,#N/A,FALSE,"P&amp;LSUM ROV";#N/A,#N/A,FALSE,"jobreport";#N/A,#N/A,FALSE,"OJI";#N/A,#N/A,FALSE,"OH"}</definedName>
    <definedName name="wrn.plan." localSheetId="6" hidden="1">{#N/A,#N/A,FALSE,"P&amp;LSUM";#N/A,#N/A,FALSE,"P&amp;LSUM Construction";#N/A,#N/A,FALSE,"P&amp;LSUM ROV";#N/A,#N/A,FALSE,"jobreport";#N/A,#N/A,FALSE,"OJI";#N/A,#N/A,FALSE,"OH"}</definedName>
    <definedName name="wrn.plan." localSheetId="7" hidden="1">{#N/A,#N/A,FALSE,"P&amp;LSUM";#N/A,#N/A,FALSE,"P&amp;LSUM Construction";#N/A,#N/A,FALSE,"P&amp;LSUM ROV";#N/A,#N/A,FALSE,"jobreport";#N/A,#N/A,FALSE,"OJI";#N/A,#N/A,FALSE,"OH"}</definedName>
    <definedName name="wrn.plan." localSheetId="5" hidden="1">{#N/A,#N/A,FALSE,"P&amp;LSUM";#N/A,#N/A,FALSE,"P&amp;LSUM Construction";#N/A,#N/A,FALSE,"P&amp;LSUM ROV";#N/A,#N/A,FALSE,"jobreport";#N/A,#N/A,FALSE,"OJI";#N/A,#N/A,FALSE,"OH"}</definedName>
    <definedName name="wrn.plan." hidden="1">{#N/A,#N/A,FALSE,"P&amp;LSUM";#N/A,#N/A,FALSE,"P&amp;LSUM Construction";#N/A,#N/A,FALSE,"P&amp;LSUM ROV";#N/A,#N/A,FALSE,"jobreport";#N/A,#N/A,FALSE,"OJI";#N/A,#N/A,FALSE,"OH"}</definedName>
    <definedName name="wrn.Preisblatt." localSheetId="18" hidden="1">{"Preisblatt","Preisblatt",FALSE,"Best.-Übersicht"}</definedName>
    <definedName name="wrn.Preisblatt." localSheetId="11" hidden="1">{"Preisblatt","Preisblatt",FALSE,"Best.-Übersicht"}</definedName>
    <definedName name="wrn.Preisblatt." localSheetId="1" hidden="1">{"Preisblatt","Preisblatt",FALSE,"Best.-Übersicht"}</definedName>
    <definedName name="wrn.Preisblatt." localSheetId="2" hidden="1">{"Preisblatt","Preisblatt",FALSE,"Best.-Übersicht"}</definedName>
    <definedName name="wrn.Preisblatt." localSheetId="4" hidden="1">{"Preisblatt","Preisblatt",FALSE,"Best.-Übersicht"}</definedName>
    <definedName name="wrn.Preisblatt." localSheetId="19" hidden="1">{"Preisblatt","Preisblatt",FALSE,"Best.-Übersicht"}</definedName>
    <definedName name="wrn.Preisblatt." localSheetId="10" hidden="1">{"Preisblatt","Preisblatt",FALSE,"Best.-Übersicht"}</definedName>
    <definedName name="wrn.Preisblatt." localSheetId="9" hidden="1">{"Preisblatt","Preisblatt",FALSE,"Best.-Übersicht"}</definedName>
    <definedName name="wrn.Preisblatt." localSheetId="8" hidden="1">{"Preisblatt","Preisblatt",FALSE,"Best.-Übersicht"}</definedName>
    <definedName name="wrn.Preisblatt." localSheetId="3" hidden="1">{"Preisblatt","Preisblatt",FALSE,"Best.-Übersicht"}</definedName>
    <definedName name="wrn.Preisblatt." localSheetId="6" hidden="1">{"Preisblatt","Preisblatt",FALSE,"Best.-Übersicht"}</definedName>
    <definedName name="wrn.Preisblatt." localSheetId="7" hidden="1">{"Preisblatt","Preisblatt",FALSE,"Best.-Übersicht"}</definedName>
    <definedName name="wrn.Preisblatt." localSheetId="5" hidden="1">{"Preisblatt","Preisblatt",FALSE,"Best.-Übersicht"}</definedName>
    <definedName name="wrn.Preisblatt." hidden="1">{"Preisblatt","Preisblatt",FALSE,"Best.-Übersicht"}</definedName>
    <definedName name="wrn.PrintAll." localSheetId="18"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18" hidden="1">{#N/A,#N/A,FALSE,"Sheet1";#N/A,#N/A,FALSE,"Sheet2";#N/A,#N/A,FALSE,"Sheet3"}</definedName>
    <definedName name="wrn.PrintCurr." hidden="1">{#N/A,#N/A,FALSE,"Sheet1";#N/A,#N/A,FALSE,"Sheet2";#N/A,#N/A,FALSE,"Sheet3"}</definedName>
    <definedName name="wrn.Printing."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9"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9"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18" hidden="1">{#N/A,#N/A,FALSE,"Sheet4";#N/A,#N/A,FALSE,"Sheet5";#N/A,#N/A,FALSE,"Sheet6"}</definedName>
    <definedName name="wrn.PrintPrev1." hidden="1">{#N/A,#N/A,FALSE,"Sheet4";#N/A,#N/A,FALSE,"Sheet5";#N/A,#N/A,FALSE,"Sheet6"}</definedName>
    <definedName name="wrn.PrintPrev2." localSheetId="18" hidden="1">{#N/A,#N/A,FALSE,"Sheet7";#N/A,#N/A,FALSE,"Sheet8";#N/A,#N/A,FALSE,"Sheet9"}</definedName>
    <definedName name="wrn.PrintPrev2." hidden="1">{#N/A,#N/A,FALSE,"Sheet7";#N/A,#N/A,FALSE,"Sheet8";#N/A,#N/A,FALSE,"Sheet9"}</definedName>
    <definedName name="wrn.PUEQ." localSheetId="18" hidden="1">{"EqList",#N/A,FALSE,"Process"}</definedName>
    <definedName name="wrn.PUEQ." localSheetId="11" hidden="1">{"EqList",#N/A,FALSE,"Process"}</definedName>
    <definedName name="wrn.PUEQ." localSheetId="1" hidden="1">{"EqList",#N/A,FALSE,"Process"}</definedName>
    <definedName name="wrn.PUEQ." localSheetId="2" hidden="1">{"EqList",#N/A,FALSE,"Process"}</definedName>
    <definedName name="wrn.PUEQ." localSheetId="4" hidden="1">{"EqList",#N/A,FALSE,"Process"}</definedName>
    <definedName name="wrn.PUEQ." localSheetId="19" hidden="1">{"EqList",#N/A,FALSE,"Process"}</definedName>
    <definedName name="wrn.PUEQ." localSheetId="10" hidden="1">{"EqList",#N/A,FALSE,"Process"}</definedName>
    <definedName name="wrn.PUEQ." localSheetId="9" hidden="1">{"EqList",#N/A,FALSE,"Process"}</definedName>
    <definedName name="wrn.PUEQ." localSheetId="8" hidden="1">{"EqList",#N/A,FALSE,"Process"}</definedName>
    <definedName name="wrn.PUEQ." localSheetId="3" hidden="1">{"EqList",#N/A,FALSE,"Process"}</definedName>
    <definedName name="wrn.PUEQ." localSheetId="6" hidden="1">{"EqList",#N/A,FALSE,"Process"}</definedName>
    <definedName name="wrn.PUEQ." localSheetId="7" hidden="1">{"EqList",#N/A,FALSE,"Process"}</definedName>
    <definedName name="wrn.PUEQ." localSheetId="5" hidden="1">{"EqList",#N/A,FALSE,"Process"}</definedName>
    <definedName name="wrn.PUEQ." hidden="1">{"EqList",#N/A,FALSE,"Process"}</definedName>
    <definedName name="wrn.PUWT." localSheetId="18" hidden="1">{"WtList",#N/A,FALSE,"Process"}</definedName>
    <definedName name="wrn.PUWT." localSheetId="11" hidden="1">{"WtList",#N/A,FALSE,"Process"}</definedName>
    <definedName name="wrn.PUWT." localSheetId="1" hidden="1">{"WtList",#N/A,FALSE,"Process"}</definedName>
    <definedName name="wrn.PUWT." localSheetId="2" hidden="1">{"WtList",#N/A,FALSE,"Process"}</definedName>
    <definedName name="wrn.PUWT." localSheetId="4" hidden="1">{"WtList",#N/A,FALSE,"Process"}</definedName>
    <definedName name="wrn.PUWT." localSheetId="19" hidden="1">{"WtList",#N/A,FALSE,"Process"}</definedName>
    <definedName name="wrn.PUWT." localSheetId="10" hidden="1">{"WtList",#N/A,FALSE,"Process"}</definedName>
    <definedName name="wrn.PUWT." localSheetId="9" hidden="1">{"WtList",#N/A,FALSE,"Process"}</definedName>
    <definedName name="wrn.PUWT." localSheetId="8" hidden="1">{"WtList",#N/A,FALSE,"Process"}</definedName>
    <definedName name="wrn.PUWT." localSheetId="3" hidden="1">{"WtList",#N/A,FALSE,"Process"}</definedName>
    <definedName name="wrn.PUWT." localSheetId="6" hidden="1">{"WtList",#N/A,FALSE,"Process"}</definedName>
    <definedName name="wrn.PUWT." localSheetId="7" hidden="1">{"WtList",#N/A,FALSE,"Process"}</definedName>
    <definedName name="wrn.PUWT." localSheetId="5" hidden="1">{"WtList",#N/A,FALSE,"Process"}</definedName>
    <definedName name="wrn.PUWT." hidden="1">{"WtList",#N/A,FALSE,"Process"}</definedName>
    <definedName name="wrn.R1_Sh1." localSheetId="18" hidden="1">{"V_sh1_01",#N/A,FALSE,"Sh1_ver_iso"}</definedName>
    <definedName name="wrn.R1_Sh1." localSheetId="11" hidden="1">{"V_sh1_01",#N/A,FALSE,"Sh1_ver_iso"}</definedName>
    <definedName name="wrn.R1_Sh1." localSheetId="1" hidden="1">{"V_sh1_01",#N/A,FALSE,"Sh1_ver_iso"}</definedName>
    <definedName name="wrn.R1_Sh1." localSheetId="2" hidden="1">{"V_sh1_01",#N/A,FALSE,"Sh1_ver_iso"}</definedName>
    <definedName name="wrn.R1_Sh1." localSheetId="4" hidden="1">{"V_sh1_01",#N/A,FALSE,"Sh1_ver_iso"}</definedName>
    <definedName name="wrn.R1_Sh1." localSheetId="19" hidden="1">{"V_sh1_01",#N/A,FALSE,"Sh1_ver_iso"}</definedName>
    <definedName name="wrn.R1_Sh1." localSheetId="10" hidden="1">{"V_sh1_01",#N/A,FALSE,"Sh1_ver_iso"}</definedName>
    <definedName name="wrn.R1_Sh1." localSheetId="9" hidden="1">{"V_sh1_01",#N/A,FALSE,"Sh1_ver_iso"}</definedName>
    <definedName name="wrn.R1_Sh1." localSheetId="8" hidden="1">{"V_sh1_01",#N/A,FALSE,"Sh1_ver_iso"}</definedName>
    <definedName name="wrn.R1_Sh1." localSheetId="3" hidden="1">{"V_sh1_01",#N/A,FALSE,"Sh1_ver_iso"}</definedName>
    <definedName name="wrn.R1_Sh1." localSheetId="6" hidden="1">{"V_sh1_01",#N/A,FALSE,"Sh1_ver_iso"}</definedName>
    <definedName name="wrn.R1_Sh1." localSheetId="7" hidden="1">{"V_sh1_01",#N/A,FALSE,"Sh1_ver_iso"}</definedName>
    <definedName name="wrn.R1_Sh1." localSheetId="5" hidden="1">{"V_sh1_01",#N/A,FALSE,"Sh1_ver_iso"}</definedName>
    <definedName name="wrn.R1_Sh1." hidden="1">{"V_sh1_01",#N/A,FALSE,"Sh1_ver_iso"}</definedName>
    <definedName name="wrn.R2_Sh2." localSheetId="18" hidden="1">{"V_sh1_01",#N/A,TRUE,"Sh1_"}</definedName>
    <definedName name="wrn.R2_Sh2." localSheetId="11" hidden="1">{"V_sh1_01",#N/A,TRUE,"Sh1_"}</definedName>
    <definedName name="wrn.R2_Sh2." localSheetId="1" hidden="1">{"V_sh1_01",#N/A,TRUE,"Sh1_"}</definedName>
    <definedName name="wrn.R2_Sh2." localSheetId="2" hidden="1">{"V_sh1_01",#N/A,TRUE,"Sh1_"}</definedName>
    <definedName name="wrn.R2_Sh2." localSheetId="4" hidden="1">{"V_sh1_01",#N/A,TRUE,"Sh1_"}</definedName>
    <definedName name="wrn.R2_Sh2." localSheetId="19" hidden="1">{"V_sh1_01",#N/A,TRUE,"Sh1_"}</definedName>
    <definedName name="wrn.R2_Sh2." localSheetId="10" hidden="1">{"V_sh1_01",#N/A,TRUE,"Sh1_"}</definedName>
    <definedName name="wrn.R2_Sh2." localSheetId="9" hidden="1">{"V_sh1_01",#N/A,TRUE,"Sh1_"}</definedName>
    <definedName name="wrn.R2_Sh2." localSheetId="8" hidden="1">{"V_sh1_01",#N/A,TRUE,"Sh1_"}</definedName>
    <definedName name="wrn.R2_Sh2." localSheetId="3" hidden="1">{"V_sh1_01",#N/A,TRUE,"Sh1_"}</definedName>
    <definedName name="wrn.R2_Sh2." localSheetId="6" hidden="1">{"V_sh1_01",#N/A,TRUE,"Sh1_"}</definedName>
    <definedName name="wrn.R2_Sh2." localSheetId="7" hidden="1">{"V_sh1_01",#N/A,TRUE,"Sh1_"}</definedName>
    <definedName name="wrn.R2_Sh2." localSheetId="5" hidden="1">{"V_sh1_01",#N/A,TRUE,"Sh1_"}</definedName>
    <definedName name="wrn.R2_Sh2." hidden="1">{"V_sh1_01",#N/A,TRUE,"Sh1_"}</definedName>
    <definedName name="wrn.ratio." localSheetId="18" hidden="1">{#N/A,#N/A,FALSE,"JACKETS (1100 t) (1)"}</definedName>
    <definedName name="wrn.ratio." localSheetId="11" hidden="1">{#N/A,#N/A,FALSE,"JACKETS (1100 t) (1)"}</definedName>
    <definedName name="wrn.ratio." localSheetId="1" hidden="1">{#N/A,#N/A,FALSE,"JACKETS (1100 t) (1)"}</definedName>
    <definedName name="wrn.ratio." localSheetId="2" hidden="1">{#N/A,#N/A,FALSE,"JACKETS (1100 t) (1)"}</definedName>
    <definedName name="wrn.ratio." localSheetId="4" hidden="1">{#N/A,#N/A,FALSE,"JACKETS (1100 t) (1)"}</definedName>
    <definedName name="wrn.ratio." localSheetId="19" hidden="1">{#N/A,#N/A,FALSE,"JACKETS (1100 t) (1)"}</definedName>
    <definedName name="wrn.ratio." localSheetId="10" hidden="1">{#N/A,#N/A,FALSE,"JACKETS (1100 t) (1)"}</definedName>
    <definedName name="wrn.ratio." localSheetId="9" hidden="1">{#N/A,#N/A,FALSE,"JACKETS (1100 t) (1)"}</definedName>
    <definedName name="wrn.ratio." localSheetId="8" hidden="1">{#N/A,#N/A,FALSE,"JACKETS (1100 t) (1)"}</definedName>
    <definedName name="wrn.ratio." localSheetId="3" hidden="1">{#N/A,#N/A,FALSE,"JACKETS (1100 t) (1)"}</definedName>
    <definedName name="wrn.ratio." localSheetId="6" hidden="1">{#N/A,#N/A,FALSE,"JACKETS (1100 t) (1)"}</definedName>
    <definedName name="wrn.ratio." localSheetId="7" hidden="1">{#N/A,#N/A,FALSE,"JACKETS (1100 t) (1)"}</definedName>
    <definedName name="wrn.ratio." localSheetId="5" hidden="1">{#N/A,#N/A,FALSE,"JACKETS (1100 t) (1)"}</definedName>
    <definedName name="wrn.ratio." hidden="1">{#N/A,#N/A,FALSE,"JACKETS (1100 t) (1)"}</definedName>
    <definedName name="wrn.ratio.1" localSheetId="18" hidden="1">{#N/A,#N/A,FALSE,"JACKETS (1100 t) (1)"}</definedName>
    <definedName name="wrn.ratio.1" localSheetId="11" hidden="1">{#N/A,#N/A,FALSE,"JACKETS (1100 t) (1)"}</definedName>
    <definedName name="wrn.ratio.1" localSheetId="1" hidden="1">{#N/A,#N/A,FALSE,"JACKETS (1100 t) (1)"}</definedName>
    <definedName name="wrn.ratio.1" localSheetId="2" hidden="1">{#N/A,#N/A,FALSE,"JACKETS (1100 t) (1)"}</definedName>
    <definedName name="wrn.ratio.1" localSheetId="4" hidden="1">{#N/A,#N/A,FALSE,"JACKETS (1100 t) (1)"}</definedName>
    <definedName name="wrn.ratio.1" localSheetId="19" hidden="1">{#N/A,#N/A,FALSE,"JACKETS (1100 t) (1)"}</definedName>
    <definedName name="wrn.ratio.1" localSheetId="10" hidden="1">{#N/A,#N/A,FALSE,"JACKETS (1100 t) (1)"}</definedName>
    <definedName name="wrn.ratio.1" localSheetId="9" hidden="1">{#N/A,#N/A,FALSE,"JACKETS (1100 t) (1)"}</definedName>
    <definedName name="wrn.ratio.1" localSheetId="8" hidden="1">{#N/A,#N/A,FALSE,"JACKETS (1100 t) (1)"}</definedName>
    <definedName name="wrn.ratio.1" localSheetId="3" hidden="1">{#N/A,#N/A,FALSE,"JACKETS (1100 t) (1)"}</definedName>
    <definedName name="wrn.ratio.1" localSheetId="6" hidden="1">{#N/A,#N/A,FALSE,"JACKETS (1100 t) (1)"}</definedName>
    <definedName name="wrn.ratio.1" localSheetId="7" hidden="1">{#N/A,#N/A,FALSE,"JACKETS (1100 t) (1)"}</definedName>
    <definedName name="wrn.ratio.1" localSheetId="5" hidden="1">{#N/A,#N/A,FALSE,"JACKETS (1100 t) (1)"}</definedName>
    <definedName name="wrn.ratio.1" hidden="1">{#N/A,#N/A,FALSE,"JACKETS (1100 t) (1)"}</definedName>
    <definedName name="wrn.ratiomvr" localSheetId="18" hidden="1">{#N/A,#N/A,FALSE,"JACKETS (1100 t) (1)"}</definedName>
    <definedName name="wrn.ratiomvr" localSheetId="11" hidden="1">{#N/A,#N/A,FALSE,"JACKETS (1100 t) (1)"}</definedName>
    <definedName name="wrn.ratiomvr" localSheetId="1" hidden="1">{#N/A,#N/A,FALSE,"JACKETS (1100 t) (1)"}</definedName>
    <definedName name="wrn.ratiomvr" localSheetId="2" hidden="1">{#N/A,#N/A,FALSE,"JACKETS (1100 t) (1)"}</definedName>
    <definedName name="wrn.ratiomvr" localSheetId="4" hidden="1">{#N/A,#N/A,FALSE,"JACKETS (1100 t) (1)"}</definedName>
    <definedName name="wrn.ratiomvr" localSheetId="19" hidden="1">{#N/A,#N/A,FALSE,"JACKETS (1100 t) (1)"}</definedName>
    <definedName name="wrn.ratiomvr" localSheetId="10" hidden="1">{#N/A,#N/A,FALSE,"JACKETS (1100 t) (1)"}</definedName>
    <definedName name="wrn.ratiomvr" localSheetId="9" hidden="1">{#N/A,#N/A,FALSE,"JACKETS (1100 t) (1)"}</definedName>
    <definedName name="wrn.ratiomvr" localSheetId="8" hidden="1">{#N/A,#N/A,FALSE,"JACKETS (1100 t) (1)"}</definedName>
    <definedName name="wrn.ratiomvr" localSheetId="3" hidden="1">{#N/A,#N/A,FALSE,"JACKETS (1100 t) (1)"}</definedName>
    <definedName name="wrn.ratiomvr" localSheetId="6" hidden="1">{#N/A,#N/A,FALSE,"JACKETS (1100 t) (1)"}</definedName>
    <definedName name="wrn.ratiomvr" localSheetId="7" hidden="1">{#N/A,#N/A,FALSE,"JACKETS (1100 t) (1)"}</definedName>
    <definedName name="wrn.ratiomvr" localSheetId="5" hidden="1">{#N/A,#N/A,FALSE,"JACKETS (1100 t) (1)"}</definedName>
    <definedName name="wrn.ratiomvr" hidden="1">{#N/A,#N/A,FALSE,"JACKETS (1100 t) (1)"}</definedName>
    <definedName name="wrn.Report." localSheetId="18"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2"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19"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8"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SetPrintOut." localSheetId="18" hidden="1">{#N/A,#N/A,FALSE,"FRONTPAGE";#N/A,#N/A,FALSE,"PIG_LAUN-s"}</definedName>
    <definedName name="wrn.SetPrintOut." localSheetId="1" hidden="1">{#N/A,#N/A,FALSE,"FRONTPAGE";#N/A,#N/A,FALSE,"PIG_LAUN-s"}</definedName>
    <definedName name="wrn.SetPrintOut." localSheetId="2" hidden="1">{#N/A,#N/A,FALSE,"FRONTPAGE";#N/A,#N/A,FALSE,"PIG_LAUN-s"}</definedName>
    <definedName name="wrn.SetPrintOut." localSheetId="4" hidden="1">{#N/A,#N/A,FALSE,"FRONTPAGE";#N/A,#N/A,FALSE,"PIG_LAUN-s"}</definedName>
    <definedName name="wrn.SetPrintOut." localSheetId="19" hidden="1">{#N/A,#N/A,FALSE,"FRONTPAGE";#N/A,#N/A,FALSE,"PIG_LAUN-s"}</definedName>
    <definedName name="wrn.SetPrintOut." localSheetId="10" hidden="1">{#N/A,#N/A,FALSE,"FRONTPAGE";#N/A,#N/A,FALSE,"PIG_LAUN-s"}</definedName>
    <definedName name="wrn.SetPrintOut." localSheetId="9" hidden="1">{#N/A,#N/A,FALSE,"FRONTPAGE";#N/A,#N/A,FALSE,"PIG_LAUN-s"}</definedName>
    <definedName name="wrn.SetPrintOut." localSheetId="8" hidden="1">{#N/A,#N/A,FALSE,"FRONTPAGE";#N/A,#N/A,FALSE,"PIG_LAUN-s"}</definedName>
    <definedName name="wrn.SetPrintOut." localSheetId="3" hidden="1">{#N/A,#N/A,FALSE,"FRONTPAGE";#N/A,#N/A,FALSE,"PIG_LAUN-s"}</definedName>
    <definedName name="wrn.SetPrintOut." localSheetId="6" hidden="1">{#N/A,#N/A,FALSE,"FRONTPAGE";#N/A,#N/A,FALSE,"PIG_LAUN-s"}</definedName>
    <definedName name="wrn.SetPrintOut." localSheetId="7" hidden="1">{#N/A,#N/A,FALSE,"FRONTPAGE";#N/A,#N/A,FALSE,"PIG_LAUN-s"}</definedName>
    <definedName name="wrn.SetPrintOut." localSheetId="5" hidden="1">{#N/A,#N/A,FALSE,"FRONTPAGE";#N/A,#N/A,FALSE,"PIG_LAUN-s"}</definedName>
    <definedName name="wrn.SetPrintOut." hidden="1">{#N/A,#N/A,FALSE,"FRONTPAGE";#N/A,#N/A,FALSE,"PIG_LAUN-s"}</definedName>
    <definedName name="wrn.Summary." localSheetId="18"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localSheetId="18" hidden="1">{#N/A,#N/A,FALSE,"Tower &amp; Car Park"}</definedName>
    <definedName name="wrn.test." localSheetId="11" hidden="1">{#N/A,#N/A,FALSE,"Tower &amp; Car Park"}</definedName>
    <definedName name="wrn.test." localSheetId="1" hidden="1">{#N/A,#N/A,FALSE,"Tower &amp; Car Park"}</definedName>
    <definedName name="wrn.test." localSheetId="2" hidden="1">{#N/A,#N/A,FALSE,"Tower &amp; Car Park"}</definedName>
    <definedName name="wrn.test." localSheetId="4" hidden="1">{#N/A,#N/A,FALSE,"Tower &amp; Car Park"}</definedName>
    <definedName name="wrn.test." localSheetId="19" hidden="1">{#N/A,#N/A,FALSE,"Tower &amp; Car Park"}</definedName>
    <definedName name="wrn.test." localSheetId="10" hidden="1">{#N/A,#N/A,FALSE,"Tower &amp; Car Park"}</definedName>
    <definedName name="wrn.test." localSheetId="9" hidden="1">{#N/A,#N/A,FALSE,"Tower &amp; Car Park"}</definedName>
    <definedName name="wrn.test." localSheetId="8" hidden="1">{#N/A,#N/A,FALSE,"Tower &amp; Car Park"}</definedName>
    <definedName name="wrn.test." localSheetId="3" hidden="1">{#N/A,#N/A,FALSE,"Tower &amp; Car Park"}</definedName>
    <definedName name="wrn.test." localSheetId="6" hidden="1">{#N/A,#N/A,FALSE,"Tower &amp; Car Park"}</definedName>
    <definedName name="wrn.test." localSheetId="7" hidden="1">{#N/A,#N/A,FALSE,"Tower &amp; Car Park"}</definedName>
    <definedName name="wrn.test." localSheetId="5" hidden="1">{#N/A,#N/A,FALSE,"Tower &amp; Car Park"}</definedName>
    <definedName name="wrn.test." hidden="1">{#N/A,#N/A,FALSE,"Tower &amp; Car Park"}</definedName>
    <definedName name="wrn.TK_Ausdruck." localSheetId="1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9"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0"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9"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6"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7"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localSheetId="18" hidden="1">{"Versandliste","Versandliste",FALSE,"Best.-Übersicht";"Versandliste","Versandliste",FALSE,"Best.-Übersicht (elktr.)"}</definedName>
    <definedName name="wrn.Versandliste." localSheetId="11" hidden="1">{"Versandliste","Versandliste",FALSE,"Best.-Übersicht";"Versandliste","Versandliste",FALSE,"Best.-Übersicht (elktr.)"}</definedName>
    <definedName name="wrn.Versandliste." localSheetId="1" hidden="1">{"Versandliste","Versandliste",FALSE,"Best.-Übersicht";"Versandliste","Versandliste",FALSE,"Best.-Übersicht (elktr.)"}</definedName>
    <definedName name="wrn.Versandliste." localSheetId="2" hidden="1">{"Versandliste","Versandliste",FALSE,"Best.-Übersicht";"Versandliste","Versandliste",FALSE,"Best.-Übersicht (elktr.)"}</definedName>
    <definedName name="wrn.Versandliste." localSheetId="4" hidden="1">{"Versandliste","Versandliste",FALSE,"Best.-Übersicht";"Versandliste","Versandliste",FALSE,"Best.-Übersicht (elktr.)"}</definedName>
    <definedName name="wrn.Versandliste." localSheetId="19" hidden="1">{"Versandliste","Versandliste",FALSE,"Best.-Übersicht";"Versandliste","Versandliste",FALSE,"Best.-Übersicht (elktr.)"}</definedName>
    <definedName name="wrn.Versandliste." localSheetId="10" hidden="1">{"Versandliste","Versandliste",FALSE,"Best.-Übersicht";"Versandliste","Versandliste",FALSE,"Best.-Übersicht (elktr.)"}</definedName>
    <definedName name="wrn.Versandliste." localSheetId="9" hidden="1">{"Versandliste","Versandliste",FALSE,"Best.-Übersicht";"Versandliste","Versandliste",FALSE,"Best.-Übersicht (elktr.)"}</definedName>
    <definedName name="wrn.Versandliste." localSheetId="8" hidden="1">{"Versandliste","Versandliste",FALSE,"Best.-Übersicht";"Versandliste","Versandliste",FALSE,"Best.-Übersicht (elktr.)"}</definedName>
    <definedName name="wrn.Versandliste." localSheetId="3" hidden="1">{"Versandliste","Versandliste",FALSE,"Best.-Übersicht";"Versandliste","Versandliste",FALSE,"Best.-Übersicht (elktr.)"}</definedName>
    <definedName name="wrn.Versandliste." localSheetId="6" hidden="1">{"Versandliste","Versandliste",FALSE,"Best.-Übersicht";"Versandliste","Versandliste",FALSE,"Best.-Übersicht (elktr.)"}</definedName>
    <definedName name="wrn.Versandliste." localSheetId="7" hidden="1">{"Versandliste","Versandliste",FALSE,"Best.-Übersicht";"Versandliste","Versandliste",FALSE,"Best.-Übersicht (elktr.)"}</definedName>
    <definedName name="wrn.Versandliste." localSheetId="5" hidden="1">{"Versandliste","Versandliste",FALSE,"Best.-Übersicht";"Versandliste","Versandliste",FALSE,"Best.-Übersicht (elktr.)"}</definedName>
    <definedName name="wrn.Versandliste." hidden="1">{"Versandliste","Versandliste",FALSE,"Best.-Übersicht";"Versandliste","Versandliste",FALSE,"Best.-Übersicht (elktr.)"}</definedName>
    <definedName name="wrn.VESSEL및N2._.구입사양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건물기초."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18" hidden="1">{#N/A,#N/A,FALSE,"Sheet1";#N/A,#N/A,FALSE,"Sheet2";#N/A,#N/A,FALSE,"TAB96-1"}</definedName>
    <definedName name="wrn.견적." hidden="1">{#N/A,#N/A,FALSE,"Sheet1";#N/A,#N/A,FALSE,"Sheet2";#N/A,#N/A,FALSE,"TAB96-1"}</definedName>
    <definedName name="wrn.골재소요량." localSheetId="18" hidden="1">{#N/A,#N/A,FALSE,"골재소요량";#N/A,#N/A,FALSE,"골재소요량"}</definedName>
    <definedName name="wrn.골재소요량." hidden="1">{#N/A,#N/A,FALSE,"골재소요량";#N/A,#N/A,FALSE,"골재소요량"}</definedName>
    <definedName name="wrn.교대." localSheetId="18" hidden="1">{#N/A,#N/A,FALSE,"type1";#N/A,#N/A,FALSE,"지지력";#N/A,#N/A,FALSE,"PILE계산";#N/A,#N/A,FALSE,"PILE ";#N/A,#N/A,FALSE,"철근량";#N/A,#N/A,FALSE,"균열검토";#N/A,#N/A,FALSE,"날개벽";#N/A,#N/A,FALSE,"주철근조립도";#N/A,#N/A,FALSE,"교좌"}</definedName>
    <definedName name="wrn.교대." localSheetId="11" hidden="1">{#N/A,#N/A,FALSE,"type1";#N/A,#N/A,FALSE,"지지력";#N/A,#N/A,FALSE,"PILE계산";#N/A,#N/A,FALSE,"PILE ";#N/A,#N/A,FALSE,"철근량";#N/A,#N/A,FALSE,"균열검토";#N/A,#N/A,FALSE,"날개벽";#N/A,#N/A,FALSE,"주철근조립도";#N/A,#N/A,FALSE,"교좌"}</definedName>
    <definedName name="wrn.교대." localSheetId="1"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localSheetId="4" hidden="1">{#N/A,#N/A,FALSE,"type1";#N/A,#N/A,FALSE,"지지력";#N/A,#N/A,FALSE,"PILE계산";#N/A,#N/A,FALSE,"PILE ";#N/A,#N/A,FALSE,"철근량";#N/A,#N/A,FALSE,"균열검토";#N/A,#N/A,FALSE,"날개벽";#N/A,#N/A,FALSE,"주철근조립도";#N/A,#N/A,FALSE,"교좌"}</definedName>
    <definedName name="wrn.교대." localSheetId="19" hidden="1">{#N/A,#N/A,FALSE,"type1";#N/A,#N/A,FALSE,"지지력";#N/A,#N/A,FALSE,"PILE계산";#N/A,#N/A,FALSE,"PILE ";#N/A,#N/A,FALSE,"철근량";#N/A,#N/A,FALSE,"균열검토";#N/A,#N/A,FALSE,"날개벽";#N/A,#N/A,FALSE,"주철근조립도";#N/A,#N/A,FALSE,"교좌"}</definedName>
    <definedName name="wrn.교대." localSheetId="10" hidden="1">{#N/A,#N/A,FALSE,"type1";#N/A,#N/A,FALSE,"지지력";#N/A,#N/A,FALSE,"PILE계산";#N/A,#N/A,FALSE,"PILE ";#N/A,#N/A,FALSE,"철근량";#N/A,#N/A,FALSE,"균열검토";#N/A,#N/A,FALSE,"날개벽";#N/A,#N/A,FALSE,"주철근조립도";#N/A,#N/A,FALSE,"교좌"}</definedName>
    <definedName name="wrn.교대." localSheetId="9" hidden="1">{#N/A,#N/A,FALSE,"type1";#N/A,#N/A,FALSE,"지지력";#N/A,#N/A,FALSE,"PILE계산";#N/A,#N/A,FALSE,"PILE ";#N/A,#N/A,FALSE,"철근량";#N/A,#N/A,FALSE,"균열검토";#N/A,#N/A,FALSE,"날개벽";#N/A,#N/A,FALSE,"주철근조립도";#N/A,#N/A,FALSE,"교좌"}</definedName>
    <definedName name="wrn.교대." localSheetId="8" hidden="1">{#N/A,#N/A,FALSE,"type1";#N/A,#N/A,FALSE,"지지력";#N/A,#N/A,FALSE,"PILE계산";#N/A,#N/A,FALSE,"PILE ";#N/A,#N/A,FALSE,"철근량";#N/A,#N/A,FALSE,"균열검토";#N/A,#N/A,FALSE,"날개벽";#N/A,#N/A,FALSE,"주철근조립도";#N/A,#N/A,FALSE,"교좌"}</definedName>
    <definedName name="wrn.교대." localSheetId="3" hidden="1">{#N/A,#N/A,FALSE,"type1";#N/A,#N/A,FALSE,"지지력";#N/A,#N/A,FALSE,"PILE계산";#N/A,#N/A,FALSE,"PILE ";#N/A,#N/A,FALSE,"철근량";#N/A,#N/A,FALSE,"균열검토";#N/A,#N/A,FALSE,"날개벽";#N/A,#N/A,FALSE,"주철근조립도";#N/A,#N/A,FALSE,"교좌"}</definedName>
    <definedName name="wrn.교대." localSheetId="6" hidden="1">{#N/A,#N/A,FALSE,"type1";#N/A,#N/A,FALSE,"지지력";#N/A,#N/A,FALSE,"PILE계산";#N/A,#N/A,FALSE,"PILE ";#N/A,#N/A,FALSE,"철근량";#N/A,#N/A,FALSE,"균열검토";#N/A,#N/A,FALSE,"날개벽";#N/A,#N/A,FALSE,"주철근조립도";#N/A,#N/A,FALSE,"교좌"}</definedName>
    <definedName name="wrn.교대." localSheetId="7" hidden="1">{#N/A,#N/A,FALSE,"type1";#N/A,#N/A,FALSE,"지지력";#N/A,#N/A,FALSE,"PILE계산";#N/A,#N/A,FALSE,"PILE ";#N/A,#N/A,FALSE,"철근량";#N/A,#N/A,FALSE,"균열검토";#N/A,#N/A,FALSE,"날개벽";#N/A,#N/A,FALSE,"주철근조립도";#N/A,#N/A,FALSE,"교좌"}</definedName>
    <definedName name="wrn.교대." localSheetId="5"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18" hidden="1">{#N/A,#N/A,FALSE,"전력간선"}</definedName>
    <definedName name="wrn.교육청." hidden="1">{#N/A,#N/A,FALSE,"전력간선"}</definedName>
    <definedName name="wrn.구조2." localSheetId="18" hidden="1">{#N/A,#N/A,FALSE,"구조2"}</definedName>
    <definedName name="wrn.구조2." hidden="1">{#N/A,#N/A,FALSE,"구조2"}</definedName>
    <definedName name="wrn.단가표지." localSheetId="18" hidden="1">{#N/A,#N/A,FALSE,"단가표지"}</definedName>
    <definedName name="wrn.단가표지." hidden="1">{#N/A,#N/A,FALSE,"단가표지"}</definedName>
    <definedName name="wrn.배수1." localSheetId="18" hidden="1">{#N/A,#N/A,FALSE,"배수1"}</definedName>
    <definedName name="wrn.배수1." hidden="1">{#N/A,#N/A,FALSE,"배수1"}</definedName>
    <definedName name="wrn.배수2." localSheetId="18" hidden="1">{#N/A,#N/A,FALSE,"배수2"}</definedName>
    <definedName name="wrn.배수2." hidden="1">{#N/A,#N/A,FALSE,"배수2"}</definedName>
    <definedName name="wrn.부대1." localSheetId="18" hidden="1">{#N/A,#N/A,FALSE,"부대1"}</definedName>
    <definedName name="wrn.부대1." hidden="1">{#N/A,#N/A,FALSE,"부대1"}</definedName>
    <definedName name="wrn.부대2." localSheetId="18" hidden="1">{#N/A,#N/A,FALSE,"부대2"}</definedName>
    <definedName name="wrn.부대2." hidden="1">{#N/A,#N/A,FALSE,"부대2"}</definedName>
    <definedName name="wrn.속도." localSheetId="18" hidden="1">{#N/A,#N/A,FALSE,"속도"}</definedName>
    <definedName name="wrn.속도." hidden="1">{#N/A,#N/A,FALSE,"속도"}</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18" hidden="1">{#N/A,#N/A,FALSE,"결의서";#N/A,#N/A,FALSE,"내역서";#N/A,#N/A,FALSE,"도급예상";#N/A,#N/A,FALSE,"시방서"}</definedName>
    <definedName name="wrn.시행결의." hidden="1">{#N/A,#N/A,FALSE,"결의서";#N/A,#N/A,FALSE,"내역서";#N/A,#N/A,FALSE,"도급예상";#N/A,#N/A,FALSE,"시방서"}</definedName>
    <definedName name="wrn.신용찬." localSheetId="18" hidden="1">{#N/A,#N/A,TRUE,"토적및재료집계";#N/A,#N/A,TRUE,"토적및재료집계";#N/A,#N/A,TRUE,"단위량"}</definedName>
    <definedName name="wrn.신용찬." hidden="1">{#N/A,#N/A,TRUE,"토적및재료집계";#N/A,#N/A,TRUE,"토적및재료집계";#N/A,#N/A,TRUE,"단위량"}</definedName>
    <definedName name="wrn.실행예산."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localSheetId="18" hidden="1">{"SJ - 기본 보기",#N/A,FALSE,"공사별 외주견적"}</definedName>
    <definedName name="wrn.업체별._.견적공사명." hidden="1">{"SJ - 기본 보기",#N/A,FALSE,"공사별 외주견적"}</definedName>
    <definedName name="wrn.연동제." localSheetId="18" hidden="1">{#N/A,#N/A,TRUE,"총괄"}</definedName>
    <definedName name="wrn.연동제." hidden="1">{#N/A,#N/A,TRUE,"총괄"}</definedName>
    <definedName name="wrn.외주기성." localSheetId="18" hidden="1">{#N/A,#N/A,FALSE,"신청통보";#N/A,#N/A,FALSE,"기성확인서";#N/A,#N/A,FALSE,"기성내역서"}</definedName>
    <definedName name="wrn.외주기성." hidden="1">{#N/A,#N/A,FALSE,"신청통보";#N/A,#N/A,FALSE,"기성확인서";#N/A,#N/A,FALSE,"기성내역서"}</definedName>
    <definedName name="wrn.운반시간." localSheetId="18" hidden="1">{#N/A,#N/A,FALSE,"운반시간"}</definedName>
    <definedName name="wrn.운반시간." hidden="1">{#N/A,#N/A,FALSE,"운반시간"}</definedName>
    <definedName name="wrn.이정표." localSheetId="18" hidden="1">{#N/A,#N/A,FALSE,"이정표"}</definedName>
    <definedName name="wrn.이정표." hidden="1">{#N/A,#N/A,FALSE,"이정표"}</definedName>
    <definedName name="wrn.조골재." localSheetId="18" hidden="1">{#N/A,#N/A,FALSE,"조골재"}</definedName>
    <definedName name="wrn.조골재." hidden="1">{#N/A,#N/A,FALSE,"조골재"}</definedName>
    <definedName name="wrn.철골집계표._.5칸." localSheetId="18" hidden="1">{#N/A,#N/A,FALSE,"Sheet1"}</definedName>
    <definedName name="wrn.철골집계표._.5칸." hidden="1">{#N/A,#N/A,FALSE,"Sheet1"}</definedName>
    <definedName name="wrn.토공1." localSheetId="18" hidden="1">{#N/A,#N/A,FALSE,"구조1"}</definedName>
    <definedName name="wrn.토공1." hidden="1">{#N/A,#N/A,FALSE,"구조1"}</definedName>
    <definedName name="wrn.토공2." localSheetId="18" hidden="1">{#N/A,#N/A,FALSE,"토공2"}</definedName>
    <definedName name="wrn.토공2." hidden="1">{#N/A,#N/A,FALSE,"토공2"}</definedName>
    <definedName name="wrn.통신지." localSheetId="18" hidden="1">{#N/A,#N/A,FALSE,"기안지";#N/A,#N/A,FALSE,"통신지"}</definedName>
    <definedName name="wrn.통신지." hidden="1">{#N/A,#N/A,FALSE,"기안지";#N/A,#N/A,FALSE,"통신지"}</definedName>
    <definedName name="wrn.포장1." localSheetId="18" hidden="1">{#N/A,#N/A,FALSE,"포장1";#N/A,#N/A,FALSE,"포장1"}</definedName>
    <definedName name="wrn.포장1." hidden="1">{#N/A,#N/A,FALSE,"포장1";#N/A,#N/A,FALSE,"포장1"}</definedName>
    <definedName name="wrn.포장2." localSheetId="18" hidden="1">{#N/A,#N/A,FALSE,"포장2"}</definedName>
    <definedName name="wrn.포장2." hidden="1">{#N/A,#N/A,FALSE,"포장2"}</definedName>
    <definedName name="wrn.표지목차." localSheetId="18" hidden="1">{#N/A,#N/A,FALSE,"표지목차"}</definedName>
    <definedName name="wrn.표지목차." hidden="1">{#N/A,#N/A,FALSE,"표지목차"}</definedName>
    <definedName name="wrn.혼합골재." localSheetId="18" hidden="1">{#N/A,#N/A,FALSE,"혼합골재"}</definedName>
    <definedName name="wrn.혼합골재." hidden="1">{#N/A,#N/A,FALSE,"혼합골재"}</definedName>
    <definedName name="wrn1.ratio." localSheetId="18" hidden="1">{#N/A,#N/A,FALSE,"JACKETS (1100 t) (1)"}</definedName>
    <definedName name="wrn1.ratio." localSheetId="11" hidden="1">{#N/A,#N/A,FALSE,"JACKETS (1100 t) (1)"}</definedName>
    <definedName name="wrn1.ratio." localSheetId="1" hidden="1">{#N/A,#N/A,FALSE,"JACKETS (1100 t) (1)"}</definedName>
    <definedName name="wrn1.ratio." localSheetId="2" hidden="1">{#N/A,#N/A,FALSE,"JACKETS (1100 t) (1)"}</definedName>
    <definedName name="wrn1.ratio." localSheetId="4" hidden="1">{#N/A,#N/A,FALSE,"JACKETS (1100 t) (1)"}</definedName>
    <definedName name="wrn1.ratio." localSheetId="19" hidden="1">{#N/A,#N/A,FALSE,"JACKETS (1100 t) (1)"}</definedName>
    <definedName name="wrn1.ratio." localSheetId="10" hidden="1">{#N/A,#N/A,FALSE,"JACKETS (1100 t) (1)"}</definedName>
    <definedName name="wrn1.ratio." localSheetId="9" hidden="1">{#N/A,#N/A,FALSE,"JACKETS (1100 t) (1)"}</definedName>
    <definedName name="wrn1.ratio." localSheetId="8" hidden="1">{#N/A,#N/A,FALSE,"JACKETS (1100 t) (1)"}</definedName>
    <definedName name="wrn1.ratio." localSheetId="3" hidden="1">{#N/A,#N/A,FALSE,"JACKETS (1100 t) (1)"}</definedName>
    <definedName name="wrn1.ratio." localSheetId="6" hidden="1">{#N/A,#N/A,FALSE,"JACKETS (1100 t) (1)"}</definedName>
    <definedName name="wrn1.ratio." localSheetId="7" hidden="1">{#N/A,#N/A,FALSE,"JACKETS (1100 t) (1)"}</definedName>
    <definedName name="wrn1.ratio." localSheetId="5" hidden="1">{#N/A,#N/A,FALSE,"JACKETS (1100 t) (1)"}</definedName>
    <definedName name="wrn1.ratio." hidden="1">{#N/A,#N/A,FALSE,"JACKETS (1100 t) (1)"}</definedName>
    <definedName name="wrnf.report" localSheetId="18"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2"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19"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S" localSheetId="18" hidden="1">{"'장비'!$A$3:$M$12"}</definedName>
    <definedName name="WRS" hidden="1">{"'장비'!$A$3:$M$12"}</definedName>
    <definedName name="wvu.DETT.._.COSTI." localSheetId="1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9"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0"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9"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7"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9"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0"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9"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 hidden="1">#REF!</definedName>
    <definedName name="WWW" localSheetId="18" hidden="1">{#N/A,#N/A,FALSE,"CCTV"}</definedName>
    <definedName name="WWW" localSheetId="11" hidden="1">{#N/A,#N/A,FALSE,"CCTV"}</definedName>
    <definedName name="WWW" localSheetId="1" hidden="1">{#N/A,#N/A,FALSE,"CCTV"}</definedName>
    <definedName name="WWW" localSheetId="2" hidden="1">{#N/A,#N/A,FALSE,"CCTV"}</definedName>
    <definedName name="WWW" localSheetId="4" hidden="1">{#N/A,#N/A,FALSE,"CCTV"}</definedName>
    <definedName name="WWW" localSheetId="19" hidden="1">{#N/A,#N/A,FALSE,"CCTV"}</definedName>
    <definedName name="WWW" localSheetId="10" hidden="1">{#N/A,#N/A,FALSE,"CCTV"}</definedName>
    <definedName name="WWW" localSheetId="9" hidden="1">{#N/A,#N/A,FALSE,"CCTV"}</definedName>
    <definedName name="WWW" localSheetId="8" hidden="1">{#N/A,#N/A,FALSE,"CCTV"}</definedName>
    <definedName name="WWW" localSheetId="3" hidden="1">{#N/A,#N/A,FALSE,"CCTV"}</definedName>
    <definedName name="WWW" localSheetId="6" hidden="1">{#N/A,#N/A,FALSE,"CCTV"}</definedName>
    <definedName name="WWW" localSheetId="7" hidden="1">{#N/A,#N/A,FALSE,"CCTV"}</definedName>
    <definedName name="WWW" localSheetId="5" hidden="1">{#N/A,#N/A,FALSE,"CCTV"}</definedName>
    <definedName name="WWW" hidden="1">{#N/A,#N/A,FALSE,"CCTV"}</definedName>
    <definedName name="WWWW" localSheetId="18" hidden="1">{#N/A,#N/A,FALSE,"Mhr_Sum"}</definedName>
    <definedName name="WWWW" localSheetId="11" hidden="1">{#N/A,#N/A,FALSE,"Project Cost Summary";#N/A,#N/A,FALSE,"Man Hour Summary"}</definedName>
    <definedName name="WWWW" localSheetId="1" hidden="1">{#N/A,#N/A,FALSE,"Project Cost Summary";#N/A,#N/A,FALSE,"Man Hour Summary"}</definedName>
    <definedName name="WWWW" localSheetId="2" hidden="1">{#N/A,#N/A,FALSE,"Project Cost Summary";#N/A,#N/A,FALSE,"Man Hour Summary"}</definedName>
    <definedName name="WWWW" localSheetId="4" hidden="1">{#N/A,#N/A,FALSE,"Project Cost Summary";#N/A,#N/A,FALSE,"Man Hour Summary"}</definedName>
    <definedName name="WWWW" localSheetId="19" hidden="1">{#N/A,#N/A,FALSE,"Project Cost Summary";#N/A,#N/A,FALSE,"Man Hour Summary"}</definedName>
    <definedName name="WWWW" localSheetId="10" hidden="1">{#N/A,#N/A,FALSE,"Project Cost Summary";#N/A,#N/A,FALSE,"Man Hour Summary"}</definedName>
    <definedName name="WWWW" localSheetId="9" hidden="1">{#N/A,#N/A,FALSE,"Project Cost Summary";#N/A,#N/A,FALSE,"Man Hour Summary"}</definedName>
    <definedName name="WWWW" localSheetId="8" hidden="1">{#N/A,#N/A,FALSE,"Project Cost Summary";#N/A,#N/A,FALSE,"Man Hour Summary"}</definedName>
    <definedName name="WWWW" localSheetId="3" hidden="1">{#N/A,#N/A,FALSE,"Project Cost Summary";#N/A,#N/A,FALSE,"Man Hour Summary"}</definedName>
    <definedName name="WWWW" localSheetId="6" hidden="1">{#N/A,#N/A,FALSE,"Project Cost Summary";#N/A,#N/A,FALSE,"Man Hour Summary"}</definedName>
    <definedName name="WWWW" localSheetId="7" hidden="1">{#N/A,#N/A,FALSE,"Project Cost Summary";#N/A,#N/A,FALSE,"Man Hour Summary"}</definedName>
    <definedName name="WWWW" localSheetId="5" hidden="1">{#N/A,#N/A,FALSE,"Project Cost Summary";#N/A,#N/A,FALSE,"Man Hour Summary"}</definedName>
    <definedName name="WWWW" hidden="1">{#N/A,#N/A,FALSE,"Mhr_Sum"}</definedName>
    <definedName name="WWWWW" localSheetId="18" hidden="1">{#N/A,#N/A,FALSE,"Project Cost Summary";#N/A,#N/A,FALSE,"Man Hour Summary"}</definedName>
    <definedName name="WWWWW" localSheetId="1" hidden="1">{#N/A,#N/A,FALSE,"Project Cost Summary";#N/A,#N/A,FALSE,"Man Hour Summary"}</definedName>
    <definedName name="WWWWW" localSheetId="2" hidden="1">{#N/A,#N/A,FALSE,"Project Cost Summary";#N/A,#N/A,FALSE,"Man Hour Summary"}</definedName>
    <definedName name="WWWWW" localSheetId="4" hidden="1">{#N/A,#N/A,FALSE,"Project Cost Summary";#N/A,#N/A,FALSE,"Man Hour Summary"}</definedName>
    <definedName name="WWWWW" localSheetId="19" hidden="1">{#N/A,#N/A,FALSE,"Project Cost Summary";#N/A,#N/A,FALSE,"Man Hour Summary"}</definedName>
    <definedName name="WWWWW" localSheetId="10" hidden="1">{#N/A,#N/A,FALSE,"Project Cost Summary";#N/A,#N/A,FALSE,"Man Hour Summary"}</definedName>
    <definedName name="WWWWW" localSheetId="9" hidden="1">{#N/A,#N/A,FALSE,"Project Cost Summary";#N/A,#N/A,FALSE,"Man Hour Summary"}</definedName>
    <definedName name="WWWWW" localSheetId="8" hidden="1">{#N/A,#N/A,FALSE,"Project Cost Summary";#N/A,#N/A,FALSE,"Man Hour Summary"}</definedName>
    <definedName name="WWWWW" localSheetId="3" hidden="1">{#N/A,#N/A,FALSE,"Project Cost Summary";#N/A,#N/A,FALSE,"Man Hour Summary"}</definedName>
    <definedName name="WWWWW" localSheetId="6" hidden="1">{#N/A,#N/A,FALSE,"Project Cost Summary";#N/A,#N/A,FALSE,"Man Hour Summary"}</definedName>
    <definedName name="WWWWW" localSheetId="7" hidden="1">{#N/A,#N/A,FALSE,"Project Cost Summary";#N/A,#N/A,FALSE,"Man Hour Summary"}</definedName>
    <definedName name="WWWWW" localSheetId="5" hidden="1">{#N/A,#N/A,FALSE,"Project Cost Summary";#N/A,#N/A,FALSE,"Man Hour Summary"}</definedName>
    <definedName name="WWWWW" hidden="1">{#N/A,#N/A,FALSE,"Project Cost Summary";#N/A,#N/A,FALSE,"Man Hour Summary"}</definedName>
    <definedName name="wwwwww" localSheetId="18" hidden="1">{#N/A,#N/A,FALSE,"HO Sum";#N/A,#N/A,FALSE,"HO Rates";#N/A,#N/A,FALSE,"Co Sum";#N/A,#N/A,FALSE,"Clients Office";#N/A,#N/A,FALSE,"Field Sum";#N/A,#N/A,FALSE,"Field Rates"}</definedName>
    <definedName name="wwwwww" localSheetId="11" hidden="1">{#N/A,#N/A,FALSE,"HO Sum";#N/A,#N/A,FALSE,"HO Rates";#N/A,#N/A,FALSE,"Co Sum";#N/A,#N/A,FALSE,"Clients Office";#N/A,#N/A,FALSE,"Field Sum";#N/A,#N/A,FALSE,"Field Rates"}</definedName>
    <definedName name="wwwwww" localSheetId="1" hidden="1">{#N/A,#N/A,FALSE,"HO Sum";#N/A,#N/A,FALSE,"HO Rates";#N/A,#N/A,FALSE,"Co Sum";#N/A,#N/A,FALSE,"Clients Office";#N/A,#N/A,FALSE,"Field Sum";#N/A,#N/A,FALSE,"Field Rates"}</definedName>
    <definedName name="wwwwww" localSheetId="2" hidden="1">{#N/A,#N/A,FALSE,"HO Sum";#N/A,#N/A,FALSE,"HO Rates";#N/A,#N/A,FALSE,"Co Sum";#N/A,#N/A,FALSE,"Clients Office";#N/A,#N/A,FALSE,"Field Sum";#N/A,#N/A,FALSE,"Field Rates"}</definedName>
    <definedName name="wwwwww" localSheetId="4" hidden="1">{#N/A,#N/A,FALSE,"HO Sum";#N/A,#N/A,FALSE,"HO Rates";#N/A,#N/A,FALSE,"Co Sum";#N/A,#N/A,FALSE,"Clients Office";#N/A,#N/A,FALSE,"Field Sum";#N/A,#N/A,FALSE,"Field Rates"}</definedName>
    <definedName name="wwwwww" localSheetId="19" hidden="1">{#N/A,#N/A,FALSE,"HO Sum";#N/A,#N/A,FALSE,"HO Rates";#N/A,#N/A,FALSE,"Co Sum";#N/A,#N/A,FALSE,"Clients Office";#N/A,#N/A,FALSE,"Field Sum";#N/A,#N/A,FALSE,"Field Rates"}</definedName>
    <definedName name="wwwwww" localSheetId="10" hidden="1">{#N/A,#N/A,FALSE,"HO Sum";#N/A,#N/A,FALSE,"HO Rates";#N/A,#N/A,FALSE,"Co Sum";#N/A,#N/A,FALSE,"Clients Office";#N/A,#N/A,FALSE,"Field Sum";#N/A,#N/A,FALSE,"Field Rates"}</definedName>
    <definedName name="wwwwww" localSheetId="9" hidden="1">{#N/A,#N/A,FALSE,"HO Sum";#N/A,#N/A,FALSE,"HO Rates";#N/A,#N/A,FALSE,"Co Sum";#N/A,#N/A,FALSE,"Clients Office";#N/A,#N/A,FALSE,"Field Sum";#N/A,#N/A,FALSE,"Field Rates"}</definedName>
    <definedName name="wwwwww" localSheetId="8" hidden="1">{#N/A,#N/A,FALSE,"HO Sum";#N/A,#N/A,FALSE,"HO Rates";#N/A,#N/A,FALSE,"Co Sum";#N/A,#N/A,FALSE,"Clients Office";#N/A,#N/A,FALSE,"Field Sum";#N/A,#N/A,FALSE,"Field Rates"}</definedName>
    <definedName name="wwwwww" localSheetId="3" hidden="1">{#N/A,#N/A,FALSE,"HO Sum";#N/A,#N/A,FALSE,"HO Rates";#N/A,#N/A,FALSE,"Co Sum";#N/A,#N/A,FALSE,"Clients Office";#N/A,#N/A,FALSE,"Field Sum";#N/A,#N/A,FALSE,"Field Rates"}</definedName>
    <definedName name="wwwwww" localSheetId="6" hidden="1">{#N/A,#N/A,FALSE,"HO Sum";#N/A,#N/A,FALSE,"HO Rates";#N/A,#N/A,FALSE,"Co Sum";#N/A,#N/A,FALSE,"Clients Office";#N/A,#N/A,FALSE,"Field Sum";#N/A,#N/A,FALSE,"Field Rates"}</definedName>
    <definedName name="wwwwww" localSheetId="7" hidden="1">{#N/A,#N/A,FALSE,"HO Sum";#N/A,#N/A,FALSE,"HO Rates";#N/A,#N/A,FALSE,"Co Sum";#N/A,#N/A,FALSE,"Clients Office";#N/A,#N/A,FALSE,"Field Sum";#N/A,#N/A,FALSE,"Field Rates"}</definedName>
    <definedName name="wwwwww" localSheetId="5" hidden="1">{#N/A,#N/A,FALSE,"HO Sum";#N/A,#N/A,FALSE,"HO Rates";#N/A,#N/A,FALSE,"Co Sum";#N/A,#N/A,FALSE,"Clients Office";#N/A,#N/A,FALSE,"Field Sum";#N/A,#N/A,FALSE,"Field Rates"}</definedName>
    <definedName name="wwwwww" hidden="1">{#N/A,#N/A,FALSE,"HO Sum";#N/A,#N/A,FALSE,"HO Rates";#N/A,#N/A,FALSE,"Co Sum";#N/A,#N/A,FALSE,"Clients Office";#N/A,#N/A,FALSE,"Field Sum";#N/A,#N/A,FALSE,"Field Rates"}</definedName>
    <definedName name="WZ" localSheetId="18" hidden="1">{#N/A,#N/A,FALSE,"CCTV"}</definedName>
    <definedName name="WZ" localSheetId="11" hidden="1">{#N/A,#N/A,FALSE,"CCTV"}</definedName>
    <definedName name="WZ" localSheetId="1" hidden="1">{#N/A,#N/A,FALSE,"CCTV"}</definedName>
    <definedName name="WZ" localSheetId="2" hidden="1">{#N/A,#N/A,FALSE,"CCTV"}</definedName>
    <definedName name="WZ" localSheetId="4" hidden="1">{#N/A,#N/A,FALSE,"CCTV"}</definedName>
    <definedName name="WZ" localSheetId="19" hidden="1">{#N/A,#N/A,FALSE,"CCTV"}</definedName>
    <definedName name="WZ" localSheetId="10" hidden="1">{#N/A,#N/A,FALSE,"CCTV"}</definedName>
    <definedName name="WZ" localSheetId="9" hidden="1">{#N/A,#N/A,FALSE,"CCTV"}</definedName>
    <definedName name="WZ" localSheetId="8" hidden="1">{#N/A,#N/A,FALSE,"CCTV"}</definedName>
    <definedName name="WZ" localSheetId="3" hidden="1">{#N/A,#N/A,FALSE,"CCTV"}</definedName>
    <definedName name="WZ" localSheetId="6" hidden="1">{#N/A,#N/A,FALSE,"CCTV"}</definedName>
    <definedName name="WZ" localSheetId="7" hidden="1">{#N/A,#N/A,FALSE,"CCTV"}</definedName>
    <definedName name="WZ" localSheetId="5" hidden="1">{#N/A,#N/A,FALSE,"CCTV"}</definedName>
    <definedName name="WZ" hidden="1">{#N/A,#N/A,FALSE,"CCTV"}</definedName>
    <definedName name="x" localSheetId="18" hidden="1">{#N/A,#N/A,TRUE,"Projektskizze";#N/A,#N/A,TRUE,"AuslDat";#N/A,#N/A,TRUE,"Kalkulation";#N/A,#N/A,TRUE,"Md-Berechnung"}</definedName>
    <definedName name="x" localSheetId="11" hidden="1">{#N/A,#N/A,TRUE,"Projektskizze";#N/A,#N/A,TRUE,"AuslDat";#N/A,#N/A,TRUE,"Kalkulation";#N/A,#N/A,TRUE,"Md-Berechnung"}</definedName>
    <definedName name="X" localSheetId="1">#REF!</definedName>
    <definedName name="X" localSheetId="2">#REF!</definedName>
    <definedName name="X" localSheetId="4">#REF!</definedName>
    <definedName name="X" localSheetId="19">#REF!</definedName>
    <definedName name="X" localSheetId="10">#REF!</definedName>
    <definedName name="X" localSheetId="9">#REF!</definedName>
    <definedName name="X" localSheetId="8">#REF!</definedName>
    <definedName name="X" localSheetId="3">#REF!</definedName>
    <definedName name="X" localSheetId="6">#REF!</definedName>
    <definedName name="X" localSheetId="7">#REF!</definedName>
    <definedName name="X" localSheetId="5">#REF!</definedName>
    <definedName name="x" hidden="1">{#N/A,#N/A,TRUE,"Projektskizze";#N/A,#N/A,TRUE,"AuslDat";#N/A,#N/A,TRUE,"Kalkulation";#N/A,#N/A,TRUE,"Md-Berechnung"}</definedName>
    <definedName name="x1pind">#REF!</definedName>
    <definedName name="x1ping">#REF!</definedName>
    <definedName name="x1pint">#REF!</definedName>
    <definedName name="XC" localSheetId="18" hidden="1">{#N/A,#N/A,FALSE,"CCTV"}</definedName>
    <definedName name="XC" localSheetId="11" hidden="1">{#N/A,#N/A,FALSE,"CCTV"}</definedName>
    <definedName name="XC" localSheetId="1" hidden="1">{#N/A,#N/A,FALSE,"CCTV"}</definedName>
    <definedName name="XC" localSheetId="2" hidden="1">{#N/A,#N/A,FALSE,"CCTV"}</definedName>
    <definedName name="XC" localSheetId="4" hidden="1">{#N/A,#N/A,FALSE,"CCTV"}</definedName>
    <definedName name="XC" localSheetId="19" hidden="1">{#N/A,#N/A,FALSE,"CCTV"}</definedName>
    <definedName name="XC" localSheetId="10" hidden="1">{#N/A,#N/A,FALSE,"CCTV"}</definedName>
    <definedName name="XC" localSheetId="9" hidden="1">{#N/A,#N/A,FALSE,"CCTV"}</definedName>
    <definedName name="XC" localSheetId="8" hidden="1">{#N/A,#N/A,FALSE,"CCTV"}</definedName>
    <definedName name="XC" localSheetId="3" hidden="1">{#N/A,#N/A,FALSE,"CCTV"}</definedName>
    <definedName name="XC" localSheetId="6" hidden="1">{#N/A,#N/A,FALSE,"CCTV"}</definedName>
    <definedName name="XC" localSheetId="7" hidden="1">{#N/A,#N/A,FALSE,"CCTV"}</definedName>
    <definedName name="XC" localSheetId="5" hidden="1">{#N/A,#N/A,FALSE,"CCTV"}</definedName>
    <definedName name="XC" hidden="1">{#N/A,#N/A,FALSE,"CCTV"}</definedName>
    <definedName name="XCCT">0.5</definedName>
    <definedName name="XCZC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T">#REF!</definedName>
    <definedName name="xfco">#REF!</definedName>
    <definedName name="xfco3p">#REF!</definedName>
    <definedName name="xfcotnc">#REF!</definedName>
    <definedName name="xfcotvl">#REF!</definedName>
    <definedName name="xgdsz" localSheetId="18" hidden="1">{#N/A,#N/A,FALSE,"BLOW";#N/A,#N/A,FALSE,"EXPAND";#N/A,#N/A,FALSE,"DRUM";#N/A,#N/A,FALSE,"DRYER";#N/A,#N/A,FALSE,"EXCH";#N/A,#N/A,FALSE,"FILTER";#N/A,#N/A,FALSE,"FURN";#N/A,#N/A,FALSE,"AGITATE";#N/A,#N/A,FALSE,"PUMP";#N/A,#N/A,FALSE,"REACT";#N/A,#N/A,FALSE,"TANK";#N/A,#N/A,FALSE,"TOWER";#N/A,#N/A,FALSE,"GEN"}</definedName>
    <definedName name="xgdsz" localSheetId="11" hidden="1">{#N/A,#N/A,FALSE,"BLOW";#N/A,#N/A,FALSE,"EXPAND";#N/A,#N/A,FALSE,"DRUM";#N/A,#N/A,FALSE,"DRYER";#N/A,#N/A,FALSE,"EXCH";#N/A,#N/A,FALSE,"FILTER";#N/A,#N/A,FALSE,"FURN";#N/A,#N/A,FALSE,"AGITATE";#N/A,#N/A,FALSE,"PUMP";#N/A,#N/A,FALSE,"REACT";#N/A,#N/A,FALSE,"TANK";#N/A,#N/A,FALSE,"TOWER";#N/A,#N/A,FALSE,"GEN"}</definedName>
    <definedName name="xgdsz" localSheetId="1" hidden="1">{#N/A,#N/A,FALSE,"BLOW";#N/A,#N/A,FALSE,"EXPAND";#N/A,#N/A,FALSE,"DRUM";#N/A,#N/A,FALSE,"DRYER";#N/A,#N/A,FALSE,"EXCH";#N/A,#N/A,FALSE,"FILTER";#N/A,#N/A,FALSE,"FURN";#N/A,#N/A,FALSE,"AGITATE";#N/A,#N/A,FALSE,"PUMP";#N/A,#N/A,FALSE,"REACT";#N/A,#N/A,FALSE,"TANK";#N/A,#N/A,FALSE,"TOWER";#N/A,#N/A,FALSE,"GEN"}</definedName>
    <definedName name="xgdsz" localSheetId="2" hidden="1">{#N/A,#N/A,FALSE,"BLOW";#N/A,#N/A,FALSE,"EXPAND";#N/A,#N/A,FALSE,"DRUM";#N/A,#N/A,FALSE,"DRYER";#N/A,#N/A,FALSE,"EXCH";#N/A,#N/A,FALSE,"FILTER";#N/A,#N/A,FALSE,"FURN";#N/A,#N/A,FALSE,"AGITATE";#N/A,#N/A,FALSE,"PUMP";#N/A,#N/A,FALSE,"REACT";#N/A,#N/A,FALSE,"TANK";#N/A,#N/A,FALSE,"TOWER";#N/A,#N/A,FALSE,"GEN"}</definedName>
    <definedName name="xgdsz" localSheetId="4" hidden="1">{#N/A,#N/A,FALSE,"BLOW";#N/A,#N/A,FALSE,"EXPAND";#N/A,#N/A,FALSE,"DRUM";#N/A,#N/A,FALSE,"DRYER";#N/A,#N/A,FALSE,"EXCH";#N/A,#N/A,FALSE,"FILTER";#N/A,#N/A,FALSE,"FURN";#N/A,#N/A,FALSE,"AGITATE";#N/A,#N/A,FALSE,"PUMP";#N/A,#N/A,FALSE,"REACT";#N/A,#N/A,FALSE,"TANK";#N/A,#N/A,FALSE,"TOWER";#N/A,#N/A,FALSE,"GEN"}</definedName>
    <definedName name="xgdsz" localSheetId="19" hidden="1">{#N/A,#N/A,FALSE,"BLOW";#N/A,#N/A,FALSE,"EXPAND";#N/A,#N/A,FALSE,"DRUM";#N/A,#N/A,FALSE,"DRYER";#N/A,#N/A,FALSE,"EXCH";#N/A,#N/A,FALSE,"FILTER";#N/A,#N/A,FALSE,"FURN";#N/A,#N/A,FALSE,"AGITATE";#N/A,#N/A,FALSE,"PUMP";#N/A,#N/A,FALSE,"REACT";#N/A,#N/A,FALSE,"TANK";#N/A,#N/A,FALSE,"TOWER";#N/A,#N/A,FALSE,"GEN"}</definedName>
    <definedName name="xgdsz" localSheetId="10" hidden="1">{#N/A,#N/A,FALSE,"BLOW";#N/A,#N/A,FALSE,"EXPAND";#N/A,#N/A,FALSE,"DRUM";#N/A,#N/A,FALSE,"DRYER";#N/A,#N/A,FALSE,"EXCH";#N/A,#N/A,FALSE,"FILTER";#N/A,#N/A,FALSE,"FURN";#N/A,#N/A,FALSE,"AGITATE";#N/A,#N/A,FALSE,"PUMP";#N/A,#N/A,FALSE,"REACT";#N/A,#N/A,FALSE,"TANK";#N/A,#N/A,FALSE,"TOWER";#N/A,#N/A,FALSE,"GEN"}</definedName>
    <definedName name="xgdsz" localSheetId="9" hidden="1">{#N/A,#N/A,FALSE,"BLOW";#N/A,#N/A,FALSE,"EXPAND";#N/A,#N/A,FALSE,"DRUM";#N/A,#N/A,FALSE,"DRYER";#N/A,#N/A,FALSE,"EXCH";#N/A,#N/A,FALSE,"FILTER";#N/A,#N/A,FALSE,"FURN";#N/A,#N/A,FALSE,"AGITATE";#N/A,#N/A,FALSE,"PUMP";#N/A,#N/A,FALSE,"REACT";#N/A,#N/A,FALSE,"TANK";#N/A,#N/A,FALSE,"TOWER";#N/A,#N/A,FALSE,"GEN"}</definedName>
    <definedName name="xgdsz" localSheetId="8" hidden="1">{#N/A,#N/A,FALSE,"BLOW";#N/A,#N/A,FALSE,"EXPAND";#N/A,#N/A,FALSE,"DRUM";#N/A,#N/A,FALSE,"DRYER";#N/A,#N/A,FALSE,"EXCH";#N/A,#N/A,FALSE,"FILTER";#N/A,#N/A,FALSE,"FURN";#N/A,#N/A,FALSE,"AGITATE";#N/A,#N/A,FALSE,"PUMP";#N/A,#N/A,FALSE,"REACT";#N/A,#N/A,FALSE,"TANK";#N/A,#N/A,FALSE,"TOWER";#N/A,#N/A,FALSE,"GEN"}</definedName>
    <definedName name="xgdsz" localSheetId="3" hidden="1">{#N/A,#N/A,FALSE,"BLOW";#N/A,#N/A,FALSE,"EXPAND";#N/A,#N/A,FALSE,"DRUM";#N/A,#N/A,FALSE,"DRYER";#N/A,#N/A,FALSE,"EXCH";#N/A,#N/A,FALSE,"FILTER";#N/A,#N/A,FALSE,"FURN";#N/A,#N/A,FALSE,"AGITATE";#N/A,#N/A,FALSE,"PUMP";#N/A,#N/A,FALSE,"REACT";#N/A,#N/A,FALSE,"TANK";#N/A,#N/A,FALSE,"TOWER";#N/A,#N/A,FALSE,"GEN"}</definedName>
    <definedName name="xgdsz" localSheetId="6" hidden="1">{#N/A,#N/A,FALSE,"BLOW";#N/A,#N/A,FALSE,"EXPAND";#N/A,#N/A,FALSE,"DRUM";#N/A,#N/A,FALSE,"DRYER";#N/A,#N/A,FALSE,"EXCH";#N/A,#N/A,FALSE,"FILTER";#N/A,#N/A,FALSE,"FURN";#N/A,#N/A,FALSE,"AGITATE";#N/A,#N/A,FALSE,"PUMP";#N/A,#N/A,FALSE,"REACT";#N/A,#N/A,FALSE,"TANK";#N/A,#N/A,FALSE,"TOWER";#N/A,#N/A,FALSE,"GEN"}</definedName>
    <definedName name="xgdsz" localSheetId="7" hidden="1">{#N/A,#N/A,FALSE,"BLOW";#N/A,#N/A,FALSE,"EXPAND";#N/A,#N/A,FALSE,"DRUM";#N/A,#N/A,FALSE,"DRYER";#N/A,#N/A,FALSE,"EXCH";#N/A,#N/A,FALSE,"FILTER";#N/A,#N/A,FALSE,"FURN";#N/A,#N/A,FALSE,"AGITATE";#N/A,#N/A,FALSE,"PUMP";#N/A,#N/A,FALSE,"REACT";#N/A,#N/A,FALSE,"TANK";#N/A,#N/A,FALSE,"TOWER";#N/A,#N/A,FALSE,"GEN"}</definedName>
    <definedName name="xgdsz" localSheetId="5"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ttbninh" localSheetId="18" hidden="1">{"'Sheet1'!$L$16"}</definedName>
    <definedName name="xlttbninh" localSheetId="11" hidden="1">{"'Sheet1'!$L$16"}</definedName>
    <definedName name="xlttbninh" localSheetId="1" hidden="1">{"'Sheet1'!$L$16"}</definedName>
    <definedName name="xlttbninh" localSheetId="2" hidden="1">{"'Sheet1'!$L$16"}</definedName>
    <definedName name="xlttbninh" localSheetId="12" hidden="1">{"'Sheet1'!$L$16"}</definedName>
    <definedName name="xlttbninh" localSheetId="4" hidden="1">{"'Sheet1'!$L$16"}</definedName>
    <definedName name="xlttbninh" localSheetId="19" hidden="1">{"'Sheet1'!$L$16"}</definedName>
    <definedName name="xlttbninh" localSheetId="10" hidden="1">{"'Sheet1'!$L$16"}</definedName>
    <definedName name="xlttbninh" localSheetId="9" hidden="1">{"'Sheet1'!$L$16"}</definedName>
    <definedName name="xlttbninh" localSheetId="8" hidden="1">{"'Sheet1'!$L$16"}</definedName>
    <definedName name="xlttbninh" localSheetId="3" hidden="1">{"'Sheet1'!$L$16"}</definedName>
    <definedName name="xlttbninh" localSheetId="6" hidden="1">{"'Sheet1'!$L$16"}</definedName>
    <definedName name="xlttbninh" localSheetId="7" hidden="1">{"'Sheet1'!$L$16"}</definedName>
    <definedName name="xlttbninh" localSheetId="5" hidden="1">{"'Sheet1'!$L$16"}</definedName>
    <definedName name="xlttbninh" localSheetId="13" hidden="1">{"'Sheet1'!$L$16"}</definedName>
    <definedName name="xlttbninh" hidden="1">{"'Sheet1'!$L$16"}</definedName>
    <definedName name="xvxcvxc" localSheetId="18" hidden="1">{"'Sheet1'!$L$16"}</definedName>
    <definedName name="xvxcvxc" localSheetId="11" hidden="1">{"'Sheet1'!$L$16"}</definedName>
    <definedName name="xvxcvxc" localSheetId="1" hidden="1">{"'Sheet1'!$L$16"}</definedName>
    <definedName name="xvxcvxc" localSheetId="2" hidden="1">{"'Sheet1'!$L$16"}</definedName>
    <definedName name="xvxcvxc" localSheetId="12" hidden="1">{"'Sheet1'!$L$16"}</definedName>
    <definedName name="xvxcvxc" localSheetId="4" hidden="1">{"'Sheet1'!$L$16"}</definedName>
    <definedName name="xvxcvxc" localSheetId="19" hidden="1">{"'Sheet1'!$L$16"}</definedName>
    <definedName name="xvxcvxc" localSheetId="10" hidden="1">{"'Sheet1'!$L$16"}</definedName>
    <definedName name="xvxcvxc" localSheetId="9" hidden="1">{"'Sheet1'!$L$16"}</definedName>
    <definedName name="xvxcvxc" localSheetId="8" hidden="1">{"'Sheet1'!$L$16"}</definedName>
    <definedName name="xvxcvxc" localSheetId="3" hidden="1">{"'Sheet1'!$L$16"}</definedName>
    <definedName name="xvxcvxc" localSheetId="6" hidden="1">{"'Sheet1'!$L$16"}</definedName>
    <definedName name="xvxcvxc" localSheetId="7" hidden="1">{"'Sheet1'!$L$16"}</definedName>
    <definedName name="xvxcvxc" localSheetId="5" hidden="1">{"'Sheet1'!$L$16"}</definedName>
    <definedName name="xvxcvxc" localSheetId="13" hidden="1">{"'Sheet1'!$L$16"}</definedName>
    <definedName name="xvxcvxc" hidden="1">{"'Sheet1'!$L$16"}</definedName>
    <definedName name="xx">[111]costing_CV!$B$7:$O$80</definedName>
    <definedName name="xxx" localSheetId="18" hidden="1">{#N/A,#N/A,TRUE,"Mhr_Sum"}</definedName>
    <definedName name="xxx" hidden="1">{#N/A,#N/A,TRUE,"Mhr_Sum"}</definedName>
    <definedName name="xxxx" localSheetId="11">'[112]ESTADIST(PTS.)'!$B$4:$B$13</definedName>
    <definedName name="xxxx" localSheetId="1">'[112]ESTADIST(PTS.)'!$B$4:$B$13</definedName>
    <definedName name="xxxx" localSheetId="2">'[112]ESTADIST(PTS.)'!$B$4:$B$13</definedName>
    <definedName name="xxxx" localSheetId="4">'[112]ESTADIST(PTS.)'!$B$4:$B$13</definedName>
    <definedName name="xxxx" localSheetId="19">'[112]ESTADIST(PTS.)'!$B$4:$B$13</definedName>
    <definedName name="xxxx" localSheetId="10">'[112]ESTADIST(PTS.)'!$B$4:$B$13</definedName>
    <definedName name="xxxx" localSheetId="9">'[112]ESTADIST(PTS.)'!$B$4:$B$13</definedName>
    <definedName name="xxxx" localSheetId="8">'[112]ESTADIST(PTS.)'!$B$4:$B$13</definedName>
    <definedName name="xxxx" localSheetId="3">'[112]ESTADIST(PTS.)'!$B$4:$B$13</definedName>
    <definedName name="xxxx" localSheetId="6">'[112]ESTADIST(PTS.)'!$B$4:$B$13</definedName>
    <definedName name="xxxx" localSheetId="7">'[112]ESTADIST(PTS.)'!$B$4:$B$13</definedName>
    <definedName name="xxxx" localSheetId="5">'[112]ESTADIST(PTS.)'!$B$4:$B$13</definedName>
    <definedName name="xxxx">#REF!</definedName>
    <definedName name="XXXXX" localSheetId="11" hidden="1">[12]Spread!#REF!</definedName>
    <definedName name="XXXXX" localSheetId="1" hidden="1">[12]Spread!#REF!</definedName>
    <definedName name="XXXXX" localSheetId="2" hidden="1">[12]Spread!#REF!</definedName>
    <definedName name="XXXXX" localSheetId="4" hidden="1">[12]Spread!#REF!</definedName>
    <definedName name="XXXXX" localSheetId="19" hidden="1">[12]Spread!#REF!</definedName>
    <definedName name="XXXXX" localSheetId="10" hidden="1">[12]Spread!#REF!</definedName>
    <definedName name="XXXXX" localSheetId="9" hidden="1">[12]Spread!#REF!</definedName>
    <definedName name="XXXXX" localSheetId="8" hidden="1">[12]Spread!#REF!</definedName>
    <definedName name="XXXXX" localSheetId="3" hidden="1">[12]Spread!#REF!</definedName>
    <definedName name="XXXXX" localSheetId="6" hidden="1">[12]Spread!#REF!</definedName>
    <definedName name="XXXXX" localSheetId="7" hidden="1">[12]Spread!#REF!</definedName>
    <definedName name="XXXXX" localSheetId="5" hidden="1">[12]Spread!#REF!</definedName>
    <definedName name="XXXXX" hidden="1">#REF!</definedName>
    <definedName name="y" localSheetId="18" hidden="1">{"'Liquid'!$A$1:$U$57"}</definedName>
    <definedName name="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{"'Liquid'!$A$1:$U$57"}</definedName>
    <definedName name="y_strainer">#REF!</definedName>
    <definedName name="Yd" localSheetId="12">#REF!</definedName>
    <definedName name="Yd" localSheetId="13">#REF!</definedName>
    <definedName name="Yd">#REF!</definedName>
    <definedName name="yesnot">[113]Spec1!$AM$58:OFFSET([113]Spec1!$AM$58,[113]Spec1!$AM$56,)</definedName>
    <definedName name="yi" localSheetId="18" hidden="1">{"'Sheet1'!$L$16"}</definedName>
    <definedName name="yi" hidden="1">{"'Sheet1'!$L$16"}</definedName>
    <definedName name="YN">#REF!</definedName>
    <definedName name="ynkim" localSheetId="18" hidden="1">{#N/A,#N/A,TRUE,"Basic";#N/A,#N/A,TRUE,"EXT-TABLE";#N/A,#N/A,TRUE,"STEEL";#N/A,#N/A,TRUE,"INT-Table";#N/A,#N/A,TRUE,"STEEL";#N/A,#N/A,TRUE,"Door"}</definedName>
    <definedName name="ynkim" hidden="1">{#N/A,#N/A,TRUE,"Basic";#N/A,#N/A,TRUE,"EXT-TABLE";#N/A,#N/A,TRUE,"STEEL";#N/A,#N/A,TRUE,"INT-Table";#N/A,#N/A,TRUE,"STEEL";#N/A,#N/A,TRUE,"Door"}</definedName>
    <definedName name="ynkim_1" localSheetId="18" hidden="1">{#N/A,#N/A,TRUE,"Basic";#N/A,#N/A,TRUE,"EXT-TABLE";#N/A,#N/A,TRUE,"STEEL";#N/A,#N/A,TRUE,"INT-Table";#N/A,#N/A,TRUE,"STEEL";#N/A,#N/A,TRUE,"Door"}</definedName>
    <definedName name="ynkim_1" hidden="1">{#N/A,#N/A,TRUE,"Basic";#N/A,#N/A,TRUE,"EXT-TABLE";#N/A,#N/A,TRUE,"STEEL";#N/A,#N/A,TRUE,"INT-Table";#N/A,#N/A,TRUE,"STEEL";#N/A,#N/A,TRUE,"Door"}</definedName>
    <definedName name="ynkim_1_1" localSheetId="18" hidden="1">{#N/A,#N/A,TRUE,"Basic";#N/A,#N/A,TRUE,"EXT-TABLE";#N/A,#N/A,TRUE,"STEEL";#N/A,#N/A,TRUE,"INT-Table";#N/A,#N/A,TRUE,"STEEL";#N/A,#N/A,TRUE,"Door"}</definedName>
    <definedName name="ynkim_1_1" hidden="1">{#N/A,#N/A,TRUE,"Basic";#N/A,#N/A,TRUE,"EXT-TABLE";#N/A,#N/A,TRUE,"STEEL";#N/A,#N/A,TRUE,"INT-Table";#N/A,#N/A,TRUE,"STEEL";#N/A,#N/A,TRUE,"Door"}</definedName>
    <definedName name="ynkim_1_2" localSheetId="18" hidden="1">{#N/A,#N/A,TRUE,"Basic";#N/A,#N/A,TRUE,"EXT-TABLE";#N/A,#N/A,TRUE,"STEEL";#N/A,#N/A,TRUE,"INT-Table";#N/A,#N/A,TRUE,"STEEL";#N/A,#N/A,TRUE,"Door"}</definedName>
    <definedName name="ynkim_1_2" hidden="1">{#N/A,#N/A,TRUE,"Basic";#N/A,#N/A,TRUE,"EXT-TABLE";#N/A,#N/A,TRUE,"STEEL";#N/A,#N/A,TRUE,"INT-Table";#N/A,#N/A,TRUE,"STEEL";#N/A,#N/A,TRUE,"Door"}</definedName>
    <definedName name="ynkim_2" localSheetId="18" hidden="1">{#N/A,#N/A,TRUE,"Basic";#N/A,#N/A,TRUE,"EXT-TABLE";#N/A,#N/A,TRUE,"STEEL";#N/A,#N/A,TRUE,"INT-Table";#N/A,#N/A,TRUE,"STEEL";#N/A,#N/A,TRUE,"Door"}</definedName>
    <definedName name="ynkim_2" hidden="1">{#N/A,#N/A,TRUE,"Basic";#N/A,#N/A,TRUE,"EXT-TABLE";#N/A,#N/A,TRUE,"STEEL";#N/A,#N/A,TRUE,"INT-Table";#N/A,#N/A,TRUE,"STEEL";#N/A,#N/A,TRUE,"Door"}</definedName>
    <definedName name="ynkim_2_1" localSheetId="18" hidden="1">{#N/A,#N/A,TRUE,"Basic";#N/A,#N/A,TRUE,"EXT-TABLE";#N/A,#N/A,TRUE,"STEEL";#N/A,#N/A,TRUE,"INT-Table";#N/A,#N/A,TRUE,"STEEL";#N/A,#N/A,TRUE,"Door"}</definedName>
    <definedName name="ynkim_2_1" hidden="1">{#N/A,#N/A,TRUE,"Basic";#N/A,#N/A,TRUE,"EXT-TABLE";#N/A,#N/A,TRUE,"STEEL";#N/A,#N/A,TRUE,"INT-Table";#N/A,#N/A,TRUE,"STEEL";#N/A,#N/A,TRUE,"Door"}</definedName>
    <definedName name="ynkim_2_2" localSheetId="18" hidden="1">{#N/A,#N/A,TRUE,"Basic";#N/A,#N/A,TRUE,"EXT-TABLE";#N/A,#N/A,TRUE,"STEEL";#N/A,#N/A,TRUE,"INT-Table";#N/A,#N/A,TRUE,"STEEL";#N/A,#N/A,TRUE,"Door"}</definedName>
    <definedName name="ynkim_2_2" hidden="1">{#N/A,#N/A,TRUE,"Basic";#N/A,#N/A,TRUE,"EXT-TABLE";#N/A,#N/A,TRUE,"STEEL";#N/A,#N/A,TRUE,"INT-Table";#N/A,#N/A,TRUE,"STEEL";#N/A,#N/A,TRUE,"Door"}</definedName>
    <definedName name="ynkim_3" localSheetId="18" hidden="1">{#N/A,#N/A,TRUE,"Basic";#N/A,#N/A,TRUE,"EXT-TABLE";#N/A,#N/A,TRUE,"STEEL";#N/A,#N/A,TRUE,"INT-Table";#N/A,#N/A,TRUE,"STEEL";#N/A,#N/A,TRUE,"Door"}</definedName>
    <definedName name="ynkim_3" hidden="1">{#N/A,#N/A,TRUE,"Basic";#N/A,#N/A,TRUE,"EXT-TABLE";#N/A,#N/A,TRUE,"STEEL";#N/A,#N/A,TRUE,"INT-Table";#N/A,#N/A,TRUE,"STEEL";#N/A,#N/A,TRUE,"Door"}</definedName>
    <definedName name="ynkim_3_1" localSheetId="18" hidden="1">{#N/A,#N/A,TRUE,"Basic";#N/A,#N/A,TRUE,"EXT-TABLE";#N/A,#N/A,TRUE,"STEEL";#N/A,#N/A,TRUE,"INT-Table";#N/A,#N/A,TRUE,"STEEL";#N/A,#N/A,TRUE,"Door"}</definedName>
    <definedName name="ynkim_3_1" hidden="1">{#N/A,#N/A,TRUE,"Basic";#N/A,#N/A,TRUE,"EXT-TABLE";#N/A,#N/A,TRUE,"STEEL";#N/A,#N/A,TRUE,"INT-Table";#N/A,#N/A,TRUE,"STEEL";#N/A,#N/A,TRUE,"Door"}</definedName>
    <definedName name="ynkim_3_2" localSheetId="18" hidden="1">{#N/A,#N/A,TRUE,"Basic";#N/A,#N/A,TRUE,"EXT-TABLE";#N/A,#N/A,TRUE,"STEEL";#N/A,#N/A,TRUE,"INT-Table";#N/A,#N/A,TRUE,"STEEL";#N/A,#N/A,TRUE,"Door"}</definedName>
    <definedName name="ynkim_3_2" hidden="1">{#N/A,#N/A,TRUE,"Basic";#N/A,#N/A,TRUE,"EXT-TABLE";#N/A,#N/A,TRUE,"STEEL";#N/A,#N/A,TRUE,"INT-Table";#N/A,#N/A,TRUE,"STEEL";#N/A,#N/A,TRUE,"Door"}</definedName>
    <definedName name="ynkim_4" localSheetId="18" hidden="1">{#N/A,#N/A,TRUE,"Basic";#N/A,#N/A,TRUE,"EXT-TABLE";#N/A,#N/A,TRUE,"STEEL";#N/A,#N/A,TRUE,"INT-Table";#N/A,#N/A,TRUE,"STEEL";#N/A,#N/A,TRUE,"Door"}</definedName>
    <definedName name="ynkim_4" hidden="1">{#N/A,#N/A,TRUE,"Basic";#N/A,#N/A,TRUE,"EXT-TABLE";#N/A,#N/A,TRUE,"STEEL";#N/A,#N/A,TRUE,"INT-Table";#N/A,#N/A,TRUE,"STEEL";#N/A,#N/A,TRUE,"Door"}</definedName>
    <definedName name="ynkim_4_1" localSheetId="18" hidden="1">{#N/A,#N/A,TRUE,"Basic";#N/A,#N/A,TRUE,"EXT-TABLE";#N/A,#N/A,TRUE,"STEEL";#N/A,#N/A,TRUE,"INT-Table";#N/A,#N/A,TRUE,"STEEL";#N/A,#N/A,TRUE,"Door"}</definedName>
    <definedName name="ynkim_4_1" hidden="1">{#N/A,#N/A,TRUE,"Basic";#N/A,#N/A,TRUE,"EXT-TABLE";#N/A,#N/A,TRUE,"STEEL";#N/A,#N/A,TRUE,"INT-Table";#N/A,#N/A,TRUE,"STEEL";#N/A,#N/A,TRUE,"Door"}</definedName>
    <definedName name="ynkim_4_2" localSheetId="18" hidden="1">{#N/A,#N/A,TRUE,"Basic";#N/A,#N/A,TRUE,"EXT-TABLE";#N/A,#N/A,TRUE,"STEEL";#N/A,#N/A,TRUE,"INT-Table";#N/A,#N/A,TRUE,"STEEL";#N/A,#N/A,TRUE,"Door"}</definedName>
    <definedName name="ynkim_4_2" hidden="1">{#N/A,#N/A,TRUE,"Basic";#N/A,#N/A,TRUE,"EXT-TABLE";#N/A,#N/A,TRUE,"STEEL";#N/A,#N/A,TRUE,"INT-Table";#N/A,#N/A,TRUE,"STEEL";#N/A,#N/A,TRUE,"Door"}</definedName>
    <definedName name="ynkim_5" localSheetId="18" hidden="1">{#N/A,#N/A,TRUE,"Basic";#N/A,#N/A,TRUE,"EXT-TABLE";#N/A,#N/A,TRUE,"STEEL";#N/A,#N/A,TRUE,"INT-Table";#N/A,#N/A,TRUE,"STEEL";#N/A,#N/A,TRUE,"Door"}</definedName>
    <definedName name="ynkim_5" hidden="1">{#N/A,#N/A,TRUE,"Basic";#N/A,#N/A,TRUE,"EXT-TABLE";#N/A,#N/A,TRUE,"STEEL";#N/A,#N/A,TRUE,"INT-Table";#N/A,#N/A,TRUE,"STEEL";#N/A,#N/A,TRUE,"Door"}</definedName>
    <definedName name="ynkim_5_1" localSheetId="18" hidden="1">{#N/A,#N/A,TRUE,"Basic";#N/A,#N/A,TRUE,"EXT-TABLE";#N/A,#N/A,TRUE,"STEEL";#N/A,#N/A,TRUE,"INT-Table";#N/A,#N/A,TRUE,"STEEL";#N/A,#N/A,TRUE,"Door"}</definedName>
    <definedName name="ynkim_5_1" hidden="1">{#N/A,#N/A,TRUE,"Basic";#N/A,#N/A,TRUE,"EXT-TABLE";#N/A,#N/A,TRUE,"STEEL";#N/A,#N/A,TRUE,"INT-Table";#N/A,#N/A,TRUE,"STEEL";#N/A,#N/A,TRUE,"Door"}</definedName>
    <definedName name="ynkim_5_2" localSheetId="18" hidden="1">{#N/A,#N/A,TRUE,"Basic";#N/A,#N/A,TRUE,"EXT-TABLE";#N/A,#N/A,TRUE,"STEEL";#N/A,#N/A,TRUE,"INT-Table";#N/A,#N/A,TRUE,"STEEL";#N/A,#N/A,TRUE,"Door"}</definedName>
    <definedName name="ynkim_5_2" hidden="1">{#N/A,#N/A,TRUE,"Basic";#N/A,#N/A,TRUE,"EXT-TABLE";#N/A,#N/A,TRUE,"STEEL";#N/A,#N/A,TRUE,"INT-Table";#N/A,#N/A,TRUE,"STEEL";#N/A,#N/A,TRUE,"Door"}</definedName>
    <definedName name="yrdtytyt" localSheetId="18" hidden="1">{#N/A,#N/A,FALSE,"CCTV"}</definedName>
    <definedName name="yrdtytyt" localSheetId="11" hidden="1">{#N/A,#N/A,FALSE,"CCTV"}</definedName>
    <definedName name="yrdtytyt" localSheetId="1" hidden="1">{#N/A,#N/A,FALSE,"CCTV"}</definedName>
    <definedName name="yrdtytyt" localSheetId="2" hidden="1">{#N/A,#N/A,FALSE,"CCTV"}</definedName>
    <definedName name="yrdtytyt" localSheetId="4" hidden="1">{#N/A,#N/A,FALSE,"CCTV"}</definedName>
    <definedName name="yrdtytyt" localSheetId="19" hidden="1">{#N/A,#N/A,FALSE,"CCTV"}</definedName>
    <definedName name="yrdtytyt" localSheetId="10" hidden="1">{#N/A,#N/A,FALSE,"CCTV"}</definedName>
    <definedName name="yrdtytyt" localSheetId="9" hidden="1">{#N/A,#N/A,FALSE,"CCTV"}</definedName>
    <definedName name="yrdtytyt" localSheetId="8" hidden="1">{#N/A,#N/A,FALSE,"CCTV"}</definedName>
    <definedName name="yrdtytyt" localSheetId="3" hidden="1">{#N/A,#N/A,FALSE,"CCTV"}</definedName>
    <definedName name="yrdtytyt" localSheetId="6" hidden="1">{#N/A,#N/A,FALSE,"CCTV"}</definedName>
    <definedName name="yrdtytyt" localSheetId="7" hidden="1">{#N/A,#N/A,FALSE,"CCTV"}</definedName>
    <definedName name="yrdtytyt" localSheetId="5" hidden="1">{#N/A,#N/A,FALSE,"CCTV"}</definedName>
    <definedName name="yrdtytyt" hidden="1">{#N/A,#N/A,FALSE,"CCTV"}</definedName>
    <definedName name="YSB">#REF!</definedName>
    <definedName name="yttuki" localSheetId="18" hidden="1">{"'Sheet1'!$L$16"}</definedName>
    <definedName name="yttuki" localSheetId="11" hidden="1">{"'Sheet1'!$L$16"}</definedName>
    <definedName name="yttuki" localSheetId="1" hidden="1">{"'Sheet1'!$L$16"}</definedName>
    <definedName name="yttuki" localSheetId="2" hidden="1">{"'Sheet1'!$L$16"}</definedName>
    <definedName name="yttuki" localSheetId="12" hidden="1">{"'Sheet1'!$L$16"}</definedName>
    <definedName name="yttuki" localSheetId="4" hidden="1">{"'Sheet1'!$L$16"}</definedName>
    <definedName name="yttuki" localSheetId="19" hidden="1">{"'Sheet1'!$L$16"}</definedName>
    <definedName name="yttuki" localSheetId="10" hidden="1">{"'Sheet1'!$L$16"}</definedName>
    <definedName name="yttuki" localSheetId="9" hidden="1">{"'Sheet1'!$L$16"}</definedName>
    <definedName name="yttuki" localSheetId="8" hidden="1">{"'Sheet1'!$L$16"}</definedName>
    <definedName name="yttuki" localSheetId="3" hidden="1">{"'Sheet1'!$L$16"}</definedName>
    <definedName name="yttuki" localSheetId="6" hidden="1">{"'Sheet1'!$L$16"}</definedName>
    <definedName name="yttuki" localSheetId="7" hidden="1">{"'Sheet1'!$L$16"}</definedName>
    <definedName name="yttuki" localSheetId="5" hidden="1">{"'Sheet1'!$L$16"}</definedName>
    <definedName name="yttuki" localSheetId="13" hidden="1">{"'Sheet1'!$L$16"}</definedName>
    <definedName name="yttuki" hidden="1">{"'Sheet1'!$L$16"}</definedName>
    <definedName name="Yu" localSheetId="12">#REF!</definedName>
    <definedName name="Yu" localSheetId="13">#REF!</definedName>
    <definedName name="Yu">#REF!</definedName>
    <definedName name="yuyu" localSheetId="18" hidden="1">{"'장비'!$A$3:$M$12"}</definedName>
    <definedName name="yuyu" hidden="1">{"'장비'!$A$3:$M$12"}</definedName>
    <definedName name="yuyuyu" localSheetId="18" hidden="1">{"'장비'!$A$3:$M$12"}</definedName>
    <definedName name="yuyuyu" hidden="1">{"'장비'!$A$3:$M$12"}</definedName>
    <definedName name="yy">#REF!</definedName>
    <definedName name="yyyyy" hidden="1">#REF!</definedName>
    <definedName name="Z">#REF!</definedName>
    <definedName name="Z_8C738B8C_9A04_11D6_A2EB_0002A5242FB9_.wvu.Cols" localSheetId="11" hidden="1">'[114]D 5243-ARAMCO'!$A$1:$B$65536,'[114]D 5243-ARAMCO'!$J$1:$L$65536</definedName>
    <definedName name="Z_8C738B8C_9A04_11D6_A2EB_0002A5242FB9_.wvu.Cols" localSheetId="1" hidden="1">'[114]D 5243-ARAMCO'!$A$1:$B$65536,'[114]D 5243-ARAMCO'!$J$1:$L$65536</definedName>
    <definedName name="Z_8C738B8C_9A04_11D6_A2EB_0002A5242FB9_.wvu.Cols" localSheetId="2" hidden="1">'[114]D 5243-ARAMCO'!$A$1:$B$65536,'[114]D 5243-ARAMCO'!$J$1:$L$65536</definedName>
    <definedName name="Z_8C738B8C_9A04_11D6_A2EB_0002A5242FB9_.wvu.Cols" localSheetId="4" hidden="1">'[114]D 5243-ARAMCO'!$A$1:$B$65536,'[114]D 5243-ARAMCO'!$J$1:$L$65536</definedName>
    <definedName name="Z_8C738B8C_9A04_11D6_A2EB_0002A5242FB9_.wvu.Cols" localSheetId="19" hidden="1">'[114]D 5243-ARAMCO'!$A$1:$B$65536,'[114]D 5243-ARAMCO'!$J$1:$L$65536</definedName>
    <definedName name="Z_8C738B8C_9A04_11D6_A2EB_0002A5242FB9_.wvu.Cols" localSheetId="10" hidden="1">'[114]D 5243-ARAMCO'!$A$1:$B$65536,'[114]D 5243-ARAMCO'!$J$1:$L$65536</definedName>
    <definedName name="Z_8C738B8C_9A04_11D6_A2EB_0002A5242FB9_.wvu.Cols" localSheetId="9" hidden="1">'[114]D 5243-ARAMCO'!$A$1:$B$65536,'[114]D 5243-ARAMCO'!$J$1:$L$65536</definedName>
    <definedName name="Z_8C738B8C_9A04_11D6_A2EB_0002A5242FB9_.wvu.Cols" localSheetId="8" hidden="1">'[114]D 5243-ARAMCO'!$A$1:$B$65536,'[114]D 5243-ARAMCO'!$J$1:$L$65536</definedName>
    <definedName name="Z_8C738B8C_9A04_11D6_A2EB_0002A5242FB9_.wvu.Cols" localSheetId="3" hidden="1">'[114]D 5243-ARAMCO'!$A$1:$B$65536,'[114]D 5243-ARAMCO'!$J$1:$L$65536</definedName>
    <definedName name="Z_8C738B8C_9A04_11D6_A2EB_0002A5242FB9_.wvu.Cols" localSheetId="6" hidden="1">'[114]D 5243-ARAMCO'!$A$1:$B$65536,'[114]D 5243-ARAMCO'!$J$1:$L$65536</definedName>
    <definedName name="Z_8C738B8C_9A04_11D6_A2EB_0002A5242FB9_.wvu.Cols" localSheetId="7" hidden="1">'[114]D 5243-ARAMCO'!$A$1:$B$65536,'[114]D 5243-ARAMCO'!$J$1:$L$65536</definedName>
    <definedName name="Z_8C738B8C_9A04_11D6_A2EB_0002A5242FB9_.wvu.Cols" localSheetId="5" hidden="1">'[114]D 5243-ARAMCO'!$A$1:$B$65536,'[114]D 5243-ARAMCO'!$J$1:$L$65536</definedName>
    <definedName name="Z_8C738B8C_9A04_11D6_A2EB_0002A5242FB9_.wvu.Cols" hidden="1">#REF!,#REF!</definedName>
    <definedName name="Z_8C738B8C_9A04_11D6_A2EB_0002A5242FB9_.wvu.Rows" localSheetId="11" hidden="1">'[114]D-4801 OXY'!$A$18:$IV$18,'[114]D-4801 OXY'!$A$21:$IV$21,'[114]D-4801 OXY'!$A$23:$IV$23</definedName>
    <definedName name="Z_8C738B8C_9A04_11D6_A2EB_0002A5242FB9_.wvu.Rows" localSheetId="1" hidden="1">'[114]D-4801 OXY'!$A$18:$IV$18,'[114]D-4801 OXY'!$A$21:$IV$21,'[114]D-4801 OXY'!$A$23:$IV$23</definedName>
    <definedName name="Z_8C738B8C_9A04_11D6_A2EB_0002A5242FB9_.wvu.Rows" localSheetId="2" hidden="1">'[114]D-4801 OXY'!$A$18:$IV$18,'[114]D-4801 OXY'!$A$21:$IV$21,'[114]D-4801 OXY'!$A$23:$IV$23</definedName>
    <definedName name="Z_8C738B8C_9A04_11D6_A2EB_0002A5242FB9_.wvu.Rows" localSheetId="4" hidden="1">'[114]D-4801 OXY'!$A$18:$IV$18,'[114]D-4801 OXY'!$A$21:$IV$21,'[114]D-4801 OXY'!$A$23:$IV$23</definedName>
    <definedName name="Z_8C738B8C_9A04_11D6_A2EB_0002A5242FB9_.wvu.Rows" localSheetId="19" hidden="1">'[114]D-4801 OXY'!$A$18:$IV$18,'[114]D-4801 OXY'!$A$21:$IV$21,'[114]D-4801 OXY'!$A$23:$IV$23</definedName>
    <definedName name="Z_8C738B8C_9A04_11D6_A2EB_0002A5242FB9_.wvu.Rows" localSheetId="10" hidden="1">'[114]D-4801 OXY'!$A$18:$IV$18,'[114]D-4801 OXY'!$A$21:$IV$21,'[114]D-4801 OXY'!$A$23:$IV$23</definedName>
    <definedName name="Z_8C738B8C_9A04_11D6_A2EB_0002A5242FB9_.wvu.Rows" localSheetId="9" hidden="1">'[114]D-4801 OXY'!$A$18:$IV$18,'[114]D-4801 OXY'!$A$21:$IV$21,'[114]D-4801 OXY'!$A$23:$IV$23</definedName>
    <definedName name="Z_8C738B8C_9A04_11D6_A2EB_0002A5242FB9_.wvu.Rows" localSheetId="8" hidden="1">'[114]D-4801 OXY'!$A$18:$IV$18,'[114]D-4801 OXY'!$A$21:$IV$21,'[114]D-4801 OXY'!$A$23:$IV$23</definedName>
    <definedName name="Z_8C738B8C_9A04_11D6_A2EB_0002A5242FB9_.wvu.Rows" localSheetId="3" hidden="1">'[114]D-4801 OXY'!$A$18:$IV$18,'[114]D-4801 OXY'!$A$21:$IV$21,'[114]D-4801 OXY'!$A$23:$IV$23</definedName>
    <definedName name="Z_8C738B8C_9A04_11D6_A2EB_0002A5242FB9_.wvu.Rows" localSheetId="6" hidden="1">'[114]D-4801 OXY'!$A$18:$IV$18,'[114]D-4801 OXY'!$A$21:$IV$21,'[114]D-4801 OXY'!$A$23:$IV$23</definedName>
    <definedName name="Z_8C738B8C_9A04_11D6_A2EB_0002A5242FB9_.wvu.Rows" localSheetId="7" hidden="1">'[114]D-4801 OXY'!$A$18:$IV$18,'[114]D-4801 OXY'!$A$21:$IV$21,'[114]D-4801 OXY'!$A$23:$IV$23</definedName>
    <definedName name="Z_8C738B8C_9A04_11D6_A2EB_0002A5242FB9_.wvu.Rows" localSheetId="5" hidden="1">'[114]D-4801 OXY'!$A$18:$IV$18,'[114]D-4801 OXY'!$A$21:$IV$21,'[114]D-4801 OXY'!$A$23:$IV$23</definedName>
    <definedName name="Z_8C738B8C_9A04_11D6_A2EB_0002A5242FB9_.wvu.Rows" hidden="1">#REF!,#REF!,#REF!</definedName>
    <definedName name="Z_B6D82DE0_6701_11DA_9820_00304F1E4471_.wvu.Cols" localSheetId="12">#REF!</definedName>
    <definedName name="Z_B6D82DE0_6701_11DA_9820_00304F1E4471_.wvu.Cols" localSheetId="13">#REF!</definedName>
    <definedName name="Z_B6D82DE0_6701_11DA_9820_00304F1E4471_.wvu.Cols">#REF!</definedName>
    <definedName name="ZC">#REF!</definedName>
    <definedName name="ZD">#REF!</definedName>
    <definedName name="Zeta_Caldera">#REF!</definedName>
    <definedName name="Zeta_Chimenea">#REF!</definedName>
    <definedName name="ZL">#REF!</definedName>
    <definedName name="ZXC" localSheetId="18" hidden="1">{#N/A,#N/A,FALSE,"CCTV"}</definedName>
    <definedName name="ZXC" hidden="1">{#N/A,#N/A,FALSE,"CCTV"}</definedName>
    <definedName name="ZXCV" localSheetId="18" hidden="1">{#N/A,#N/A,FALSE,"CCTV"}</definedName>
    <definedName name="ZXCV" hidden="1">{#N/A,#N/A,FALSE,"CCTV"}</definedName>
    <definedName name="ZXzX" localSheetId="18" hidden="1">{"'Sheet1'!$L$16"}</definedName>
    <definedName name="ZXzX" localSheetId="11" hidden="1">{"'Sheet1'!$L$16"}</definedName>
    <definedName name="ZXzX" localSheetId="1" hidden="1">{"'Sheet1'!$L$16"}</definedName>
    <definedName name="ZXzX" localSheetId="2" hidden="1">{"'Sheet1'!$L$16"}</definedName>
    <definedName name="ZXzX" localSheetId="12" hidden="1">{"'Sheet1'!$L$16"}</definedName>
    <definedName name="ZXzX" localSheetId="4" hidden="1">{"'Sheet1'!$L$16"}</definedName>
    <definedName name="ZXzX" localSheetId="19" hidden="1">{"'Sheet1'!$L$16"}</definedName>
    <definedName name="ZXzX" localSheetId="10" hidden="1">{"'Sheet1'!$L$16"}</definedName>
    <definedName name="ZXzX" localSheetId="9" hidden="1">{"'Sheet1'!$L$16"}</definedName>
    <definedName name="ZXzX" localSheetId="8" hidden="1">{"'Sheet1'!$L$16"}</definedName>
    <definedName name="ZXzX" localSheetId="3" hidden="1">{"'Sheet1'!$L$16"}</definedName>
    <definedName name="ZXzX" localSheetId="6" hidden="1">{"'Sheet1'!$L$16"}</definedName>
    <definedName name="ZXzX" localSheetId="7" hidden="1">{"'Sheet1'!$L$16"}</definedName>
    <definedName name="ZXzX" localSheetId="5" hidden="1">{"'Sheet1'!$L$16"}</definedName>
    <definedName name="ZXzX" localSheetId="13" hidden="1">{"'Sheet1'!$L$16"}</definedName>
    <definedName name="ZXzX" hidden="1">{"'Sheet1'!$L$16"}</definedName>
    <definedName name="ZYX">#REF!</definedName>
    <definedName name="ZZ" localSheetId="18" hidden="1">{"'Sheet1'!$L$16"}</definedName>
    <definedName name="ZZ" localSheetId="11" hidden="1">{"'Sheet1'!$L$16"}</definedName>
    <definedName name="ZZ" localSheetId="1" hidden="1">{"'Sheet1'!$L$16"}</definedName>
    <definedName name="ZZ" localSheetId="2" hidden="1">{"'Sheet1'!$L$16"}</definedName>
    <definedName name="ZZ" localSheetId="12" hidden="1">{"'Sheet1'!$L$16"}</definedName>
    <definedName name="ZZ" localSheetId="4" hidden="1">{"'Sheet1'!$L$16"}</definedName>
    <definedName name="ZZ" localSheetId="19" hidden="1">{"'Sheet1'!$L$16"}</definedName>
    <definedName name="ZZ" localSheetId="10" hidden="1">{"'Sheet1'!$L$16"}</definedName>
    <definedName name="ZZ" localSheetId="9" hidden="1">{"'Sheet1'!$L$16"}</definedName>
    <definedName name="ZZ" localSheetId="8" hidden="1">{"'Sheet1'!$L$16"}</definedName>
    <definedName name="ZZ" localSheetId="3" hidden="1">{"'Sheet1'!$L$16"}</definedName>
    <definedName name="ZZ" localSheetId="6" hidden="1">{"'Sheet1'!$L$16"}</definedName>
    <definedName name="ZZ" localSheetId="7" hidden="1">{"'Sheet1'!$L$16"}</definedName>
    <definedName name="ZZ" localSheetId="5" hidden="1">{"'Sheet1'!$L$16"}</definedName>
    <definedName name="ZZ" localSheetId="13" hidden="1">{"'Sheet1'!$L$16"}</definedName>
    <definedName name="ZZ" hidden="1">{"'Sheet1'!$L$16"}</definedName>
    <definedName name="zzz" localSheetId="18" hidden="1">{#N/A,#N/A,TRUE,"Basic";#N/A,#N/A,TRUE,"EXT-TABLE";#N/A,#N/A,TRUE,"STEEL";#N/A,#N/A,TRUE,"INT-Table";#N/A,#N/A,TRUE,"STEEL";#N/A,#N/A,TRUE,"Door"}</definedName>
    <definedName name="ZZZ" localSheetId="1">#REF!</definedName>
    <definedName name="ZZZ" localSheetId="2">#REF!</definedName>
    <definedName name="ZZZ" localSheetId="4">#REF!</definedName>
    <definedName name="ZZZ" localSheetId="19">#REF!</definedName>
    <definedName name="ZZZ" localSheetId="10">#REF!</definedName>
    <definedName name="ZZZ" localSheetId="9">#REF!</definedName>
    <definedName name="ZZZ" localSheetId="8">#REF!</definedName>
    <definedName name="ZZZ" localSheetId="3">#REF!</definedName>
    <definedName name="ZZZ" localSheetId="6">#REF!</definedName>
    <definedName name="ZZZ" localSheetId="7">#REF!</definedName>
    <definedName name="ZZZ" localSheetId="5">#REF!</definedName>
    <definedName name="zzz" hidden="1">{#N/A,#N/A,TRUE,"Basic";#N/A,#N/A,TRUE,"EXT-TABLE";#N/A,#N/A,TRUE,"STEEL";#N/A,#N/A,TRUE,"INT-Table";#N/A,#N/A,TRUE,"STEEL";#N/A,#N/A,TRUE,"Door"}</definedName>
    <definedName name="zzz_1" localSheetId="18" hidden="1">{#N/A,#N/A,TRUE,"Basic";#N/A,#N/A,TRUE,"EXT-TABLE";#N/A,#N/A,TRUE,"STEEL";#N/A,#N/A,TRUE,"INT-Table";#N/A,#N/A,TRUE,"STEEL";#N/A,#N/A,TRUE,"Door"}</definedName>
    <definedName name="zzz_1" hidden="1">{#N/A,#N/A,TRUE,"Basic";#N/A,#N/A,TRUE,"EXT-TABLE";#N/A,#N/A,TRUE,"STEEL";#N/A,#N/A,TRUE,"INT-Table";#N/A,#N/A,TRUE,"STEEL";#N/A,#N/A,TRUE,"Door"}</definedName>
    <definedName name="zzz_1_1" localSheetId="18" hidden="1">{#N/A,#N/A,TRUE,"Basic";#N/A,#N/A,TRUE,"EXT-TABLE";#N/A,#N/A,TRUE,"STEEL";#N/A,#N/A,TRUE,"INT-Table";#N/A,#N/A,TRUE,"STEEL";#N/A,#N/A,TRUE,"Door"}</definedName>
    <definedName name="zzz_1_1" hidden="1">{#N/A,#N/A,TRUE,"Basic";#N/A,#N/A,TRUE,"EXT-TABLE";#N/A,#N/A,TRUE,"STEEL";#N/A,#N/A,TRUE,"INT-Table";#N/A,#N/A,TRUE,"STEEL";#N/A,#N/A,TRUE,"Door"}</definedName>
    <definedName name="zzz_1_2" localSheetId="18" hidden="1">{#N/A,#N/A,TRUE,"Basic";#N/A,#N/A,TRUE,"EXT-TABLE";#N/A,#N/A,TRUE,"STEEL";#N/A,#N/A,TRUE,"INT-Table";#N/A,#N/A,TRUE,"STEEL";#N/A,#N/A,TRUE,"Door"}</definedName>
    <definedName name="zzz_1_2" hidden="1">{#N/A,#N/A,TRUE,"Basic";#N/A,#N/A,TRUE,"EXT-TABLE";#N/A,#N/A,TRUE,"STEEL";#N/A,#N/A,TRUE,"INT-Table";#N/A,#N/A,TRUE,"STEEL";#N/A,#N/A,TRUE,"Door"}</definedName>
    <definedName name="zzz_2" localSheetId="18" hidden="1">{#N/A,#N/A,TRUE,"Basic";#N/A,#N/A,TRUE,"EXT-TABLE";#N/A,#N/A,TRUE,"STEEL";#N/A,#N/A,TRUE,"INT-Table";#N/A,#N/A,TRUE,"STEEL";#N/A,#N/A,TRUE,"Door"}</definedName>
    <definedName name="zzz_2" hidden="1">{#N/A,#N/A,TRUE,"Basic";#N/A,#N/A,TRUE,"EXT-TABLE";#N/A,#N/A,TRUE,"STEEL";#N/A,#N/A,TRUE,"INT-Table";#N/A,#N/A,TRUE,"STEEL";#N/A,#N/A,TRUE,"Door"}</definedName>
    <definedName name="zzz_2_1" localSheetId="18" hidden="1">{#N/A,#N/A,TRUE,"Basic";#N/A,#N/A,TRUE,"EXT-TABLE";#N/A,#N/A,TRUE,"STEEL";#N/A,#N/A,TRUE,"INT-Table";#N/A,#N/A,TRUE,"STEEL";#N/A,#N/A,TRUE,"Door"}</definedName>
    <definedName name="zzz_2_1" hidden="1">{#N/A,#N/A,TRUE,"Basic";#N/A,#N/A,TRUE,"EXT-TABLE";#N/A,#N/A,TRUE,"STEEL";#N/A,#N/A,TRUE,"INT-Table";#N/A,#N/A,TRUE,"STEEL";#N/A,#N/A,TRUE,"Door"}</definedName>
    <definedName name="zzz_2_2" localSheetId="18" hidden="1">{#N/A,#N/A,TRUE,"Basic";#N/A,#N/A,TRUE,"EXT-TABLE";#N/A,#N/A,TRUE,"STEEL";#N/A,#N/A,TRUE,"INT-Table";#N/A,#N/A,TRUE,"STEEL";#N/A,#N/A,TRUE,"Door"}</definedName>
    <definedName name="zzz_2_2" hidden="1">{#N/A,#N/A,TRUE,"Basic";#N/A,#N/A,TRUE,"EXT-TABLE";#N/A,#N/A,TRUE,"STEEL";#N/A,#N/A,TRUE,"INT-Table";#N/A,#N/A,TRUE,"STEEL";#N/A,#N/A,TRUE,"Door"}</definedName>
    <definedName name="zzz_3" localSheetId="18" hidden="1">{#N/A,#N/A,TRUE,"Basic";#N/A,#N/A,TRUE,"EXT-TABLE";#N/A,#N/A,TRUE,"STEEL";#N/A,#N/A,TRUE,"INT-Table";#N/A,#N/A,TRUE,"STEEL";#N/A,#N/A,TRUE,"Door"}</definedName>
    <definedName name="zzz_3" hidden="1">{#N/A,#N/A,TRUE,"Basic";#N/A,#N/A,TRUE,"EXT-TABLE";#N/A,#N/A,TRUE,"STEEL";#N/A,#N/A,TRUE,"INT-Table";#N/A,#N/A,TRUE,"STEEL";#N/A,#N/A,TRUE,"Door"}</definedName>
    <definedName name="zzz_3_1" localSheetId="18" hidden="1">{#N/A,#N/A,TRUE,"Basic";#N/A,#N/A,TRUE,"EXT-TABLE";#N/A,#N/A,TRUE,"STEEL";#N/A,#N/A,TRUE,"INT-Table";#N/A,#N/A,TRUE,"STEEL";#N/A,#N/A,TRUE,"Door"}</definedName>
    <definedName name="zzz_3_1" hidden="1">{#N/A,#N/A,TRUE,"Basic";#N/A,#N/A,TRUE,"EXT-TABLE";#N/A,#N/A,TRUE,"STEEL";#N/A,#N/A,TRUE,"INT-Table";#N/A,#N/A,TRUE,"STEEL";#N/A,#N/A,TRUE,"Door"}</definedName>
    <definedName name="zzz_3_2" localSheetId="18" hidden="1">{#N/A,#N/A,TRUE,"Basic";#N/A,#N/A,TRUE,"EXT-TABLE";#N/A,#N/A,TRUE,"STEEL";#N/A,#N/A,TRUE,"INT-Table";#N/A,#N/A,TRUE,"STEEL";#N/A,#N/A,TRUE,"Door"}</definedName>
    <definedName name="zzz_3_2" hidden="1">{#N/A,#N/A,TRUE,"Basic";#N/A,#N/A,TRUE,"EXT-TABLE";#N/A,#N/A,TRUE,"STEEL";#N/A,#N/A,TRUE,"INT-Table";#N/A,#N/A,TRUE,"STEEL";#N/A,#N/A,TRUE,"Door"}</definedName>
    <definedName name="zzz_4" localSheetId="18" hidden="1">{#N/A,#N/A,TRUE,"Basic";#N/A,#N/A,TRUE,"EXT-TABLE";#N/A,#N/A,TRUE,"STEEL";#N/A,#N/A,TRUE,"INT-Table";#N/A,#N/A,TRUE,"STEEL";#N/A,#N/A,TRUE,"Door"}</definedName>
    <definedName name="zzz_4" hidden="1">{#N/A,#N/A,TRUE,"Basic";#N/A,#N/A,TRUE,"EXT-TABLE";#N/A,#N/A,TRUE,"STEEL";#N/A,#N/A,TRUE,"INT-Table";#N/A,#N/A,TRUE,"STEEL";#N/A,#N/A,TRUE,"Door"}</definedName>
    <definedName name="zzz_4_1" localSheetId="18" hidden="1">{#N/A,#N/A,TRUE,"Basic";#N/A,#N/A,TRUE,"EXT-TABLE";#N/A,#N/A,TRUE,"STEEL";#N/A,#N/A,TRUE,"INT-Table";#N/A,#N/A,TRUE,"STEEL";#N/A,#N/A,TRUE,"Door"}</definedName>
    <definedName name="zzz_4_1" hidden="1">{#N/A,#N/A,TRUE,"Basic";#N/A,#N/A,TRUE,"EXT-TABLE";#N/A,#N/A,TRUE,"STEEL";#N/A,#N/A,TRUE,"INT-Table";#N/A,#N/A,TRUE,"STEEL";#N/A,#N/A,TRUE,"Door"}</definedName>
    <definedName name="zzz_4_2" localSheetId="18" hidden="1">{#N/A,#N/A,TRUE,"Basic";#N/A,#N/A,TRUE,"EXT-TABLE";#N/A,#N/A,TRUE,"STEEL";#N/A,#N/A,TRUE,"INT-Table";#N/A,#N/A,TRUE,"STEEL";#N/A,#N/A,TRUE,"Door"}</definedName>
    <definedName name="zzz_4_2" hidden="1">{#N/A,#N/A,TRUE,"Basic";#N/A,#N/A,TRUE,"EXT-TABLE";#N/A,#N/A,TRUE,"STEEL";#N/A,#N/A,TRUE,"INT-Table";#N/A,#N/A,TRUE,"STEEL";#N/A,#N/A,TRUE,"Door"}</definedName>
    <definedName name="zzz_5" localSheetId="18" hidden="1">{#N/A,#N/A,TRUE,"Basic";#N/A,#N/A,TRUE,"EXT-TABLE";#N/A,#N/A,TRUE,"STEEL";#N/A,#N/A,TRUE,"INT-Table";#N/A,#N/A,TRUE,"STEEL";#N/A,#N/A,TRUE,"Door"}</definedName>
    <definedName name="zzz_5" hidden="1">{#N/A,#N/A,TRUE,"Basic";#N/A,#N/A,TRUE,"EXT-TABLE";#N/A,#N/A,TRUE,"STEEL";#N/A,#N/A,TRUE,"INT-Table";#N/A,#N/A,TRUE,"STEEL";#N/A,#N/A,TRUE,"Door"}</definedName>
    <definedName name="zzz_5_1" localSheetId="18" hidden="1">{#N/A,#N/A,TRUE,"Basic";#N/A,#N/A,TRUE,"EXT-TABLE";#N/A,#N/A,TRUE,"STEEL";#N/A,#N/A,TRUE,"INT-Table";#N/A,#N/A,TRUE,"STEEL";#N/A,#N/A,TRUE,"Door"}</definedName>
    <definedName name="zzz_5_1" hidden="1">{#N/A,#N/A,TRUE,"Basic";#N/A,#N/A,TRUE,"EXT-TABLE";#N/A,#N/A,TRUE,"STEEL";#N/A,#N/A,TRUE,"INT-Table";#N/A,#N/A,TRUE,"STEEL";#N/A,#N/A,TRUE,"Door"}</definedName>
    <definedName name="zzz_5_2" localSheetId="18" hidden="1">{#N/A,#N/A,TRUE,"Basic";#N/A,#N/A,TRUE,"EXT-TABLE";#N/A,#N/A,TRUE,"STEEL";#N/A,#N/A,TRUE,"INT-Table";#N/A,#N/A,TRUE,"STEEL";#N/A,#N/A,TRUE,"Door"}</definedName>
    <definedName name="zzz_5_2" hidden="1">{#N/A,#N/A,TRUE,"Basic";#N/A,#N/A,TRUE,"EXT-TABLE";#N/A,#N/A,TRUE,"STEEL";#N/A,#N/A,TRUE,"INT-Table";#N/A,#N/A,TRUE,"STEEL";#N/A,#N/A,TRUE,"Door"}</definedName>
    <definedName name="π">PI()</definedName>
    <definedName name="ρ">#REF!</definedName>
    <definedName name="ささ" hidden="1">{"'Sheet1'!$A$3:$I$11"}</definedName>
    <definedName name="เด้" localSheetId="18" hidden="1">{#N/A,#N/A,TRUE,"SUM";#N/A,#N/A,TRUE,"EE";#N/A,#N/A,TRUE,"AC";#N/A,#N/A,TRUE,"SN"}</definedName>
    <definedName name="เด้" hidden="1">{#N/A,#N/A,TRUE,"SUM";#N/A,#N/A,TRUE,"EE";#N/A,#N/A,TRUE,"AC";#N/A,#N/A,TRUE,"SN"}</definedName>
    <definedName name="ปก32" localSheetId="18" hidden="1">{"'SUMMATION'!$B$2:$I$2"}</definedName>
    <definedName name="ปก32" hidden="1">{"'SUMMATION'!$B$2:$I$2"}</definedName>
    <definedName name="หหาหหา" hidden="1">#REF!</definedName>
    <definedName name="ㄱ" localSheetId="18" hidden="1">{#N/A,#N/A,FALSE,"기안지";#N/A,#N/A,FALSE,"통신지"}</definedName>
    <definedName name="ㄱ" hidden="1">{#N/A,#N/A,FALSE,"기안지";#N/A,#N/A,FALSE,"통신지"}</definedName>
    <definedName name="ㄱㄷㄱㄷㄱㄱㅎㄺㄷ" localSheetId="18" hidden="1">{"'장비'!$A$3:$M$12"}</definedName>
    <definedName name="ㄱㄷㄱㄷㄱㄱㅎㄺㄷ" hidden="1">{"'장비'!$A$3:$M$12"}</definedName>
    <definedName name="ㄱ미" localSheetId="18" hidden="1">{#N/A,#N/A,TRUE,"Basic";#N/A,#N/A,TRUE,"EXT-TABLE";#N/A,#N/A,TRUE,"STEEL";#N/A,#N/A,TRUE,"INT-Table";#N/A,#N/A,TRUE,"STEEL";#N/A,#N/A,TRUE,"Door"}</definedName>
    <definedName name="ㄱ미" hidden="1">{#N/A,#N/A,TRUE,"Basic";#N/A,#N/A,TRUE,"EXT-TABLE";#N/A,#N/A,TRUE,"STEEL";#N/A,#N/A,TRUE,"INT-Table";#N/A,#N/A,TRUE,"STEEL";#N/A,#N/A,TRUE,"Door"}</definedName>
    <definedName name="ㄱ미_1" localSheetId="18" hidden="1">{#N/A,#N/A,TRUE,"Basic";#N/A,#N/A,TRUE,"EXT-TABLE";#N/A,#N/A,TRUE,"STEEL";#N/A,#N/A,TRUE,"INT-Table";#N/A,#N/A,TRUE,"STEEL";#N/A,#N/A,TRUE,"Door"}</definedName>
    <definedName name="ㄱ미_1" hidden="1">{#N/A,#N/A,TRUE,"Basic";#N/A,#N/A,TRUE,"EXT-TABLE";#N/A,#N/A,TRUE,"STEEL";#N/A,#N/A,TRUE,"INT-Table";#N/A,#N/A,TRUE,"STEEL";#N/A,#N/A,TRUE,"Door"}</definedName>
    <definedName name="ㄱ미_1_1" localSheetId="18" hidden="1">{#N/A,#N/A,TRUE,"Basic";#N/A,#N/A,TRUE,"EXT-TABLE";#N/A,#N/A,TRUE,"STEEL";#N/A,#N/A,TRUE,"INT-Table";#N/A,#N/A,TRUE,"STEEL";#N/A,#N/A,TRUE,"Door"}</definedName>
    <definedName name="ㄱ미_1_1" hidden="1">{#N/A,#N/A,TRUE,"Basic";#N/A,#N/A,TRUE,"EXT-TABLE";#N/A,#N/A,TRUE,"STEEL";#N/A,#N/A,TRUE,"INT-Table";#N/A,#N/A,TRUE,"STEEL";#N/A,#N/A,TRUE,"Door"}</definedName>
    <definedName name="ㄱ미_1_2" localSheetId="18" hidden="1">{#N/A,#N/A,TRUE,"Basic";#N/A,#N/A,TRUE,"EXT-TABLE";#N/A,#N/A,TRUE,"STEEL";#N/A,#N/A,TRUE,"INT-Table";#N/A,#N/A,TRUE,"STEEL";#N/A,#N/A,TRUE,"Door"}</definedName>
    <definedName name="ㄱ미_1_2" hidden="1">{#N/A,#N/A,TRUE,"Basic";#N/A,#N/A,TRUE,"EXT-TABLE";#N/A,#N/A,TRUE,"STEEL";#N/A,#N/A,TRUE,"INT-Table";#N/A,#N/A,TRUE,"STEEL";#N/A,#N/A,TRUE,"Door"}</definedName>
    <definedName name="ㄱ미_2" localSheetId="18" hidden="1">{#N/A,#N/A,TRUE,"Basic";#N/A,#N/A,TRUE,"EXT-TABLE";#N/A,#N/A,TRUE,"STEEL";#N/A,#N/A,TRUE,"INT-Table";#N/A,#N/A,TRUE,"STEEL";#N/A,#N/A,TRUE,"Door"}</definedName>
    <definedName name="ㄱ미_2" hidden="1">{#N/A,#N/A,TRUE,"Basic";#N/A,#N/A,TRUE,"EXT-TABLE";#N/A,#N/A,TRUE,"STEEL";#N/A,#N/A,TRUE,"INT-Table";#N/A,#N/A,TRUE,"STEEL";#N/A,#N/A,TRUE,"Door"}</definedName>
    <definedName name="ㄱ미_2_1" localSheetId="18" hidden="1">{#N/A,#N/A,TRUE,"Basic";#N/A,#N/A,TRUE,"EXT-TABLE";#N/A,#N/A,TRUE,"STEEL";#N/A,#N/A,TRUE,"INT-Table";#N/A,#N/A,TRUE,"STEEL";#N/A,#N/A,TRUE,"Door"}</definedName>
    <definedName name="ㄱ미_2_1" hidden="1">{#N/A,#N/A,TRUE,"Basic";#N/A,#N/A,TRUE,"EXT-TABLE";#N/A,#N/A,TRUE,"STEEL";#N/A,#N/A,TRUE,"INT-Table";#N/A,#N/A,TRUE,"STEEL";#N/A,#N/A,TRUE,"Door"}</definedName>
    <definedName name="ㄱ미_2_2" localSheetId="18" hidden="1">{#N/A,#N/A,TRUE,"Basic";#N/A,#N/A,TRUE,"EXT-TABLE";#N/A,#N/A,TRUE,"STEEL";#N/A,#N/A,TRUE,"INT-Table";#N/A,#N/A,TRUE,"STEEL";#N/A,#N/A,TRUE,"Door"}</definedName>
    <definedName name="ㄱ미_2_2" hidden="1">{#N/A,#N/A,TRUE,"Basic";#N/A,#N/A,TRUE,"EXT-TABLE";#N/A,#N/A,TRUE,"STEEL";#N/A,#N/A,TRUE,"INT-Table";#N/A,#N/A,TRUE,"STEEL";#N/A,#N/A,TRUE,"Door"}</definedName>
    <definedName name="ㄱ미_3" localSheetId="18" hidden="1">{#N/A,#N/A,TRUE,"Basic";#N/A,#N/A,TRUE,"EXT-TABLE";#N/A,#N/A,TRUE,"STEEL";#N/A,#N/A,TRUE,"INT-Table";#N/A,#N/A,TRUE,"STEEL";#N/A,#N/A,TRUE,"Door"}</definedName>
    <definedName name="ㄱ미_3" hidden="1">{#N/A,#N/A,TRUE,"Basic";#N/A,#N/A,TRUE,"EXT-TABLE";#N/A,#N/A,TRUE,"STEEL";#N/A,#N/A,TRUE,"INT-Table";#N/A,#N/A,TRUE,"STEEL";#N/A,#N/A,TRUE,"Door"}</definedName>
    <definedName name="ㄱ미_3_1" localSheetId="18" hidden="1">{#N/A,#N/A,TRUE,"Basic";#N/A,#N/A,TRUE,"EXT-TABLE";#N/A,#N/A,TRUE,"STEEL";#N/A,#N/A,TRUE,"INT-Table";#N/A,#N/A,TRUE,"STEEL";#N/A,#N/A,TRUE,"Door"}</definedName>
    <definedName name="ㄱ미_3_1" hidden="1">{#N/A,#N/A,TRUE,"Basic";#N/A,#N/A,TRUE,"EXT-TABLE";#N/A,#N/A,TRUE,"STEEL";#N/A,#N/A,TRUE,"INT-Table";#N/A,#N/A,TRUE,"STEEL";#N/A,#N/A,TRUE,"Door"}</definedName>
    <definedName name="ㄱ미_3_2" localSheetId="18" hidden="1">{#N/A,#N/A,TRUE,"Basic";#N/A,#N/A,TRUE,"EXT-TABLE";#N/A,#N/A,TRUE,"STEEL";#N/A,#N/A,TRUE,"INT-Table";#N/A,#N/A,TRUE,"STEEL";#N/A,#N/A,TRUE,"Door"}</definedName>
    <definedName name="ㄱ미_3_2" hidden="1">{#N/A,#N/A,TRUE,"Basic";#N/A,#N/A,TRUE,"EXT-TABLE";#N/A,#N/A,TRUE,"STEEL";#N/A,#N/A,TRUE,"INT-Table";#N/A,#N/A,TRUE,"STEEL";#N/A,#N/A,TRUE,"Door"}</definedName>
    <definedName name="ㄱ미_4" localSheetId="18" hidden="1">{#N/A,#N/A,TRUE,"Basic";#N/A,#N/A,TRUE,"EXT-TABLE";#N/A,#N/A,TRUE,"STEEL";#N/A,#N/A,TRUE,"INT-Table";#N/A,#N/A,TRUE,"STEEL";#N/A,#N/A,TRUE,"Door"}</definedName>
    <definedName name="ㄱ미_4" hidden="1">{#N/A,#N/A,TRUE,"Basic";#N/A,#N/A,TRUE,"EXT-TABLE";#N/A,#N/A,TRUE,"STEEL";#N/A,#N/A,TRUE,"INT-Table";#N/A,#N/A,TRUE,"STEEL";#N/A,#N/A,TRUE,"Door"}</definedName>
    <definedName name="ㄱ미_4_1" localSheetId="18" hidden="1">{#N/A,#N/A,TRUE,"Basic";#N/A,#N/A,TRUE,"EXT-TABLE";#N/A,#N/A,TRUE,"STEEL";#N/A,#N/A,TRUE,"INT-Table";#N/A,#N/A,TRUE,"STEEL";#N/A,#N/A,TRUE,"Door"}</definedName>
    <definedName name="ㄱ미_4_1" hidden="1">{#N/A,#N/A,TRUE,"Basic";#N/A,#N/A,TRUE,"EXT-TABLE";#N/A,#N/A,TRUE,"STEEL";#N/A,#N/A,TRUE,"INT-Table";#N/A,#N/A,TRUE,"STEEL";#N/A,#N/A,TRUE,"Door"}</definedName>
    <definedName name="ㄱ미_4_2" localSheetId="18" hidden="1">{#N/A,#N/A,TRUE,"Basic";#N/A,#N/A,TRUE,"EXT-TABLE";#N/A,#N/A,TRUE,"STEEL";#N/A,#N/A,TRUE,"INT-Table";#N/A,#N/A,TRUE,"STEEL";#N/A,#N/A,TRUE,"Door"}</definedName>
    <definedName name="ㄱ미_4_2" hidden="1">{#N/A,#N/A,TRUE,"Basic";#N/A,#N/A,TRUE,"EXT-TABLE";#N/A,#N/A,TRUE,"STEEL";#N/A,#N/A,TRUE,"INT-Table";#N/A,#N/A,TRUE,"STEEL";#N/A,#N/A,TRUE,"Door"}</definedName>
    <definedName name="ㄱ미_5" localSheetId="18" hidden="1">{#N/A,#N/A,TRUE,"Basic";#N/A,#N/A,TRUE,"EXT-TABLE";#N/A,#N/A,TRUE,"STEEL";#N/A,#N/A,TRUE,"INT-Table";#N/A,#N/A,TRUE,"STEEL";#N/A,#N/A,TRUE,"Door"}</definedName>
    <definedName name="ㄱ미_5" hidden="1">{#N/A,#N/A,TRUE,"Basic";#N/A,#N/A,TRUE,"EXT-TABLE";#N/A,#N/A,TRUE,"STEEL";#N/A,#N/A,TRUE,"INT-Table";#N/A,#N/A,TRUE,"STEEL";#N/A,#N/A,TRUE,"Door"}</definedName>
    <definedName name="ㄱ미_5_1" localSheetId="18" hidden="1">{#N/A,#N/A,TRUE,"Basic";#N/A,#N/A,TRUE,"EXT-TABLE";#N/A,#N/A,TRUE,"STEEL";#N/A,#N/A,TRUE,"INT-Table";#N/A,#N/A,TRUE,"STEEL";#N/A,#N/A,TRUE,"Door"}</definedName>
    <definedName name="ㄱ미_5_1" hidden="1">{#N/A,#N/A,TRUE,"Basic";#N/A,#N/A,TRUE,"EXT-TABLE";#N/A,#N/A,TRUE,"STEEL";#N/A,#N/A,TRUE,"INT-Table";#N/A,#N/A,TRUE,"STEEL";#N/A,#N/A,TRUE,"Door"}</definedName>
    <definedName name="ㄱ미_5_2" localSheetId="18"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localSheetId="18" hidden="1">{#N/A,#N/A,TRUE,"Basic";#N/A,#N/A,TRUE,"EXT-TABLE";#N/A,#N/A,TRUE,"STEEL";#N/A,#N/A,TRUE,"INT-Table";#N/A,#N/A,TRUE,"STEEL";#N/A,#N/A,TRUE,"Door"}</definedName>
    <definedName name="감" hidden="1">{#N/A,#N/A,TRUE,"Basic";#N/A,#N/A,TRUE,"EXT-TABLE";#N/A,#N/A,TRUE,"STEEL";#N/A,#N/A,TRUE,"INT-Table";#N/A,#N/A,TRUE,"STEEL";#N/A,#N/A,TRUE,"Door"}</definedName>
    <definedName name="감_1" localSheetId="18" hidden="1">{#N/A,#N/A,TRUE,"Basic";#N/A,#N/A,TRUE,"EXT-TABLE";#N/A,#N/A,TRUE,"STEEL";#N/A,#N/A,TRUE,"INT-Table";#N/A,#N/A,TRUE,"STEEL";#N/A,#N/A,TRUE,"Door"}</definedName>
    <definedName name="감_1" hidden="1">{#N/A,#N/A,TRUE,"Basic";#N/A,#N/A,TRUE,"EXT-TABLE";#N/A,#N/A,TRUE,"STEEL";#N/A,#N/A,TRUE,"INT-Table";#N/A,#N/A,TRUE,"STEEL";#N/A,#N/A,TRUE,"Door"}</definedName>
    <definedName name="감_1_1" localSheetId="18" hidden="1">{#N/A,#N/A,TRUE,"Basic";#N/A,#N/A,TRUE,"EXT-TABLE";#N/A,#N/A,TRUE,"STEEL";#N/A,#N/A,TRUE,"INT-Table";#N/A,#N/A,TRUE,"STEEL";#N/A,#N/A,TRUE,"Door"}</definedName>
    <definedName name="감_1_1" hidden="1">{#N/A,#N/A,TRUE,"Basic";#N/A,#N/A,TRUE,"EXT-TABLE";#N/A,#N/A,TRUE,"STEEL";#N/A,#N/A,TRUE,"INT-Table";#N/A,#N/A,TRUE,"STEEL";#N/A,#N/A,TRUE,"Door"}</definedName>
    <definedName name="감_1_2" localSheetId="18" hidden="1">{#N/A,#N/A,TRUE,"Basic";#N/A,#N/A,TRUE,"EXT-TABLE";#N/A,#N/A,TRUE,"STEEL";#N/A,#N/A,TRUE,"INT-Table";#N/A,#N/A,TRUE,"STEEL";#N/A,#N/A,TRUE,"Door"}</definedName>
    <definedName name="감_1_2" hidden="1">{#N/A,#N/A,TRUE,"Basic";#N/A,#N/A,TRUE,"EXT-TABLE";#N/A,#N/A,TRUE,"STEEL";#N/A,#N/A,TRUE,"INT-Table";#N/A,#N/A,TRUE,"STEEL";#N/A,#N/A,TRUE,"Door"}</definedName>
    <definedName name="감_2" localSheetId="18" hidden="1">{#N/A,#N/A,TRUE,"Basic";#N/A,#N/A,TRUE,"EXT-TABLE";#N/A,#N/A,TRUE,"STEEL";#N/A,#N/A,TRUE,"INT-Table";#N/A,#N/A,TRUE,"STEEL";#N/A,#N/A,TRUE,"Door"}</definedName>
    <definedName name="감_2" hidden="1">{#N/A,#N/A,TRUE,"Basic";#N/A,#N/A,TRUE,"EXT-TABLE";#N/A,#N/A,TRUE,"STEEL";#N/A,#N/A,TRUE,"INT-Table";#N/A,#N/A,TRUE,"STEEL";#N/A,#N/A,TRUE,"Door"}</definedName>
    <definedName name="감_2_1" localSheetId="18" hidden="1">{#N/A,#N/A,TRUE,"Basic";#N/A,#N/A,TRUE,"EXT-TABLE";#N/A,#N/A,TRUE,"STEEL";#N/A,#N/A,TRUE,"INT-Table";#N/A,#N/A,TRUE,"STEEL";#N/A,#N/A,TRUE,"Door"}</definedName>
    <definedName name="감_2_1" hidden="1">{#N/A,#N/A,TRUE,"Basic";#N/A,#N/A,TRUE,"EXT-TABLE";#N/A,#N/A,TRUE,"STEEL";#N/A,#N/A,TRUE,"INT-Table";#N/A,#N/A,TRUE,"STEEL";#N/A,#N/A,TRUE,"Door"}</definedName>
    <definedName name="감_2_2" localSheetId="18" hidden="1">{#N/A,#N/A,TRUE,"Basic";#N/A,#N/A,TRUE,"EXT-TABLE";#N/A,#N/A,TRUE,"STEEL";#N/A,#N/A,TRUE,"INT-Table";#N/A,#N/A,TRUE,"STEEL";#N/A,#N/A,TRUE,"Door"}</definedName>
    <definedName name="감_2_2" hidden="1">{#N/A,#N/A,TRUE,"Basic";#N/A,#N/A,TRUE,"EXT-TABLE";#N/A,#N/A,TRUE,"STEEL";#N/A,#N/A,TRUE,"INT-Table";#N/A,#N/A,TRUE,"STEEL";#N/A,#N/A,TRUE,"Door"}</definedName>
    <definedName name="감_3" localSheetId="18" hidden="1">{#N/A,#N/A,TRUE,"Basic";#N/A,#N/A,TRUE,"EXT-TABLE";#N/A,#N/A,TRUE,"STEEL";#N/A,#N/A,TRUE,"INT-Table";#N/A,#N/A,TRUE,"STEEL";#N/A,#N/A,TRUE,"Door"}</definedName>
    <definedName name="감_3" hidden="1">{#N/A,#N/A,TRUE,"Basic";#N/A,#N/A,TRUE,"EXT-TABLE";#N/A,#N/A,TRUE,"STEEL";#N/A,#N/A,TRUE,"INT-Table";#N/A,#N/A,TRUE,"STEEL";#N/A,#N/A,TRUE,"Door"}</definedName>
    <definedName name="감_3_1" localSheetId="18" hidden="1">{#N/A,#N/A,TRUE,"Basic";#N/A,#N/A,TRUE,"EXT-TABLE";#N/A,#N/A,TRUE,"STEEL";#N/A,#N/A,TRUE,"INT-Table";#N/A,#N/A,TRUE,"STEEL";#N/A,#N/A,TRUE,"Door"}</definedName>
    <definedName name="감_3_1" hidden="1">{#N/A,#N/A,TRUE,"Basic";#N/A,#N/A,TRUE,"EXT-TABLE";#N/A,#N/A,TRUE,"STEEL";#N/A,#N/A,TRUE,"INT-Table";#N/A,#N/A,TRUE,"STEEL";#N/A,#N/A,TRUE,"Door"}</definedName>
    <definedName name="감_3_2" localSheetId="18" hidden="1">{#N/A,#N/A,TRUE,"Basic";#N/A,#N/A,TRUE,"EXT-TABLE";#N/A,#N/A,TRUE,"STEEL";#N/A,#N/A,TRUE,"INT-Table";#N/A,#N/A,TRUE,"STEEL";#N/A,#N/A,TRUE,"Door"}</definedName>
    <definedName name="감_3_2" hidden="1">{#N/A,#N/A,TRUE,"Basic";#N/A,#N/A,TRUE,"EXT-TABLE";#N/A,#N/A,TRUE,"STEEL";#N/A,#N/A,TRUE,"INT-Table";#N/A,#N/A,TRUE,"STEEL";#N/A,#N/A,TRUE,"Door"}</definedName>
    <definedName name="감_4" localSheetId="18" hidden="1">{#N/A,#N/A,TRUE,"Basic";#N/A,#N/A,TRUE,"EXT-TABLE";#N/A,#N/A,TRUE,"STEEL";#N/A,#N/A,TRUE,"INT-Table";#N/A,#N/A,TRUE,"STEEL";#N/A,#N/A,TRUE,"Door"}</definedName>
    <definedName name="감_4" hidden="1">{#N/A,#N/A,TRUE,"Basic";#N/A,#N/A,TRUE,"EXT-TABLE";#N/A,#N/A,TRUE,"STEEL";#N/A,#N/A,TRUE,"INT-Table";#N/A,#N/A,TRUE,"STEEL";#N/A,#N/A,TRUE,"Door"}</definedName>
    <definedName name="감_4_1" localSheetId="18" hidden="1">{#N/A,#N/A,TRUE,"Basic";#N/A,#N/A,TRUE,"EXT-TABLE";#N/A,#N/A,TRUE,"STEEL";#N/A,#N/A,TRUE,"INT-Table";#N/A,#N/A,TRUE,"STEEL";#N/A,#N/A,TRUE,"Door"}</definedName>
    <definedName name="감_4_1" hidden="1">{#N/A,#N/A,TRUE,"Basic";#N/A,#N/A,TRUE,"EXT-TABLE";#N/A,#N/A,TRUE,"STEEL";#N/A,#N/A,TRUE,"INT-Table";#N/A,#N/A,TRUE,"STEEL";#N/A,#N/A,TRUE,"Door"}</definedName>
    <definedName name="감_4_2" localSheetId="18" hidden="1">{#N/A,#N/A,TRUE,"Basic";#N/A,#N/A,TRUE,"EXT-TABLE";#N/A,#N/A,TRUE,"STEEL";#N/A,#N/A,TRUE,"INT-Table";#N/A,#N/A,TRUE,"STEEL";#N/A,#N/A,TRUE,"Door"}</definedName>
    <definedName name="감_4_2" hidden="1">{#N/A,#N/A,TRUE,"Basic";#N/A,#N/A,TRUE,"EXT-TABLE";#N/A,#N/A,TRUE,"STEEL";#N/A,#N/A,TRUE,"INT-Table";#N/A,#N/A,TRUE,"STEEL";#N/A,#N/A,TRUE,"Door"}</definedName>
    <definedName name="감_5" localSheetId="18" hidden="1">{#N/A,#N/A,TRUE,"Basic";#N/A,#N/A,TRUE,"EXT-TABLE";#N/A,#N/A,TRUE,"STEEL";#N/A,#N/A,TRUE,"INT-Table";#N/A,#N/A,TRUE,"STEEL";#N/A,#N/A,TRUE,"Door"}</definedName>
    <definedName name="감_5" hidden="1">{#N/A,#N/A,TRUE,"Basic";#N/A,#N/A,TRUE,"EXT-TABLE";#N/A,#N/A,TRUE,"STEEL";#N/A,#N/A,TRUE,"INT-Table";#N/A,#N/A,TRUE,"STEEL";#N/A,#N/A,TRUE,"Door"}</definedName>
    <definedName name="감_5_1" localSheetId="18" hidden="1">{#N/A,#N/A,TRUE,"Basic";#N/A,#N/A,TRUE,"EXT-TABLE";#N/A,#N/A,TRUE,"STEEL";#N/A,#N/A,TRUE,"INT-Table";#N/A,#N/A,TRUE,"STEEL";#N/A,#N/A,TRUE,"Door"}</definedName>
    <definedName name="감_5_1" hidden="1">{#N/A,#N/A,TRUE,"Basic";#N/A,#N/A,TRUE,"EXT-TABLE";#N/A,#N/A,TRUE,"STEEL";#N/A,#N/A,TRUE,"INT-Table";#N/A,#N/A,TRUE,"STEEL";#N/A,#N/A,TRUE,"Door"}</definedName>
    <definedName name="감_5_2" localSheetId="18" hidden="1">{#N/A,#N/A,TRUE,"Basic";#N/A,#N/A,TRUE,"EXT-TABLE";#N/A,#N/A,TRUE,"STEEL";#N/A,#N/A,TRUE,"INT-Table";#N/A,#N/A,TRUE,"STEEL";#N/A,#N/A,TRUE,"Door"}</definedName>
    <definedName name="감_5_2" hidden="1">{#N/A,#N/A,TRUE,"Basic";#N/A,#N/A,TRUE,"EXT-TABLE";#N/A,#N/A,TRUE,"STEEL";#N/A,#N/A,TRUE,"INT-Table";#N/A,#N/A,TRUE,"STEEL";#N/A,#N/A,TRUE,"Door"}</definedName>
    <definedName name="갑지"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localSheetId="18" hidden="1">{#N/A,#N/A,TRUE,"COVERSHEET";#N/A,#N/A,TRUE,"LEGEND";#N/A,#N/A,TRUE,"LIST"}</definedName>
    <definedName name="개방항목" localSheetId="1" hidden="1">{#N/A,#N/A,TRUE,"COVERSHEET";#N/A,#N/A,TRUE,"LEGEND";#N/A,#N/A,TRUE,"LIST"}</definedName>
    <definedName name="개방항목" localSheetId="2" hidden="1">{#N/A,#N/A,TRUE,"COVERSHEET";#N/A,#N/A,TRUE,"LEGEND";#N/A,#N/A,TRUE,"LIST"}</definedName>
    <definedName name="개방항목" localSheetId="4" hidden="1">{#N/A,#N/A,TRUE,"COVERSHEET";#N/A,#N/A,TRUE,"LEGEND";#N/A,#N/A,TRUE,"LIST"}</definedName>
    <definedName name="개방항목" localSheetId="19" hidden="1">{#N/A,#N/A,TRUE,"COVERSHEET";#N/A,#N/A,TRUE,"LEGEND";#N/A,#N/A,TRUE,"LIST"}</definedName>
    <definedName name="개방항목" localSheetId="10" hidden="1">{#N/A,#N/A,TRUE,"COVERSHEET";#N/A,#N/A,TRUE,"LEGEND";#N/A,#N/A,TRUE,"LIST"}</definedName>
    <definedName name="개방항목" localSheetId="9" hidden="1">{#N/A,#N/A,TRUE,"COVERSHEET";#N/A,#N/A,TRUE,"LEGEND";#N/A,#N/A,TRUE,"LIST"}</definedName>
    <definedName name="개방항목" localSheetId="8" hidden="1">{#N/A,#N/A,TRUE,"COVERSHEET";#N/A,#N/A,TRUE,"LEGEND";#N/A,#N/A,TRUE,"LIST"}</definedName>
    <definedName name="개방항목" localSheetId="3" hidden="1">{#N/A,#N/A,TRUE,"COVERSHEET";#N/A,#N/A,TRUE,"LEGEND";#N/A,#N/A,TRUE,"LIST"}</definedName>
    <definedName name="개방항목" localSheetId="6" hidden="1">{#N/A,#N/A,TRUE,"COVERSHEET";#N/A,#N/A,TRUE,"LEGEND";#N/A,#N/A,TRUE,"LIST"}</definedName>
    <definedName name="개방항목" localSheetId="7" hidden="1">{#N/A,#N/A,TRUE,"COVERSHEET";#N/A,#N/A,TRUE,"LEGEND";#N/A,#N/A,TRUE,"LIST"}</definedName>
    <definedName name="개방항목" localSheetId="5" hidden="1">{#N/A,#N/A,TRUE,"COVERSHEET";#N/A,#N/A,TRUE,"LEGEND";#N/A,#N/A,TRUE,"LIST"}</definedName>
    <definedName name="개방항목" hidden="1">{#N/A,#N/A,TRUE,"COVERSHEET";#N/A,#N/A,TRUE,"LEGEND";#N/A,#N/A,TRUE,"LIST"}</definedName>
    <definedName name="건물">#REF!</definedName>
    <definedName name="것" localSheetId="18" hidden="1">{#N/A,#N/A,FALSE,"골재소요량";#N/A,#N/A,FALSE,"골재소요량"}</definedName>
    <definedName name="것" hidden="1">{#N/A,#N/A,FALSE,"골재소요량";#N/A,#N/A,FALSE,"골재소요량"}</definedName>
    <definedName name="겉표지" localSheetId="18" hidden="1">{#N/A,#N/A,TRUE,"Basic";#N/A,#N/A,TRUE,"EXT-TABLE";#N/A,#N/A,TRUE,"STEEL";#N/A,#N/A,TRUE,"INT-Table";#N/A,#N/A,TRUE,"STEEL";#N/A,#N/A,TRUE,"Door"}</definedName>
    <definedName name="겉표지" hidden="1">{#N/A,#N/A,TRUE,"Basic";#N/A,#N/A,TRUE,"EXT-TABLE";#N/A,#N/A,TRUE,"STEEL";#N/A,#N/A,TRUE,"INT-Table";#N/A,#N/A,TRUE,"STEEL";#N/A,#N/A,TRUE,"Door"}</definedName>
    <definedName name="겉표지_1" localSheetId="18" hidden="1">{#N/A,#N/A,TRUE,"Basic";#N/A,#N/A,TRUE,"EXT-TABLE";#N/A,#N/A,TRUE,"STEEL";#N/A,#N/A,TRUE,"INT-Table";#N/A,#N/A,TRUE,"STEEL";#N/A,#N/A,TRUE,"Door"}</definedName>
    <definedName name="겉표지_1" hidden="1">{#N/A,#N/A,TRUE,"Basic";#N/A,#N/A,TRUE,"EXT-TABLE";#N/A,#N/A,TRUE,"STEEL";#N/A,#N/A,TRUE,"INT-Table";#N/A,#N/A,TRUE,"STEEL";#N/A,#N/A,TRUE,"Door"}</definedName>
    <definedName name="겉표지_1_1" localSheetId="18" hidden="1">{#N/A,#N/A,TRUE,"Basic";#N/A,#N/A,TRUE,"EXT-TABLE";#N/A,#N/A,TRUE,"STEEL";#N/A,#N/A,TRUE,"INT-Table";#N/A,#N/A,TRUE,"STEEL";#N/A,#N/A,TRUE,"Door"}</definedName>
    <definedName name="겉표지_1_1" hidden="1">{#N/A,#N/A,TRUE,"Basic";#N/A,#N/A,TRUE,"EXT-TABLE";#N/A,#N/A,TRUE,"STEEL";#N/A,#N/A,TRUE,"INT-Table";#N/A,#N/A,TRUE,"STEEL";#N/A,#N/A,TRUE,"Door"}</definedName>
    <definedName name="겉표지_1_2" localSheetId="18" hidden="1">{#N/A,#N/A,TRUE,"Basic";#N/A,#N/A,TRUE,"EXT-TABLE";#N/A,#N/A,TRUE,"STEEL";#N/A,#N/A,TRUE,"INT-Table";#N/A,#N/A,TRUE,"STEEL";#N/A,#N/A,TRUE,"Door"}</definedName>
    <definedName name="겉표지_1_2" hidden="1">{#N/A,#N/A,TRUE,"Basic";#N/A,#N/A,TRUE,"EXT-TABLE";#N/A,#N/A,TRUE,"STEEL";#N/A,#N/A,TRUE,"INT-Table";#N/A,#N/A,TRUE,"STEEL";#N/A,#N/A,TRUE,"Door"}</definedName>
    <definedName name="겉표지_2" localSheetId="18" hidden="1">{#N/A,#N/A,TRUE,"Basic";#N/A,#N/A,TRUE,"EXT-TABLE";#N/A,#N/A,TRUE,"STEEL";#N/A,#N/A,TRUE,"INT-Table";#N/A,#N/A,TRUE,"STEEL";#N/A,#N/A,TRUE,"Door"}</definedName>
    <definedName name="겉표지_2" hidden="1">{#N/A,#N/A,TRUE,"Basic";#N/A,#N/A,TRUE,"EXT-TABLE";#N/A,#N/A,TRUE,"STEEL";#N/A,#N/A,TRUE,"INT-Table";#N/A,#N/A,TRUE,"STEEL";#N/A,#N/A,TRUE,"Door"}</definedName>
    <definedName name="겉표지_2_1" localSheetId="18" hidden="1">{#N/A,#N/A,TRUE,"Basic";#N/A,#N/A,TRUE,"EXT-TABLE";#N/A,#N/A,TRUE,"STEEL";#N/A,#N/A,TRUE,"INT-Table";#N/A,#N/A,TRUE,"STEEL";#N/A,#N/A,TRUE,"Door"}</definedName>
    <definedName name="겉표지_2_1" hidden="1">{#N/A,#N/A,TRUE,"Basic";#N/A,#N/A,TRUE,"EXT-TABLE";#N/A,#N/A,TRUE,"STEEL";#N/A,#N/A,TRUE,"INT-Table";#N/A,#N/A,TRUE,"STEEL";#N/A,#N/A,TRUE,"Door"}</definedName>
    <definedName name="겉표지_2_2" localSheetId="18" hidden="1">{#N/A,#N/A,TRUE,"Basic";#N/A,#N/A,TRUE,"EXT-TABLE";#N/A,#N/A,TRUE,"STEEL";#N/A,#N/A,TRUE,"INT-Table";#N/A,#N/A,TRUE,"STEEL";#N/A,#N/A,TRUE,"Door"}</definedName>
    <definedName name="겉표지_2_2" hidden="1">{#N/A,#N/A,TRUE,"Basic";#N/A,#N/A,TRUE,"EXT-TABLE";#N/A,#N/A,TRUE,"STEEL";#N/A,#N/A,TRUE,"INT-Table";#N/A,#N/A,TRUE,"STEEL";#N/A,#N/A,TRUE,"Door"}</definedName>
    <definedName name="겉표지_3" localSheetId="18" hidden="1">{#N/A,#N/A,TRUE,"Basic";#N/A,#N/A,TRUE,"EXT-TABLE";#N/A,#N/A,TRUE,"STEEL";#N/A,#N/A,TRUE,"INT-Table";#N/A,#N/A,TRUE,"STEEL";#N/A,#N/A,TRUE,"Door"}</definedName>
    <definedName name="겉표지_3" hidden="1">{#N/A,#N/A,TRUE,"Basic";#N/A,#N/A,TRUE,"EXT-TABLE";#N/A,#N/A,TRUE,"STEEL";#N/A,#N/A,TRUE,"INT-Table";#N/A,#N/A,TRUE,"STEEL";#N/A,#N/A,TRUE,"Door"}</definedName>
    <definedName name="겉표지_3_1" localSheetId="18" hidden="1">{#N/A,#N/A,TRUE,"Basic";#N/A,#N/A,TRUE,"EXT-TABLE";#N/A,#N/A,TRUE,"STEEL";#N/A,#N/A,TRUE,"INT-Table";#N/A,#N/A,TRUE,"STEEL";#N/A,#N/A,TRUE,"Door"}</definedName>
    <definedName name="겉표지_3_1" hidden="1">{#N/A,#N/A,TRUE,"Basic";#N/A,#N/A,TRUE,"EXT-TABLE";#N/A,#N/A,TRUE,"STEEL";#N/A,#N/A,TRUE,"INT-Table";#N/A,#N/A,TRUE,"STEEL";#N/A,#N/A,TRUE,"Door"}</definedName>
    <definedName name="겉표지_3_2" localSheetId="18" hidden="1">{#N/A,#N/A,TRUE,"Basic";#N/A,#N/A,TRUE,"EXT-TABLE";#N/A,#N/A,TRUE,"STEEL";#N/A,#N/A,TRUE,"INT-Table";#N/A,#N/A,TRUE,"STEEL";#N/A,#N/A,TRUE,"Door"}</definedName>
    <definedName name="겉표지_3_2" hidden="1">{#N/A,#N/A,TRUE,"Basic";#N/A,#N/A,TRUE,"EXT-TABLE";#N/A,#N/A,TRUE,"STEEL";#N/A,#N/A,TRUE,"INT-Table";#N/A,#N/A,TRUE,"STEEL";#N/A,#N/A,TRUE,"Door"}</definedName>
    <definedName name="겉표지_4" localSheetId="18" hidden="1">{#N/A,#N/A,TRUE,"Basic";#N/A,#N/A,TRUE,"EXT-TABLE";#N/A,#N/A,TRUE,"STEEL";#N/A,#N/A,TRUE,"INT-Table";#N/A,#N/A,TRUE,"STEEL";#N/A,#N/A,TRUE,"Door"}</definedName>
    <definedName name="겉표지_4" hidden="1">{#N/A,#N/A,TRUE,"Basic";#N/A,#N/A,TRUE,"EXT-TABLE";#N/A,#N/A,TRUE,"STEEL";#N/A,#N/A,TRUE,"INT-Table";#N/A,#N/A,TRUE,"STEEL";#N/A,#N/A,TRUE,"Door"}</definedName>
    <definedName name="겉표지_4_1" localSheetId="18" hidden="1">{#N/A,#N/A,TRUE,"Basic";#N/A,#N/A,TRUE,"EXT-TABLE";#N/A,#N/A,TRUE,"STEEL";#N/A,#N/A,TRUE,"INT-Table";#N/A,#N/A,TRUE,"STEEL";#N/A,#N/A,TRUE,"Door"}</definedName>
    <definedName name="겉표지_4_1" hidden="1">{#N/A,#N/A,TRUE,"Basic";#N/A,#N/A,TRUE,"EXT-TABLE";#N/A,#N/A,TRUE,"STEEL";#N/A,#N/A,TRUE,"INT-Table";#N/A,#N/A,TRUE,"STEEL";#N/A,#N/A,TRUE,"Door"}</definedName>
    <definedName name="겉표지_4_2" localSheetId="18" hidden="1">{#N/A,#N/A,TRUE,"Basic";#N/A,#N/A,TRUE,"EXT-TABLE";#N/A,#N/A,TRUE,"STEEL";#N/A,#N/A,TRUE,"INT-Table";#N/A,#N/A,TRUE,"STEEL";#N/A,#N/A,TRUE,"Door"}</definedName>
    <definedName name="겉표지_4_2" hidden="1">{#N/A,#N/A,TRUE,"Basic";#N/A,#N/A,TRUE,"EXT-TABLE";#N/A,#N/A,TRUE,"STEEL";#N/A,#N/A,TRUE,"INT-Table";#N/A,#N/A,TRUE,"STEEL";#N/A,#N/A,TRUE,"Door"}</definedName>
    <definedName name="겉표지_5" localSheetId="18" hidden="1">{#N/A,#N/A,TRUE,"Basic";#N/A,#N/A,TRUE,"EXT-TABLE";#N/A,#N/A,TRUE,"STEEL";#N/A,#N/A,TRUE,"INT-Table";#N/A,#N/A,TRUE,"STEEL";#N/A,#N/A,TRUE,"Door"}</definedName>
    <definedName name="겉표지_5" hidden="1">{#N/A,#N/A,TRUE,"Basic";#N/A,#N/A,TRUE,"EXT-TABLE";#N/A,#N/A,TRUE,"STEEL";#N/A,#N/A,TRUE,"INT-Table";#N/A,#N/A,TRUE,"STEEL";#N/A,#N/A,TRUE,"Door"}</definedName>
    <definedName name="겉표지_5_1" localSheetId="18" hidden="1">{#N/A,#N/A,TRUE,"Basic";#N/A,#N/A,TRUE,"EXT-TABLE";#N/A,#N/A,TRUE,"STEEL";#N/A,#N/A,TRUE,"INT-Table";#N/A,#N/A,TRUE,"STEEL";#N/A,#N/A,TRUE,"Door"}</definedName>
    <definedName name="겉표지_5_1" hidden="1">{#N/A,#N/A,TRUE,"Basic";#N/A,#N/A,TRUE,"EXT-TABLE";#N/A,#N/A,TRUE,"STEEL";#N/A,#N/A,TRUE,"INT-Table";#N/A,#N/A,TRUE,"STEEL";#N/A,#N/A,TRUE,"Door"}</definedName>
    <definedName name="겉표지_5_2" localSheetId="18" hidden="1">{#N/A,#N/A,TRUE,"Basic";#N/A,#N/A,TRUE,"EXT-TABLE";#N/A,#N/A,TRUE,"STEEL";#N/A,#N/A,TRUE,"INT-Table";#N/A,#N/A,TRUE,"STEEL";#N/A,#N/A,TRUE,"Door"}</definedName>
    <definedName name="겉표지_5_2" hidden="1">{#N/A,#N/A,TRUE,"Basic";#N/A,#N/A,TRUE,"EXT-TABLE";#N/A,#N/A,TRUE,"STEEL";#N/A,#N/A,TRUE,"INT-Table";#N/A,#N/A,TRUE,"STEEL";#N/A,#N/A,TRUE,"Door"}</definedName>
    <definedName name="겡오" localSheetId="18" hidden="1">{#N/A,#N/A,FALSE,"CCTV"}</definedName>
    <definedName name="겡오" localSheetId="11" hidden="1">{#N/A,#N/A,FALSE,"CCTV"}</definedName>
    <definedName name="겡오" localSheetId="1" hidden="1">{#N/A,#N/A,FALSE,"CCTV"}</definedName>
    <definedName name="겡오" localSheetId="2" hidden="1">{#N/A,#N/A,FALSE,"CCTV"}</definedName>
    <definedName name="겡오" localSheetId="4" hidden="1">{#N/A,#N/A,FALSE,"CCTV"}</definedName>
    <definedName name="겡오" localSheetId="19" hidden="1">{#N/A,#N/A,FALSE,"CCTV"}</definedName>
    <definedName name="겡오" localSheetId="10" hidden="1">{#N/A,#N/A,FALSE,"CCTV"}</definedName>
    <definedName name="겡오" localSheetId="9" hidden="1">{#N/A,#N/A,FALSE,"CCTV"}</definedName>
    <definedName name="겡오" localSheetId="8" hidden="1">{#N/A,#N/A,FALSE,"CCTV"}</definedName>
    <definedName name="겡오" localSheetId="3" hidden="1">{#N/A,#N/A,FALSE,"CCTV"}</definedName>
    <definedName name="겡오" localSheetId="6" hidden="1">{#N/A,#N/A,FALSE,"CCTV"}</definedName>
    <definedName name="겡오" localSheetId="7" hidden="1">{#N/A,#N/A,FALSE,"CCTV"}</definedName>
    <definedName name="겡오" localSheetId="5" hidden="1">{#N/A,#N/A,FALSE,"CCTV"}</definedName>
    <definedName name="겡오" hidden="1">{#N/A,#N/A,FALSE,"CCTV"}</definedName>
    <definedName name="견적" localSheetId="18" hidden="1">{#N/A,#N/A,FALSE,"CCTV"}</definedName>
    <definedName name="견적" hidden="1">{#N/A,#N/A,FALSE,"CCTV"}</definedName>
    <definedName name="견적2" localSheetId="18" hidden="1">{#N/A,#N/A,FALSE,"CCTV"}</definedName>
    <definedName name="견적2" hidden="1">{#N/A,#N/A,FALSE,"CCTV"}</definedName>
    <definedName name="견적SHEET" localSheetId="18" hidden="1">{#N/A,#N/A,FALSE,"CCTV"}</definedName>
    <definedName name="견적SHEET" hidden="1">{#N/A,#N/A,FALSE,"CCTV"}</definedName>
    <definedName name="견적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내역" localSheetId="18" hidden="1">{"'OVEN시방 '!$A$1:$C$11"}</definedName>
    <definedName name="견적내역" localSheetId="1">[115]HVAC!#REF!</definedName>
    <definedName name="견적내역" localSheetId="2">[115]HVAC!#REF!</definedName>
    <definedName name="견적내역" localSheetId="4">[115]HVAC!#REF!</definedName>
    <definedName name="견적내역" localSheetId="19">[115]HVAC!#REF!</definedName>
    <definedName name="견적내역" localSheetId="10">[115]HVAC!#REF!</definedName>
    <definedName name="견적내역" localSheetId="9">[115]HVAC!#REF!</definedName>
    <definedName name="견적내역" localSheetId="8">[115]HVAC!#REF!</definedName>
    <definedName name="견적내역" localSheetId="3">[115]HVAC!#REF!</definedName>
    <definedName name="견적내역" localSheetId="6">[115]HVAC!#REF!</definedName>
    <definedName name="견적내역" localSheetId="7">[115]HVAC!#REF!</definedName>
    <definedName name="견적내역" localSheetId="5">[115]HVAC!#REF!</definedName>
    <definedName name="견적내역" hidden="1">{"'OVEN시방 '!$A$1:$C$11"}</definedName>
    <definedName name="견적서" hidden="1">#REF!</definedName>
    <definedName name="견적조건" localSheetId="11" hidden="1">#N/A</definedName>
    <definedName name="견적조건" localSheetId="1" hidden="1">#N/A</definedName>
    <definedName name="견적조건" localSheetId="2" hidden="1">#N/A</definedName>
    <definedName name="견적조건" localSheetId="4" hidden="1">#N/A</definedName>
    <definedName name="견적조건" localSheetId="19" hidden="1">#N/A</definedName>
    <definedName name="견적조건" localSheetId="10" hidden="1">#N/A</definedName>
    <definedName name="견적조건" localSheetId="9" hidden="1">#N/A</definedName>
    <definedName name="견적조건" localSheetId="8" hidden="1">#N/A</definedName>
    <definedName name="견적조건" localSheetId="3" hidden="1">#N/A</definedName>
    <definedName name="견적조건" localSheetId="6" hidden="1">#N/A</definedName>
    <definedName name="견적조건" localSheetId="7" hidden="1">#N/A</definedName>
    <definedName name="견적조건" localSheetId="5" hidden="1">#N/A</definedName>
    <definedName name="견적조건" hidden="1">#REF!</definedName>
    <definedName name="견적품의서" localSheetId="18" hidden="1">{"'장비'!$A$3:$M$12"}</definedName>
    <definedName name="견적품의서" hidden="1">{"'장비'!$A$3:$M$12"}</definedName>
    <definedName name="경비1" hidden="1">#REF!</definedName>
    <definedName name="계장공사" localSheetId="18" hidden="1">{#N/A,#N/A,FALSE,"CCTV"}</definedName>
    <definedName name="계장공사" localSheetId="11" hidden="1">{#N/A,#N/A,FALSE,"CCTV"}</definedName>
    <definedName name="계장공사" localSheetId="1" hidden="1">{#N/A,#N/A,FALSE,"CCTV"}</definedName>
    <definedName name="계장공사" localSheetId="2" hidden="1">{#N/A,#N/A,FALSE,"CCTV"}</definedName>
    <definedName name="계장공사" localSheetId="4" hidden="1">{#N/A,#N/A,FALSE,"CCTV"}</definedName>
    <definedName name="계장공사" localSheetId="19" hidden="1">{#N/A,#N/A,FALSE,"CCTV"}</definedName>
    <definedName name="계장공사" localSheetId="10" hidden="1">{#N/A,#N/A,FALSE,"CCTV"}</definedName>
    <definedName name="계장공사" localSheetId="9" hidden="1">{#N/A,#N/A,FALSE,"CCTV"}</definedName>
    <definedName name="계장공사" localSheetId="8" hidden="1">{#N/A,#N/A,FALSE,"CCTV"}</definedName>
    <definedName name="계장공사" localSheetId="3" hidden="1">{#N/A,#N/A,FALSE,"CCTV"}</definedName>
    <definedName name="계장공사" localSheetId="6" hidden="1">{#N/A,#N/A,FALSE,"CCTV"}</definedName>
    <definedName name="계장공사" localSheetId="7" hidden="1">{#N/A,#N/A,FALSE,"CCTV"}</definedName>
    <definedName name="계장공사" localSheetId="5" hidden="1">{#N/A,#N/A,FALSE,"CCTV"}</definedName>
    <definedName name="계장공사" hidden="1">{#N/A,#N/A,FALSE,"CCTV"}</definedName>
    <definedName name="계전2" hidden="1">#REF!</definedName>
    <definedName name="공장동" hidden="1">#REF!</definedName>
    <definedName name="광양1소결합리화"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localSheetId="18" hidden="1">{#N/A,#N/A,FALSE,"배수1"}</definedName>
    <definedName name="교대펄근집계" hidden="1">{#N/A,#N/A,FALSE,"배수1"}</definedName>
    <definedName name="구산갑지" hidden="1">#REF!</definedName>
    <definedName name="구조물공" localSheetId="18" hidden="1">{#N/A,#N/A,FALSE,"이정표"}</definedName>
    <definedName name="구조물공" hidden="1">{#N/A,#N/A,FALSE,"이정표"}</definedName>
    <definedName name="구조물공사" localSheetId="18" hidden="1">{#N/A,#N/A,TRUE,"토적및재료집계";#N/A,#N/A,TRUE,"토적및재료집계";#N/A,#N/A,TRUE,"단위량"}</definedName>
    <definedName name="구조물공사" hidden="1">{#N/A,#N/A,TRUE,"토적및재료집계";#N/A,#N/A,TRUE,"토적및재료집계";#N/A,#N/A,TRUE,"단위량"}</definedName>
    <definedName name="기"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localSheetId="18" hidden="1">{"'장비'!$A$3:$M$12"}</definedName>
    <definedName name="기구조직표" hidden="1">{"'장비'!$A$3:$M$12"}</definedName>
    <definedName name="기기마" hidden="1">#REF!</definedName>
    <definedName name="기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18" hidden="1">{#N/A,#N/A,TRUE,"Basic";#N/A,#N/A,TRUE,"EXT-TABLE";#N/A,#N/A,TRUE,"STEEL";#N/A,#N/A,TRUE,"INT-Table";#N/A,#N/A,TRUE,"STEEL";#N/A,#N/A,TRUE,"Door"}</definedName>
    <definedName name="김" hidden="1">{#N/A,#N/A,TRUE,"Basic";#N/A,#N/A,TRUE,"EXT-TABLE";#N/A,#N/A,TRUE,"STEEL";#N/A,#N/A,TRUE,"INT-Table";#N/A,#N/A,TRUE,"STEEL";#N/A,#N/A,TRUE,"Door"}</definedName>
    <definedName name="김_1" localSheetId="18" hidden="1">{#N/A,#N/A,TRUE,"Basic";#N/A,#N/A,TRUE,"EXT-TABLE";#N/A,#N/A,TRUE,"STEEL";#N/A,#N/A,TRUE,"INT-Table";#N/A,#N/A,TRUE,"STEEL";#N/A,#N/A,TRUE,"Door"}</definedName>
    <definedName name="김_1" hidden="1">{#N/A,#N/A,TRUE,"Basic";#N/A,#N/A,TRUE,"EXT-TABLE";#N/A,#N/A,TRUE,"STEEL";#N/A,#N/A,TRUE,"INT-Table";#N/A,#N/A,TRUE,"STEEL";#N/A,#N/A,TRUE,"Door"}</definedName>
    <definedName name="김_1_1" localSheetId="18" hidden="1">{#N/A,#N/A,TRUE,"Basic";#N/A,#N/A,TRUE,"EXT-TABLE";#N/A,#N/A,TRUE,"STEEL";#N/A,#N/A,TRUE,"INT-Table";#N/A,#N/A,TRUE,"STEEL";#N/A,#N/A,TRUE,"Door"}</definedName>
    <definedName name="김_1_1" hidden="1">{#N/A,#N/A,TRUE,"Basic";#N/A,#N/A,TRUE,"EXT-TABLE";#N/A,#N/A,TRUE,"STEEL";#N/A,#N/A,TRUE,"INT-Table";#N/A,#N/A,TRUE,"STEEL";#N/A,#N/A,TRUE,"Door"}</definedName>
    <definedName name="김_1_2" localSheetId="18" hidden="1">{#N/A,#N/A,TRUE,"Basic";#N/A,#N/A,TRUE,"EXT-TABLE";#N/A,#N/A,TRUE,"STEEL";#N/A,#N/A,TRUE,"INT-Table";#N/A,#N/A,TRUE,"STEEL";#N/A,#N/A,TRUE,"Door"}</definedName>
    <definedName name="김_1_2" hidden="1">{#N/A,#N/A,TRUE,"Basic";#N/A,#N/A,TRUE,"EXT-TABLE";#N/A,#N/A,TRUE,"STEEL";#N/A,#N/A,TRUE,"INT-Table";#N/A,#N/A,TRUE,"STEEL";#N/A,#N/A,TRUE,"Door"}</definedName>
    <definedName name="김_2" localSheetId="18" hidden="1">{#N/A,#N/A,TRUE,"Basic";#N/A,#N/A,TRUE,"EXT-TABLE";#N/A,#N/A,TRUE,"STEEL";#N/A,#N/A,TRUE,"INT-Table";#N/A,#N/A,TRUE,"STEEL";#N/A,#N/A,TRUE,"Door"}</definedName>
    <definedName name="김_2" hidden="1">{#N/A,#N/A,TRUE,"Basic";#N/A,#N/A,TRUE,"EXT-TABLE";#N/A,#N/A,TRUE,"STEEL";#N/A,#N/A,TRUE,"INT-Table";#N/A,#N/A,TRUE,"STEEL";#N/A,#N/A,TRUE,"Door"}</definedName>
    <definedName name="김_2_1" localSheetId="18" hidden="1">{#N/A,#N/A,TRUE,"Basic";#N/A,#N/A,TRUE,"EXT-TABLE";#N/A,#N/A,TRUE,"STEEL";#N/A,#N/A,TRUE,"INT-Table";#N/A,#N/A,TRUE,"STEEL";#N/A,#N/A,TRUE,"Door"}</definedName>
    <definedName name="김_2_1" hidden="1">{#N/A,#N/A,TRUE,"Basic";#N/A,#N/A,TRUE,"EXT-TABLE";#N/A,#N/A,TRUE,"STEEL";#N/A,#N/A,TRUE,"INT-Table";#N/A,#N/A,TRUE,"STEEL";#N/A,#N/A,TRUE,"Door"}</definedName>
    <definedName name="김_2_2" localSheetId="18" hidden="1">{#N/A,#N/A,TRUE,"Basic";#N/A,#N/A,TRUE,"EXT-TABLE";#N/A,#N/A,TRUE,"STEEL";#N/A,#N/A,TRUE,"INT-Table";#N/A,#N/A,TRUE,"STEEL";#N/A,#N/A,TRUE,"Door"}</definedName>
    <definedName name="김_2_2" hidden="1">{#N/A,#N/A,TRUE,"Basic";#N/A,#N/A,TRUE,"EXT-TABLE";#N/A,#N/A,TRUE,"STEEL";#N/A,#N/A,TRUE,"INT-Table";#N/A,#N/A,TRUE,"STEEL";#N/A,#N/A,TRUE,"Door"}</definedName>
    <definedName name="김_3" localSheetId="18" hidden="1">{#N/A,#N/A,TRUE,"Basic";#N/A,#N/A,TRUE,"EXT-TABLE";#N/A,#N/A,TRUE,"STEEL";#N/A,#N/A,TRUE,"INT-Table";#N/A,#N/A,TRUE,"STEEL";#N/A,#N/A,TRUE,"Door"}</definedName>
    <definedName name="김_3" hidden="1">{#N/A,#N/A,TRUE,"Basic";#N/A,#N/A,TRUE,"EXT-TABLE";#N/A,#N/A,TRUE,"STEEL";#N/A,#N/A,TRUE,"INT-Table";#N/A,#N/A,TRUE,"STEEL";#N/A,#N/A,TRUE,"Door"}</definedName>
    <definedName name="김_3_1" localSheetId="18" hidden="1">{#N/A,#N/A,TRUE,"Basic";#N/A,#N/A,TRUE,"EXT-TABLE";#N/A,#N/A,TRUE,"STEEL";#N/A,#N/A,TRUE,"INT-Table";#N/A,#N/A,TRUE,"STEEL";#N/A,#N/A,TRUE,"Door"}</definedName>
    <definedName name="김_3_1" hidden="1">{#N/A,#N/A,TRUE,"Basic";#N/A,#N/A,TRUE,"EXT-TABLE";#N/A,#N/A,TRUE,"STEEL";#N/A,#N/A,TRUE,"INT-Table";#N/A,#N/A,TRUE,"STEEL";#N/A,#N/A,TRUE,"Door"}</definedName>
    <definedName name="김_3_2" localSheetId="18" hidden="1">{#N/A,#N/A,TRUE,"Basic";#N/A,#N/A,TRUE,"EXT-TABLE";#N/A,#N/A,TRUE,"STEEL";#N/A,#N/A,TRUE,"INT-Table";#N/A,#N/A,TRUE,"STEEL";#N/A,#N/A,TRUE,"Door"}</definedName>
    <definedName name="김_3_2" hidden="1">{#N/A,#N/A,TRUE,"Basic";#N/A,#N/A,TRUE,"EXT-TABLE";#N/A,#N/A,TRUE,"STEEL";#N/A,#N/A,TRUE,"INT-Table";#N/A,#N/A,TRUE,"STEEL";#N/A,#N/A,TRUE,"Door"}</definedName>
    <definedName name="김_4" localSheetId="18" hidden="1">{#N/A,#N/A,TRUE,"Basic";#N/A,#N/A,TRUE,"EXT-TABLE";#N/A,#N/A,TRUE,"STEEL";#N/A,#N/A,TRUE,"INT-Table";#N/A,#N/A,TRUE,"STEEL";#N/A,#N/A,TRUE,"Door"}</definedName>
    <definedName name="김_4" hidden="1">{#N/A,#N/A,TRUE,"Basic";#N/A,#N/A,TRUE,"EXT-TABLE";#N/A,#N/A,TRUE,"STEEL";#N/A,#N/A,TRUE,"INT-Table";#N/A,#N/A,TRUE,"STEEL";#N/A,#N/A,TRUE,"Door"}</definedName>
    <definedName name="김_4_1" localSheetId="18" hidden="1">{#N/A,#N/A,TRUE,"Basic";#N/A,#N/A,TRUE,"EXT-TABLE";#N/A,#N/A,TRUE,"STEEL";#N/A,#N/A,TRUE,"INT-Table";#N/A,#N/A,TRUE,"STEEL";#N/A,#N/A,TRUE,"Door"}</definedName>
    <definedName name="김_4_1" hidden="1">{#N/A,#N/A,TRUE,"Basic";#N/A,#N/A,TRUE,"EXT-TABLE";#N/A,#N/A,TRUE,"STEEL";#N/A,#N/A,TRUE,"INT-Table";#N/A,#N/A,TRUE,"STEEL";#N/A,#N/A,TRUE,"Door"}</definedName>
    <definedName name="김_4_2" localSheetId="18" hidden="1">{#N/A,#N/A,TRUE,"Basic";#N/A,#N/A,TRUE,"EXT-TABLE";#N/A,#N/A,TRUE,"STEEL";#N/A,#N/A,TRUE,"INT-Table";#N/A,#N/A,TRUE,"STEEL";#N/A,#N/A,TRUE,"Door"}</definedName>
    <definedName name="김_4_2" hidden="1">{#N/A,#N/A,TRUE,"Basic";#N/A,#N/A,TRUE,"EXT-TABLE";#N/A,#N/A,TRUE,"STEEL";#N/A,#N/A,TRUE,"INT-Table";#N/A,#N/A,TRUE,"STEEL";#N/A,#N/A,TRUE,"Door"}</definedName>
    <definedName name="김_5" localSheetId="18" hidden="1">{#N/A,#N/A,TRUE,"Basic";#N/A,#N/A,TRUE,"EXT-TABLE";#N/A,#N/A,TRUE,"STEEL";#N/A,#N/A,TRUE,"INT-Table";#N/A,#N/A,TRUE,"STEEL";#N/A,#N/A,TRUE,"Door"}</definedName>
    <definedName name="김_5" hidden="1">{#N/A,#N/A,TRUE,"Basic";#N/A,#N/A,TRUE,"EXT-TABLE";#N/A,#N/A,TRUE,"STEEL";#N/A,#N/A,TRUE,"INT-Table";#N/A,#N/A,TRUE,"STEEL";#N/A,#N/A,TRUE,"Door"}</definedName>
    <definedName name="김_5_1" localSheetId="18" hidden="1">{#N/A,#N/A,TRUE,"Basic";#N/A,#N/A,TRUE,"EXT-TABLE";#N/A,#N/A,TRUE,"STEEL";#N/A,#N/A,TRUE,"INT-Table";#N/A,#N/A,TRUE,"STEEL";#N/A,#N/A,TRUE,"Door"}</definedName>
    <definedName name="김_5_1" hidden="1">{#N/A,#N/A,TRUE,"Basic";#N/A,#N/A,TRUE,"EXT-TABLE";#N/A,#N/A,TRUE,"STEEL";#N/A,#N/A,TRUE,"INT-Table";#N/A,#N/A,TRUE,"STEEL";#N/A,#N/A,TRUE,"Door"}</definedName>
    <definedName name="김_5_2" localSheetId="18" hidden="1">{#N/A,#N/A,TRUE,"Basic";#N/A,#N/A,TRUE,"EXT-TABLE";#N/A,#N/A,TRUE,"STEEL";#N/A,#N/A,TRUE,"INT-Table";#N/A,#N/A,TRUE,"STEEL";#N/A,#N/A,TRUE,"Door"}</definedName>
    <definedName name="김_5_2" hidden="1">{#N/A,#N/A,TRUE,"Basic";#N/A,#N/A,TRUE,"EXT-TABLE";#N/A,#N/A,TRUE,"STEEL";#N/A,#N/A,TRUE,"INT-Table";#N/A,#N/A,TRUE,"STEEL";#N/A,#N/A,TRUE,"Door"}</definedName>
    <definedName name="김1" localSheetId="18" hidden="1">{#N/A,#N/A,TRUE,"Basic";#N/A,#N/A,TRUE,"EXT-TABLE";#N/A,#N/A,TRUE,"STEEL";#N/A,#N/A,TRUE,"INT-Table";#N/A,#N/A,TRUE,"STEEL";#N/A,#N/A,TRUE,"Door"}</definedName>
    <definedName name="김1" hidden="1">{#N/A,#N/A,TRUE,"Basic";#N/A,#N/A,TRUE,"EXT-TABLE";#N/A,#N/A,TRUE,"STEEL";#N/A,#N/A,TRUE,"INT-Table";#N/A,#N/A,TRUE,"STEEL";#N/A,#N/A,TRUE,"Door"}</definedName>
    <definedName name="김1_1" localSheetId="18" hidden="1">{#N/A,#N/A,TRUE,"Basic";#N/A,#N/A,TRUE,"EXT-TABLE";#N/A,#N/A,TRUE,"STEEL";#N/A,#N/A,TRUE,"INT-Table";#N/A,#N/A,TRUE,"STEEL";#N/A,#N/A,TRUE,"Door"}</definedName>
    <definedName name="김1_1" hidden="1">{#N/A,#N/A,TRUE,"Basic";#N/A,#N/A,TRUE,"EXT-TABLE";#N/A,#N/A,TRUE,"STEEL";#N/A,#N/A,TRUE,"INT-Table";#N/A,#N/A,TRUE,"STEEL";#N/A,#N/A,TRUE,"Door"}</definedName>
    <definedName name="김1_1_1" localSheetId="18" hidden="1">{#N/A,#N/A,TRUE,"Basic";#N/A,#N/A,TRUE,"EXT-TABLE";#N/A,#N/A,TRUE,"STEEL";#N/A,#N/A,TRUE,"INT-Table";#N/A,#N/A,TRUE,"STEEL";#N/A,#N/A,TRUE,"Door"}</definedName>
    <definedName name="김1_1_1" hidden="1">{#N/A,#N/A,TRUE,"Basic";#N/A,#N/A,TRUE,"EXT-TABLE";#N/A,#N/A,TRUE,"STEEL";#N/A,#N/A,TRUE,"INT-Table";#N/A,#N/A,TRUE,"STEEL";#N/A,#N/A,TRUE,"Door"}</definedName>
    <definedName name="김1_1_2" localSheetId="18" hidden="1">{#N/A,#N/A,TRUE,"Basic";#N/A,#N/A,TRUE,"EXT-TABLE";#N/A,#N/A,TRUE,"STEEL";#N/A,#N/A,TRUE,"INT-Table";#N/A,#N/A,TRUE,"STEEL";#N/A,#N/A,TRUE,"Door"}</definedName>
    <definedName name="김1_1_2" hidden="1">{#N/A,#N/A,TRUE,"Basic";#N/A,#N/A,TRUE,"EXT-TABLE";#N/A,#N/A,TRUE,"STEEL";#N/A,#N/A,TRUE,"INT-Table";#N/A,#N/A,TRUE,"STEEL";#N/A,#N/A,TRUE,"Door"}</definedName>
    <definedName name="김1_2" localSheetId="18" hidden="1">{#N/A,#N/A,TRUE,"Basic";#N/A,#N/A,TRUE,"EXT-TABLE";#N/A,#N/A,TRUE,"STEEL";#N/A,#N/A,TRUE,"INT-Table";#N/A,#N/A,TRUE,"STEEL";#N/A,#N/A,TRUE,"Door"}</definedName>
    <definedName name="김1_2" hidden="1">{#N/A,#N/A,TRUE,"Basic";#N/A,#N/A,TRUE,"EXT-TABLE";#N/A,#N/A,TRUE,"STEEL";#N/A,#N/A,TRUE,"INT-Table";#N/A,#N/A,TRUE,"STEEL";#N/A,#N/A,TRUE,"Door"}</definedName>
    <definedName name="김1_2_1" localSheetId="18" hidden="1">{#N/A,#N/A,TRUE,"Basic";#N/A,#N/A,TRUE,"EXT-TABLE";#N/A,#N/A,TRUE,"STEEL";#N/A,#N/A,TRUE,"INT-Table";#N/A,#N/A,TRUE,"STEEL";#N/A,#N/A,TRUE,"Door"}</definedName>
    <definedName name="김1_2_1" hidden="1">{#N/A,#N/A,TRUE,"Basic";#N/A,#N/A,TRUE,"EXT-TABLE";#N/A,#N/A,TRUE,"STEEL";#N/A,#N/A,TRUE,"INT-Table";#N/A,#N/A,TRUE,"STEEL";#N/A,#N/A,TRUE,"Door"}</definedName>
    <definedName name="김1_2_2" localSheetId="18" hidden="1">{#N/A,#N/A,TRUE,"Basic";#N/A,#N/A,TRUE,"EXT-TABLE";#N/A,#N/A,TRUE,"STEEL";#N/A,#N/A,TRUE,"INT-Table";#N/A,#N/A,TRUE,"STEEL";#N/A,#N/A,TRUE,"Door"}</definedName>
    <definedName name="김1_2_2" hidden="1">{#N/A,#N/A,TRUE,"Basic";#N/A,#N/A,TRUE,"EXT-TABLE";#N/A,#N/A,TRUE,"STEEL";#N/A,#N/A,TRUE,"INT-Table";#N/A,#N/A,TRUE,"STEEL";#N/A,#N/A,TRUE,"Door"}</definedName>
    <definedName name="김1_3" localSheetId="18" hidden="1">{#N/A,#N/A,TRUE,"Basic";#N/A,#N/A,TRUE,"EXT-TABLE";#N/A,#N/A,TRUE,"STEEL";#N/A,#N/A,TRUE,"INT-Table";#N/A,#N/A,TRUE,"STEEL";#N/A,#N/A,TRUE,"Door"}</definedName>
    <definedName name="김1_3" hidden="1">{#N/A,#N/A,TRUE,"Basic";#N/A,#N/A,TRUE,"EXT-TABLE";#N/A,#N/A,TRUE,"STEEL";#N/A,#N/A,TRUE,"INT-Table";#N/A,#N/A,TRUE,"STEEL";#N/A,#N/A,TRUE,"Door"}</definedName>
    <definedName name="김1_3_1" localSheetId="18" hidden="1">{#N/A,#N/A,TRUE,"Basic";#N/A,#N/A,TRUE,"EXT-TABLE";#N/A,#N/A,TRUE,"STEEL";#N/A,#N/A,TRUE,"INT-Table";#N/A,#N/A,TRUE,"STEEL";#N/A,#N/A,TRUE,"Door"}</definedName>
    <definedName name="김1_3_1" hidden="1">{#N/A,#N/A,TRUE,"Basic";#N/A,#N/A,TRUE,"EXT-TABLE";#N/A,#N/A,TRUE,"STEEL";#N/A,#N/A,TRUE,"INT-Table";#N/A,#N/A,TRUE,"STEEL";#N/A,#N/A,TRUE,"Door"}</definedName>
    <definedName name="김1_3_2" localSheetId="18" hidden="1">{#N/A,#N/A,TRUE,"Basic";#N/A,#N/A,TRUE,"EXT-TABLE";#N/A,#N/A,TRUE,"STEEL";#N/A,#N/A,TRUE,"INT-Table";#N/A,#N/A,TRUE,"STEEL";#N/A,#N/A,TRUE,"Door"}</definedName>
    <definedName name="김1_3_2" hidden="1">{#N/A,#N/A,TRUE,"Basic";#N/A,#N/A,TRUE,"EXT-TABLE";#N/A,#N/A,TRUE,"STEEL";#N/A,#N/A,TRUE,"INT-Table";#N/A,#N/A,TRUE,"STEEL";#N/A,#N/A,TRUE,"Door"}</definedName>
    <definedName name="김1_4" localSheetId="18" hidden="1">{#N/A,#N/A,TRUE,"Basic";#N/A,#N/A,TRUE,"EXT-TABLE";#N/A,#N/A,TRUE,"STEEL";#N/A,#N/A,TRUE,"INT-Table";#N/A,#N/A,TRUE,"STEEL";#N/A,#N/A,TRUE,"Door"}</definedName>
    <definedName name="김1_4" hidden="1">{#N/A,#N/A,TRUE,"Basic";#N/A,#N/A,TRUE,"EXT-TABLE";#N/A,#N/A,TRUE,"STEEL";#N/A,#N/A,TRUE,"INT-Table";#N/A,#N/A,TRUE,"STEEL";#N/A,#N/A,TRUE,"Door"}</definedName>
    <definedName name="김1_4_1" localSheetId="18" hidden="1">{#N/A,#N/A,TRUE,"Basic";#N/A,#N/A,TRUE,"EXT-TABLE";#N/A,#N/A,TRUE,"STEEL";#N/A,#N/A,TRUE,"INT-Table";#N/A,#N/A,TRUE,"STEEL";#N/A,#N/A,TRUE,"Door"}</definedName>
    <definedName name="김1_4_1" hidden="1">{#N/A,#N/A,TRUE,"Basic";#N/A,#N/A,TRUE,"EXT-TABLE";#N/A,#N/A,TRUE,"STEEL";#N/A,#N/A,TRUE,"INT-Table";#N/A,#N/A,TRUE,"STEEL";#N/A,#N/A,TRUE,"Door"}</definedName>
    <definedName name="김1_4_2" localSheetId="18" hidden="1">{#N/A,#N/A,TRUE,"Basic";#N/A,#N/A,TRUE,"EXT-TABLE";#N/A,#N/A,TRUE,"STEEL";#N/A,#N/A,TRUE,"INT-Table";#N/A,#N/A,TRUE,"STEEL";#N/A,#N/A,TRUE,"Door"}</definedName>
    <definedName name="김1_4_2" hidden="1">{#N/A,#N/A,TRUE,"Basic";#N/A,#N/A,TRUE,"EXT-TABLE";#N/A,#N/A,TRUE,"STEEL";#N/A,#N/A,TRUE,"INT-Table";#N/A,#N/A,TRUE,"STEEL";#N/A,#N/A,TRUE,"Door"}</definedName>
    <definedName name="김1_5" localSheetId="18" hidden="1">{#N/A,#N/A,TRUE,"Basic";#N/A,#N/A,TRUE,"EXT-TABLE";#N/A,#N/A,TRUE,"STEEL";#N/A,#N/A,TRUE,"INT-Table";#N/A,#N/A,TRUE,"STEEL";#N/A,#N/A,TRUE,"Door"}</definedName>
    <definedName name="김1_5" hidden="1">{#N/A,#N/A,TRUE,"Basic";#N/A,#N/A,TRUE,"EXT-TABLE";#N/A,#N/A,TRUE,"STEEL";#N/A,#N/A,TRUE,"INT-Table";#N/A,#N/A,TRUE,"STEEL";#N/A,#N/A,TRUE,"Door"}</definedName>
    <definedName name="김1_5_1" localSheetId="18" hidden="1">{#N/A,#N/A,TRUE,"Basic";#N/A,#N/A,TRUE,"EXT-TABLE";#N/A,#N/A,TRUE,"STEEL";#N/A,#N/A,TRUE,"INT-Table";#N/A,#N/A,TRUE,"STEEL";#N/A,#N/A,TRUE,"Door"}</definedName>
    <definedName name="김1_5_1" hidden="1">{#N/A,#N/A,TRUE,"Basic";#N/A,#N/A,TRUE,"EXT-TABLE";#N/A,#N/A,TRUE,"STEEL";#N/A,#N/A,TRUE,"INT-Table";#N/A,#N/A,TRUE,"STEEL";#N/A,#N/A,TRUE,"Door"}</definedName>
    <definedName name="김1_5_2" localSheetId="18" hidden="1">{#N/A,#N/A,TRUE,"Basic";#N/A,#N/A,TRUE,"EXT-TABLE";#N/A,#N/A,TRUE,"STEEL";#N/A,#N/A,TRUE,"INT-Table";#N/A,#N/A,TRUE,"STEEL";#N/A,#N/A,TRUE,"Door"}</definedName>
    <definedName name="김1_5_2" hidden="1">{#N/A,#N/A,TRUE,"Basic";#N/A,#N/A,TRUE,"EXT-TABLE";#N/A,#N/A,TRUE,"STEEL";#N/A,#N/A,TRUE,"INT-Table";#N/A,#N/A,TRUE,"STEEL";#N/A,#N/A,TRUE,"Door"}</definedName>
    <definedName name="김3" localSheetId="18" hidden="1">{#N/A,#N/A,TRUE,"Basic";#N/A,#N/A,TRUE,"EXT-TABLE";#N/A,#N/A,TRUE,"STEEL";#N/A,#N/A,TRUE,"INT-Table";#N/A,#N/A,TRUE,"STEEL";#N/A,#N/A,TRUE,"Door"}</definedName>
    <definedName name="김3" hidden="1">{#N/A,#N/A,TRUE,"Basic";#N/A,#N/A,TRUE,"EXT-TABLE";#N/A,#N/A,TRUE,"STEEL";#N/A,#N/A,TRUE,"INT-Table";#N/A,#N/A,TRUE,"STEEL";#N/A,#N/A,TRUE,"Door"}</definedName>
    <definedName name="김3_1" localSheetId="18" hidden="1">{#N/A,#N/A,TRUE,"Basic";#N/A,#N/A,TRUE,"EXT-TABLE";#N/A,#N/A,TRUE,"STEEL";#N/A,#N/A,TRUE,"INT-Table";#N/A,#N/A,TRUE,"STEEL";#N/A,#N/A,TRUE,"Door"}</definedName>
    <definedName name="김3_1" hidden="1">{#N/A,#N/A,TRUE,"Basic";#N/A,#N/A,TRUE,"EXT-TABLE";#N/A,#N/A,TRUE,"STEEL";#N/A,#N/A,TRUE,"INT-Table";#N/A,#N/A,TRUE,"STEEL";#N/A,#N/A,TRUE,"Door"}</definedName>
    <definedName name="김3_1_1" localSheetId="18" hidden="1">{#N/A,#N/A,TRUE,"Basic";#N/A,#N/A,TRUE,"EXT-TABLE";#N/A,#N/A,TRUE,"STEEL";#N/A,#N/A,TRUE,"INT-Table";#N/A,#N/A,TRUE,"STEEL";#N/A,#N/A,TRUE,"Door"}</definedName>
    <definedName name="김3_1_1" hidden="1">{#N/A,#N/A,TRUE,"Basic";#N/A,#N/A,TRUE,"EXT-TABLE";#N/A,#N/A,TRUE,"STEEL";#N/A,#N/A,TRUE,"INT-Table";#N/A,#N/A,TRUE,"STEEL";#N/A,#N/A,TRUE,"Door"}</definedName>
    <definedName name="김3_1_2" localSheetId="18" hidden="1">{#N/A,#N/A,TRUE,"Basic";#N/A,#N/A,TRUE,"EXT-TABLE";#N/A,#N/A,TRUE,"STEEL";#N/A,#N/A,TRUE,"INT-Table";#N/A,#N/A,TRUE,"STEEL";#N/A,#N/A,TRUE,"Door"}</definedName>
    <definedName name="김3_1_2" hidden="1">{#N/A,#N/A,TRUE,"Basic";#N/A,#N/A,TRUE,"EXT-TABLE";#N/A,#N/A,TRUE,"STEEL";#N/A,#N/A,TRUE,"INT-Table";#N/A,#N/A,TRUE,"STEEL";#N/A,#N/A,TRUE,"Door"}</definedName>
    <definedName name="김3_2" localSheetId="18" hidden="1">{#N/A,#N/A,TRUE,"Basic";#N/A,#N/A,TRUE,"EXT-TABLE";#N/A,#N/A,TRUE,"STEEL";#N/A,#N/A,TRUE,"INT-Table";#N/A,#N/A,TRUE,"STEEL";#N/A,#N/A,TRUE,"Door"}</definedName>
    <definedName name="김3_2" hidden="1">{#N/A,#N/A,TRUE,"Basic";#N/A,#N/A,TRUE,"EXT-TABLE";#N/A,#N/A,TRUE,"STEEL";#N/A,#N/A,TRUE,"INT-Table";#N/A,#N/A,TRUE,"STEEL";#N/A,#N/A,TRUE,"Door"}</definedName>
    <definedName name="김3_2_1" localSheetId="18" hidden="1">{#N/A,#N/A,TRUE,"Basic";#N/A,#N/A,TRUE,"EXT-TABLE";#N/A,#N/A,TRUE,"STEEL";#N/A,#N/A,TRUE,"INT-Table";#N/A,#N/A,TRUE,"STEEL";#N/A,#N/A,TRUE,"Door"}</definedName>
    <definedName name="김3_2_1" hidden="1">{#N/A,#N/A,TRUE,"Basic";#N/A,#N/A,TRUE,"EXT-TABLE";#N/A,#N/A,TRUE,"STEEL";#N/A,#N/A,TRUE,"INT-Table";#N/A,#N/A,TRUE,"STEEL";#N/A,#N/A,TRUE,"Door"}</definedName>
    <definedName name="김3_2_2" localSheetId="18" hidden="1">{#N/A,#N/A,TRUE,"Basic";#N/A,#N/A,TRUE,"EXT-TABLE";#N/A,#N/A,TRUE,"STEEL";#N/A,#N/A,TRUE,"INT-Table";#N/A,#N/A,TRUE,"STEEL";#N/A,#N/A,TRUE,"Door"}</definedName>
    <definedName name="김3_2_2" hidden="1">{#N/A,#N/A,TRUE,"Basic";#N/A,#N/A,TRUE,"EXT-TABLE";#N/A,#N/A,TRUE,"STEEL";#N/A,#N/A,TRUE,"INT-Table";#N/A,#N/A,TRUE,"STEEL";#N/A,#N/A,TRUE,"Door"}</definedName>
    <definedName name="김3_3" localSheetId="18" hidden="1">{#N/A,#N/A,TRUE,"Basic";#N/A,#N/A,TRUE,"EXT-TABLE";#N/A,#N/A,TRUE,"STEEL";#N/A,#N/A,TRUE,"INT-Table";#N/A,#N/A,TRUE,"STEEL";#N/A,#N/A,TRUE,"Door"}</definedName>
    <definedName name="김3_3" hidden="1">{#N/A,#N/A,TRUE,"Basic";#N/A,#N/A,TRUE,"EXT-TABLE";#N/A,#N/A,TRUE,"STEEL";#N/A,#N/A,TRUE,"INT-Table";#N/A,#N/A,TRUE,"STEEL";#N/A,#N/A,TRUE,"Door"}</definedName>
    <definedName name="김3_3_1" localSheetId="18" hidden="1">{#N/A,#N/A,TRUE,"Basic";#N/A,#N/A,TRUE,"EXT-TABLE";#N/A,#N/A,TRUE,"STEEL";#N/A,#N/A,TRUE,"INT-Table";#N/A,#N/A,TRUE,"STEEL";#N/A,#N/A,TRUE,"Door"}</definedName>
    <definedName name="김3_3_1" hidden="1">{#N/A,#N/A,TRUE,"Basic";#N/A,#N/A,TRUE,"EXT-TABLE";#N/A,#N/A,TRUE,"STEEL";#N/A,#N/A,TRUE,"INT-Table";#N/A,#N/A,TRUE,"STEEL";#N/A,#N/A,TRUE,"Door"}</definedName>
    <definedName name="김3_3_2" localSheetId="18" hidden="1">{#N/A,#N/A,TRUE,"Basic";#N/A,#N/A,TRUE,"EXT-TABLE";#N/A,#N/A,TRUE,"STEEL";#N/A,#N/A,TRUE,"INT-Table";#N/A,#N/A,TRUE,"STEEL";#N/A,#N/A,TRUE,"Door"}</definedName>
    <definedName name="김3_3_2" hidden="1">{#N/A,#N/A,TRUE,"Basic";#N/A,#N/A,TRUE,"EXT-TABLE";#N/A,#N/A,TRUE,"STEEL";#N/A,#N/A,TRUE,"INT-Table";#N/A,#N/A,TRUE,"STEEL";#N/A,#N/A,TRUE,"Door"}</definedName>
    <definedName name="김3_4" localSheetId="18" hidden="1">{#N/A,#N/A,TRUE,"Basic";#N/A,#N/A,TRUE,"EXT-TABLE";#N/A,#N/A,TRUE,"STEEL";#N/A,#N/A,TRUE,"INT-Table";#N/A,#N/A,TRUE,"STEEL";#N/A,#N/A,TRUE,"Door"}</definedName>
    <definedName name="김3_4" hidden="1">{#N/A,#N/A,TRUE,"Basic";#N/A,#N/A,TRUE,"EXT-TABLE";#N/A,#N/A,TRUE,"STEEL";#N/A,#N/A,TRUE,"INT-Table";#N/A,#N/A,TRUE,"STEEL";#N/A,#N/A,TRUE,"Door"}</definedName>
    <definedName name="김3_4_1" localSheetId="18" hidden="1">{#N/A,#N/A,TRUE,"Basic";#N/A,#N/A,TRUE,"EXT-TABLE";#N/A,#N/A,TRUE,"STEEL";#N/A,#N/A,TRUE,"INT-Table";#N/A,#N/A,TRUE,"STEEL";#N/A,#N/A,TRUE,"Door"}</definedName>
    <definedName name="김3_4_1" hidden="1">{#N/A,#N/A,TRUE,"Basic";#N/A,#N/A,TRUE,"EXT-TABLE";#N/A,#N/A,TRUE,"STEEL";#N/A,#N/A,TRUE,"INT-Table";#N/A,#N/A,TRUE,"STEEL";#N/A,#N/A,TRUE,"Door"}</definedName>
    <definedName name="김3_4_2" localSheetId="18" hidden="1">{#N/A,#N/A,TRUE,"Basic";#N/A,#N/A,TRUE,"EXT-TABLE";#N/A,#N/A,TRUE,"STEEL";#N/A,#N/A,TRUE,"INT-Table";#N/A,#N/A,TRUE,"STEEL";#N/A,#N/A,TRUE,"Door"}</definedName>
    <definedName name="김3_4_2" hidden="1">{#N/A,#N/A,TRUE,"Basic";#N/A,#N/A,TRUE,"EXT-TABLE";#N/A,#N/A,TRUE,"STEEL";#N/A,#N/A,TRUE,"INT-Table";#N/A,#N/A,TRUE,"STEEL";#N/A,#N/A,TRUE,"Door"}</definedName>
    <definedName name="김3_5" localSheetId="18" hidden="1">{#N/A,#N/A,TRUE,"Basic";#N/A,#N/A,TRUE,"EXT-TABLE";#N/A,#N/A,TRUE,"STEEL";#N/A,#N/A,TRUE,"INT-Table";#N/A,#N/A,TRUE,"STEEL";#N/A,#N/A,TRUE,"Door"}</definedName>
    <definedName name="김3_5" hidden="1">{#N/A,#N/A,TRUE,"Basic";#N/A,#N/A,TRUE,"EXT-TABLE";#N/A,#N/A,TRUE,"STEEL";#N/A,#N/A,TRUE,"INT-Table";#N/A,#N/A,TRUE,"STEEL";#N/A,#N/A,TRUE,"Door"}</definedName>
    <definedName name="김3_5_1" localSheetId="18" hidden="1">{#N/A,#N/A,TRUE,"Basic";#N/A,#N/A,TRUE,"EXT-TABLE";#N/A,#N/A,TRUE,"STEEL";#N/A,#N/A,TRUE,"INT-Table";#N/A,#N/A,TRUE,"STEEL";#N/A,#N/A,TRUE,"Door"}</definedName>
    <definedName name="김3_5_1" hidden="1">{#N/A,#N/A,TRUE,"Basic";#N/A,#N/A,TRUE,"EXT-TABLE";#N/A,#N/A,TRUE,"STEEL";#N/A,#N/A,TRUE,"INT-Table";#N/A,#N/A,TRUE,"STEEL";#N/A,#N/A,TRUE,"Door"}</definedName>
    <definedName name="김3_5_2" localSheetId="18" hidden="1">{#N/A,#N/A,TRUE,"Basic";#N/A,#N/A,TRUE,"EXT-TABLE";#N/A,#N/A,TRUE,"STEEL";#N/A,#N/A,TRUE,"INT-Table";#N/A,#N/A,TRUE,"STEEL";#N/A,#N/A,TRUE,"Door"}</definedName>
    <definedName name="김3_5_2" hidden="1">{#N/A,#N/A,TRUE,"Basic";#N/A,#N/A,TRUE,"EXT-TABLE";#N/A,#N/A,TRUE,"STEEL";#N/A,#N/A,TRUE,"INT-Table";#N/A,#N/A,TRUE,"STEEL";#N/A,#N/A,TRUE,"Door"}</definedName>
    <definedName name="ㄳ" localSheetId="18" hidden="1">{#N/A,#N/A,FALSE,"단가표지"}</definedName>
    <definedName name="ㄳ" hidden="1">{#N/A,#N/A,FALSE,"단가표지"}</definedName>
    <definedName name="ㄴ" localSheetId="18" hidden="1">{"'장비'!$A$3:$M$12"}</definedName>
    <definedName name="ㄴ" hidden="1">{"'장비'!$A$3:$M$12"}</definedName>
    <definedName name="ㄴㄴ" localSheetId="18" hidden="1">{#N/A,#N/A,FALSE,"표지목차"}</definedName>
    <definedName name="ㄴㄴ" hidden="1">{#N/A,#N/A,FALSE,"표지목차"}</definedName>
    <definedName name="ㄴㄴㄴ" localSheetId="18" hidden="1">{#N/A,#N/A,FALSE,"포장2"}</definedName>
    <definedName name="ㄴㄴㄴ" hidden="1">{#N/A,#N/A,FALSE,"포장2"}</definedName>
    <definedName name="ㄴㄹㄴㄹ" localSheetId="18" hidden="1">{#N/A,#N/A,FALSE,"혼합골재"}</definedName>
    <definedName name="ㄴㄹㄴㄹ" hidden="1">{#N/A,#N/A,FALSE,"혼합골재"}</definedName>
    <definedName name="ㄴㄹㅇㄹㅇ" localSheetId="18" hidden="1">{#N/A,#N/A,FALSE,"2~8번"}</definedName>
    <definedName name="ㄴㄹㅇㄹㅇ" hidden="1">{#N/A,#N/A,FALSE,"2~8번"}</definedName>
    <definedName name="ㄴㄻㄴㅇ" localSheetId="18" hidden="1">{#N/A,#N/A,FALSE,"조골재"}</definedName>
    <definedName name="ㄴㄻㄴㅇ" hidden="1">{#N/A,#N/A,FALSE,"조골재"}</definedName>
    <definedName name="ㄴㅁㄹㄴㅁㅇㄴㅇㅁㄹㄴ" localSheetId="18" hidden="1">{#N/A,#N/A,FALSE,"단가표지"}</definedName>
    <definedName name="ㄴㅁㄹㄴㅁㅇㄴㅇㅁㄹㄴ" hidden="1">{#N/A,#N/A,FALSE,"단가표지"}</definedName>
    <definedName name="ㄴㅁㄹㅈㄹ" localSheetId="11" hidden="1">#N/A</definedName>
    <definedName name="ㄴㅁㄹㅈㄹ" localSheetId="1" hidden="1">#N/A</definedName>
    <definedName name="ㄴㅁㄹㅈㄹ" localSheetId="2" hidden="1">#N/A</definedName>
    <definedName name="ㄴㅁㄹㅈㄹ" localSheetId="4" hidden="1">#N/A</definedName>
    <definedName name="ㄴㅁㄹㅈㄹ" localSheetId="19" hidden="1">#N/A</definedName>
    <definedName name="ㄴㅁㄹㅈㄹ" localSheetId="10" hidden="1">#N/A</definedName>
    <definedName name="ㄴㅁㄹㅈㄹ" localSheetId="9" hidden="1">#N/A</definedName>
    <definedName name="ㄴㅁㄹㅈㄹ" localSheetId="8" hidden="1">#N/A</definedName>
    <definedName name="ㄴㅁㄹㅈㄹ" localSheetId="3" hidden="1">#N/A</definedName>
    <definedName name="ㄴㅁㄹㅈㄹ" localSheetId="6" hidden="1">#N/A</definedName>
    <definedName name="ㄴㅁㄹㅈㄹ" localSheetId="7" hidden="1">#N/A</definedName>
    <definedName name="ㄴㅁㄹㅈㄹ" localSheetId="5" hidden="1">#N/A</definedName>
    <definedName name="ㄴㅁㄹㅈㄹ" hidden="1">#REF!</definedName>
    <definedName name="ㄴㅇ"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localSheetId="18" hidden="1">{#N/A,#N/A,FALSE,"CCTV"}</definedName>
    <definedName name="ㄴㅇㄹ" localSheetId="11" hidden="1">{#N/A,#N/A,FALSE,"CCTV"}</definedName>
    <definedName name="ㄴㅇㄹ" localSheetId="1" hidden="1">{#N/A,#N/A,FALSE,"CCTV"}</definedName>
    <definedName name="ㄴㅇㄹ" localSheetId="2" hidden="1">{#N/A,#N/A,FALSE,"CCTV"}</definedName>
    <definedName name="ㄴㅇㄹ" localSheetId="4" hidden="1">{#N/A,#N/A,FALSE,"CCTV"}</definedName>
    <definedName name="ㄴㅇㄹ" localSheetId="19" hidden="1">{#N/A,#N/A,FALSE,"CCTV"}</definedName>
    <definedName name="ㄴㅇㄹ" localSheetId="10" hidden="1">{#N/A,#N/A,FALSE,"CCTV"}</definedName>
    <definedName name="ㄴㅇㄹ" localSheetId="9" hidden="1">{#N/A,#N/A,FALSE,"CCTV"}</definedName>
    <definedName name="ㄴㅇㄹ" localSheetId="8" hidden="1">{#N/A,#N/A,FALSE,"CCTV"}</definedName>
    <definedName name="ㄴㅇㄹ" localSheetId="3" hidden="1">{#N/A,#N/A,FALSE,"CCTV"}</definedName>
    <definedName name="ㄴㅇㄹ" localSheetId="6" hidden="1">{#N/A,#N/A,FALSE,"CCTV"}</definedName>
    <definedName name="ㄴㅇㄹ" localSheetId="7" hidden="1">{#N/A,#N/A,FALSE,"CCTV"}</definedName>
    <definedName name="ㄴㅇㄹ" localSheetId="5" hidden="1">{#N/A,#N/A,FALSE,"CCTV"}</definedName>
    <definedName name="ㄴㅇㄹ" hidden="1">{#N/A,#N/A,FALSE,"CCTV"}</definedName>
    <definedName name="ㄴㅇㅀ" localSheetId="18" hidden="1">{#N/A,#N/A,FALSE,"토공2"}</definedName>
    <definedName name="ㄴㅇㅀ" hidden="1">{#N/A,#N/A,FALSE,"토공2"}</definedName>
    <definedName name="나" localSheetId="18" hidden="1">{#N/A,#N/A,FALSE,"2~8번"}</definedName>
    <definedName name="나" hidden="1">{#N/A,#N/A,FALSE,"2~8번"}</definedName>
    <definedName name="나나" localSheetId="18" hidden="1">{#N/A,#N/A,FALSE,"2~8번"}</definedName>
    <definedName name="나나" hidden="1">{#N/A,#N/A,FALSE,"2~8번"}</definedName>
    <definedName name="나나나" localSheetId="18" hidden="1">{#N/A,#N/A,FALSE,"속도"}</definedName>
    <definedName name="나나나" hidden="1">{#N/A,#N/A,FALSE,"속도"}</definedName>
    <definedName name="나나나나나" localSheetId="18" hidden="1">{#N/A,#N/A,FALSE,"2~8번"}</definedName>
    <definedName name="나나나나나" hidden="1">{#N/A,#N/A,FALSE,"2~8번"}</definedName>
    <definedName name="나나나나나나나나" localSheetId="18" hidden="1">{#N/A,#N/A,FALSE,"혼합골재"}</definedName>
    <definedName name="나나나나나나나나" hidden="1">{#N/A,#N/A,FALSE,"혼합골재"}</definedName>
    <definedName name="나나나나나나나나난" localSheetId="18" hidden="1">{#N/A,#N/A,FALSE,"표지목차"}</definedName>
    <definedName name="나나나나나나나나난" hidden="1">{#N/A,#N/A,FALSE,"표지목차"}</definedName>
    <definedName name="나나아" localSheetId="18" hidden="1">{#N/A,#N/A,FALSE,"2~8번"}</definedName>
    <definedName name="나나아" hidden="1">{#N/A,#N/A,FALSE,"2~8번"}</definedName>
    <definedName name="나이로" localSheetId="18" hidden="1">{#N/A,#N/A,FALSE,"속도"}</definedName>
    <definedName name="나이로" hidden="1">{#N/A,#N/A,FALSE,"속도"}</definedName>
    <definedName name="내부거래분"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localSheetId="18" hidden="1">{#N/A,#N/A,FALSE,"CCTV"}</definedName>
    <definedName name="내역" hidden="1">{#N/A,#N/A,FALSE,"CCTV"}</definedName>
    <definedName name="내역노무"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localSheetId="18" hidden="1">{#N/A,#N/A,FALSE,"혼합골재"}</definedName>
    <definedName name="냐" hidden="1">{#N/A,#N/A,FALSE,"혼합골재"}</definedName>
    <definedName name="넣러" localSheetId="18" hidden="1">{#N/A,#N/A,FALSE,"표지목차"}</definedName>
    <definedName name="넣러" hidden="1">{#N/A,#N/A,FALSE,"표지목차"}</definedName>
    <definedName name="년배관실적" localSheetId="18" hidden="1">{"'EOMS'!$E$20"}</definedName>
    <definedName name="년배관실적" localSheetId="1" hidden="1">{"'EOMS'!$E$20"}</definedName>
    <definedName name="년배관실적" localSheetId="2" hidden="1">{"'EOMS'!$E$20"}</definedName>
    <definedName name="년배관실적" localSheetId="4" hidden="1">{"'EOMS'!$E$20"}</definedName>
    <definedName name="년배관실적" localSheetId="19" hidden="1">{"'EOMS'!$E$20"}</definedName>
    <definedName name="년배관실적" localSheetId="10" hidden="1">{"'EOMS'!$E$20"}</definedName>
    <definedName name="년배관실적" localSheetId="9" hidden="1">{"'EOMS'!$E$20"}</definedName>
    <definedName name="년배관실적" localSheetId="8" hidden="1">{"'EOMS'!$E$20"}</definedName>
    <definedName name="년배관실적" localSheetId="3" hidden="1">{"'EOMS'!$E$20"}</definedName>
    <definedName name="년배관실적" localSheetId="6" hidden="1">{"'EOMS'!$E$20"}</definedName>
    <definedName name="년배관실적" localSheetId="7" hidden="1">{"'EOMS'!$E$20"}</definedName>
    <definedName name="년배관실적" localSheetId="5" hidden="1">{"'EOMS'!$E$20"}</definedName>
    <definedName name="년배관실적" hidden="1">{"'EOMS'!$E$20"}</definedName>
    <definedName name="노" hidden="1">#REF!</definedName>
    <definedName name="노무비내역"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localSheetId="18" hidden="1">{#N/A,#N/A,TRUE,"총괄"}</definedName>
    <definedName name="노트" hidden="1">{#N/A,#N/A,TRUE,"총괄"}</definedName>
    <definedName name="놓ㄹ노" localSheetId="18" hidden="1">{#N/A,#N/A,FALSE,"골재소요량";#N/A,#N/A,FALSE,"골재소요량"}</definedName>
    <definedName name="놓ㄹ노" hidden="1">{#N/A,#N/A,FALSE,"골재소요량";#N/A,#N/A,FALSE,"골재소요량"}</definedName>
    <definedName name="ㄶ뫃ㄴㅁㄹㄴㅁㄹㄴㅇ" localSheetId="18" hidden="1">{#N/A,#N/A,FALSE,"부대2"}</definedName>
    <definedName name="ㄶ뫃ㄴㅁㄹㄴㅁㄹㄴㅇ" hidden="1">{#N/A,#N/A,FALSE,"부대2"}</definedName>
    <definedName name="ㄶㅇㅀㄴㅇ" localSheetId="18" hidden="1">{#N/A,#N/A,FALSE,"표지목차"}</definedName>
    <definedName name="ㄶㅇㅀㄴㅇ" hidden="1">{#N/A,#N/A,FALSE,"표지목차"}</definedName>
    <definedName name="ㄷㄱ" localSheetId="18" hidden="1">{#N/A,#N/A,FALSE,"단가표지"}</definedName>
    <definedName name="ㄷㄱ" hidden="1">{#N/A,#N/A,FALSE,"단가표지"}</definedName>
    <definedName name="ㄷㄳ" localSheetId="18" hidden="1">{"'장비'!$A$3:$M$12"}</definedName>
    <definedName name="ㄷㄳ" hidden="1">{"'장비'!$A$3:$M$12"}</definedName>
    <definedName name="ㄷㄷㄷ" localSheetId="18" hidden="1">{#N/A,#N/A,FALSE,"운반시간"}</definedName>
    <definedName name="ㄷㄷㄷ" hidden="1">{#N/A,#N/A,FALSE,"운반시간"}</definedName>
    <definedName name="ㄷㄷㄷㄷ" localSheetId="18" hidden="1">{"'장비'!$A$3:$M$12"}</definedName>
    <definedName name="ㄷㄷㄷㄷ" hidden="1">{"'장비'!$A$3:$M$12"}</definedName>
    <definedName name="ㄷㄷㄷㄷㄷ"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localSheetId="18" hidden="1">{"'설비가동율'!$A$2:$O$45"}</definedName>
    <definedName name="ㄷㄷㄷㄷㄷㄷㄷㄷ" hidden="1">{"'설비가동율'!$A$2:$O$45"}</definedName>
    <definedName name="ㄷㅈㅂㄷ" localSheetId="18" hidden="1">{"'장비'!$A$3:$M$12"}</definedName>
    <definedName name="ㄷㅈㅂㄷ" hidden="1">{"'장비'!$A$3:$M$12"}</definedName>
    <definedName name="ㄷㅎㄹㅇ" localSheetId="11" hidden="1">#N/A</definedName>
    <definedName name="ㄷㅎㄹㅇ" localSheetId="1" hidden="1">#N/A</definedName>
    <definedName name="ㄷㅎㄹㅇ" localSheetId="2" hidden="1">#N/A</definedName>
    <definedName name="ㄷㅎㄹㅇ" localSheetId="4" hidden="1">#N/A</definedName>
    <definedName name="ㄷㅎㄹㅇ" localSheetId="19" hidden="1">#N/A</definedName>
    <definedName name="ㄷㅎㄹㅇ" localSheetId="10" hidden="1">#N/A</definedName>
    <definedName name="ㄷㅎㄹㅇ" localSheetId="9" hidden="1">#N/A</definedName>
    <definedName name="ㄷㅎㄹㅇ" localSheetId="8" hidden="1">#N/A</definedName>
    <definedName name="ㄷㅎㄹㅇ" localSheetId="3" hidden="1">#N/A</definedName>
    <definedName name="ㄷㅎㄹㅇ" localSheetId="6" hidden="1">#N/A</definedName>
    <definedName name="ㄷㅎㄹㅇ" localSheetId="7" hidden="1">#N/A</definedName>
    <definedName name="ㄷㅎㄹㅇ" localSheetId="5" hidden="1">#N/A</definedName>
    <definedName name="ㄷㅎㄹㅇ" hidden="1">#REF!</definedName>
    <definedName name="단가___kW">#REF!</definedName>
    <definedName name="단가비교">#N/A</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localSheetId="18" hidden="1">{#N/A,#N/A,FALSE,"CCTV"}</definedName>
    <definedName name="동영" hidden="1">{#N/A,#N/A,FALSE,"CCTV"}</definedName>
    <definedName name="되" localSheetId="18" hidden="1">{#N/A,#N/A,FALSE,"운반시간"}</definedName>
    <definedName name="되" hidden="1">{#N/A,#N/A,FALSE,"운반시간"}</definedName>
    <definedName name="ㄹㄴㅇㄻㄴ" localSheetId="18" hidden="1">{#N/A,#N/A,FALSE,"단가표지"}</definedName>
    <definedName name="ㄹㄴㅇㄻㄴ" hidden="1">{#N/A,#N/A,FALSE,"단가표지"}</definedName>
    <definedName name="ㄹㄴ웋" localSheetId="18" hidden="1">{#N/A,#N/A,FALSE,"운반시간"}</definedName>
    <definedName name="ㄹㄴ웋" hidden="1">{#N/A,#N/A,FALSE,"운반시간"}</definedName>
    <definedName name="ㄹㄹ" localSheetId="18" hidden="1">{"'장비'!$A$3:$M$12"}</definedName>
    <definedName name="ㄹㄹ" hidden="1">{"'장비'!$A$3:$M$12"}</definedName>
    <definedName name="ㄹㄹㄹ" localSheetId="18" hidden="1">{"'장비'!$A$3:$M$12"}</definedName>
    <definedName name="ㄹㄹㄹ" hidden="1">{"'장비'!$A$3:$M$12"}</definedName>
    <definedName name="ㄹㄹㄹㄹㄹㄹㄹㄹ" localSheetId="18" hidden="1">{"'설비가동율'!$A$2:$O$45"}</definedName>
    <definedName name="ㄹㄹㄹㄹㄹㄹㄹㄹ" hidden="1">{"'설비가동율'!$A$2:$O$45"}</definedName>
    <definedName name="ㄹㅇㄴ" localSheetId="18" hidden="1">{"'Sheet1'!$L$16"}</definedName>
    <definedName name="ㄹㅇㄴ" hidden="1">{"'Sheet1'!$L$16"}</definedName>
    <definedName name="ㄹㅇㄹ" localSheetId="18" hidden="1">{#N/A,#N/A,FALSE,"혼합골재"}</definedName>
    <definedName name="ㄹㅇㄹ" hidden="1">{#N/A,#N/A,FALSE,"혼합골재"}</definedName>
    <definedName name="ㄹㅇㅎㄴㅇ" localSheetId="18" hidden="1">{#N/A,#N/A,FALSE,"조골재"}</definedName>
    <definedName name="ㄹㅇㅎㄴㅇ" hidden="1">{#N/A,#N/A,FALSE,"조골재"}</definedName>
    <definedName name="래그" localSheetId="18" hidden="1">{#N/A,#N/A,FALSE,"CCTV"}</definedName>
    <definedName name="래그" hidden="1">{#N/A,#N/A,FALSE,"CCTV"}</definedName>
    <definedName name="로ㅓ허ㅗ하" localSheetId="18" hidden="1">{"'자리배치도'!$AG$1:$CI$28"}</definedName>
    <definedName name="로ㅓ허ㅗ하" hidden="1">{"'자리배치도'!$AG$1:$CI$28"}</definedName>
    <definedName name="ㄻㄴㄹㅇㄴㅁ" localSheetId="18" hidden="1">{#N/A,#N/A,FALSE,"운반시간"}</definedName>
    <definedName name="ㄻㄴㄹㅇㄴㅁ" hidden="1">{#N/A,#N/A,FALSE,"운반시간"}</definedName>
    <definedName name="ㄻㄴㅇㄻㄴ" localSheetId="18" hidden="1">{#N/A,#N/A,FALSE,"단가표지"}</definedName>
    <definedName name="ㄻㄴㅇㄻㄴ" hidden="1">{#N/A,#N/A,FALSE,"단가표지"}</definedName>
    <definedName name="ㄻㄴㅇㄻㄴㄹ" localSheetId="18" hidden="1">{#N/A,#N/A,FALSE,"2~8번"}</definedName>
    <definedName name="ㄻㄴㅇㄻㄴㄹ" hidden="1">{#N/A,#N/A,FALSE,"2~8번"}</definedName>
    <definedName name="ㄻㄴㅇㄻㄴㄻㄴㅁㄴ" localSheetId="18" hidden="1">{#N/A,#N/A,FALSE,"단가표지"}</definedName>
    <definedName name="ㄻㄴㅇㄻㄴㄻㄴㅁㄴ" hidden="1">{#N/A,#N/A,FALSE,"단가표지"}</definedName>
    <definedName name="ㄻㄴㅇㄻㄴㅁ" localSheetId="18" hidden="1">{#N/A,#N/A,FALSE,"운반시간"}</definedName>
    <definedName name="ㄻㄴㅇㄻㄴㅁ" hidden="1">{#N/A,#N/A,FALSE,"운반시간"}</definedName>
    <definedName name="ㄻㄴㅇㄻㄴㅇ" localSheetId="18" hidden="1">{#N/A,#N/A,FALSE,"단가표지"}</definedName>
    <definedName name="ㄻㄴㅇㄻㄴㅇ" hidden="1">{#N/A,#N/A,FALSE,"단가표지"}</definedName>
    <definedName name="ㄻㄴㅇㄻㄴㅇㄻ" localSheetId="18" hidden="1">{#N/A,#N/A,FALSE,"표지목차"}</definedName>
    <definedName name="ㄻㄴㅇㄻㄴㅇㄻ" hidden="1">{#N/A,#N/A,FALSE,"표지목차"}</definedName>
    <definedName name="ㄻㄴㅇㅁㄴㅇ" localSheetId="18" hidden="1">{#N/A,#N/A,FALSE,"단가표지"}</definedName>
    <definedName name="ㄻㄴㅇㅁㄴㅇ" hidden="1">{#N/A,#N/A,FALSE,"단가표지"}</definedName>
    <definedName name="ㄻㅁ" localSheetId="18" hidden="1">{#N/A,#N/A,FALSE,"조골재"}</definedName>
    <definedName name="ㄻㅁ" hidden="1">{#N/A,#N/A,FALSE,"조골재"}</definedName>
    <definedName name="ㅀㅇㅁ" localSheetId="18" hidden="1">{#N/A,#N/A,FALSE,"골재소요량";#N/A,#N/A,FALSE,"골재소요량"}</definedName>
    <definedName name="ㅀㅇㅁ" hidden="1">{#N/A,#N/A,FALSE,"골재소요량";#N/A,#N/A,FALSE,"골재소요량"}</definedName>
    <definedName name="ㅁ" localSheetId="18" hidden="1">{#N/A,#N/A,FALSE,"CCTV"}</definedName>
    <definedName name="ㅁ" localSheetId="1" hidden="1">{#N/A,#N/A,FALSE,"CCTV"}</definedName>
    <definedName name="ㅁ" localSheetId="2" hidden="1">{#N/A,#N/A,FALSE,"CCTV"}</definedName>
    <definedName name="ㅁ" localSheetId="4" hidden="1">{#N/A,#N/A,FALSE,"CCTV"}</definedName>
    <definedName name="ㅁ" localSheetId="19" hidden="1">{#N/A,#N/A,FALSE,"CCTV"}</definedName>
    <definedName name="ㅁ" localSheetId="10" hidden="1">{#N/A,#N/A,FALSE,"CCTV"}</definedName>
    <definedName name="ㅁ" localSheetId="9" hidden="1">{#N/A,#N/A,FALSE,"CCTV"}</definedName>
    <definedName name="ㅁ" localSheetId="8" hidden="1">{#N/A,#N/A,FALSE,"CCTV"}</definedName>
    <definedName name="ㅁ" localSheetId="3" hidden="1">{#N/A,#N/A,FALSE,"CCTV"}</definedName>
    <definedName name="ㅁ" localSheetId="6" hidden="1">{#N/A,#N/A,FALSE,"CCTV"}</definedName>
    <definedName name="ㅁ" localSheetId="7" hidden="1">{#N/A,#N/A,FALSE,"CCTV"}</definedName>
    <definedName name="ㅁ" localSheetId="5" hidden="1">{#N/A,#N/A,FALSE,"CCTV"}</definedName>
    <definedName name="ㅁ" hidden="1">{#N/A,#N/A,FALSE,"CCTV"}</definedName>
    <definedName name="ㅁ300">#REF!</definedName>
    <definedName name="ㅁㄴㄹㄴ" localSheetId="18" hidden="1">{#N/A,#N/A,FALSE,"운반시간"}</definedName>
    <definedName name="ㅁㄴㄹㄴ" hidden="1">{#N/A,#N/A,FALSE,"운반시간"}</definedName>
    <definedName name="ㅁㄴㄹㄴㅁㄹㄴㅁㄻㄻㅁㅁㅁㅁ" localSheetId="18" hidden="1">{#N/A,#N/A,FALSE,"혼합골재"}</definedName>
    <definedName name="ㅁㄴㄹㄴㅁㄹㄴㅁㄻㄻㅁㅁㅁㅁ" hidden="1">{#N/A,#N/A,FALSE,"혼합골재"}</definedName>
    <definedName name="ㅁㄴㄹㅇㅁ" localSheetId="18" hidden="1">{#N/A,#N/A,FALSE,"단가표지"}</definedName>
    <definedName name="ㅁㄴㄹㅇㅁ" hidden="1">{#N/A,#N/A,FALSE,"단가표지"}</definedName>
    <definedName name="ㅁㄴㅇ" hidden="1">#REF!</definedName>
    <definedName name="ㅁㄴㅇㄹ호" localSheetId="18" hidden="1">{#N/A,#N/A,FALSE,"토공2"}</definedName>
    <definedName name="ㅁㄴㅇㄹ호" hidden="1">{#N/A,#N/A,FALSE,"토공2"}</definedName>
    <definedName name="ㅁㄶㄷㅎㄴㄹㅇㄴ" localSheetId="18" hidden="1">{#N/A,#N/A,FALSE,"배수1"}</definedName>
    <definedName name="ㅁㄶㄷㅎㄴㄹㅇㄴ" hidden="1">{#N/A,#N/A,FALSE,"배수1"}</definedName>
    <definedName name="ㅁㄹ" localSheetId="18" hidden="1">{#N/A,#N/A,FALSE,"속도"}</definedName>
    <definedName name="ㅁㄹ" hidden="1">{#N/A,#N/A,FALSE,"속도"}</definedName>
    <definedName name="ㅁㄹㄴㄻㄴㄹㄴㅁㄹㄴㅇㄹㄴㅇㄹ" localSheetId="18" hidden="1">{#N/A,#N/A,FALSE,"포장2"}</definedName>
    <definedName name="ㅁㄹㄴㄻㄴㄹㄴㅁㄹㄴㅇㄹㄴㅇㄹ" hidden="1">{#N/A,#N/A,FALSE,"포장2"}</definedName>
    <definedName name="ㅁㄹㄴㅇ" localSheetId="18" hidden="1">{#N/A,#N/A,FALSE,"단가표지"}</definedName>
    <definedName name="ㅁㄹㄴㅇ" hidden="1">{#N/A,#N/A,FALSE,"단가표지"}</definedName>
    <definedName name="ㅁㄹㄴㅇㄹㄴㅁㄹ" localSheetId="18" hidden="1">{#N/A,#N/A,FALSE,"포장1";#N/A,#N/A,FALSE,"포장1"}</definedName>
    <definedName name="ㅁㄹㄴㅇㄹㄴㅁㄹ" hidden="1">{#N/A,#N/A,FALSE,"포장1";#N/A,#N/A,FALSE,"포장1"}</definedName>
    <definedName name="ㅁㄹㄴㅇㄻㄴㄹ" localSheetId="18" hidden="1">{#N/A,#N/A,FALSE,"골재소요량";#N/A,#N/A,FALSE,"골재소요량"}</definedName>
    <definedName name="ㅁㄹㄴㅇㄻㄴㄹ" hidden="1">{#N/A,#N/A,FALSE,"골재소요량";#N/A,#N/A,FALSE,"골재소요량"}</definedName>
    <definedName name="ㅁㄹㄴㅇㅁ" localSheetId="18" hidden="1">{#N/A,#N/A,FALSE,"표지목차"}</definedName>
    <definedName name="ㅁㄹㄴㅇㅁ" hidden="1">{#N/A,#N/A,FALSE,"표지목차"}</definedName>
    <definedName name="ㅁㄹㄴㅇㅁㄻㄹㄴㅁㄹ" localSheetId="18" hidden="1">{#N/A,#N/A,FALSE,"조골재"}</definedName>
    <definedName name="ㅁㄹㄴㅇㅁㄻㄹㄴㅁㄹ" hidden="1">{#N/A,#N/A,FALSE,"조골재"}</definedName>
    <definedName name="ㅁㄹㄴㅇㅎㄴㄻㄴㄹㄴㅇ" localSheetId="18" hidden="1">{#N/A,#N/A,FALSE,"부대1"}</definedName>
    <definedName name="ㅁㄹㄴㅇㅎㄴㄻㄴㄹㄴㅇ" hidden="1">{#N/A,#N/A,FALSE,"부대1"}</definedName>
    <definedName name="ㅁㄹㅇㄴ" localSheetId="18" hidden="1">{#N/A,#N/A,FALSE,"단가표지"}</definedName>
    <definedName name="ㅁㄹㅇㄴ" hidden="1">{#N/A,#N/A,FALSE,"단가표지"}</definedName>
    <definedName name="ㅁㄹㅇㄴㅇㅁㄹㄴㄻㄴ" localSheetId="18" hidden="1">{#N/A,#N/A,FALSE,"이정표"}</definedName>
    <definedName name="ㅁㄹㅇㄴㅇㅁㄹㄴㄻㄴ" hidden="1">{#N/A,#N/A,FALSE,"이정표"}</definedName>
    <definedName name="ㅁㄹㅇㄹㅇㄴㄹㅇㄹㅇ" localSheetId="18" hidden="1">{#N/A,#N/A,FALSE,"표지목차"}</definedName>
    <definedName name="ㅁㄹㅇㄹㅇㄴㄹㅇㄹㅇ" hidden="1">{#N/A,#N/A,FALSE,"표지목차"}</definedName>
    <definedName name="ㅁㄹㅇㅁㄴ" localSheetId="18" hidden="1">{#N/A,#N/A,FALSE,"골재소요량";#N/A,#N/A,FALSE,"골재소요량"}</definedName>
    <definedName name="ㅁㄹㅇㅁㄴ" hidden="1">{#N/A,#N/A,FALSE,"골재소요량";#N/A,#N/A,FALSE,"골재소요량"}</definedName>
    <definedName name="ㅁㄻㄴㄹ" localSheetId="18" hidden="1">{#N/A,#N/A,FALSE,"골재소요량";#N/A,#N/A,FALSE,"골재소요량"}</definedName>
    <definedName name="ㅁㄻㄴㄹ" hidden="1">{#N/A,#N/A,FALSE,"골재소요량";#N/A,#N/A,FALSE,"골재소요량"}</definedName>
    <definedName name="ㅁㄻㅁㅁㅁㄹㄴㅇㄹㅇㄴㄹㅈㄹㄴㅇ" localSheetId="18" hidden="1">{#N/A,#N/A,FALSE,"운반시간"}</definedName>
    <definedName name="ㅁㄻㅁㅁㅁㄹㄴㅇㄹㅇㄴㄹㅈㄹㄴㅇ" hidden="1">{#N/A,#N/A,FALSE,"운반시간"}</definedName>
    <definedName name="ㅁㅁ" localSheetId="11" hidden="1">{#N/A,#N/A,FALSE,"CCTV"}</definedName>
    <definedName name="ㅁㅁ" localSheetId="1" hidden="1">{#N/A,#N/A,FALSE,"CCTV"}</definedName>
    <definedName name="ㅁㅁ" localSheetId="2" hidden="1">{#N/A,#N/A,FALSE,"CCTV"}</definedName>
    <definedName name="ㅁㅁ" localSheetId="4" hidden="1">{#N/A,#N/A,FALSE,"CCTV"}</definedName>
    <definedName name="ㅁㅁ" localSheetId="19" hidden="1">{#N/A,#N/A,FALSE,"CCTV"}</definedName>
    <definedName name="ㅁㅁ" localSheetId="10" hidden="1">{#N/A,#N/A,FALSE,"CCTV"}</definedName>
    <definedName name="ㅁㅁ" localSheetId="9" hidden="1">{#N/A,#N/A,FALSE,"CCTV"}</definedName>
    <definedName name="ㅁㅁ" localSheetId="8" hidden="1">{#N/A,#N/A,FALSE,"CCTV"}</definedName>
    <definedName name="ㅁㅁ" localSheetId="3" hidden="1">{#N/A,#N/A,FALSE,"CCTV"}</definedName>
    <definedName name="ㅁㅁ" localSheetId="6" hidden="1">{#N/A,#N/A,FALSE,"CCTV"}</definedName>
    <definedName name="ㅁㅁ" localSheetId="7" hidden="1">{#N/A,#N/A,FALSE,"CCTV"}</definedName>
    <definedName name="ㅁㅁ" localSheetId="5" hidden="1">{#N/A,#N/A,FALSE,"CCTV"}</definedName>
    <definedName name="ㅁㅁ" hidden="1">#REF!</definedName>
    <definedName name="ㅁㅁㅁㅁ" localSheetId="18" hidden="1">{#N/A,#N/A,FALSE,"혼합골재"}</definedName>
    <definedName name="ㅁㅁㅁㅁ" hidden="1">{#N/A,#N/A,FALSE,"혼합골재"}</definedName>
    <definedName name="ㅁㅇㄴㄹ" localSheetId="18" hidden="1">{"SJ - 기본 보기",#N/A,FALSE,"공사별 외주견적"}</definedName>
    <definedName name="ㅁㅇㄴㄹ" hidden="1">{"SJ - 기본 보기",#N/A,FALSE,"공사별 외주견적"}</definedName>
    <definedName name="ㅁㅇㄹㄴㅇㅁㄹ" localSheetId="18" hidden="1">{#N/A,#N/A,FALSE,"운반시간"}</definedName>
    <definedName name="ㅁㅇㄹㄴㅇㅁㄹ" hidden="1">{#N/A,#N/A,FALSE,"운반시간"}</definedName>
    <definedName name="ㅁㅇㄻ" localSheetId="18" hidden="1">{#N/A,#N/A,FALSE,"조골재"}</definedName>
    <definedName name="ㅁㅇㄻ" hidden="1">{#N/A,#N/A,FALSE,"조골재"}</definedName>
    <definedName name="ㅁㅇㄻㄴㄹ" localSheetId="18" hidden="1">{#N/A,#N/A,FALSE,"혼합골재"}</definedName>
    <definedName name="ㅁㅇㄻㄴㄹ" hidden="1">{#N/A,#N/A,FALSE,"혼합골재"}</definedName>
    <definedName name="ㅁㅇㄻㅇㅎ" localSheetId="18" hidden="1">{#N/A,#N/A,FALSE,"조골재"}</definedName>
    <definedName name="ㅁㅇㄻㅇㅎ" hidden="1">{#N/A,#N/A,FALSE,"조골재"}</definedName>
    <definedName name="ㅁㅇㅀㅁㅇ" localSheetId="18" hidden="1">{#N/A,#N/A,FALSE,"단가표지"}</definedName>
    <definedName name="ㅁㅇㅀㅁㅇ" hidden="1">{#N/A,#N/A,FALSE,"단가표지"}</definedName>
    <definedName name="ㅁㅋㄹㄴㅁㄻㄻㄴㄻ" localSheetId="18" hidden="1">{#N/A,#N/A,FALSE,"구조1"}</definedName>
    <definedName name="ㅁㅋㄹㄴㅁㄻㄻㄴㄻ" hidden="1">{#N/A,#N/A,FALSE,"구조1"}</definedName>
    <definedName name="ㅁㅎㄻㅇㄻ" localSheetId="18" hidden="1">{#N/A,#N/A,FALSE,"운반시간"}</definedName>
    <definedName name="ㅁㅎㄻㅇㄻ" hidden="1">{#N/A,#N/A,FALSE,"운반시간"}</definedName>
    <definedName name="ㅁㅎㅇㅀㅁㅇ" localSheetId="18" hidden="1">{#N/A,#N/A,FALSE,"2~8번"}</definedName>
    <definedName name="ㅁㅎㅇㅀㅁㅇ" hidden="1">{#N/A,#N/A,FALSE,"2~8번"}</definedName>
    <definedName name="ㅁㅎㅇㅀㅁㅎ" localSheetId="18" hidden="1">{#N/A,#N/A,FALSE,"단가표지"}</definedName>
    <definedName name="ㅁㅎㅇㅀㅁㅎ" hidden="1">{#N/A,#N/A,FALSE,"단가표지"}</definedName>
    <definedName name="ㅁㅎㅎㄴㅁㄹㅈ" localSheetId="18" hidden="1">{#N/A,#N/A,FALSE,"배수2"}</definedName>
    <definedName name="ㅁㅎㅎㄴㅁㄹㅈ" hidden="1">{#N/A,#N/A,FALSE,"배수2"}</definedName>
    <definedName name="만득이" localSheetId="18" hidden="1">{#N/A,#N/A,FALSE,"2~8번"}</definedName>
    <definedName name="만득이" hidden="1">{#N/A,#N/A,FALSE,"2~8번"}</definedName>
    <definedName name="먁" hidden="1">#REF!</definedName>
    <definedName name="뭉" localSheetId="18" hidden="1">{"'장비'!$A$3:$M$12"}</definedName>
    <definedName name="뭉" hidden="1">{"'장비'!$A$3:$M$12"}</definedName>
    <definedName name="뭐" localSheetId="18" hidden="1">{#N/A,#N/A,FALSE,"단가표지"}</definedName>
    <definedName name="뭐" hidden="1">{#N/A,#N/A,FALSE,"단가표지"}</definedName>
    <definedName name="뭐야" localSheetId="18" hidden="1">{#N/A,#N/A,FALSE,"속도"}</definedName>
    <definedName name="뭐야" hidden="1">{#N/A,#N/A,FALSE,"속도"}</definedName>
    <definedName name="뭐여" localSheetId="18" hidden="1">{#N/A,#N/A,FALSE,"CCTV"}</definedName>
    <definedName name="뭐여" hidden="1">{#N/A,#N/A,FALSE,"CCTV"}</definedName>
    <definedName name="ㅂ"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localSheetId="18" hidden="1">{#N/A,#N/A,FALSE,"단가표지"}</definedName>
    <definedName name="ㅂㅂ" hidden="1">{#N/A,#N/A,FALSE,"단가표지"}</definedName>
    <definedName name="ㅂㅂㅂㅂ" localSheetId="18" hidden="1">{#N/A,#N/A,FALSE,"조골재"}</definedName>
    <definedName name="ㅂㅂㅂㅂ" hidden="1">{#N/A,#N/A,FALSE,"조골재"}</definedName>
    <definedName name="ㅂㅈ" localSheetId="18" hidden="1">{#N/A,#N/A,FALSE,"Sheet1"}</definedName>
    <definedName name="ㅂㅈ" hidden="1">{#N/A,#N/A,FALSE,"Sheet1"}</definedName>
    <definedName name="ㅂㅈㄱㅂㅈㄷㄱ" localSheetId="18" hidden="1">{"'장비'!$A$3:$M$12"}</definedName>
    <definedName name="ㅂㅈㄱㅂㅈㄷㄱ" hidden="1">{"'장비'!$A$3:$M$12"}</definedName>
    <definedName name="ㅂㅈㄷ" localSheetId="18" hidden="1">{"'장비'!$A$3:$M$12"}</definedName>
    <definedName name="ㅂㅈㄷ" hidden="1">{"'장비'!$A$3:$M$12"}</definedName>
    <definedName name="ㅂㅈㄷㄷㅂㅈㅈㅂ" localSheetId="18" hidden="1">{"'장비'!$A$3:$M$12"}</definedName>
    <definedName name="ㅂㅈㄷㄷㅂㅈㅈㅂ" hidden="1">{"'장비'!$A$3:$M$12"}</definedName>
    <definedName name="ㅂㅈㄷㅂㅈ" localSheetId="18" hidden="1">{"'장비'!$A$3:$M$12"}</definedName>
    <definedName name="ㅂㅈㄷㅂㅈ" hidden="1">{"'장비'!$A$3:$M$12"}</definedName>
    <definedName name="ㅂㅈㄷㅂㅈㅈㅂㄷ" localSheetId="18" hidden="1">{"'장비'!$A$3:$M$12"}</definedName>
    <definedName name="ㅂㅈㄷㅂㅈㅈㅂㄷ" hidden="1">{"'장비'!$A$3:$M$12"}</definedName>
    <definedName name="ㅂㅈㄷㅈㅂㄷ" localSheetId="18" hidden="1">{"'장비'!$A$3:$M$12"}</definedName>
    <definedName name="ㅂㅈㄷㅈㅂㄷ" hidden="1">{"'장비'!$A$3:$M$12"}</definedName>
    <definedName name="발주계획" localSheetId="18" hidden="1">{"'자리배치도'!$AG$1:$CI$28"}</definedName>
    <definedName name="발주계획" hidden="1">{"'자리배치도'!$AG$1:$CI$28"}</definedName>
    <definedName name="배관" localSheetId="18" hidden="1">{#N/A,#N/A,FALSE,"단가표지"}</definedName>
    <definedName name="배관" hidden="1">{#N/A,#N/A,FALSE,"단가표지"}</definedName>
    <definedName name="배관3"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localSheetId="18" hidden="1">{#N/A,#N/A,FALSE,"단가표지"}</definedName>
    <definedName name="배관설치" hidden="1">{#N/A,#N/A,FALSE,"단가표지"}</definedName>
    <definedName name="배관설치1" localSheetId="18" hidden="1">{#N/A,#N/A,FALSE,"운반시간"}</definedName>
    <definedName name="배관설치1" hidden="1">{#N/A,#N/A,FALSE,"운반시간"}</definedName>
    <definedName name="배관설치10" localSheetId="18" hidden="1">{#N/A,#N/A,FALSE,"단가표지"}</definedName>
    <definedName name="배관설치10" hidden="1">{#N/A,#N/A,FALSE,"단가표지"}</definedName>
    <definedName name="배수공" localSheetId="18" hidden="1">{#N/A,#N/A,FALSE,"부대1"}</definedName>
    <definedName name="배수공" hidden="1">{#N/A,#N/A,FALSE,"부대1"}</definedName>
    <definedName name="버ㅓㅓㅓ" localSheetId="18" hidden="1">{#N/A,#N/A,FALSE,"표지목차"}</definedName>
    <definedName name="버ㅓㅓㅓ" hidden="1">{#N/A,#N/A,FALSE,"표지목차"}</definedName>
    <definedName name="법인세4.6"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18" hidden="1">{#N/A,#N/A,FALSE,"혼합골재"}</definedName>
    <definedName name="벽체" hidden="1">{#N/A,#N/A,FALSE,"혼합골재"}</definedName>
    <definedName name="벽체1" localSheetId="18" hidden="1">{#N/A,#N/A,FALSE,"혼합골재"}</definedName>
    <definedName name="벽체1" hidden="1">{#N/A,#N/A,FALSE,"혼합골재"}</definedName>
    <definedName name="변_경_간_기">#REF!</definedName>
    <definedName name="변경수량집계"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localSheetId="18" hidden="1">{#N/A,#N/A,FALSE,"골재소요량";#N/A,#N/A,FALSE,"골재소요량"}</definedName>
    <definedName name="부대" hidden="1">{#N/A,#N/A,FALSE,"골재소요량";#N/A,#N/A,FALSE,"골재소요량"}</definedName>
    <definedName name="부대1" localSheetId="18" hidden="1">{#N/A,#N/A,FALSE,"운반시간"}</definedName>
    <definedName name="부대1" hidden="1">{#N/A,#N/A,FALSE,"운반시간"}</definedName>
    <definedName name="부대공사" localSheetId="11" hidden="1">#N/A</definedName>
    <definedName name="부대공사" localSheetId="1" hidden="1">#N/A</definedName>
    <definedName name="부대공사" localSheetId="2" hidden="1">#N/A</definedName>
    <definedName name="부대공사" localSheetId="4" hidden="1">#N/A</definedName>
    <definedName name="부대공사" localSheetId="19" hidden="1">#N/A</definedName>
    <definedName name="부대공사" localSheetId="10" hidden="1">#N/A</definedName>
    <definedName name="부대공사" localSheetId="9" hidden="1">#N/A</definedName>
    <definedName name="부대공사" localSheetId="8" hidden="1">#N/A</definedName>
    <definedName name="부대공사" localSheetId="3" hidden="1">#N/A</definedName>
    <definedName name="부대공사" localSheetId="6" hidden="1">#N/A</definedName>
    <definedName name="부대공사" localSheetId="7" hidden="1">#N/A</definedName>
    <definedName name="부대공사" localSheetId="5" hidden="1">#N/A</definedName>
    <definedName name="부대공사" hidden="1">#REF!</definedName>
    <definedName name="부대입찰서류작성" hidden="1">#REF!</definedName>
    <definedName name="분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18" hidden="1">{#N/A,#N/A,FALSE,"단가표지"}</definedName>
    <definedName name="뷰" hidden="1">{#N/A,#N/A,FALSE,"단가표지"}</definedName>
    <definedName name="비교" hidden="1">255</definedName>
    <definedName name="비교표1" hidden="1">255</definedName>
    <definedName name="비교표2" hidden="1">#REF!</definedName>
    <definedName name="ㅅㄱㄱㄷ" localSheetId="18" hidden="1">{"'장비'!$A$3:$M$12"}</definedName>
    <definedName name="ㅅㄱㄱㄷ" hidden="1">{"'장비'!$A$3:$M$12"}</definedName>
    <definedName name="ㅅ굲유" localSheetId="18" hidden="1">{#N/A,#N/A,FALSE,"조골재"}</definedName>
    <definedName name="ㅅ굲유" hidden="1">{#N/A,#N/A,FALSE,"조골재"}</definedName>
    <definedName name="ㅅㄷ" localSheetId="18" hidden="1">{"'Sheet1'!$L$16"}</definedName>
    <definedName name="ㅅㄷ" hidden="1">{"'Sheet1'!$L$16"}</definedName>
    <definedName name="ㅅㅅㅅㅅㅅ" localSheetId="18" hidden="1">{"'장비'!$A$3:$M$12"}</definedName>
    <definedName name="ㅅㅅㅅㅅㅅ" hidden="1">{"'장비'!$A$3:$M$12"}</definedName>
    <definedName name="사업"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비">#REF!</definedName>
    <definedName name="사업부양식2" hidden="1">#REF!</definedName>
    <definedName name="사업비최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localSheetId="18" hidden="1">{#N/A,#N/A,FALSE,"CCTV"}</definedName>
    <definedName name="샘풀카피" hidden="1">{#N/A,#N/A,FALSE,"CCTV"}</definedName>
    <definedName name="샘플카피2" localSheetId="18" hidden="1">{#N/A,#N/A,FALSE,"CCTV"}</definedName>
    <definedName name="샘플카피2" hidden="1">{#N/A,#N/A,FALSE,"CCTV"}</definedName>
    <definedName name="샘플카피3" localSheetId="18" hidden="1">{#N/A,#N/A,FALSE,"CCTV"}</definedName>
    <definedName name="샘플카피3" hidden="1">{#N/A,#N/A,FALSE,"CCTV"}</definedName>
    <definedName name="설" localSheetId="18" hidden="1">{#N/A,#N/A,TRUE,"총괄"}</definedName>
    <definedName name="설" hidden="1">{#N/A,#N/A,TRUE,"총괄"}</definedName>
    <definedName name="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localSheetId="18" hidden="1">{#N/A,#N/A,TRUE,"총괄"}</definedName>
    <definedName name="설변" hidden="1">{#N/A,#N/A,TRUE,"총괄"}</definedName>
    <definedName name="설비원가집계표" hidden="1">#REF!</definedName>
    <definedName name="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_시험">#REF!</definedName>
    <definedName name="소구경_supt자재" hidden="1">#REF!</definedName>
    <definedName name="소방" localSheetId="18" hidden="1">{"SJ - 기본 보기",#N/A,FALSE,"공사별 외주견적"}</definedName>
    <definedName name="소방" hidden="1">{"SJ - 기본 보기",#N/A,FALSE,"공사별 외주견적"}</definedName>
    <definedName name="소솟" hidden="1">#REF!</definedName>
    <definedName name="손익계산서" hidden="1">#REF!</definedName>
    <definedName name="쇼ㅗㅎ로" localSheetId="18" hidden="1">{"'장비'!$A$3:$M$12"}</definedName>
    <definedName name="쇼ㅗㅎ로" hidden="1">{"'장비'!$A$3:$M$12"}</definedName>
    <definedName name="수" localSheetId="18" hidden="1">{#N/A,#N/A,TRUE,"Basic";#N/A,#N/A,TRUE,"EXT-TABLE";#N/A,#N/A,TRUE,"STEEL";#N/A,#N/A,TRUE,"INT-Table";#N/A,#N/A,TRUE,"STEEL";#N/A,#N/A,TRUE,"Door"}</definedName>
    <definedName name="수" hidden="1">{#N/A,#N/A,TRUE,"Basic";#N/A,#N/A,TRUE,"EXT-TABLE";#N/A,#N/A,TRUE,"STEEL";#N/A,#N/A,TRUE,"INT-Table";#N/A,#N/A,TRUE,"STEEL";#N/A,#N/A,TRUE,"Door"}</definedName>
    <definedName name="수_1" localSheetId="18" hidden="1">{#N/A,#N/A,TRUE,"Basic";#N/A,#N/A,TRUE,"EXT-TABLE";#N/A,#N/A,TRUE,"STEEL";#N/A,#N/A,TRUE,"INT-Table";#N/A,#N/A,TRUE,"STEEL";#N/A,#N/A,TRUE,"Door"}</definedName>
    <definedName name="수_1" hidden="1">{#N/A,#N/A,TRUE,"Basic";#N/A,#N/A,TRUE,"EXT-TABLE";#N/A,#N/A,TRUE,"STEEL";#N/A,#N/A,TRUE,"INT-Table";#N/A,#N/A,TRUE,"STEEL";#N/A,#N/A,TRUE,"Door"}</definedName>
    <definedName name="수_1_1" localSheetId="18" hidden="1">{#N/A,#N/A,TRUE,"Basic";#N/A,#N/A,TRUE,"EXT-TABLE";#N/A,#N/A,TRUE,"STEEL";#N/A,#N/A,TRUE,"INT-Table";#N/A,#N/A,TRUE,"STEEL";#N/A,#N/A,TRUE,"Door"}</definedName>
    <definedName name="수_1_1" hidden="1">{#N/A,#N/A,TRUE,"Basic";#N/A,#N/A,TRUE,"EXT-TABLE";#N/A,#N/A,TRUE,"STEEL";#N/A,#N/A,TRUE,"INT-Table";#N/A,#N/A,TRUE,"STEEL";#N/A,#N/A,TRUE,"Door"}</definedName>
    <definedName name="수_1_2" localSheetId="18" hidden="1">{#N/A,#N/A,TRUE,"Basic";#N/A,#N/A,TRUE,"EXT-TABLE";#N/A,#N/A,TRUE,"STEEL";#N/A,#N/A,TRUE,"INT-Table";#N/A,#N/A,TRUE,"STEEL";#N/A,#N/A,TRUE,"Door"}</definedName>
    <definedName name="수_1_2" hidden="1">{#N/A,#N/A,TRUE,"Basic";#N/A,#N/A,TRUE,"EXT-TABLE";#N/A,#N/A,TRUE,"STEEL";#N/A,#N/A,TRUE,"INT-Table";#N/A,#N/A,TRUE,"STEEL";#N/A,#N/A,TRUE,"Door"}</definedName>
    <definedName name="수_2" localSheetId="18" hidden="1">{#N/A,#N/A,TRUE,"Basic";#N/A,#N/A,TRUE,"EXT-TABLE";#N/A,#N/A,TRUE,"STEEL";#N/A,#N/A,TRUE,"INT-Table";#N/A,#N/A,TRUE,"STEEL";#N/A,#N/A,TRUE,"Door"}</definedName>
    <definedName name="수_2" hidden="1">{#N/A,#N/A,TRUE,"Basic";#N/A,#N/A,TRUE,"EXT-TABLE";#N/A,#N/A,TRUE,"STEEL";#N/A,#N/A,TRUE,"INT-Table";#N/A,#N/A,TRUE,"STEEL";#N/A,#N/A,TRUE,"Door"}</definedName>
    <definedName name="수_2_1" localSheetId="18" hidden="1">{#N/A,#N/A,TRUE,"Basic";#N/A,#N/A,TRUE,"EXT-TABLE";#N/A,#N/A,TRUE,"STEEL";#N/A,#N/A,TRUE,"INT-Table";#N/A,#N/A,TRUE,"STEEL";#N/A,#N/A,TRUE,"Door"}</definedName>
    <definedName name="수_2_1" hidden="1">{#N/A,#N/A,TRUE,"Basic";#N/A,#N/A,TRUE,"EXT-TABLE";#N/A,#N/A,TRUE,"STEEL";#N/A,#N/A,TRUE,"INT-Table";#N/A,#N/A,TRUE,"STEEL";#N/A,#N/A,TRUE,"Door"}</definedName>
    <definedName name="수_2_2" localSheetId="18" hidden="1">{#N/A,#N/A,TRUE,"Basic";#N/A,#N/A,TRUE,"EXT-TABLE";#N/A,#N/A,TRUE,"STEEL";#N/A,#N/A,TRUE,"INT-Table";#N/A,#N/A,TRUE,"STEEL";#N/A,#N/A,TRUE,"Door"}</definedName>
    <definedName name="수_2_2" hidden="1">{#N/A,#N/A,TRUE,"Basic";#N/A,#N/A,TRUE,"EXT-TABLE";#N/A,#N/A,TRUE,"STEEL";#N/A,#N/A,TRUE,"INT-Table";#N/A,#N/A,TRUE,"STEEL";#N/A,#N/A,TRUE,"Door"}</definedName>
    <definedName name="수_3" localSheetId="18" hidden="1">{#N/A,#N/A,TRUE,"Basic";#N/A,#N/A,TRUE,"EXT-TABLE";#N/A,#N/A,TRUE,"STEEL";#N/A,#N/A,TRUE,"INT-Table";#N/A,#N/A,TRUE,"STEEL";#N/A,#N/A,TRUE,"Door"}</definedName>
    <definedName name="수_3" hidden="1">{#N/A,#N/A,TRUE,"Basic";#N/A,#N/A,TRUE,"EXT-TABLE";#N/A,#N/A,TRUE,"STEEL";#N/A,#N/A,TRUE,"INT-Table";#N/A,#N/A,TRUE,"STEEL";#N/A,#N/A,TRUE,"Door"}</definedName>
    <definedName name="수_3_1" localSheetId="18" hidden="1">{#N/A,#N/A,TRUE,"Basic";#N/A,#N/A,TRUE,"EXT-TABLE";#N/A,#N/A,TRUE,"STEEL";#N/A,#N/A,TRUE,"INT-Table";#N/A,#N/A,TRUE,"STEEL";#N/A,#N/A,TRUE,"Door"}</definedName>
    <definedName name="수_3_1" hidden="1">{#N/A,#N/A,TRUE,"Basic";#N/A,#N/A,TRUE,"EXT-TABLE";#N/A,#N/A,TRUE,"STEEL";#N/A,#N/A,TRUE,"INT-Table";#N/A,#N/A,TRUE,"STEEL";#N/A,#N/A,TRUE,"Door"}</definedName>
    <definedName name="수_3_2" localSheetId="18" hidden="1">{#N/A,#N/A,TRUE,"Basic";#N/A,#N/A,TRUE,"EXT-TABLE";#N/A,#N/A,TRUE,"STEEL";#N/A,#N/A,TRUE,"INT-Table";#N/A,#N/A,TRUE,"STEEL";#N/A,#N/A,TRUE,"Door"}</definedName>
    <definedName name="수_3_2" hidden="1">{#N/A,#N/A,TRUE,"Basic";#N/A,#N/A,TRUE,"EXT-TABLE";#N/A,#N/A,TRUE,"STEEL";#N/A,#N/A,TRUE,"INT-Table";#N/A,#N/A,TRUE,"STEEL";#N/A,#N/A,TRUE,"Door"}</definedName>
    <definedName name="수_4" localSheetId="18" hidden="1">{#N/A,#N/A,TRUE,"Basic";#N/A,#N/A,TRUE,"EXT-TABLE";#N/A,#N/A,TRUE,"STEEL";#N/A,#N/A,TRUE,"INT-Table";#N/A,#N/A,TRUE,"STEEL";#N/A,#N/A,TRUE,"Door"}</definedName>
    <definedName name="수_4" hidden="1">{#N/A,#N/A,TRUE,"Basic";#N/A,#N/A,TRUE,"EXT-TABLE";#N/A,#N/A,TRUE,"STEEL";#N/A,#N/A,TRUE,"INT-Table";#N/A,#N/A,TRUE,"STEEL";#N/A,#N/A,TRUE,"Door"}</definedName>
    <definedName name="수_4_1" localSheetId="18" hidden="1">{#N/A,#N/A,TRUE,"Basic";#N/A,#N/A,TRUE,"EXT-TABLE";#N/A,#N/A,TRUE,"STEEL";#N/A,#N/A,TRUE,"INT-Table";#N/A,#N/A,TRUE,"STEEL";#N/A,#N/A,TRUE,"Door"}</definedName>
    <definedName name="수_4_1" hidden="1">{#N/A,#N/A,TRUE,"Basic";#N/A,#N/A,TRUE,"EXT-TABLE";#N/A,#N/A,TRUE,"STEEL";#N/A,#N/A,TRUE,"INT-Table";#N/A,#N/A,TRUE,"STEEL";#N/A,#N/A,TRUE,"Door"}</definedName>
    <definedName name="수_4_2" localSheetId="18" hidden="1">{#N/A,#N/A,TRUE,"Basic";#N/A,#N/A,TRUE,"EXT-TABLE";#N/A,#N/A,TRUE,"STEEL";#N/A,#N/A,TRUE,"INT-Table";#N/A,#N/A,TRUE,"STEEL";#N/A,#N/A,TRUE,"Door"}</definedName>
    <definedName name="수_4_2" hidden="1">{#N/A,#N/A,TRUE,"Basic";#N/A,#N/A,TRUE,"EXT-TABLE";#N/A,#N/A,TRUE,"STEEL";#N/A,#N/A,TRUE,"INT-Table";#N/A,#N/A,TRUE,"STEEL";#N/A,#N/A,TRUE,"Door"}</definedName>
    <definedName name="수_5" localSheetId="18" hidden="1">{#N/A,#N/A,TRUE,"Basic";#N/A,#N/A,TRUE,"EXT-TABLE";#N/A,#N/A,TRUE,"STEEL";#N/A,#N/A,TRUE,"INT-Table";#N/A,#N/A,TRUE,"STEEL";#N/A,#N/A,TRUE,"Door"}</definedName>
    <definedName name="수_5" hidden="1">{#N/A,#N/A,TRUE,"Basic";#N/A,#N/A,TRUE,"EXT-TABLE";#N/A,#N/A,TRUE,"STEEL";#N/A,#N/A,TRUE,"INT-Table";#N/A,#N/A,TRUE,"STEEL";#N/A,#N/A,TRUE,"Door"}</definedName>
    <definedName name="수_5_1" localSheetId="18" hidden="1">{#N/A,#N/A,TRUE,"Basic";#N/A,#N/A,TRUE,"EXT-TABLE";#N/A,#N/A,TRUE,"STEEL";#N/A,#N/A,TRUE,"INT-Table";#N/A,#N/A,TRUE,"STEEL";#N/A,#N/A,TRUE,"Door"}</definedName>
    <definedName name="수_5_1" hidden="1">{#N/A,#N/A,TRUE,"Basic";#N/A,#N/A,TRUE,"EXT-TABLE";#N/A,#N/A,TRUE,"STEEL";#N/A,#N/A,TRUE,"INT-Table";#N/A,#N/A,TRUE,"STEEL";#N/A,#N/A,TRUE,"Door"}</definedName>
    <definedName name="수_5_2" localSheetId="18"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주일">#REF!</definedName>
    <definedName name="수처리" hidden="1">#REF!</definedName>
    <definedName name="승용교" localSheetId="18" hidden="1">{#N/A,#N/A,FALSE,"2~8번"}</definedName>
    <definedName name="승용교" hidden="1">{#N/A,#N/A,FALSE,"2~8번"}</definedName>
    <definedName name="ㅇㄴㄻ" localSheetId="18" hidden="1">{#N/A,#N/A,FALSE,"표지목차"}</definedName>
    <definedName name="ㅇㄴㄻ" hidden="1">{#N/A,#N/A,FALSE,"표지목차"}</definedName>
    <definedName name="ㅇㄴㄻㄴㅇ" localSheetId="18" hidden="1">{#N/A,#N/A,FALSE,"표지목차"}</definedName>
    <definedName name="ㅇㄴㄻㄴㅇ" hidden="1">{#N/A,#N/A,FALSE,"표지목차"}</definedName>
    <definedName name="ㅇㄴㅇㄴ" localSheetId="18" hidden="1">{#N/A,#N/A,FALSE,"포장2"}</definedName>
    <definedName name="ㅇㄴㅇㄴ" hidden="1">{#N/A,#N/A,FALSE,"포장2"}</definedName>
    <definedName name="ㅇㄷㄴㄶㅎ" localSheetId="18" hidden="1">{#N/A,#N/A,FALSE,"골재소요량";#N/A,#N/A,FALSE,"골재소요량"}</definedName>
    <definedName name="ㅇㄷㄴㄶㅎ" hidden="1">{#N/A,#N/A,FALSE,"골재소요량";#N/A,#N/A,FALSE,"골재소요량"}</definedName>
    <definedName name="ㅇㄹㄹ" hidden="1">#REF!</definedName>
    <definedName name="ㅇ롤옹롤ㅇ" localSheetId="18" hidden="1">{#N/A,#N/A,FALSE,"운반시간"}</definedName>
    <definedName name="ㅇ롤옹롤ㅇ" hidden="1">{#N/A,#N/A,FALSE,"운반시간"}</definedName>
    <definedName name="ㅇㄻㅇㄻㄴㄹ" localSheetId="18" hidden="1">{#N/A,#N/A,FALSE,"단가표지"}</definedName>
    <definedName name="ㅇㄻㅇㄻㄴㄹ" hidden="1">{#N/A,#N/A,FALSE,"단가표지"}</definedName>
    <definedName name="ㅇㅀㅁㅇㅁㅇ" localSheetId="18" hidden="1">{#N/A,#N/A,FALSE,"단가표지"}</definedName>
    <definedName name="ㅇㅀㅁㅇㅁㅇ" hidden="1">{#N/A,#N/A,FALSE,"단가표지"}</definedName>
    <definedName name="ㅇㅇ"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localSheetId="18" hidden="1">{#N/A,#N/A,FALSE,"CCTV"}</definedName>
    <definedName name="ㅇㅇㅇ" hidden="1">{#N/A,#N/A,FALSE,"CCTV"}</definedName>
    <definedName name="ㅇㅇㅇㅇ"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localSheetId="18" hidden="1">{#N/A,#N/A,FALSE,"혼합골재"}</definedName>
    <definedName name="ㅇ호" hidden="1">{#N/A,#N/A,FALSE,"혼합골재"}</definedName>
    <definedName name="아" localSheetId="18" hidden="1">{#N/A,#N/A,FALSE,"배수2"}</definedName>
    <definedName name="아" hidden="1">{#N/A,#N/A,FALSE,"배수2"}</definedName>
    <definedName name="안" localSheetId="18" hidden="1">{#N/A,#N/A,FALSE,"포장2"}</definedName>
    <definedName name="안" hidden="1">{#N/A,#N/A,FALSE,"포장2"}</definedName>
    <definedName name="알제리"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9"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7"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5" hidden="1">{#N/A,#N/A,FALSE,"손익표지";#N/A,#N/A,FALSE,"손익계산";#N/A,#N/A,FALSE,"일반관리비";#N/A,#N/A,FALSE,"영업외수익";#N/A,#N/A,FALSE,"영업외비용";#N/A,#N/A,FALSE,"매출액";#N/A,#N/A,FALSE,"요약손익";#N/A,#N/A,FALSE,"요약대차";#N/A,#N/A,FALSE,"매출채권현황";#N/A,#N/A,FALSE,"매출채권명세"}</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18" hidden="1">{#N/A,#N/A,FALSE,"배수1"}</definedName>
    <definedName name="야" hidden="1">{#N/A,#N/A,FALSE,"배수1"}</definedName>
    <definedName name="영업외비용" hidden="1">#REF!</definedName>
    <definedName name="옹" localSheetId="18" hidden="1">{#N/A,#N/A,FALSE,"골재소요량";#N/A,#N/A,FALSE,"골재소요량"}</definedName>
    <definedName name="옹" hidden="1">{#N/A,#N/A,FALSE,"골재소요량";#N/A,#N/A,FALSE,"골재소요량"}</definedName>
    <definedName name="옹벽" localSheetId="18" hidden="1">{#N/A,#N/A,FALSE,"혼합골재"}</definedName>
    <definedName name="옹벽" hidden="1">{#N/A,#N/A,FALSE,"혼합골재"}</definedName>
    <definedName name="옹벽수량집계표" localSheetId="18" hidden="1">{#N/A,#N/A,FALSE,"2~8번"}</definedName>
    <definedName name="옹벽수량집계표" hidden="1">{#N/A,#N/A,FALSE,"2~8번"}</definedName>
    <definedName name="옹벽수량집계표총괄" localSheetId="18" hidden="1">{#N/A,#N/A,FALSE,"혼합골재"}</definedName>
    <definedName name="옹벽수량집계표총괄" hidden="1">{#N/A,#N/A,FALSE,"혼합골재"}</definedName>
    <definedName name="왜" localSheetId="18" hidden="1">{#N/A,#N/A,FALSE,"배수2"}</definedName>
    <definedName name="왜" hidden="1">{#N/A,#N/A,FALSE,"배수2"}</definedName>
    <definedName name="우오수공" localSheetId="18" hidden="1">{#N/A,#N/A,FALSE,"기안지";#N/A,#N/A,FALSE,"통신지"}</definedName>
    <definedName name="우오수공" hidden="1">{#N/A,#N/A,FALSE,"기안지";#N/A,#N/A,FALSE,"통신지"}</definedName>
    <definedName name="우ㅗ홓ㅇ" localSheetId="18" hidden="1">{#N/A,#N/A,FALSE,"조골재"}</definedName>
    <definedName name="우ㅗ홓ㅇ" hidden="1">{#N/A,#N/A,FALSE,"조골재"}</definedName>
    <definedName name="원가집계">'[116] 갑지'!$B$1:$M$40</definedName>
    <definedName name="은" localSheetId="18" hidden="1">{#N/A,#N/A,FALSE,"구조2"}</definedName>
    <definedName name="은" hidden="1">{#N/A,#N/A,FALSE,"구조2"}</definedName>
    <definedName name="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localSheetId="18" hidden="1">{#N/A,#N/A,FALSE,"속도"}</definedName>
    <definedName name="이론" hidden="1">{#N/A,#N/A,FALSE,"속도"}</definedName>
    <definedName name="이름충돌"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18" hidden="1">{#N/A,#N/A,FALSE,"2~8번"}</definedName>
    <definedName name="이정" hidden="1">{#N/A,#N/A,FALSE,"2~8번"}</definedName>
    <definedName name="이찰">#REF!</definedName>
    <definedName name="인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localSheetId="18" hidden="1">{"'OVEN시방 '!$A$1:$C$11"}</definedName>
    <definedName name="일위3" hidden="1">{"'OVEN시방 '!$A$1:$C$11"}</definedName>
    <definedName name="입찰1">#N/A</definedName>
    <definedName name="ㅈ" localSheetId="18" hidden="1">{#N/A,#N/A,FALSE,"혼합골재"}</definedName>
    <definedName name="ㅈ" hidden="1">{#N/A,#N/A,FALSE,"혼합골재"}</definedName>
    <definedName name="ㅈㄱ" localSheetId="18" hidden="1">{#N/A,#N/A,FALSE,"CCTV"}</definedName>
    <definedName name="ㅈㄱ" hidden="1">{#N/A,#N/A,FALSE,"CCTV"}</definedName>
    <definedName name="ㅈ그" localSheetId="18" hidden="1">{#N/A,#N/A,FALSE,"CCTV"}</definedName>
    <definedName name="ㅈ그" hidden="1">{#N/A,#N/A,FALSE,"CCTV"}</definedName>
    <definedName name="ㅈㅁ" localSheetId="18" hidden="1">{#N/A,#N/A,FALSE,"CCTV"}</definedName>
    <definedName name="ㅈㅁ" localSheetId="1" hidden="1">{#N/A,#N/A,FALSE,"CCTV"}</definedName>
    <definedName name="ㅈㅁ" localSheetId="2" hidden="1">{#N/A,#N/A,FALSE,"CCTV"}</definedName>
    <definedName name="ㅈㅁ" localSheetId="4" hidden="1">{#N/A,#N/A,FALSE,"CCTV"}</definedName>
    <definedName name="ㅈㅁ" localSheetId="19" hidden="1">{#N/A,#N/A,FALSE,"CCTV"}</definedName>
    <definedName name="ㅈㅁ" localSheetId="10" hidden="1">{#N/A,#N/A,FALSE,"CCTV"}</definedName>
    <definedName name="ㅈㅁ" localSheetId="9" hidden="1">{#N/A,#N/A,FALSE,"CCTV"}</definedName>
    <definedName name="ㅈㅁ" localSheetId="8" hidden="1">{#N/A,#N/A,FALSE,"CCTV"}</definedName>
    <definedName name="ㅈㅁ" localSheetId="3" hidden="1">{#N/A,#N/A,FALSE,"CCTV"}</definedName>
    <definedName name="ㅈㅁ" localSheetId="6" hidden="1">{#N/A,#N/A,FALSE,"CCTV"}</definedName>
    <definedName name="ㅈㅁ" localSheetId="7" hidden="1">{#N/A,#N/A,FALSE,"CCTV"}</definedName>
    <definedName name="ㅈㅁ" localSheetId="5" hidden="1">{#N/A,#N/A,FALSE,"CCTV"}</definedName>
    <definedName name="ㅈㅁ" hidden="1">{#N/A,#N/A,FALSE,"CCTV"}</definedName>
    <definedName name="ㅈㅈ" localSheetId="18" hidden="1">{#N/A,#N/A,FALSE,"표지목차"}</definedName>
    <definedName name="ㅈㅈ" hidden="1">{#N/A,#N/A,FALSE,"표지목차"}</definedName>
    <definedName name="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localSheetId="18" hidden="1">{"'장비'!$A$3:$M$12"}</definedName>
    <definedName name="전기" hidden="1">{"'장비'!$A$3:$M$12"}</definedName>
    <definedName name="전기계장">#REF!</definedName>
    <definedName name="전기공사비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9"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7"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#REF!</definedName>
    <definedName name="정리용" localSheetId="18" hidden="1">{#N/A,#N/A,FALSE,"Tower &amp; Car Park"}</definedName>
    <definedName name="정리용" localSheetId="11" hidden="1">{#N/A,#N/A,FALSE,"Tower &amp; Car Park"}</definedName>
    <definedName name="정리용" localSheetId="1" hidden="1">{#N/A,#N/A,FALSE,"Tower &amp; Car Park"}</definedName>
    <definedName name="정리용" localSheetId="2" hidden="1">{#N/A,#N/A,FALSE,"Tower &amp; Car Park"}</definedName>
    <definedName name="정리용" localSheetId="4" hidden="1">{#N/A,#N/A,FALSE,"Tower &amp; Car Park"}</definedName>
    <definedName name="정리용" localSheetId="19" hidden="1">{#N/A,#N/A,FALSE,"Tower &amp; Car Park"}</definedName>
    <definedName name="정리용" localSheetId="10" hidden="1">{#N/A,#N/A,FALSE,"Tower &amp; Car Park"}</definedName>
    <definedName name="정리용" localSheetId="9" hidden="1">{#N/A,#N/A,FALSE,"Tower &amp; Car Park"}</definedName>
    <definedName name="정리용" localSheetId="8" hidden="1">{#N/A,#N/A,FALSE,"Tower &amp; Car Park"}</definedName>
    <definedName name="정리용" localSheetId="3" hidden="1">{#N/A,#N/A,FALSE,"Tower &amp; Car Park"}</definedName>
    <definedName name="정리용" localSheetId="6" hidden="1">{#N/A,#N/A,FALSE,"Tower &amp; Car Park"}</definedName>
    <definedName name="정리용" localSheetId="7" hidden="1">{#N/A,#N/A,FALSE,"Tower &amp; Car Park"}</definedName>
    <definedName name="정리용" localSheetId="5" hidden="1">{#N/A,#N/A,FALSE,"Tower &amp; Car Park"}</definedName>
    <definedName name="정리용" hidden="1">{#N/A,#N/A,FALSE,"Tower &amp; Car Park"}</definedName>
    <definedName name="정리용2" localSheetId="18" hidden="1">{#N/A,#N/A,FALSE,"Tower &amp; Car Park"}</definedName>
    <definedName name="정리용2" localSheetId="11" hidden="1">{#N/A,#N/A,FALSE,"Tower &amp; Car Park"}</definedName>
    <definedName name="정리용2" localSheetId="1" hidden="1">{#N/A,#N/A,FALSE,"Tower &amp; Car Park"}</definedName>
    <definedName name="정리용2" localSheetId="2" hidden="1">{#N/A,#N/A,FALSE,"Tower &amp; Car Park"}</definedName>
    <definedName name="정리용2" localSheetId="4" hidden="1">{#N/A,#N/A,FALSE,"Tower &amp; Car Park"}</definedName>
    <definedName name="정리용2" localSheetId="19" hidden="1">{#N/A,#N/A,FALSE,"Tower &amp; Car Park"}</definedName>
    <definedName name="정리용2" localSheetId="10" hidden="1">{#N/A,#N/A,FALSE,"Tower &amp; Car Park"}</definedName>
    <definedName name="정리용2" localSheetId="9" hidden="1">{#N/A,#N/A,FALSE,"Tower &amp; Car Park"}</definedName>
    <definedName name="정리용2" localSheetId="8" hidden="1">{#N/A,#N/A,FALSE,"Tower &amp; Car Park"}</definedName>
    <definedName name="정리용2" localSheetId="3" hidden="1">{#N/A,#N/A,FALSE,"Tower &amp; Car Park"}</definedName>
    <definedName name="정리용2" localSheetId="6" hidden="1">{#N/A,#N/A,FALSE,"Tower &amp; Car Park"}</definedName>
    <definedName name="정리용2" localSheetId="7" hidden="1">{#N/A,#N/A,FALSE,"Tower &amp; Car Park"}</definedName>
    <definedName name="정리용2" localSheetId="5" hidden="1">{#N/A,#N/A,FALSE,"Tower &amp; Car Park"}</definedName>
    <definedName name="정리용2" hidden="1">{#N/A,#N/A,FALSE,"Tower &amp; Car Park"}</definedName>
    <definedName name="조직표현장" hidden="1">#REF!</definedName>
    <definedName name="조진원" hidden="1">#REF!</definedName>
    <definedName name="종합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물량비교">#N/A</definedName>
    <definedName name="중기">#REF!</definedName>
    <definedName name="중량산출" localSheetId="18" hidden="1">{#N/A,#N/A,FALSE,"Sheet1"}</definedName>
    <definedName name="중량산출" hidden="1">{#N/A,#N/A,FALSE,"Sheet1"}</definedName>
    <definedName name="중량산출1" localSheetId="18" hidden="1">{#N/A,#N/A,FALSE,"Sheet1"}</definedName>
    <definedName name="중량산출1" hidden="1">{#N/A,#N/A,FALSE,"Sheet1"}</definedName>
    <definedName name="즈" localSheetId="18" hidden="1">{#N/A,#N/A,FALSE,"CCTV"}</definedName>
    <definedName name="즈" hidden="1">{#N/A,#N/A,FALSE,"CCTV"}</definedName>
    <definedName name="증감내역"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localSheetId="18" hidden="1">{#N/A,#N/A,TRUE,"토적및재료집계";#N/A,#N/A,TRUE,"토적및재료집계";#N/A,#N/A,TRUE,"단위량"}</definedName>
    <definedName name="직매54P" hidden="1">{#N/A,#N/A,TRUE,"토적및재료집계";#N/A,#N/A,TRUE,"토적및재료집계";#N/A,#N/A,TRUE,"단위량"}</definedName>
    <definedName name="직접_선택">#REF!</definedName>
    <definedName name="진" localSheetId="18" hidden="1">{#N/A,#N/A,FALSE,"2~8번"}</definedName>
    <definedName name="진" hidden="1">{#N/A,#N/A,FALSE,"2~8번"}</definedName>
    <definedName name="집계표" localSheetId="18" hidden="1">{#N/A,#N/A,FALSE,"Sheet1"}</definedName>
    <definedName name="집계표" hidden="1">{#N/A,#N/A,FALSE,"Sheet1"}</definedName>
    <definedName name="ㅉㅉㅉㅉㅉ" localSheetId="18" hidden="1">{"'장비'!$A$3:$M$12"}</definedName>
    <definedName name="ㅉㅉㅉㅉㅉ" hidden="1">{"'장비'!$A$3:$M$12"}</definedName>
    <definedName name="쪽쪽쪽" localSheetId="18" hidden="1">{"'장비'!$A$3:$M$12"}</definedName>
    <definedName name="쪽쪽쪽" hidden="1">{"'장비'!$A$3:$M$12"}</definedName>
    <definedName name="ㅊㅍㅋㅌㅊㅋ" localSheetId="18" hidden="1">{#N/A,#N/A,FALSE,"운반시간"}</definedName>
    <definedName name="ㅊㅍㅋㅌㅊㅋ" hidden="1">{#N/A,#N/A,FALSE,"운반시간"}</definedName>
    <definedName name="ㅊㅍㅋㅌㅍㅌ" localSheetId="18" hidden="1">{#N/A,#N/A,FALSE,"혼합골재"}</definedName>
    <definedName name="ㅊㅍㅋㅌㅍㅌ" hidden="1">{#N/A,#N/A,FALSE,"혼합골재"}</definedName>
    <definedName name="차이내역" localSheetId="18" hidden="1">{#N/A,#N/A,FALSE,"이정표"}</definedName>
    <definedName name="차이내역" hidden="1">{#N/A,#N/A,FALSE,"이정표"}</definedName>
    <definedName name="찰샇기" localSheetId="11" hidden="1">#N/A</definedName>
    <definedName name="찰샇기" localSheetId="1" hidden="1">#N/A</definedName>
    <definedName name="찰샇기" localSheetId="2" hidden="1">#N/A</definedName>
    <definedName name="찰샇기" localSheetId="4" hidden="1">#N/A</definedName>
    <definedName name="찰샇기" localSheetId="19" hidden="1">#N/A</definedName>
    <definedName name="찰샇기" localSheetId="10" hidden="1">#N/A</definedName>
    <definedName name="찰샇기" localSheetId="9" hidden="1">#N/A</definedName>
    <definedName name="찰샇기" localSheetId="8" hidden="1">#N/A</definedName>
    <definedName name="찰샇기" localSheetId="3" hidden="1">#N/A</definedName>
    <definedName name="찰샇기" localSheetId="6" hidden="1">#N/A</definedName>
    <definedName name="찰샇기" localSheetId="7" hidden="1">#N/A</definedName>
    <definedName name="찰샇기" localSheetId="5" hidden="1">#N/A</definedName>
    <definedName name="찰샇기" hidden="1">#REF!</definedName>
    <definedName name="첫장" localSheetId="18" hidden="1">{#N/A,#N/A,TRUE,"총괄"}</definedName>
    <definedName name="첫장" hidden="1">{#N/A,#N/A,TRUE,"총괄"}</definedName>
    <definedName name="총괄내역" localSheetId="18" hidden="1">{#N/A,#N/A,TRUE,"총괄"}</definedName>
    <definedName name="총괄내역" hidden="1">{#N/A,#N/A,TRUE,"총괄"}</definedName>
    <definedName name="총괄내역서" localSheetId="18" hidden="1">{#N/A,#N/A,TRUE,"총괄"}</definedName>
    <definedName name="총괄내역서" hidden="1">{#N/A,#N/A,TRUE,"총괄"}</definedName>
    <definedName name="총괄표" hidden="1">#REF!</definedName>
    <definedName name="총괄표3"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localSheetId="18" hidden="1">{"'Sheet1'!$L$16"}</definedName>
    <definedName name="추" hidden="1">{"'Sheet1'!$L$16"}</definedName>
    <definedName name="추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18" hidden="1">{"'장비'!$A$3:$M$12"}</definedName>
    <definedName name="추가분" hidden="1">{"'장비'!$A$3:$M$12"}</definedName>
    <definedName name="추가분1" localSheetId="18" hidden="1">{"'장비'!$A$3:$M$12"}</definedName>
    <definedName name="추가분1" hidden="1">{"'장비'!$A$3:$M$12"}</definedName>
    <definedName name="출입문2"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취수설비_T.W.S">#REF!</definedName>
    <definedName name="ㅋ" localSheetId="18" hidden="1">{"'장비'!$A$3:$M$12"}</definedName>
    <definedName name="ㅋ" hidden="1">{"'장비'!$A$3:$M$12"}</definedName>
    <definedName name="ㅋㅋ" localSheetId="18" hidden="1">{"'장비'!$A$3:$M$12"}</definedName>
    <definedName name="ㅋㅋ" hidden="1">{"'장비'!$A$3:$M$12"}</definedName>
    <definedName name="ㅋㅋㅋ" localSheetId="18" hidden="1">{"'장비'!$A$3:$M$12"}</definedName>
    <definedName name="ㅋㅋㅋ" hidden="1">{"'장비'!$A$3:$M$12"}</definedName>
    <definedName name="ㅋㅋㅋㅋㅋ" localSheetId="18" hidden="1">{"'장비'!$A$3:$M$12"}</definedName>
    <definedName name="ㅋㅋㅋㅋㅋ" hidden="1">{"'장비'!$A$3:$M$12"}</definedName>
    <definedName name="ㅋㅋㅋㅋㅋㅋ" localSheetId="18" hidden="1">{"'장비'!$A$3:$M$12"}</definedName>
    <definedName name="ㅋㅋㅋㅋㅋㅋ" hidden="1">{"'장비'!$A$3:$M$12"}</definedName>
    <definedName name="ㅋㅋㅋㅋㅋㅋㅋ" localSheetId="18" hidden="1">{"'장비'!$A$3:$M$12"}</definedName>
    <definedName name="ㅋㅋㅋㅋㅋㅋㅋ" hidden="1">{"'장비'!$A$3:$M$12"}</definedName>
    <definedName name="콘크리트2" hidden="1">#REF!</definedName>
    <definedName name="ㅌㅍ츛ㅌ" localSheetId="18" hidden="1">{#N/A,#N/A,FALSE,"운반시간"}</definedName>
    <definedName name="ㅌㅍ츛ㅌ" hidden="1">{#N/A,#N/A,FALSE,"운반시간"}</definedName>
    <definedName name="타부서_선택">#REF!</definedName>
    <definedName name="테스크" localSheetId="18" hidden="1">{#N/A,#N/A,FALSE,"단가표지"}</definedName>
    <definedName name="테스크" hidden="1">{#N/A,#N/A,FALSE,"단가표지"}</definedName>
    <definedName name="토"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18" hidden="1">{"'장비'!$A$3:$M$12"}</definedName>
    <definedName name="토건" hidden="1">{"'장비'!$A$3:$M$12"}</definedName>
    <definedName name="토건공사비대비r" localSheetId="18" hidden="1">{"'장비'!$A$3:$M$12"}</definedName>
    <definedName name="토건공사비대비r" hidden="1">{"'장비'!$A$3:$M$12"}</definedName>
    <definedName name="토건업체" localSheetId="18" hidden="1">{"'장비'!$A$3:$M$12"}</definedName>
    <definedName name="토건업체" hidden="1">{"'장비'!$A$3:$M$12"}</definedName>
    <definedName name="토건집계표r" localSheetId="18" hidden="1">{"'장비'!$A$3:$M$12"}</definedName>
    <definedName name="토건집계표r" hidden="1">{"'장비'!$A$3:$M$12"}</definedName>
    <definedName name="토공량" localSheetId="18" hidden="1">{#N/A,#N/A,FALSE,"기안지";#N/A,#N/A,FALSE,"통신지"}</definedName>
    <definedName name="토공량" hidden="1">{#N/A,#N/A,FALSE,"기안지";#N/A,#N/A,FALSE,"통신지"}</definedName>
    <definedName name="토공사"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 localSheetId="1">#REF!</definedName>
    <definedName name="토목" localSheetId="2">#REF!</definedName>
    <definedName name="토목" localSheetId="4">#REF!</definedName>
    <definedName name="토목" localSheetId="19">#REF!</definedName>
    <definedName name="토목" localSheetId="10">#REF!</definedName>
    <definedName name="토목" localSheetId="9">#REF!</definedName>
    <definedName name="토목" localSheetId="8">#REF!</definedName>
    <definedName name="토목" localSheetId="3">#REF!</definedName>
    <definedName name="토목" localSheetId="6">#REF!</definedName>
    <definedName name="토목" localSheetId="7">#REF!</definedName>
    <definedName name="토목" localSheetId="5">#REF!</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변경" localSheetId="18" hidden="1">{"'장비'!$A$3:$M$12"}</definedName>
    <definedName name="토목변경" hidden="1">{"'장비'!$A$3:$M$12"}</definedName>
    <definedName name="토목설계" localSheetId="18" hidden="1">{#N/A,#N/A,FALSE,"골재소요량";#N/A,#N/A,FALSE,"골재소요량"}</definedName>
    <definedName name="토목설계" hidden="1">{#N/A,#N/A,FALSE,"골재소요량";#N/A,#N/A,FALSE,"골재소요량"}</definedName>
    <definedName name="토목실행예산" localSheetId="18" hidden="1">{"'장비'!$A$3:$M$12"}</definedName>
    <definedName name="토목실행예산" hidden="1">{"'장비'!$A$3:$M$12"}</definedName>
    <definedName name="토목조정분" localSheetId="18" hidden="1">{"'장비'!$A$3:$M$12"}</definedName>
    <definedName name="토목조정분" hidden="1">{"'장비'!$A$3:$M$12"}</definedName>
    <definedName name="토목지입재료비">#REF!</definedName>
    <definedName name="토적표" hidden="1">#REF!</definedName>
    <definedName name="투찰예정가50" localSheetId="18" hidden="1">{"'장비'!$A$3:$M$12"}</definedName>
    <definedName name="투찰예정가50" hidden="1">{"'장비'!$A$3:$M$12"}</definedName>
    <definedName name="투찰예정본부장" localSheetId="18" hidden="1">{"'장비'!$A$3:$M$12"}</definedName>
    <definedName name="투찰예정본부장" hidden="1">{"'장비'!$A$3:$M$12"}</definedName>
    <definedName name="트레이집계"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localSheetId="18" hidden="1">{"'장비'!$A$3:$M$12"}</definedName>
    <definedName name="ㅍ" hidden="1">{"'장비'!$A$3:$M$12"}</definedName>
    <definedName name="ㅍ춫" localSheetId="18" hidden="1">{#N/A,#N/A,FALSE,"골재소요량";#N/A,#N/A,FALSE,"골재소요량"}</definedName>
    <definedName name="ㅍ춫" hidden="1">{#N/A,#N/A,FALSE,"골재소요량";#N/A,#N/A,FALSE,"골재소요량"}</definedName>
    <definedName name="ㅍ츝" localSheetId="18" hidden="1">{#N/A,#N/A,FALSE,"표지목차"}</definedName>
    <definedName name="ㅍ츝" hidden="1">{#N/A,#N/A,FALSE,"표지목차"}</definedName>
    <definedName name="파일" hidden="1">#REF!</definedName>
    <definedName name="표지" localSheetId="18" hidden="1">{#N/A,#N/A,TRUE,"Basic";#N/A,#N/A,TRUE,"EXT-TABLE";#N/A,#N/A,TRUE,"STEEL";#N/A,#N/A,TRUE,"INT-Table";#N/A,#N/A,TRUE,"STEEL";#N/A,#N/A,TRUE,"Door"}</definedName>
    <definedName name="표지" hidden="1">{#N/A,#N/A,TRUE,"Basic";#N/A,#N/A,TRUE,"EXT-TABLE";#N/A,#N/A,TRUE,"STEEL";#N/A,#N/A,TRUE,"INT-Table";#N/A,#N/A,TRUE,"STEEL";#N/A,#N/A,TRUE,"Door"}</definedName>
    <definedName name="표지_1" localSheetId="18" hidden="1">{#N/A,#N/A,TRUE,"Basic";#N/A,#N/A,TRUE,"EXT-TABLE";#N/A,#N/A,TRUE,"STEEL";#N/A,#N/A,TRUE,"INT-Table";#N/A,#N/A,TRUE,"STEEL";#N/A,#N/A,TRUE,"Door"}</definedName>
    <definedName name="표지_1" hidden="1">{#N/A,#N/A,TRUE,"Basic";#N/A,#N/A,TRUE,"EXT-TABLE";#N/A,#N/A,TRUE,"STEEL";#N/A,#N/A,TRUE,"INT-Table";#N/A,#N/A,TRUE,"STEEL";#N/A,#N/A,TRUE,"Door"}</definedName>
    <definedName name="표지_1_1" localSheetId="18" hidden="1">{#N/A,#N/A,TRUE,"Basic";#N/A,#N/A,TRUE,"EXT-TABLE";#N/A,#N/A,TRUE,"STEEL";#N/A,#N/A,TRUE,"INT-Table";#N/A,#N/A,TRUE,"STEEL";#N/A,#N/A,TRUE,"Door"}</definedName>
    <definedName name="표지_1_1" hidden="1">{#N/A,#N/A,TRUE,"Basic";#N/A,#N/A,TRUE,"EXT-TABLE";#N/A,#N/A,TRUE,"STEEL";#N/A,#N/A,TRUE,"INT-Table";#N/A,#N/A,TRUE,"STEEL";#N/A,#N/A,TRUE,"Door"}</definedName>
    <definedName name="표지_1_2" localSheetId="18" hidden="1">{#N/A,#N/A,TRUE,"Basic";#N/A,#N/A,TRUE,"EXT-TABLE";#N/A,#N/A,TRUE,"STEEL";#N/A,#N/A,TRUE,"INT-Table";#N/A,#N/A,TRUE,"STEEL";#N/A,#N/A,TRUE,"Door"}</definedName>
    <definedName name="표지_1_2" hidden="1">{#N/A,#N/A,TRUE,"Basic";#N/A,#N/A,TRUE,"EXT-TABLE";#N/A,#N/A,TRUE,"STEEL";#N/A,#N/A,TRUE,"INT-Table";#N/A,#N/A,TRUE,"STEEL";#N/A,#N/A,TRUE,"Door"}</definedName>
    <definedName name="표지_2" localSheetId="18" hidden="1">{#N/A,#N/A,TRUE,"Basic";#N/A,#N/A,TRUE,"EXT-TABLE";#N/A,#N/A,TRUE,"STEEL";#N/A,#N/A,TRUE,"INT-Table";#N/A,#N/A,TRUE,"STEEL";#N/A,#N/A,TRUE,"Door"}</definedName>
    <definedName name="표지_2" hidden="1">{#N/A,#N/A,TRUE,"Basic";#N/A,#N/A,TRUE,"EXT-TABLE";#N/A,#N/A,TRUE,"STEEL";#N/A,#N/A,TRUE,"INT-Table";#N/A,#N/A,TRUE,"STEEL";#N/A,#N/A,TRUE,"Door"}</definedName>
    <definedName name="표지_2_1" localSheetId="18" hidden="1">{#N/A,#N/A,TRUE,"Basic";#N/A,#N/A,TRUE,"EXT-TABLE";#N/A,#N/A,TRUE,"STEEL";#N/A,#N/A,TRUE,"INT-Table";#N/A,#N/A,TRUE,"STEEL";#N/A,#N/A,TRUE,"Door"}</definedName>
    <definedName name="표지_2_1" hidden="1">{#N/A,#N/A,TRUE,"Basic";#N/A,#N/A,TRUE,"EXT-TABLE";#N/A,#N/A,TRUE,"STEEL";#N/A,#N/A,TRUE,"INT-Table";#N/A,#N/A,TRUE,"STEEL";#N/A,#N/A,TRUE,"Door"}</definedName>
    <definedName name="표지_2_2" localSheetId="18" hidden="1">{#N/A,#N/A,TRUE,"Basic";#N/A,#N/A,TRUE,"EXT-TABLE";#N/A,#N/A,TRUE,"STEEL";#N/A,#N/A,TRUE,"INT-Table";#N/A,#N/A,TRUE,"STEEL";#N/A,#N/A,TRUE,"Door"}</definedName>
    <definedName name="표지_2_2" hidden="1">{#N/A,#N/A,TRUE,"Basic";#N/A,#N/A,TRUE,"EXT-TABLE";#N/A,#N/A,TRUE,"STEEL";#N/A,#N/A,TRUE,"INT-Table";#N/A,#N/A,TRUE,"STEEL";#N/A,#N/A,TRUE,"Door"}</definedName>
    <definedName name="표지_3" localSheetId="18" hidden="1">{#N/A,#N/A,TRUE,"Basic";#N/A,#N/A,TRUE,"EXT-TABLE";#N/A,#N/A,TRUE,"STEEL";#N/A,#N/A,TRUE,"INT-Table";#N/A,#N/A,TRUE,"STEEL";#N/A,#N/A,TRUE,"Door"}</definedName>
    <definedName name="표지_3" hidden="1">{#N/A,#N/A,TRUE,"Basic";#N/A,#N/A,TRUE,"EXT-TABLE";#N/A,#N/A,TRUE,"STEEL";#N/A,#N/A,TRUE,"INT-Table";#N/A,#N/A,TRUE,"STEEL";#N/A,#N/A,TRUE,"Door"}</definedName>
    <definedName name="표지_3_1" localSheetId="18" hidden="1">{#N/A,#N/A,TRUE,"Basic";#N/A,#N/A,TRUE,"EXT-TABLE";#N/A,#N/A,TRUE,"STEEL";#N/A,#N/A,TRUE,"INT-Table";#N/A,#N/A,TRUE,"STEEL";#N/A,#N/A,TRUE,"Door"}</definedName>
    <definedName name="표지_3_1" hidden="1">{#N/A,#N/A,TRUE,"Basic";#N/A,#N/A,TRUE,"EXT-TABLE";#N/A,#N/A,TRUE,"STEEL";#N/A,#N/A,TRUE,"INT-Table";#N/A,#N/A,TRUE,"STEEL";#N/A,#N/A,TRUE,"Door"}</definedName>
    <definedName name="표지_3_2" localSheetId="18" hidden="1">{#N/A,#N/A,TRUE,"Basic";#N/A,#N/A,TRUE,"EXT-TABLE";#N/A,#N/A,TRUE,"STEEL";#N/A,#N/A,TRUE,"INT-Table";#N/A,#N/A,TRUE,"STEEL";#N/A,#N/A,TRUE,"Door"}</definedName>
    <definedName name="표지_3_2" hidden="1">{#N/A,#N/A,TRUE,"Basic";#N/A,#N/A,TRUE,"EXT-TABLE";#N/A,#N/A,TRUE,"STEEL";#N/A,#N/A,TRUE,"INT-Table";#N/A,#N/A,TRUE,"STEEL";#N/A,#N/A,TRUE,"Door"}</definedName>
    <definedName name="표지_4" localSheetId="18" hidden="1">{#N/A,#N/A,TRUE,"Basic";#N/A,#N/A,TRUE,"EXT-TABLE";#N/A,#N/A,TRUE,"STEEL";#N/A,#N/A,TRUE,"INT-Table";#N/A,#N/A,TRUE,"STEEL";#N/A,#N/A,TRUE,"Door"}</definedName>
    <definedName name="표지_4" hidden="1">{#N/A,#N/A,TRUE,"Basic";#N/A,#N/A,TRUE,"EXT-TABLE";#N/A,#N/A,TRUE,"STEEL";#N/A,#N/A,TRUE,"INT-Table";#N/A,#N/A,TRUE,"STEEL";#N/A,#N/A,TRUE,"Door"}</definedName>
    <definedName name="표지_4_1" localSheetId="18" hidden="1">{#N/A,#N/A,TRUE,"Basic";#N/A,#N/A,TRUE,"EXT-TABLE";#N/A,#N/A,TRUE,"STEEL";#N/A,#N/A,TRUE,"INT-Table";#N/A,#N/A,TRUE,"STEEL";#N/A,#N/A,TRUE,"Door"}</definedName>
    <definedName name="표지_4_1" hidden="1">{#N/A,#N/A,TRUE,"Basic";#N/A,#N/A,TRUE,"EXT-TABLE";#N/A,#N/A,TRUE,"STEEL";#N/A,#N/A,TRUE,"INT-Table";#N/A,#N/A,TRUE,"STEEL";#N/A,#N/A,TRUE,"Door"}</definedName>
    <definedName name="표지_4_2" localSheetId="18" hidden="1">{#N/A,#N/A,TRUE,"Basic";#N/A,#N/A,TRUE,"EXT-TABLE";#N/A,#N/A,TRUE,"STEEL";#N/A,#N/A,TRUE,"INT-Table";#N/A,#N/A,TRUE,"STEEL";#N/A,#N/A,TRUE,"Door"}</definedName>
    <definedName name="표지_4_2" hidden="1">{#N/A,#N/A,TRUE,"Basic";#N/A,#N/A,TRUE,"EXT-TABLE";#N/A,#N/A,TRUE,"STEEL";#N/A,#N/A,TRUE,"INT-Table";#N/A,#N/A,TRUE,"STEEL";#N/A,#N/A,TRUE,"Door"}</definedName>
    <definedName name="표지_5" localSheetId="18" hidden="1">{#N/A,#N/A,TRUE,"Basic";#N/A,#N/A,TRUE,"EXT-TABLE";#N/A,#N/A,TRUE,"STEEL";#N/A,#N/A,TRUE,"INT-Table";#N/A,#N/A,TRUE,"STEEL";#N/A,#N/A,TRUE,"Door"}</definedName>
    <definedName name="표지_5" hidden="1">{#N/A,#N/A,TRUE,"Basic";#N/A,#N/A,TRUE,"EXT-TABLE";#N/A,#N/A,TRUE,"STEEL";#N/A,#N/A,TRUE,"INT-Table";#N/A,#N/A,TRUE,"STEEL";#N/A,#N/A,TRUE,"Door"}</definedName>
    <definedName name="표지_5_1" localSheetId="18" hidden="1">{#N/A,#N/A,TRUE,"Basic";#N/A,#N/A,TRUE,"EXT-TABLE";#N/A,#N/A,TRUE,"STEEL";#N/A,#N/A,TRUE,"INT-Table";#N/A,#N/A,TRUE,"STEEL";#N/A,#N/A,TRUE,"Door"}</definedName>
    <definedName name="표지_5_1" hidden="1">{#N/A,#N/A,TRUE,"Basic";#N/A,#N/A,TRUE,"EXT-TABLE";#N/A,#N/A,TRUE,"STEEL";#N/A,#N/A,TRUE,"INT-Table";#N/A,#N/A,TRUE,"STEEL";#N/A,#N/A,TRUE,"Door"}</definedName>
    <definedName name="표지_5_2" localSheetId="18"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ㅎㄴ" localSheetId="18" hidden="1">{#N/A,#N/A,FALSE,"단가표지"}</definedName>
    <definedName name="ㅎㄴ" hidden="1">{#N/A,#N/A,FALSE,"단가표지"}</definedName>
    <definedName name="ㅎㄴㄹㄴㄹㄴㅇ" localSheetId="18" hidden="1">{#N/A,#N/A,FALSE,"토공2"}</definedName>
    <definedName name="ㅎㄴㄹㄴㄹㄴㅇ" hidden="1">{#N/A,#N/A,FALSE,"토공2"}</definedName>
    <definedName name="ㅎㄴㅁㄴㅇㄹㄴㅇ" localSheetId="18" hidden="1">{#N/A,#N/A,FALSE,"운반시간"}</definedName>
    <definedName name="ㅎㄴㅁㄴㅇㄹㄴㅇ" hidden="1">{#N/A,#N/A,FALSE,"운반시간"}</definedName>
    <definedName name="ㅎㄴㅁㄹㄴㅁㄹㄴㅁㄹㄷㄹㄶㄴ" localSheetId="18" hidden="1">{#N/A,#N/A,FALSE,"속도"}</definedName>
    <definedName name="ㅎㄴㅁㄹㄴㅁㄹㄴㅁㄹㄷㄹㄶㄴ" hidden="1">{#N/A,#N/A,FALSE,"속도"}</definedName>
    <definedName name="ㅎㄴㅁㄹㅈㅁㅎ" localSheetId="18" hidden="1">{#N/A,#N/A,FALSE,"단가표지"}</definedName>
    <definedName name="ㅎㄴㅁㄹㅈㅁㅎ" hidden="1">{#N/A,#N/A,FALSE,"단가표지"}</definedName>
    <definedName name="ㅎㄶ" localSheetId="18" hidden="1">{#N/A,#N/A,FALSE,"속도"}</definedName>
    <definedName name="ㅎㄶ" hidden="1">{#N/A,#N/A,FALSE,"속도"}</definedName>
    <definedName name="ㅎㄹㄴㅇ" localSheetId="18" hidden="1">{#N/A,#N/A,FALSE,"단가표지"}</definedName>
    <definedName name="ㅎㄹㄴㅇ" hidden="1">{#N/A,#N/A,FALSE,"단가표지"}</definedName>
    <definedName name="ㅎㄹㅇㄴ" localSheetId="18" hidden="1">{#N/A,#N/A,FALSE,"골재소요량";#N/A,#N/A,FALSE,"골재소요량"}</definedName>
    <definedName name="ㅎㄹㅇㄴ" hidden="1">{#N/A,#N/A,FALSE,"골재소요량";#N/A,#N/A,FALSE,"골재소요량"}</definedName>
    <definedName name="ㅎㄹㅇㅁㅁㅎ" localSheetId="18" hidden="1">{#N/A,#N/A,FALSE,"조골재"}</definedName>
    <definedName name="ㅎㄹㅇㅁㅁㅎ" hidden="1">{#N/A,#N/A,FALSE,"조골재"}</definedName>
    <definedName name="ㅎㄹㅇㅁㅎㅁ" localSheetId="18" hidden="1">{#N/A,#N/A,FALSE,"표지목차"}</definedName>
    <definedName name="ㅎㄹㅇㅁㅎㅁ" hidden="1">{#N/A,#N/A,FALSE,"표지목차"}</definedName>
    <definedName name="ㅎㄹㅇㅎ" localSheetId="18" hidden="1">{#N/A,#N/A,FALSE,"단가표지"}</definedName>
    <definedName name="ㅎㄹㅇㅎ" hidden="1">{#N/A,#N/A,FALSE,"단가표지"}</definedName>
    <definedName name="ㅎㄹㅇㅎㅇㅁㅎ" localSheetId="18" hidden="1">{#N/A,#N/A,FALSE,"운반시간"}</definedName>
    <definedName name="ㅎㄹㅇㅎㅇㅁㅎ" hidden="1">{#N/A,#N/A,FALSE,"운반시간"}</definedName>
    <definedName name="ㅎ륜ㅇㄹ" localSheetId="18" hidden="1">{#N/A,#N/A,FALSE,"2~8번"}</definedName>
    <definedName name="ㅎ륜ㅇㄹ" hidden="1">{#N/A,#N/A,FALSE,"2~8번"}</definedName>
    <definedName name="ㅎ르ㅓㅗㅓ" localSheetId="18" hidden="1">{#N/A,#N/A,FALSE,"골재소요량";#N/A,#N/A,FALSE,"골재소요량"}</definedName>
    <definedName name="ㅎ르ㅓㅗㅓ" hidden="1">{#N/A,#N/A,FALSE,"골재소요량";#N/A,#N/A,FALSE,"골재소요량"}</definedName>
    <definedName name="ㅎㄻㄹㅇㅎㅇㅁ" localSheetId="18" hidden="1">{#N/A,#N/A,FALSE,"혼합골재"}</definedName>
    <definedName name="ㅎㄻㄹㅇㅎㅇㅁ" hidden="1">{#N/A,#N/A,FALSE,"혼합골재"}</definedName>
    <definedName name="ㅎㄻㅇㅎㅁㅇㅎㅁㅇㅎ" localSheetId="18" hidden="1">{#N/A,#N/A,FALSE,"골재소요량";#N/A,#N/A,FALSE,"골재소요량"}</definedName>
    <definedName name="ㅎㄻㅇㅎㅁㅇㅎㅁㅇㅎ" hidden="1">{#N/A,#N/A,FALSE,"골재소요량";#N/A,#N/A,FALSE,"골재소요량"}</definedName>
    <definedName name="ㅎㅁㅇㅀㅁㅇ" localSheetId="18" hidden="1">{#N/A,#N/A,FALSE,"단가표지"}</definedName>
    <definedName name="ㅎㅁㅇㅀㅁㅇ" hidden="1">{#N/A,#N/A,FALSE,"단가표지"}</definedName>
    <definedName name="ㅎㅁㅇㅀㅁㅇㅎㅁ" localSheetId="18" hidden="1">{#N/A,#N/A,FALSE,"단가표지"}</definedName>
    <definedName name="ㅎㅁㅇㅀㅁㅇㅎㅁ" hidden="1">{#N/A,#N/A,FALSE,"단가표지"}</definedName>
    <definedName name="ㅎㅇㄴ" localSheetId="18" hidden="1">{#N/A,#N/A,FALSE,"단가표지"}</definedName>
    <definedName name="ㅎㅇㄴ" hidden="1">{#N/A,#N/A,FALSE,"단가표지"}</definedName>
    <definedName name="ㅎㅇㄹ홍ㄴ로" localSheetId="18" hidden="1">{#N/A,#N/A,FALSE,"단가표지"}</definedName>
    <definedName name="ㅎㅇㄹ홍ㄴ로" hidden="1">{#N/A,#N/A,FALSE,"단가표지"}</definedName>
    <definedName name="ㅎㅇㄻㅎㅁㅇ" localSheetId="18" hidden="1">{#N/A,#N/A,FALSE,"혼합골재"}</definedName>
    <definedName name="ㅎㅇㄻㅎㅁㅇ" hidden="1">{#N/A,#N/A,FALSE,"혼합골재"}</definedName>
    <definedName name="ㅎㅇㄻㅎㅁㅎㅁㅇ" localSheetId="18" hidden="1">{#N/A,#N/A,FALSE,"운반시간"}</definedName>
    <definedName name="ㅎㅇㄻㅎㅁㅎㅁㅇ" hidden="1">{#N/A,#N/A,FALSE,"운반시간"}</definedName>
    <definedName name="ㅎㅇㅀ" localSheetId="18" hidden="1">{#N/A,#N/A,FALSE,"단가표지"}</definedName>
    <definedName name="ㅎㅇㅀ" hidden="1">{#N/A,#N/A,FALSE,"단가표지"}</definedName>
    <definedName name="ㅎㅇㅀㄴ" localSheetId="18" hidden="1">{#N/A,#N/A,FALSE,"골재소요량";#N/A,#N/A,FALSE,"골재소요량"}</definedName>
    <definedName name="ㅎㅇㅀㄴ" hidden="1">{#N/A,#N/A,FALSE,"골재소요량";#N/A,#N/A,FALSE,"골재소요량"}</definedName>
    <definedName name="ㅎㅇㅀㅁㅇㅎㅁㅇ" localSheetId="18" hidden="1">{#N/A,#N/A,FALSE,"단가표지"}</definedName>
    <definedName name="ㅎㅇㅀㅁㅇㅎㅁㅇ" hidden="1">{#N/A,#N/A,FALSE,"단가표지"}</definedName>
    <definedName name="ㅎㅇㅀㅇㅀ" localSheetId="18" hidden="1">{#N/A,#N/A,FALSE,"표지목차"}</definedName>
    <definedName name="ㅎㅇㅀㅇㅀ" hidden="1">{#N/A,#N/A,FALSE,"표지목차"}</definedName>
    <definedName name="ㅎㅇㅀㅇㅀㅇ" localSheetId="18" hidden="1">{#N/A,#N/A,FALSE,"표지목차"}</definedName>
    <definedName name="ㅎㅇㅀㅇㅀㅇ" hidden="1">{#N/A,#N/A,FALSE,"표지목차"}</definedName>
    <definedName name="ㅎㅇㅁㄴㄹ" localSheetId="18" hidden="1">{#N/A,#N/A,FALSE,"운반시간"}</definedName>
    <definedName name="ㅎㅇㅁㄴㄹ" hidden="1">{#N/A,#N/A,FALSE,"운반시간"}</definedName>
    <definedName name="ㅎㅇㅁㅀㅁㅇ" localSheetId="18" hidden="1">{#N/A,#N/A,FALSE,"단가표지"}</definedName>
    <definedName name="ㅎㅇㅁㅀㅁㅇ" hidden="1">{#N/A,#N/A,FALSE,"단가표지"}</definedName>
    <definedName name="ㅎㅎㄴㅁㅎㄴㅁㅎ" localSheetId="18" hidden="1">{#N/A,#N/A,FALSE,"구조2"}</definedName>
    <definedName name="ㅎㅎㄴㅁㅎㄴㅁㅎ" hidden="1">{#N/A,#N/A,FALSE,"구조2"}</definedName>
    <definedName name="ㅎㅎ도호" localSheetId="18" hidden="1">{#N/A,#N/A,FALSE,"표지목차"}</definedName>
    <definedName name="ㅎㅎ도호" hidden="1">{#N/A,#N/A,FALSE,"표지목차"}</definedName>
    <definedName name="ㅎㅎㅎㅎ" localSheetId="18" hidden="1">{"'장비'!$A$3:$M$12"}</definedName>
    <definedName name="ㅎㅎㅎㅎ" hidden="1">{"'장비'!$A$3:$M$12"}</definedName>
    <definedName name="한" localSheetId="18" hidden="1">{#N/A,#N/A,FALSE,"조골재"}</definedName>
    <definedName name="한" hidden="1">{#N/A,#N/A,FALSE,"조골재"}</definedName>
    <definedName name="한동" localSheetId="18" hidden="1">{#N/A,#N/A,FALSE,"단가표지"}</definedName>
    <definedName name="한동" hidden="1">{#N/A,#N/A,FALSE,"단가표지"}</definedName>
    <definedName name="할" localSheetId="18" hidden="1">{"'Sheet1'!$L$16"}</definedName>
    <definedName name="할" hidden="1">{"'Sheet1'!$L$16"}</definedName>
    <definedName name="합계">#REF!</definedName>
    <definedName name="합계표"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18" hidden="1">{"'Sheet1'!$L$16"}</definedName>
    <definedName name="항" hidden="1">{"'Sheet1'!$L$16"}</definedName>
    <definedName name="항목">#REF!</definedName>
    <definedName name="협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localSheetId="18" hidden="1">{#N/A,#N/A,FALSE,"표지목차"}</definedName>
    <definedName name="호우" hidden="1">{#N/A,#N/A,FALSE,"표지목차"}</definedName>
    <definedName name="호우ㅗ" localSheetId="18" hidden="1">{#N/A,#N/A,FALSE,"단가표지"}</definedName>
    <definedName name="호우ㅗ" hidden="1">{#N/A,#N/A,FALSE,"단가표지"}</definedName>
    <definedName name="호ㅓ" localSheetId="18" hidden="1">{#N/A,#N/A,FALSE,"CCTV"}</definedName>
    <definedName name="호ㅓ" hidden="1">{#N/A,#N/A,FALSE,"CCTV"}</definedName>
    <definedName name="호ㅓㅎ" localSheetId="18" hidden="1">{#N/A,#N/A,FALSE,"표지목차"}</definedName>
    <definedName name="호ㅓㅎ" hidden="1">{#N/A,#N/A,FALSE,"표지목차"}</definedName>
    <definedName name="혼ㄹ" localSheetId="18" hidden="1">{#N/A,#N/A,FALSE,"운반시간"}</definedName>
    <definedName name="혼ㄹ" hidden="1">{#N/A,#N/A,FALSE,"운반시간"}</definedName>
    <definedName name="홀ㄴㄺㅅ" localSheetId="18" hidden="1">{#N/A,#N/A,FALSE,"단가표지"}</definedName>
    <definedName name="홀ㄴㄺㅅ" hidden="1">{#N/A,#N/A,FALSE,"단가표지"}</definedName>
    <definedName name="홓렁호ㅓ호" localSheetId="18" hidden="1">{#N/A,#N/A,FALSE,"단가표지"}</definedName>
    <definedName name="홓렁호ㅓ호" hidden="1">{#N/A,#N/A,FALSE,"단가표지"}</definedName>
    <definedName name="홓로" localSheetId="18" hidden="1">{#N/A,#N/A,FALSE,"단가표지"}</definedName>
    <definedName name="홓로" hidden="1">{#N/A,#N/A,FALSE,"단가표지"}</definedName>
    <definedName name="화" localSheetId="18" hidden="1">{#N/A,#N/A,FALSE,"기안지";#N/A,#N/A,FALSE,"통신지"}</definedName>
    <definedName name="화" hidden="1">{#N/A,#N/A,FALSE,"기안지";#N/A,#N/A,FALSE,"통신지"}</definedName>
    <definedName name="화허호ㅓ" localSheetId="18" hidden="1">{#N/A,#N/A,FALSE,"조골재"}</definedName>
    <definedName name="화허호ㅓ" hidden="1">{#N/A,#N/A,FALSE,"조골재"}</definedName>
    <definedName name="환산">[117]환산표!$A$1:$B$3</definedName>
    <definedName name="환율">1100</definedName>
    <definedName name="환차요약"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훈" hidden="1">255</definedName>
    <definedName name="흄관" localSheetId="18" hidden="1">{#N/A,#N/A,FALSE,"기안지";#N/A,#N/A,FALSE,"통신지"}</definedName>
    <definedName name="흄관" hidden="1">{#N/A,#N/A,FALSE,"기안지";#N/A,#N/A,FALSE,"통신지"}</definedName>
    <definedName name="ㅏ" localSheetId="18" hidden="1">{#N/A,#N/A,FALSE,"기안지";#N/A,#N/A,FALSE,"통신지"}</definedName>
    <definedName name="ㅏ" hidden="1">{#N/A,#N/A,FALSE,"기안지";#N/A,#N/A,FALSE,"통신지"}</definedName>
    <definedName name="ㅏ허화" localSheetId="18" hidden="1">{#N/A,#N/A,FALSE,"골재소요량";#N/A,#N/A,FALSE,"골재소요량"}</definedName>
    <definedName name="ㅏ허화" hidden="1">{#N/A,#N/A,FALSE,"골재소요량";#N/A,#N/A,FALSE,"골재소요량"}</definedName>
    <definedName name="ㅏㅏㅏ" localSheetId="18" hidden="1">{#N/A,#N/A,FALSE,"CCTV"}</definedName>
    <definedName name="ㅏㅏㅏ" localSheetId="1" hidden="1">{#N/A,#N/A,FALSE,"CCTV"}</definedName>
    <definedName name="ㅏㅏㅏ" localSheetId="2" hidden="1">{#N/A,#N/A,FALSE,"CCTV"}</definedName>
    <definedName name="ㅏㅏㅏ" localSheetId="4" hidden="1">{#N/A,#N/A,FALSE,"CCTV"}</definedName>
    <definedName name="ㅏㅏㅏ" localSheetId="19" hidden="1">{#N/A,#N/A,FALSE,"CCTV"}</definedName>
    <definedName name="ㅏㅏㅏ" localSheetId="10" hidden="1">{#N/A,#N/A,FALSE,"CCTV"}</definedName>
    <definedName name="ㅏㅏㅏ" localSheetId="9" hidden="1">{#N/A,#N/A,FALSE,"CCTV"}</definedName>
    <definedName name="ㅏㅏㅏ" localSheetId="8" hidden="1">{#N/A,#N/A,FALSE,"CCTV"}</definedName>
    <definedName name="ㅏㅏㅏ" localSheetId="3" hidden="1">{#N/A,#N/A,FALSE,"CCTV"}</definedName>
    <definedName name="ㅏㅏㅏ" localSheetId="6" hidden="1">{#N/A,#N/A,FALSE,"CCTV"}</definedName>
    <definedName name="ㅏㅏㅏ" localSheetId="7" hidden="1">{#N/A,#N/A,FALSE,"CCTV"}</definedName>
    <definedName name="ㅏㅏㅏ" localSheetId="5" hidden="1">{#N/A,#N/A,FALSE,"CCTV"}</definedName>
    <definedName name="ㅏㅏㅏ" hidden="1">{#N/A,#N/A,FALSE,"CCTV"}</definedName>
    <definedName name="ㅏㅓ화호" localSheetId="18" hidden="1">{#N/A,#N/A,FALSE,"단가표지"}</definedName>
    <definedName name="ㅏㅓ화호" hidden="1">{#N/A,#N/A,FALSE,"단가표지"}</definedName>
    <definedName name="ㅏㅓㅗ라" localSheetId="18" hidden="1">{#N/A,#N/A,FALSE,"골재소요량";#N/A,#N/A,FALSE,"골재소요량"}</definedName>
    <definedName name="ㅏㅓㅗ라" hidden="1">{#N/A,#N/A,FALSE,"골재소요량";#N/A,#N/A,FALSE,"골재소요량"}</definedName>
    <definedName name="ㅏㅓㅗㅎ" localSheetId="18" hidden="1">{#N/A,#N/A,FALSE,"운반시간"}</definedName>
    <definedName name="ㅏㅓㅗㅎ" hidden="1">{#N/A,#N/A,FALSE,"운반시간"}</definedName>
    <definedName name="ㅏㅓㅗㅓ" localSheetId="18" hidden="1">{#N/A,#N/A,FALSE,"운반시간"}</definedName>
    <definedName name="ㅏㅓㅗㅓ" hidden="1">{#N/A,#N/A,FALSE,"운반시간"}</definedName>
    <definedName name="ㅏㅓㅘ허호" localSheetId="18" hidden="1">{#N/A,#N/A,FALSE,"단가표지"}</definedName>
    <definedName name="ㅏㅓㅘ허호" hidden="1">{#N/A,#N/A,FALSE,"단가표지"}</definedName>
    <definedName name="ㅏㅗㅓㅏ화호" localSheetId="18" hidden="1">{#N/A,#N/A,FALSE,"표지목차"}</definedName>
    <definedName name="ㅏㅗㅓㅏ화호" hidden="1">{#N/A,#N/A,FALSE,"표지목차"}</definedName>
    <definedName name="ㅏㅣ" localSheetId="18" hidden="1">{#N/A,#N/A,FALSE,"단가표지"}</definedName>
    <definedName name="ㅏㅣ" hidden="1">{#N/A,#N/A,FALSE,"단가표지"}</definedName>
    <definedName name="ㅑㅅ" localSheetId="18" hidden="1">{"'Sheet1'!$L$16"}</definedName>
    <definedName name="ㅑㅅ" hidden="1">{"'Sheet1'!$L$16"}</definedName>
    <definedName name="ㅓ롤" localSheetId="18" hidden="1">{#N/A,#N/A,FALSE,"골재소요량";#N/A,#N/A,FALSE,"골재소요량"}</definedName>
    <definedName name="ㅓ롤" hidden="1">{#N/A,#N/A,FALSE,"골재소요량";#N/A,#N/A,FALSE,"골재소요량"}</definedName>
    <definedName name="ㅓㅇㄴ" localSheetId="18" hidden="1">{#N/A,#N/A,FALSE,"단가표지"}</definedName>
    <definedName name="ㅓㅇㄴ" hidden="1">{#N/A,#N/A,FALSE,"단가표지"}</definedName>
    <definedName name="ㅓㅇ롤ㅇ" localSheetId="18" hidden="1">{#N/A,#N/A,FALSE,"혼합골재"}</definedName>
    <definedName name="ㅓㅇ롤ㅇ" hidden="1">{#N/A,#N/A,FALSE,"혼합골재"}</definedName>
    <definedName name="ㅓㅇ호ㅓㅇ호ㅓㅇ허" localSheetId="18" hidden="1">{#N/A,#N/A,FALSE,"표지목차"}</definedName>
    <definedName name="ㅓㅇ호ㅓㅇ호ㅓㅇ허" hidden="1">{#N/A,#N/A,FALSE,"표지목차"}</definedName>
    <definedName name="ㅓㅎ렁홍" localSheetId="18" hidden="1">{#N/A,#N/A,FALSE,"혼합골재"}</definedName>
    <definedName name="ㅓㅎ렁홍" hidden="1">{#N/A,#N/A,FALSE,"혼합골재"}</definedName>
    <definedName name="ㅓㅎ로ㅗㄴ" localSheetId="18" hidden="1">{#N/A,#N/A,FALSE,"단가표지"}</definedName>
    <definedName name="ㅓㅎ로ㅗㄴ" hidden="1">{#N/A,#N/A,FALSE,"단가표지"}</definedName>
    <definedName name="ㅓㅎㅇㅎ" localSheetId="18" hidden="1">{#N/A,#N/A,FALSE,"운반시간"}</definedName>
    <definedName name="ㅓㅎㅇㅎ" hidden="1">{#N/A,#N/A,FALSE,"운반시간"}</definedName>
    <definedName name="ㅓ호ㅓ" localSheetId="18" hidden="1">{#N/A,#N/A,FALSE,"표지목차"}</definedName>
    <definedName name="ㅓ호ㅓ" hidden="1">{#N/A,#N/A,FALSE,"표지목차"}</definedName>
    <definedName name="ㅓ호ㅓㅗㄹ" localSheetId="18" hidden="1">{#N/A,#N/A,FALSE,"단가표지"}</definedName>
    <definedName name="ㅓ호ㅓㅗㄹ" hidden="1">{#N/A,#N/A,FALSE,"단가표지"}</definedName>
    <definedName name="ㅓㅏ호" localSheetId="18" hidden="1">{#N/A,#N/A,FALSE,"단가표지"}</definedName>
    <definedName name="ㅓㅏ호" hidden="1">{#N/A,#N/A,FALSE,"단가표지"}</definedName>
    <definedName name="ㅓㅏ호ㅓ" localSheetId="18" hidden="1">{#N/A,#N/A,FALSE,"단가표지"}</definedName>
    <definedName name="ㅓㅏ호ㅓ" hidden="1">{#N/A,#N/A,FALSE,"단가표지"}</definedName>
    <definedName name="ㅓㅏㅗ하ㅗㅓㅎ" localSheetId="18" hidden="1">{#N/A,#N/A,FALSE,"혼합골재"}</definedName>
    <definedName name="ㅓㅏㅗ하ㅗㅓㅎ" hidden="1">{#N/A,#N/A,FALSE,"혼합골재"}</definedName>
    <definedName name="ㅓㅗ" localSheetId="18" hidden="1">{#N/A,#N/A,FALSE,"운반시간"}</definedName>
    <definedName name="ㅓㅗ" hidden="1">{#N/A,#N/A,FALSE,"운반시간"}</definedName>
    <definedName name="ㅓㅗㅎㄹ" localSheetId="18" hidden="1">{#N/A,#N/A,FALSE,"조골재"}</definedName>
    <definedName name="ㅓㅗㅎㄹ" hidden="1">{#N/A,#N/A,FALSE,"조골재"}</definedName>
    <definedName name="ㅓㅗㅎ러ㅗㅎ러" localSheetId="18" hidden="1">{#N/A,#N/A,FALSE,"혼합골재"}</definedName>
    <definedName name="ㅓㅗㅎ러ㅗㅎ러" hidden="1">{#N/A,#N/A,FALSE,"혼합골재"}</definedName>
    <definedName name="ㅓㅗㅎ러ㅗ호ㅓ" localSheetId="18" hidden="1">{#N/A,#N/A,FALSE,"단가표지"}</definedName>
    <definedName name="ㅓㅗㅎ러ㅗ호ㅓ" hidden="1">{#N/A,#N/A,FALSE,"단가표지"}</definedName>
    <definedName name="ㅓㅗ허" localSheetId="18" hidden="1">{#N/A,#N/A,FALSE,"조골재"}</definedName>
    <definedName name="ㅓㅗ허" hidden="1">{#N/A,#N/A,FALSE,"조골재"}</definedName>
    <definedName name="ㅓㅗ허ㅗㄹ" localSheetId="18" hidden="1">{#N/A,#N/A,FALSE,"운반시간"}</definedName>
    <definedName name="ㅓㅗ허ㅗㄹ" hidden="1">{#N/A,#N/A,FALSE,"운반시간"}</definedName>
    <definedName name="ㅓㅗ허ㅗㅎㄹ" localSheetId="18" hidden="1">{#N/A,#N/A,FALSE,"골재소요량";#N/A,#N/A,FALSE,"골재소요량"}</definedName>
    <definedName name="ㅓㅗ허ㅗㅎㄹ" hidden="1">{#N/A,#N/A,FALSE,"골재소요량";#N/A,#N/A,FALSE,"골재소요량"}</definedName>
    <definedName name="ㅓㅗ허ㅗㅎ러" localSheetId="18" hidden="1">{#N/A,#N/A,FALSE,"운반시간"}</definedName>
    <definedName name="ㅓㅗ허ㅗㅎ러" hidden="1">{#N/A,#N/A,FALSE,"운반시간"}</definedName>
    <definedName name="ㅓㅗ헝홍허" localSheetId="18" hidden="1">{#N/A,#N/A,FALSE,"골재소요량";#N/A,#N/A,FALSE,"골재소요량"}</definedName>
    <definedName name="ㅓㅗ헝홍허" hidden="1">{#N/A,#N/A,FALSE,"골재소요량";#N/A,#N/A,FALSE,"골재소요량"}</definedName>
    <definedName name="ㅓㅗ헣ㄹ" localSheetId="18" hidden="1">{#N/A,#N/A,FALSE,"단가표지"}</definedName>
    <definedName name="ㅓㅗ헣ㄹ" hidden="1">{#N/A,#N/A,FALSE,"단가표지"}</definedName>
    <definedName name="ㅓㅗ헣러" localSheetId="18" hidden="1">{#N/A,#N/A,FALSE,"단가표지"}</definedName>
    <definedName name="ㅓㅗ헣러" hidden="1">{#N/A,#N/A,FALSE,"단가표지"}</definedName>
    <definedName name="ㅓㅗ헣로ㅓ" localSheetId="18" hidden="1">{#N/A,#N/A,FALSE,"조골재"}</definedName>
    <definedName name="ㅓㅗ헣로ㅓ" hidden="1">{#N/A,#N/A,FALSE,"조골재"}</definedName>
    <definedName name="ㅓㅗ헣호ㅓ" localSheetId="18" hidden="1">{#N/A,#N/A,FALSE,"조골재"}</definedName>
    <definedName name="ㅓㅗ헣호ㅓ" hidden="1">{#N/A,#N/A,FALSE,"조골재"}</definedName>
    <definedName name="ㅓㅗ호" localSheetId="18" hidden="1">{#N/A,#N/A,FALSE,"단가표지"}</definedName>
    <definedName name="ㅓㅗ호" hidden="1">{#N/A,#N/A,FALSE,"단가표지"}</definedName>
    <definedName name="ㅓㅗ호ㅓㅗ" localSheetId="18" hidden="1">{#N/A,#N/A,FALSE,"2~8번"}</definedName>
    <definedName name="ㅓㅗ호ㅓㅗ" hidden="1">{#N/A,#N/A,FALSE,"2~8번"}</definedName>
    <definedName name="ㅓㅗㅗ" localSheetId="18" hidden="1">{#N/A,#N/A,FALSE,"단가표지"}</definedName>
    <definedName name="ㅓㅗㅗ" hidden="1">{#N/A,#N/A,FALSE,"단가표지"}</definedName>
    <definedName name="ㅓㅗㅗㅗ" localSheetId="18" hidden="1">{#N/A,#N/A,FALSE,"골재소요량";#N/A,#N/A,FALSE,"골재소요량"}</definedName>
    <definedName name="ㅓㅗㅗㅗ" hidden="1">{#N/A,#N/A,FALSE,"골재소요량";#N/A,#N/A,FALSE,"골재소요량"}</definedName>
    <definedName name="ㅗㄹㄶ" localSheetId="18" hidden="1">{#N/A,#N/A,FALSE,"조골재"}</definedName>
    <definedName name="ㅗㄹㄶ" hidden="1">{#N/A,#N/A,FALSE,"조골재"}</definedName>
    <definedName name="ㅗㅎ" localSheetId="18" hidden="1">{#N/A,#N/A,FALSE,"Sheet1"}</definedName>
    <definedName name="ㅗㅎ" hidden="1">{#N/A,#N/A,FALSE,"Sheet1"}</definedName>
    <definedName name="ㅗㅎㄴ" localSheetId="18" hidden="1">{#N/A,#N/A,FALSE,"골재소요량";#N/A,#N/A,FALSE,"골재소요량"}</definedName>
    <definedName name="ㅗㅎㄴ" hidden="1">{#N/A,#N/A,FALSE,"골재소요량";#N/A,#N/A,FALSE,"골재소요량"}</definedName>
    <definedName name="ㅗㅎㄴㄹ" localSheetId="18" hidden="1">{#N/A,#N/A,FALSE,"단가표지"}</definedName>
    <definedName name="ㅗㅎㄴㄹ" hidden="1">{#N/A,#N/A,FALSE,"단가표지"}</definedName>
    <definedName name="ㅗㅎ로ㅜ" localSheetId="18" hidden="1">{#N/A,#N/A,FALSE,"운반시간"}</definedName>
    <definedName name="ㅗㅎ로ㅜ" hidden="1">{#N/A,#N/A,FALSE,"운반시간"}</definedName>
    <definedName name="ㅗㅎ론ㄹ" localSheetId="18" hidden="1">{#N/A,#N/A,FALSE,"표지목차"}</definedName>
    <definedName name="ㅗㅎ론ㄹ" hidden="1">{#N/A,#N/A,FALSE,"표지목차"}</definedName>
    <definedName name="ㅗㅎ롯홋ㄱ" localSheetId="18" hidden="1">{#N/A,#N/A,FALSE,"혼합골재"}</definedName>
    <definedName name="ㅗㅎ롯홋ㄱ" hidden="1">{#N/A,#N/A,FALSE,"혼합골재"}</definedName>
    <definedName name="ㅗ허ㅗ" localSheetId="18" hidden="1">{#N/A,#N/A,FALSE,"단가표지"}</definedName>
    <definedName name="ㅗ허ㅗ" hidden="1">{#N/A,#N/A,FALSE,"단가표지"}</definedName>
    <definedName name="ㅗ호" localSheetId="18" hidden="1">{#N/A,#N/A,FALSE,"단가표지"}</definedName>
    <definedName name="ㅗ호" hidden="1">{#N/A,#N/A,FALSE,"단가표지"}</definedName>
    <definedName name="ㅗ홓ㅎ로" localSheetId="18" hidden="1">{"'장비'!$A$3:$M$12"}</definedName>
    <definedName name="ㅗ홓ㅎ로" hidden="1">{"'장비'!$A$3:$M$12"}</definedName>
    <definedName name="ㅗㅓ쇼ㅓㅕㄷ쇼ㅓㅕㄷㅅ" localSheetId="18" hidden="1">{#N/A,#N/A,FALSE,"단가표지"}</definedName>
    <definedName name="ㅗㅓ쇼ㅓㅕㄷ쇼ㅓㅕㄷㅅ" hidden="1">{#N/A,#N/A,FALSE,"단가표지"}</definedName>
    <definedName name="ㅗㅓㅎ로ㅓㅎㄹ" localSheetId="18" hidden="1">{#N/A,#N/A,FALSE,"표지목차"}</definedName>
    <definedName name="ㅗㅓㅎ로ㅓㅎㄹ" hidden="1">{#N/A,#N/A,FALSE,"표지목차"}</definedName>
    <definedName name="ㅗㅗ" localSheetId="18" hidden="1">{#N/A,#N/A,TRUE,"토적및재료집계";#N/A,#N/A,TRUE,"토적및재료집계";#N/A,#N/A,TRUE,"단위량"}</definedName>
    <definedName name="ㅗㅗ" hidden="1">{#N/A,#N/A,TRUE,"토적및재료집계";#N/A,#N/A,TRUE,"토적및재료집계";#N/A,#N/A,TRUE,"단위량"}</definedName>
    <definedName name="ㅗㅗㅗ" hidden="1">#REF!</definedName>
    <definedName name="ㅗㅗㅗㅗㅗ" localSheetId="18" hidden="1">{"'장비'!$A$3:$M$12"}</definedName>
    <definedName name="ㅗㅗㅗㅗㅗ" hidden="1">{"'장비'!$A$3:$M$12"}</definedName>
    <definedName name="ㅗㅠㅍ" localSheetId="18" hidden="1">{#N/A,#N/A,FALSE,"혼합골재"}</definedName>
    <definedName name="ㅗㅠㅍ" hidden="1">{#N/A,#N/A,FALSE,"혼합골재"}</definedName>
    <definedName name="ㅘ" localSheetId="18" hidden="1">{"'Sheet1'!$L$16"}</definedName>
    <definedName name="ㅘ" hidden="1">{"'Sheet1'!$L$16"}</definedName>
    <definedName name="ㅛ" localSheetId="18" hidden="1">{"'장비'!$A$3:$M$12"}</definedName>
    <definedName name="ㅛ" hidden="1">{"'장비'!$A$3:$M$12"}</definedName>
    <definedName name="ㅛㅛㅛ" localSheetId="18" hidden="1">{"'장비'!$A$3:$M$12"}</definedName>
    <definedName name="ㅛㅛㅛ" hidden="1">{"'장비'!$A$3:$M$12"}</definedName>
    <definedName name="ㅜ" localSheetId="18" hidden="1">{#N/A,#N/A,FALSE,"CCTV"}</definedName>
    <definedName name="ㅜ" hidden="1">{#N/A,#N/A,FALSE,"CCTV"}</definedName>
    <definedName name="ㅜㄴㄱ" localSheetId="18" hidden="1">{#N/A,#N/A,FALSE,"운반시간"}</definedName>
    <definedName name="ㅜㄴㄱ" hidden="1">{#N/A,#N/A,FALSE,"운반시간"}</definedName>
    <definedName name="ㅜㄹ윤" localSheetId="18" hidden="1">{#N/A,#N/A,FALSE,"단가표지"}</definedName>
    <definedName name="ㅜㄹ윤" hidden="1">{#N/A,#N/A,FALSE,"단가표지"}</definedName>
    <definedName name="ㅜㅊㅍ" localSheetId="18" hidden="1">{#N/A,#N/A,FALSE,"표지목차"}</definedName>
    <definedName name="ㅜㅊㅍ" hidden="1">{#N/A,#N/A,FALSE,"표지목차"}</definedName>
    <definedName name="ㅜㅋㅊㅍ" localSheetId="18" hidden="1">{#N/A,#N/A,FALSE,"조골재"}</definedName>
    <definedName name="ㅜㅋㅊㅍ" hidden="1">{#N/A,#N/A,FALSE,"조골재"}</definedName>
    <definedName name="ㅜㅍ추ㅠ" localSheetId="18" hidden="1">{#N/A,#N/A,FALSE,"혼합골재"}</definedName>
    <definedName name="ㅜㅍ추ㅠ" hidden="1">{#N/A,#N/A,FALSE,"혼합골재"}</definedName>
    <definedName name="ㅜㅎㄴ" localSheetId="18" hidden="1">{#N/A,#N/A,FALSE,"골재소요량";#N/A,#N/A,FALSE,"골재소요량"}</definedName>
    <definedName name="ㅜㅎㄴ" hidden="1">{#N/A,#N/A,FALSE,"골재소요량";#N/A,#N/A,FALSE,"골재소요량"}</definedName>
    <definedName name="ㅜㅎㅅㄱㄴ" localSheetId="18" hidden="1">{#N/A,#N/A,FALSE,"단가표지"}</definedName>
    <definedName name="ㅜㅎㅅㄱㄴ" hidden="1">{#N/A,#N/A,FALSE,"단가표지"}</definedName>
    <definedName name="ㅜㅗㅇㅎㅌ" localSheetId="18" hidden="1">{#N/A,#N/A,FALSE,"단가표지"}</definedName>
    <definedName name="ㅜㅗㅇㅎㅌ" hidden="1">{#N/A,#N/A,FALSE,"단가표지"}</definedName>
    <definedName name="ㅜㅗㅇ훟" localSheetId="18" hidden="1">{#N/A,#N/A,FALSE,"단가표지"}</definedName>
    <definedName name="ㅜㅗㅇ훟" hidden="1">{#N/A,#N/A,FALSE,"단가표지"}</definedName>
    <definedName name="ㅜㅗㅗㅗㅇㅎ" localSheetId="18" hidden="1">{#N/A,#N/A,FALSE,"운반시간"}</definedName>
    <definedName name="ㅜㅗㅗㅗㅇㅎ" hidden="1">{#N/A,#N/A,FALSE,"운반시간"}</definedName>
    <definedName name="ㅜㅠ푸" localSheetId="18" hidden="1">{#N/A,#N/A,FALSE,"운반시간"}</definedName>
    <definedName name="ㅜㅠ푸" hidden="1">{#N/A,#N/A,FALSE,"운반시간"}</definedName>
    <definedName name="ㅜㅠㅠ" localSheetId="18" hidden="1">{#N/A,#N/A,FALSE,"골재소요량";#N/A,#N/A,FALSE,"골재소요량"}</definedName>
    <definedName name="ㅜㅠㅠ" hidden="1">{#N/A,#N/A,FALSE,"골재소요량";#N/A,#N/A,FALSE,"골재소요량"}</definedName>
    <definedName name="ㅝㅎㄹ" localSheetId="18" hidden="1">{#N/A,#N/A,FALSE,"단가표지"}</definedName>
    <definedName name="ㅝㅎㄹ" hidden="1">{#N/A,#N/A,FALSE,"단가표지"}</definedName>
    <definedName name="ㅠㄴ" localSheetId="18" hidden="1">{#N/A,#N/A,FALSE,"조골재"}</definedName>
    <definedName name="ㅠㄴ" hidden="1">{#N/A,#N/A,FALSE,"조골재"}</definedName>
    <definedName name="ㅠㄹㅇㄴㄴㄹㅇ" localSheetId="18" hidden="1">{#N/A,#N/A,FALSE,"단가표지"}</definedName>
    <definedName name="ㅠㄹㅇㄴㄴㄹㅇ" hidden="1">{#N/A,#N/A,FALSE,"단가표지"}</definedName>
    <definedName name="ㅠ뮤ㅐ" localSheetId="11" hidden="1">#N/A</definedName>
    <definedName name="ㅠ뮤ㅐ" localSheetId="1" hidden="1">#N/A</definedName>
    <definedName name="ㅠ뮤ㅐ" localSheetId="2" hidden="1">#N/A</definedName>
    <definedName name="ㅠ뮤ㅐ" localSheetId="4" hidden="1">#N/A</definedName>
    <definedName name="ㅠ뮤ㅐ" localSheetId="19" hidden="1">#N/A</definedName>
    <definedName name="ㅠ뮤ㅐ" localSheetId="10" hidden="1">#N/A</definedName>
    <definedName name="ㅠ뮤ㅐ" localSheetId="9" hidden="1">#N/A</definedName>
    <definedName name="ㅠ뮤ㅐ" localSheetId="8" hidden="1">#N/A</definedName>
    <definedName name="ㅠ뮤ㅐ" localSheetId="3" hidden="1">#N/A</definedName>
    <definedName name="ㅠ뮤ㅐ" localSheetId="6" hidden="1">#N/A</definedName>
    <definedName name="ㅠ뮤ㅐ" localSheetId="7" hidden="1">#N/A</definedName>
    <definedName name="ㅠ뮤ㅐ" localSheetId="5" hidden="1">#N/A</definedName>
    <definedName name="ㅠ뮤ㅐ" hidden="1">#REF!</definedName>
    <definedName name="ㅠㅊㅌ퓿ㅌ" localSheetId="18" hidden="1">{#N/A,#N/A,FALSE,"2~8번"}</definedName>
    <definedName name="ㅠㅊㅌ퓿ㅌ" hidden="1">{#N/A,#N/A,FALSE,"2~8번"}</definedName>
    <definedName name="ㅠㅊㅍㅌ" localSheetId="18" hidden="1">{#N/A,#N/A,FALSE,"단가표지"}</definedName>
    <definedName name="ㅠㅊㅍㅌ" hidden="1">{#N/A,#N/A,FALSE,"단가표지"}</definedName>
    <definedName name="ㅠㅊㅍ튜" localSheetId="18" hidden="1">{#N/A,#N/A,FALSE,"단가표지"}</definedName>
    <definedName name="ㅠㅊㅍ튜" hidden="1">{#N/A,#N/A,FALSE,"단가표지"}</definedName>
    <definedName name="ㅠㅊㅍ튵ㅊ" localSheetId="18" hidden="1">{#N/A,#N/A,FALSE,"운반시간"}</definedName>
    <definedName name="ㅠㅊㅍ튵ㅊ" hidden="1">{#N/A,#N/A,FALSE,"운반시간"}</definedName>
    <definedName name="ㅠㅊ픁츄" localSheetId="18" hidden="1">{#N/A,#N/A,FALSE,"단가표지"}</definedName>
    <definedName name="ㅠㅊ픁츄" hidden="1">{#N/A,#N/A,FALSE,"단가표지"}</definedName>
    <definedName name="ㅠㅍ" localSheetId="18" hidden="1">{#N/A,#N/A,FALSE,"조골재"}</definedName>
    <definedName name="ㅠㅍ" hidden="1">{#N/A,#N/A,FALSE,"조골재"}</definedName>
    <definedName name="ㅠㅍㅊ" localSheetId="18" hidden="1">{#N/A,#N/A,FALSE,"단가표지"}</definedName>
    <definedName name="ㅠㅍㅊ" hidden="1">{#N/A,#N/A,FALSE,"단가표지"}</definedName>
    <definedName name="ㅠㅍㅊ튳" localSheetId="18" hidden="1">{#N/A,#N/A,FALSE,"표지목차"}</definedName>
    <definedName name="ㅠㅍㅊ튳" hidden="1">{#N/A,#N/A,FALSE,"표지목차"}</definedName>
    <definedName name="ㅠㅍㅊ튳ㅌㅍ" localSheetId="18" hidden="1">{#N/A,#N/A,FALSE,"조골재"}</definedName>
    <definedName name="ㅠㅍㅊ튳ㅌㅍ" hidden="1">{#N/A,#N/A,FALSE,"조골재"}</definedName>
    <definedName name="ㅠㅍㅊ튵" localSheetId="18" hidden="1">{#N/A,#N/A,FALSE,"골재소요량";#N/A,#N/A,FALSE,"골재소요량"}</definedName>
    <definedName name="ㅠㅍㅊ튵" hidden="1">{#N/A,#N/A,FALSE,"골재소요량";#N/A,#N/A,FALSE,"골재소요량"}</definedName>
    <definedName name="ㅠㅍㅊ튵ㅊ" localSheetId="18" hidden="1">{#N/A,#N/A,FALSE,"단가표지"}</definedName>
    <definedName name="ㅠㅍㅊ튵ㅊ" hidden="1">{#N/A,#N/A,FALSE,"단가표지"}</definedName>
    <definedName name="ㅠㅍ츄ㅜ" localSheetId="18" hidden="1">{#N/A,#N/A,FALSE,"단가표지"}</definedName>
    <definedName name="ㅠㅍ츄ㅜ" hidden="1">{#N/A,#N/A,FALSE,"단가표지"}</definedName>
    <definedName name="ㅠㅍ츛ㅍ" localSheetId="18" hidden="1">{#N/A,#N/A,FALSE,"혼합골재"}</definedName>
    <definedName name="ㅠㅍ츛ㅍ" hidden="1">{#N/A,#N/A,FALSE,"혼합골재"}</definedName>
    <definedName name="ㅠㅍ츜ㅊ" localSheetId="18" hidden="1">{#N/A,#N/A,FALSE,"2~8번"}</definedName>
    <definedName name="ㅠㅍ츜ㅊ" hidden="1">{#N/A,#N/A,FALSE,"2~8번"}</definedName>
    <definedName name="ㅠㅍ츜ㅍ" localSheetId="18" hidden="1">{#N/A,#N/A,FALSE,"조골재"}</definedName>
    <definedName name="ㅠㅍ츜ㅍ" hidden="1">{#N/A,#N/A,FALSE,"조골재"}</definedName>
    <definedName name="ㅠㅍ츝" localSheetId="18" hidden="1">{#N/A,#N/A,FALSE,"운반시간"}</definedName>
    <definedName name="ㅠㅍ츝" hidden="1">{#N/A,#N/A,FALSE,"운반시간"}</definedName>
    <definedName name="ㅠㅍ츝ㅊ" localSheetId="18" hidden="1">{#N/A,#N/A,FALSE,"단가표지"}</definedName>
    <definedName name="ㅠㅍ츝ㅊ" hidden="1">{#N/A,#N/A,FALSE,"단가표지"}</definedName>
    <definedName name="ㅠㅍㅋㅊㅍㅍ" localSheetId="18" hidden="1">{#N/A,#N/A,FALSE,"단가표지"}</definedName>
    <definedName name="ㅠㅍㅋㅊㅍㅍ" hidden="1">{#N/A,#N/A,FALSE,"단가표지"}</definedName>
    <definedName name="ㅠ퓿큨ㅊ" localSheetId="18" hidden="1">{#N/A,#N/A,FALSE,"단가표지"}</definedName>
    <definedName name="ㅠ퓿큨ㅊ" hidden="1">{#N/A,#N/A,FALSE,"단가표지"}</definedName>
    <definedName name="ㅠ픀ㅊ" localSheetId="18" hidden="1">{#N/A,#N/A,FALSE,"단가표지"}</definedName>
    <definedName name="ㅠ픀ㅊ" hidden="1">{#N/A,#N/A,FALSE,"단가표지"}</definedName>
    <definedName name="ㅠ픀ㅊㅍ" localSheetId="18" hidden="1">{#N/A,#N/A,FALSE,"표지목차"}</definedName>
    <definedName name="ㅠ픀ㅊㅍ" hidden="1">{#N/A,#N/A,FALSE,"표지목차"}</definedName>
    <definedName name="ㅠ픀ㅋㅊㅍ" localSheetId="18" hidden="1">{#N/A,#N/A,FALSE,"운반시간"}</definedName>
    <definedName name="ㅠ픀ㅋㅊㅍ" hidden="1">{#N/A,#N/A,FALSE,"운반시간"}</definedName>
    <definedName name="ㅠㅠㅠ"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1191">#REF!</definedName>
    <definedName name="ㅣ허ㅏㅣ하" localSheetId="18" hidden="1">{#N/A,#N/A,FALSE,"혼합골재"}</definedName>
    <definedName name="ㅣ허ㅏㅣ하" hidden="1">{#N/A,#N/A,FALSE,"혼합골재"}</definedName>
    <definedName name="ㅣ허ㅣ호ㅓㅏ" localSheetId="18" hidden="1">{#N/A,#N/A,FALSE,"조골재"}</definedName>
    <definedName name="ㅣ허ㅣ호ㅓㅏ" hidden="1">{#N/A,#N/A,FALSE,"조골재"}</definedName>
    <definedName name="ㅣㅏ허ㅏ허ㅏ허ㅏ" localSheetId="18" hidden="1">{#N/A,#N/A,FALSE,"단가표지"}</definedName>
    <definedName name="ㅣㅏ허ㅏ허ㅏ허ㅏ" hidden="1">{#N/A,#N/A,FALSE,"단가표지"}</definedName>
    <definedName name="ㅣㅏㅓㅎ" localSheetId="18" hidden="1">{#N/A,#N/A,FALSE,"단가표지"}</definedName>
    <definedName name="ㅣㅏㅓㅎ" hidden="1">{#N/A,#N/A,FALSE,"단가표지"}</definedName>
    <definedName name="ㅣㅏㅓ허ㅏㅓㅎ" localSheetId="18" hidden="1">{#N/A,#N/A,FALSE,"표지목차"}</definedName>
    <definedName name="ㅣㅏㅓ허ㅏㅓㅎ" hidden="1">{#N/A,#N/A,FALSE,"표지목차"}</definedName>
    <definedName name="ㅣㅏㅓㅣ허ㅏㅎ" localSheetId="18" hidden="1">{#N/A,#N/A,FALSE,"골재소요량";#N/A,#N/A,FALSE,"골재소요량"}</definedName>
    <definedName name="ㅣㅏㅓㅣ허ㅏㅎ" hidden="1">{#N/A,#N/A,FALSE,"골재소요량";#N/A,#N/A,FALSE,"골재소요량"}</definedName>
    <definedName name="ㅣㅏㅓㅣ허ㅏㅏ허" localSheetId="18" hidden="1">{#N/A,#N/A,FALSE,"조골재"}</definedName>
    <definedName name="ㅣㅏㅓㅣ허ㅏㅏ허" hidden="1">{#N/A,#N/A,FALSE,"조골재"}</definedName>
    <definedName name="ㅣㅓㅏ허" localSheetId="18" hidden="1">{#N/A,#N/A,FALSE,"운반시간"}</definedName>
    <definedName name="ㅣㅓㅏ허" hidden="1">{#N/A,#N/A,FALSE,"운반시간"}</definedName>
    <definedName name="ㅣㅓㅏ허ㅏㅣ허ㅏㅓ" localSheetId="18" hidden="1">{#N/A,#N/A,FALSE,"운반시간"}</definedName>
    <definedName name="ㅣㅓㅏ허ㅏㅣ허ㅏㅓ" hidden="1">{#N/A,#N/A,FALSE,"운반시간"}</definedName>
    <definedName name="ㅣㅚㅓㅏ" localSheetId="18" hidden="1">{#N/A,#N/A,FALSE,"단가표지"}</definedName>
    <definedName name="ㅣㅚㅓㅏ" hidden="1">{#N/A,#N/A,FALSE,"단가표지"}</definedName>
    <definedName name="ㅣㅣ" localSheetId="18" hidden="1">{#N/A,#N/A,FALSE,"골재소요량";#N/A,#N/A,FALSE,"골재소요량"}</definedName>
    <definedName name="ㅣㅣ" hidden="1">{#N/A,#N/A,FALSE,"골재소요량";#N/A,#N/A,FALSE,"골재소요량"}</definedName>
    <definedName name="人力" localSheetId="18" hidden="1">{#N/A,#N/A,FALSE,"Field Rates";#N/A,#N/A,FALSE,"Field Sum"}</definedName>
    <definedName name="人力" localSheetId="11" hidden="1">{#N/A,#N/A,FALSE,"Field Rates";#N/A,#N/A,FALSE,"Field Sum"}</definedName>
    <definedName name="人力" localSheetId="1" hidden="1">{#N/A,#N/A,FALSE,"Field Rates";#N/A,#N/A,FALSE,"Field Sum"}</definedName>
    <definedName name="人力" localSheetId="2" hidden="1">{#N/A,#N/A,FALSE,"Field Rates";#N/A,#N/A,FALSE,"Field Sum"}</definedName>
    <definedName name="人力" localSheetId="4" hidden="1">{#N/A,#N/A,FALSE,"Field Rates";#N/A,#N/A,FALSE,"Field Sum"}</definedName>
    <definedName name="人力" localSheetId="19" hidden="1">{#N/A,#N/A,FALSE,"Field Rates";#N/A,#N/A,FALSE,"Field Sum"}</definedName>
    <definedName name="人力" localSheetId="10" hidden="1">{#N/A,#N/A,FALSE,"Field Rates";#N/A,#N/A,FALSE,"Field Sum"}</definedName>
    <definedName name="人力" localSheetId="9" hidden="1">{#N/A,#N/A,FALSE,"Field Rates";#N/A,#N/A,FALSE,"Field Sum"}</definedName>
    <definedName name="人力" localSheetId="8" hidden="1">{#N/A,#N/A,FALSE,"Field Rates";#N/A,#N/A,FALSE,"Field Sum"}</definedName>
    <definedName name="人力" localSheetId="3" hidden="1">{#N/A,#N/A,FALSE,"Field Rates";#N/A,#N/A,FALSE,"Field Sum"}</definedName>
    <definedName name="人力" localSheetId="6" hidden="1">{#N/A,#N/A,FALSE,"Field Rates";#N/A,#N/A,FALSE,"Field Sum"}</definedName>
    <definedName name="人力" localSheetId="7" hidden="1">{#N/A,#N/A,FALSE,"Field Rates";#N/A,#N/A,FALSE,"Field Sum"}</definedName>
    <definedName name="人力" localSheetId="5" hidden="1">{#N/A,#N/A,FALSE,"Field Rates";#N/A,#N/A,FALSE,"Field Sum"}</definedName>
    <definedName name="人力" hidden="1">{#N/A,#N/A,FALSE,"Field Rates";#N/A,#N/A,FALSE,"Field Sum"}</definedName>
    <definedName name="仮単価発注" hidden="1">{"'Sheet1'!$A$3:$I$11"}</definedName>
    <definedName name="出差費用" localSheetId="18" hidden="1">{"'Sheet1'!$L$16"}</definedName>
    <definedName name="出差費用" hidden="1">{"'Sheet1'!$L$16"}</definedName>
    <definedName name="取费" localSheetId="18" hidden="1">{"'现金流量表（全部投资）'!$B$4:$P$23"}</definedName>
    <definedName name="取费" hidden="1">{"'现金流量表（全部投资）'!$B$4:$P$23"}</definedName>
    <definedName name="啊" localSheetId="18" hidden="1">{"'现金流量表（全部投资）'!$B$4:$P$23"}</definedName>
    <definedName name="啊" hidden="1">{"'现金流量表（全部投资）'!$B$4:$P$23"}</definedName>
    <definedName name="土建差2" localSheetId="18" hidden="1">{"'现金流量表（全部投资）'!$B$4:$P$23"}</definedName>
    <definedName name="土建差2" hidden="1">{"'现金流量表（全部投资）'!$B$4:$P$23"}</definedName>
    <definedName name="地基处理" localSheetId="18" hidden="1">{"'现金流量表（全部投资）'!$B$4:$P$23"}</definedName>
    <definedName name="地基处理" hidden="1">{"'现金流量表（全部投资）'!$B$4:$P$23"}</definedName>
    <definedName name="影响力" localSheetId="18" hidden="1">{"'现金流量表（全部投资）'!$B$4:$P$23"}</definedName>
    <definedName name="影响力" hidden="1">{"'现金流量表（全部投资）'!$B$4:$P$23"}</definedName>
    <definedName name="新封" localSheetId="18" hidden="1">{"'现金流量表（全部投资）'!$B$4:$P$23"}</definedName>
    <definedName name="新封" hidden="1">{"'现金流量表（全部投资）'!$B$4:$P$23"}</definedName>
    <definedName name="材质" localSheetId="0">[118]项目数据!#REF!</definedName>
    <definedName name="材质">[118]项目数据!#REF!</definedName>
    <definedName name="汇总哦" localSheetId="18" hidden="1">{"'现金流量表（全部投资）'!$B$4:$P$23"}</definedName>
    <definedName name="汇总哦" hidden="1">{"'现金流量表（全部投资）'!$B$4:$P$23"}</definedName>
    <definedName name="脱硫表二" localSheetId="18" hidden="1">{"'现金流量表（全部投资）'!$B$4:$P$23"}</definedName>
    <definedName name="脱硫表二" hidden="1">{"'现金流量表（全部投资）'!$B$4:$P$23"}</definedName>
  </definedNames>
  <calcPr calcId="191029"/>
</workbook>
</file>

<file path=xl/calcChain.xml><?xml version="1.0" encoding="utf-8"?>
<calcChain xmlns="http://schemas.openxmlformats.org/spreadsheetml/2006/main">
  <c r="CT676" i="1" l="1"/>
  <c r="CS676" i="1"/>
  <c r="CT675" i="1"/>
  <c r="CS675" i="1"/>
  <c r="CT452" i="1"/>
  <c r="CS452" i="1"/>
  <c r="CT451" i="1"/>
  <c r="CS451" i="1"/>
  <c r="CT450" i="1"/>
  <c r="CS450" i="1"/>
  <c r="CT314" i="1"/>
  <c r="CS314" i="1"/>
  <c r="CT313" i="1"/>
  <c r="CS313" i="1"/>
  <c r="CT182" i="1"/>
  <c r="CS182" i="1"/>
  <c r="G29" i="46"/>
  <c r="G33" i="46"/>
  <c r="G34" i="46"/>
  <c r="G32" i="46"/>
  <c r="G31" i="46"/>
  <c r="G30" i="46"/>
  <c r="F30" i="46"/>
  <c r="E30" i="46"/>
  <c r="F25" i="46"/>
  <c r="E25" i="46"/>
  <c r="G24" i="46"/>
  <c r="F24" i="46"/>
  <c r="E24" i="46"/>
  <c r="G23" i="46"/>
  <c r="F23" i="46"/>
  <c r="E23" i="46"/>
  <c r="G22" i="46"/>
  <c r="F22" i="46"/>
  <c r="E22" i="46"/>
  <c r="F21" i="46"/>
  <c r="E21" i="46"/>
  <c r="G20" i="46"/>
  <c r="F20" i="46"/>
  <c r="E20" i="46"/>
  <c r="G19" i="46"/>
  <c r="F19" i="46"/>
  <c r="E19" i="46"/>
  <c r="F18" i="46"/>
  <c r="E18" i="46"/>
  <c r="G17" i="46"/>
  <c r="F17" i="46"/>
  <c r="E17" i="46"/>
  <c r="G16" i="46"/>
  <c r="F16" i="46"/>
  <c r="E16" i="46"/>
  <c r="G15" i="46"/>
  <c r="F15" i="46"/>
  <c r="E15" i="46"/>
  <c r="G14" i="46"/>
  <c r="F14" i="46"/>
  <c r="E14" i="46"/>
  <c r="G13" i="46"/>
  <c r="F13" i="46"/>
  <c r="E13" i="46"/>
  <c r="G12" i="46"/>
  <c r="F12" i="46"/>
  <c r="E12" i="46"/>
  <c r="G10" i="46"/>
  <c r="F10" i="46"/>
  <c r="E10" i="46"/>
  <c r="G9" i="46"/>
  <c r="F9" i="46"/>
  <c r="E9" i="46"/>
  <c r="G8" i="46"/>
  <c r="F8" i="46"/>
  <c r="E8" i="46"/>
  <c r="G7" i="46"/>
  <c r="G6" i="46" s="1"/>
  <c r="F7" i="46"/>
  <c r="F6" i="46" s="1"/>
  <c r="E7" i="46"/>
  <c r="E6" i="46"/>
  <c r="E5" i="46" s="1"/>
  <c r="E24" i="45"/>
  <c r="E26" i="45" s="1"/>
  <c r="E21" i="45"/>
  <c r="E20" i="45"/>
  <c r="E22" i="45" s="1"/>
  <c r="E17" i="45"/>
  <c r="E16" i="45"/>
  <c r="E18" i="45" s="1"/>
  <c r="E13" i="45"/>
  <c r="E12" i="45"/>
  <c r="E14" i="45" s="1"/>
  <c r="D10" i="45"/>
  <c r="E9" i="45"/>
  <c r="D9" i="45"/>
  <c r="E8" i="45"/>
  <c r="E10" i="45" s="1"/>
  <c r="N563" i="44"/>
  <c r="N562" i="44"/>
  <c r="M562" i="44"/>
  <c r="N561" i="44"/>
  <c r="M561" i="44"/>
  <c r="K561" i="44"/>
  <c r="K560" i="44" s="1"/>
  <c r="N560" i="44"/>
  <c r="M560" i="44"/>
  <c r="N559" i="44"/>
  <c r="M559" i="44"/>
  <c r="N558" i="44"/>
  <c r="M558" i="44"/>
  <c r="K558" i="44"/>
  <c r="N557" i="44"/>
  <c r="M557" i="44"/>
  <c r="K557" i="44"/>
  <c r="N556" i="44"/>
  <c r="M556" i="44"/>
  <c r="K556" i="44"/>
  <c r="N555" i="44"/>
  <c r="M555" i="44"/>
  <c r="K555" i="44"/>
  <c r="N554" i="44"/>
  <c r="M554" i="44"/>
  <c r="K554" i="44"/>
  <c r="N553" i="44"/>
  <c r="M553" i="44"/>
  <c r="K553" i="44"/>
  <c r="N552" i="44"/>
  <c r="M552" i="44"/>
  <c r="K552" i="44"/>
  <c r="N551" i="44"/>
  <c r="M551" i="44"/>
  <c r="K551" i="44"/>
  <c r="N550" i="44"/>
  <c r="M550" i="44"/>
  <c r="K550" i="44"/>
  <c r="N549" i="44"/>
  <c r="M549" i="44"/>
  <c r="K549" i="44"/>
  <c r="N548" i="44"/>
  <c r="M548" i="44"/>
  <c r="N547" i="44"/>
  <c r="M547" i="44"/>
  <c r="N546" i="44"/>
  <c r="M546" i="44"/>
  <c r="N545" i="44"/>
  <c r="M545" i="44"/>
  <c r="K545" i="44"/>
  <c r="N544" i="44"/>
  <c r="M544" i="44"/>
  <c r="N543" i="44"/>
  <c r="M543" i="44"/>
  <c r="N542" i="44"/>
  <c r="M542" i="44"/>
  <c r="K542" i="44"/>
  <c r="A542" i="44"/>
  <c r="A543" i="44" s="1"/>
  <c r="A544" i="44" s="1"/>
  <c r="A545" i="44" s="1"/>
  <c r="A546" i="44" s="1"/>
  <c r="A547" i="44" s="1"/>
  <c r="A548" i="44" s="1"/>
  <c r="A549" i="44" s="1"/>
  <c r="A550" i="44" s="1"/>
  <c r="A551" i="44" s="1"/>
  <c r="A552" i="44" s="1"/>
  <c r="A553" i="44" s="1"/>
  <c r="A554" i="44" s="1"/>
  <c r="A555" i="44" s="1"/>
  <c r="A556" i="44" s="1"/>
  <c r="A557" i="44" s="1"/>
  <c r="A558" i="44" s="1"/>
  <c r="A559" i="44" s="1"/>
  <c r="N541" i="44"/>
  <c r="M541" i="44"/>
  <c r="K541" i="44"/>
  <c r="N540" i="44"/>
  <c r="M540" i="44"/>
  <c r="AI539" i="44"/>
  <c r="AH539" i="44"/>
  <c r="I539" i="44" s="1"/>
  <c r="AG539" i="44"/>
  <c r="AF539" i="44"/>
  <c r="H539" i="44" s="1"/>
  <c r="AC539" i="44"/>
  <c r="D539" i="44" s="1"/>
  <c r="AB539" i="44"/>
  <c r="B539" i="44" s="1"/>
  <c r="AA539" i="44"/>
  <c r="C539" i="44"/>
  <c r="AJ538" i="44"/>
  <c r="K538" i="44" s="1"/>
  <c r="AI538" i="44"/>
  <c r="AH538" i="44"/>
  <c r="I538" i="44" s="1"/>
  <c r="AG538" i="44"/>
  <c r="AF538" i="44"/>
  <c r="H538" i="44" s="1"/>
  <c r="AC538" i="44"/>
  <c r="D538" i="44" s="1"/>
  <c r="AB538" i="44"/>
  <c r="B538" i="44" s="1"/>
  <c r="AA538" i="44"/>
  <c r="C538" i="44"/>
  <c r="AJ537" i="44"/>
  <c r="K537" i="44" s="1"/>
  <c r="AI537" i="44"/>
  <c r="AH537" i="44"/>
  <c r="I537" i="44" s="1"/>
  <c r="AG537" i="44"/>
  <c r="AF537" i="44"/>
  <c r="H537" i="44" s="1"/>
  <c r="AC537" i="44"/>
  <c r="D537" i="44" s="1"/>
  <c r="AB537" i="44"/>
  <c r="B537" i="44" s="1"/>
  <c r="AA537" i="44"/>
  <c r="C537" i="44"/>
  <c r="AJ536" i="44"/>
  <c r="K536" i="44" s="1"/>
  <c r="AI536" i="44"/>
  <c r="AH536" i="44"/>
  <c r="I536" i="44" s="1"/>
  <c r="AG536" i="44"/>
  <c r="AF536" i="44"/>
  <c r="H536" i="44" s="1"/>
  <c r="AC536" i="44"/>
  <c r="D536" i="44" s="1"/>
  <c r="AB536" i="44"/>
  <c r="B536" i="44" s="1"/>
  <c r="AA536" i="44"/>
  <c r="C536" i="44"/>
  <c r="AJ535" i="44"/>
  <c r="AI535" i="44"/>
  <c r="AH535" i="44"/>
  <c r="I535" i="44" s="1"/>
  <c r="AG535" i="44"/>
  <c r="AF535" i="44"/>
  <c r="H535" i="44" s="1"/>
  <c r="AC535" i="44"/>
  <c r="D535" i="44" s="1"/>
  <c r="AB535" i="44"/>
  <c r="B535" i="44" s="1"/>
  <c r="AA535" i="44"/>
  <c r="K535" i="44"/>
  <c r="C535" i="44"/>
  <c r="AJ534" i="44"/>
  <c r="AI534" i="44"/>
  <c r="AH534" i="44"/>
  <c r="I534" i="44" s="1"/>
  <c r="AG534" i="44"/>
  <c r="AF534" i="44"/>
  <c r="H534" i="44" s="1"/>
  <c r="AC534" i="44"/>
  <c r="D534" i="44" s="1"/>
  <c r="AB534" i="44"/>
  <c r="B534" i="44" s="1"/>
  <c r="AA534" i="44"/>
  <c r="K534" i="44"/>
  <c r="C534" i="44"/>
  <c r="AI533" i="44"/>
  <c r="AH533" i="44"/>
  <c r="I533" i="44" s="1"/>
  <c r="AG533" i="44"/>
  <c r="AF533" i="44"/>
  <c r="H533" i="44" s="1"/>
  <c r="AC533" i="44"/>
  <c r="D533" i="44" s="1"/>
  <c r="AB533" i="44"/>
  <c r="B533" i="44" s="1"/>
  <c r="AA533" i="44"/>
  <c r="C533" i="44"/>
  <c r="AI532" i="44"/>
  <c r="AH532" i="44"/>
  <c r="I532" i="44" s="1"/>
  <c r="AG532" i="44"/>
  <c r="AF532" i="44"/>
  <c r="H532" i="44" s="1"/>
  <c r="AC532" i="44"/>
  <c r="D532" i="44" s="1"/>
  <c r="AB532" i="44"/>
  <c r="B532" i="44" s="1"/>
  <c r="AA532" i="44"/>
  <c r="C532" i="44"/>
  <c r="AJ531" i="44"/>
  <c r="AI531" i="44"/>
  <c r="AH531" i="44"/>
  <c r="I531" i="44" s="1"/>
  <c r="AG531" i="44"/>
  <c r="AF531" i="44"/>
  <c r="H531" i="44" s="1"/>
  <c r="AC531" i="44"/>
  <c r="D531" i="44" s="1"/>
  <c r="AB531" i="44"/>
  <c r="B531" i="44" s="1"/>
  <c r="AA531" i="44"/>
  <c r="K531" i="44"/>
  <c r="C531" i="44"/>
  <c r="AI530" i="44"/>
  <c r="AH530" i="44"/>
  <c r="I530" i="44" s="1"/>
  <c r="AG530" i="44"/>
  <c r="AF530" i="44"/>
  <c r="H530" i="44" s="1"/>
  <c r="AC530" i="44"/>
  <c r="D530" i="44" s="1"/>
  <c r="AB530" i="44"/>
  <c r="B530" i="44" s="1"/>
  <c r="AA530" i="44"/>
  <c r="C530" i="44"/>
  <c r="AI529" i="44"/>
  <c r="AH529" i="44"/>
  <c r="I529" i="44" s="1"/>
  <c r="AG529" i="44"/>
  <c r="AF529" i="44"/>
  <c r="H529" i="44" s="1"/>
  <c r="AC529" i="44"/>
  <c r="D529" i="44" s="1"/>
  <c r="AB529" i="44"/>
  <c r="B529" i="44" s="1"/>
  <c r="AA529" i="44"/>
  <c r="C529" i="44"/>
  <c r="AI528" i="44"/>
  <c r="AH528" i="44"/>
  <c r="I528" i="44" s="1"/>
  <c r="AG528" i="44"/>
  <c r="AF528" i="44"/>
  <c r="H528" i="44" s="1"/>
  <c r="AC528" i="44"/>
  <c r="D528" i="44" s="1"/>
  <c r="AB528" i="44"/>
  <c r="B528" i="44" s="1"/>
  <c r="AA528" i="44"/>
  <c r="C528" i="44"/>
  <c r="AI527" i="44"/>
  <c r="AH527" i="44"/>
  <c r="I527" i="44" s="1"/>
  <c r="AG527" i="44"/>
  <c r="AF527" i="44"/>
  <c r="H527" i="44" s="1"/>
  <c r="AC527" i="44"/>
  <c r="D527" i="44" s="1"/>
  <c r="AB527" i="44"/>
  <c r="B527" i="44" s="1"/>
  <c r="AA527" i="44"/>
  <c r="C527" i="44"/>
  <c r="AI526" i="44"/>
  <c r="AH526" i="44"/>
  <c r="I526" i="44" s="1"/>
  <c r="AG526" i="44"/>
  <c r="AF526" i="44"/>
  <c r="H526" i="44" s="1"/>
  <c r="AC526" i="44"/>
  <c r="D526" i="44" s="1"/>
  <c r="AB526" i="44"/>
  <c r="B526" i="44" s="1"/>
  <c r="AA526" i="44"/>
  <c r="C526" i="44"/>
  <c r="AI525" i="44"/>
  <c r="AH525" i="44"/>
  <c r="I525" i="44" s="1"/>
  <c r="AG525" i="44"/>
  <c r="AF525" i="44"/>
  <c r="H525" i="44" s="1"/>
  <c r="AC525" i="44"/>
  <c r="D525" i="44" s="1"/>
  <c r="AB525" i="44"/>
  <c r="B525" i="44" s="1"/>
  <c r="AA525" i="44"/>
  <c r="C525" i="44"/>
  <c r="AI524" i="44"/>
  <c r="AH524" i="44"/>
  <c r="I524" i="44" s="1"/>
  <c r="AG524" i="44"/>
  <c r="AF524" i="44"/>
  <c r="H524" i="44" s="1"/>
  <c r="AC524" i="44"/>
  <c r="D524" i="44" s="1"/>
  <c r="AB524" i="44"/>
  <c r="B524" i="44" s="1"/>
  <c r="AA524" i="44"/>
  <c r="C524" i="44"/>
  <c r="AI523" i="44"/>
  <c r="AH523" i="44"/>
  <c r="I523" i="44" s="1"/>
  <c r="AG523" i="44"/>
  <c r="AF523" i="44"/>
  <c r="H523" i="44" s="1"/>
  <c r="AC523" i="44"/>
  <c r="D523" i="44" s="1"/>
  <c r="AB523" i="44"/>
  <c r="B523" i="44" s="1"/>
  <c r="AA523" i="44"/>
  <c r="C523" i="44"/>
  <c r="AI522" i="44"/>
  <c r="AH522" i="44"/>
  <c r="I522" i="44" s="1"/>
  <c r="AG522" i="44"/>
  <c r="AF522" i="44"/>
  <c r="H522" i="44" s="1"/>
  <c r="AC522" i="44"/>
  <c r="D522" i="44" s="1"/>
  <c r="AB522" i="44"/>
  <c r="B522" i="44" s="1"/>
  <c r="AA522" i="44"/>
  <c r="C522" i="44"/>
  <c r="AI521" i="44"/>
  <c r="AH521" i="44"/>
  <c r="I521" i="44" s="1"/>
  <c r="AG521" i="44"/>
  <c r="AF521" i="44"/>
  <c r="H521" i="44" s="1"/>
  <c r="AC521" i="44"/>
  <c r="D521" i="44" s="1"/>
  <c r="AB521" i="44"/>
  <c r="B521" i="44" s="1"/>
  <c r="AA521" i="44"/>
  <c r="C521" i="44"/>
  <c r="AI520" i="44"/>
  <c r="AH520" i="44"/>
  <c r="I520" i="44" s="1"/>
  <c r="AG520" i="44"/>
  <c r="AF520" i="44"/>
  <c r="H520" i="44" s="1"/>
  <c r="AC520" i="44"/>
  <c r="D520" i="44" s="1"/>
  <c r="AB520" i="44"/>
  <c r="B520" i="44" s="1"/>
  <c r="AA520" i="44"/>
  <c r="C520" i="44"/>
  <c r="AI519" i="44"/>
  <c r="AH519" i="44"/>
  <c r="I519" i="44" s="1"/>
  <c r="AG519" i="44"/>
  <c r="AF519" i="44"/>
  <c r="H519" i="44" s="1"/>
  <c r="AC519" i="44"/>
  <c r="D519" i="44" s="1"/>
  <c r="AB519" i="44"/>
  <c r="B519" i="44" s="1"/>
  <c r="AA519" i="44"/>
  <c r="C519" i="44"/>
  <c r="AI518" i="44"/>
  <c r="AH518" i="44"/>
  <c r="I518" i="44" s="1"/>
  <c r="AG518" i="44"/>
  <c r="AF518" i="44"/>
  <c r="H518" i="44" s="1"/>
  <c r="AC518" i="44"/>
  <c r="D518" i="44" s="1"/>
  <c r="AB518" i="44"/>
  <c r="B518" i="44" s="1"/>
  <c r="AA518" i="44"/>
  <c r="C518" i="44"/>
  <c r="AI517" i="44"/>
  <c r="AH517" i="44"/>
  <c r="I517" i="44" s="1"/>
  <c r="AG517" i="44"/>
  <c r="AF517" i="44"/>
  <c r="H517" i="44" s="1"/>
  <c r="AC517" i="44"/>
  <c r="D517" i="44" s="1"/>
  <c r="AB517" i="44"/>
  <c r="B517" i="44" s="1"/>
  <c r="AA517" i="44"/>
  <c r="C517" i="44"/>
  <c r="AI516" i="44"/>
  <c r="AH516" i="44"/>
  <c r="I516" i="44" s="1"/>
  <c r="AG516" i="44"/>
  <c r="AF516" i="44"/>
  <c r="H516" i="44" s="1"/>
  <c r="AC516" i="44"/>
  <c r="D516" i="44" s="1"/>
  <c r="AB516" i="44"/>
  <c r="B516" i="44" s="1"/>
  <c r="AA516" i="44"/>
  <c r="C516" i="44"/>
  <c r="AI515" i="44"/>
  <c r="AH515" i="44"/>
  <c r="I515" i="44" s="1"/>
  <c r="AG515" i="44"/>
  <c r="AF515" i="44"/>
  <c r="H515" i="44" s="1"/>
  <c r="AC515" i="44"/>
  <c r="D515" i="44" s="1"/>
  <c r="AB515" i="44"/>
  <c r="B515" i="44" s="1"/>
  <c r="AA515" i="44"/>
  <c r="C515" i="44"/>
  <c r="AI514" i="44"/>
  <c r="AH514" i="44"/>
  <c r="I514" i="44" s="1"/>
  <c r="AG514" i="44"/>
  <c r="AF514" i="44"/>
  <c r="H514" i="44" s="1"/>
  <c r="AC514" i="44"/>
  <c r="D514" i="44" s="1"/>
  <c r="AB514" i="44"/>
  <c r="B514" i="44" s="1"/>
  <c r="AA514" i="44"/>
  <c r="C514" i="44"/>
  <c r="AI513" i="44"/>
  <c r="AH513" i="44"/>
  <c r="I513" i="44" s="1"/>
  <c r="AG513" i="44"/>
  <c r="AF513" i="44"/>
  <c r="H513" i="44" s="1"/>
  <c r="AC513" i="44"/>
  <c r="D513" i="44" s="1"/>
  <c r="AB513" i="44"/>
  <c r="B513" i="44" s="1"/>
  <c r="AA513" i="44"/>
  <c r="C513" i="44"/>
  <c r="AI512" i="44"/>
  <c r="AH512" i="44"/>
  <c r="I512" i="44" s="1"/>
  <c r="AG512" i="44"/>
  <c r="AF512" i="44"/>
  <c r="H512" i="44" s="1"/>
  <c r="AC512" i="44"/>
  <c r="D512" i="44" s="1"/>
  <c r="AB512" i="44"/>
  <c r="B512" i="44" s="1"/>
  <c r="AA512" i="44"/>
  <c r="C512" i="44"/>
  <c r="AI511" i="44"/>
  <c r="AH511" i="44"/>
  <c r="I511" i="44" s="1"/>
  <c r="AG511" i="44"/>
  <c r="AF511" i="44"/>
  <c r="H511" i="44" s="1"/>
  <c r="AC511" i="44"/>
  <c r="D511" i="44" s="1"/>
  <c r="AB511" i="44"/>
  <c r="B511" i="44" s="1"/>
  <c r="AA511" i="44"/>
  <c r="C511" i="44"/>
  <c r="AI510" i="44"/>
  <c r="AH510" i="44"/>
  <c r="I510" i="44" s="1"/>
  <c r="AG510" i="44"/>
  <c r="AF510" i="44"/>
  <c r="H510" i="44" s="1"/>
  <c r="AC510" i="44"/>
  <c r="D510" i="44" s="1"/>
  <c r="AB510" i="44"/>
  <c r="B510" i="44" s="1"/>
  <c r="AA510" i="44"/>
  <c r="C510" i="44"/>
  <c r="AI509" i="44"/>
  <c r="AH509" i="44"/>
  <c r="I509" i="44" s="1"/>
  <c r="AG509" i="44"/>
  <c r="AF509" i="44"/>
  <c r="H509" i="44" s="1"/>
  <c r="AC509" i="44"/>
  <c r="D509" i="44" s="1"/>
  <c r="AB509" i="44"/>
  <c r="B509" i="44" s="1"/>
  <c r="AA509" i="44"/>
  <c r="C509" i="44"/>
  <c r="AI508" i="44"/>
  <c r="AH508" i="44"/>
  <c r="I508" i="44" s="1"/>
  <c r="AG508" i="44"/>
  <c r="AF508" i="44"/>
  <c r="H508" i="44" s="1"/>
  <c r="AC508" i="44"/>
  <c r="D508" i="44" s="1"/>
  <c r="AB508" i="44"/>
  <c r="B508" i="44" s="1"/>
  <c r="AA508" i="44"/>
  <c r="C508" i="44"/>
  <c r="AI507" i="44"/>
  <c r="AH507" i="44"/>
  <c r="I507" i="44" s="1"/>
  <c r="AG507" i="44"/>
  <c r="AF507" i="44"/>
  <c r="H507" i="44" s="1"/>
  <c r="AC507" i="44"/>
  <c r="D507" i="44" s="1"/>
  <c r="AB507" i="44"/>
  <c r="B507" i="44" s="1"/>
  <c r="AA507" i="44"/>
  <c r="C507" i="44"/>
  <c r="AI506" i="44"/>
  <c r="AH506" i="44"/>
  <c r="I506" i="44" s="1"/>
  <c r="AG506" i="44"/>
  <c r="AF506" i="44"/>
  <c r="H506" i="44" s="1"/>
  <c r="AC506" i="44"/>
  <c r="D506" i="44" s="1"/>
  <c r="AB506" i="44"/>
  <c r="B506" i="44" s="1"/>
  <c r="AA506" i="44"/>
  <c r="C506" i="44"/>
  <c r="AI505" i="44"/>
  <c r="AH505" i="44"/>
  <c r="I505" i="44" s="1"/>
  <c r="AG505" i="44"/>
  <c r="AF505" i="44"/>
  <c r="H505" i="44" s="1"/>
  <c r="AC505" i="44"/>
  <c r="D505" i="44" s="1"/>
  <c r="AB505" i="44"/>
  <c r="B505" i="44" s="1"/>
  <c r="AA505" i="44"/>
  <c r="C505" i="44"/>
  <c r="AI504" i="44"/>
  <c r="AH504" i="44"/>
  <c r="I504" i="44" s="1"/>
  <c r="AG504" i="44"/>
  <c r="AF504" i="44"/>
  <c r="H504" i="44" s="1"/>
  <c r="AC504" i="44"/>
  <c r="D504" i="44" s="1"/>
  <c r="AB504" i="44"/>
  <c r="B504" i="44" s="1"/>
  <c r="AA504" i="44"/>
  <c r="C504" i="44"/>
  <c r="AI503" i="44"/>
  <c r="AH503" i="44"/>
  <c r="I503" i="44" s="1"/>
  <c r="AG503" i="44"/>
  <c r="AF503" i="44"/>
  <c r="H503" i="44" s="1"/>
  <c r="AC503" i="44"/>
  <c r="D503" i="44" s="1"/>
  <c r="AB503" i="44"/>
  <c r="B503" i="44" s="1"/>
  <c r="AA503" i="44"/>
  <c r="C503" i="44"/>
  <c r="AI502" i="44"/>
  <c r="AH502" i="44"/>
  <c r="I502" i="44" s="1"/>
  <c r="AG502" i="44"/>
  <c r="AF502" i="44"/>
  <c r="H502" i="44" s="1"/>
  <c r="AC502" i="44"/>
  <c r="D502" i="44" s="1"/>
  <c r="AB502" i="44"/>
  <c r="B502" i="44" s="1"/>
  <c r="AA502" i="44"/>
  <c r="C502" i="44"/>
  <c r="AI501" i="44"/>
  <c r="AH501" i="44"/>
  <c r="I501" i="44" s="1"/>
  <c r="AG501" i="44"/>
  <c r="AF501" i="44"/>
  <c r="H501" i="44" s="1"/>
  <c r="AC501" i="44"/>
  <c r="D501" i="44" s="1"/>
  <c r="AB501" i="44"/>
  <c r="B501" i="44" s="1"/>
  <c r="AA501" i="44"/>
  <c r="C501" i="44"/>
  <c r="AI500" i="44"/>
  <c r="AH500" i="44"/>
  <c r="I500" i="44" s="1"/>
  <c r="AG500" i="44"/>
  <c r="AF500" i="44"/>
  <c r="H500" i="44" s="1"/>
  <c r="AC500" i="44"/>
  <c r="D500" i="44" s="1"/>
  <c r="AB500" i="44"/>
  <c r="B500" i="44" s="1"/>
  <c r="AA500" i="44"/>
  <c r="C500" i="44"/>
  <c r="AI499" i="44"/>
  <c r="AH499" i="44"/>
  <c r="I499" i="44" s="1"/>
  <c r="AG499" i="44"/>
  <c r="AF499" i="44"/>
  <c r="H499" i="44" s="1"/>
  <c r="AC499" i="44"/>
  <c r="D499" i="44" s="1"/>
  <c r="AB499" i="44"/>
  <c r="B499" i="44" s="1"/>
  <c r="AA499" i="44"/>
  <c r="C499" i="44"/>
  <c r="AI498" i="44"/>
  <c r="AH498" i="44"/>
  <c r="I498" i="44" s="1"/>
  <c r="AG498" i="44"/>
  <c r="AF498" i="44"/>
  <c r="H498" i="44" s="1"/>
  <c r="AC498" i="44"/>
  <c r="D498" i="44" s="1"/>
  <c r="AB498" i="44"/>
  <c r="B498" i="44" s="1"/>
  <c r="AA498" i="44"/>
  <c r="C498" i="44"/>
  <c r="AI497" i="44"/>
  <c r="AH497" i="44"/>
  <c r="I497" i="44" s="1"/>
  <c r="AG497" i="44"/>
  <c r="AF497" i="44"/>
  <c r="H497" i="44" s="1"/>
  <c r="AC497" i="44"/>
  <c r="D497" i="44" s="1"/>
  <c r="AB497" i="44"/>
  <c r="B497" i="44" s="1"/>
  <c r="AA497" i="44"/>
  <c r="C497" i="44"/>
  <c r="AI496" i="44"/>
  <c r="AH496" i="44"/>
  <c r="I496" i="44" s="1"/>
  <c r="AG496" i="44"/>
  <c r="AF496" i="44"/>
  <c r="H496" i="44" s="1"/>
  <c r="AC496" i="44"/>
  <c r="D496" i="44" s="1"/>
  <c r="AB496" i="44"/>
  <c r="B496" i="44" s="1"/>
  <c r="AA496" i="44"/>
  <c r="C496" i="44"/>
  <c r="AI495" i="44"/>
  <c r="AH495" i="44"/>
  <c r="I495" i="44" s="1"/>
  <c r="AG495" i="44"/>
  <c r="AF495" i="44"/>
  <c r="H495" i="44" s="1"/>
  <c r="AC495" i="44"/>
  <c r="D495" i="44" s="1"/>
  <c r="AB495" i="44"/>
  <c r="B495" i="44" s="1"/>
  <c r="AA495" i="44"/>
  <c r="C495" i="44"/>
  <c r="AI494" i="44"/>
  <c r="AH494" i="44"/>
  <c r="I494" i="44" s="1"/>
  <c r="AG494" i="44"/>
  <c r="AF494" i="44"/>
  <c r="H494" i="44" s="1"/>
  <c r="AC494" i="44"/>
  <c r="D494" i="44" s="1"/>
  <c r="AB494" i="44"/>
  <c r="B494" i="44" s="1"/>
  <c r="AA494" i="44"/>
  <c r="C494" i="44"/>
  <c r="AI493" i="44"/>
  <c r="AH493" i="44"/>
  <c r="I493" i="44" s="1"/>
  <c r="AG493" i="44"/>
  <c r="AF493" i="44"/>
  <c r="H493" i="44" s="1"/>
  <c r="AC493" i="44"/>
  <c r="D493" i="44" s="1"/>
  <c r="AB493" i="44"/>
  <c r="B493" i="44" s="1"/>
  <c r="AA493" i="44"/>
  <c r="C493" i="44"/>
  <c r="AI492" i="44"/>
  <c r="AH492" i="44"/>
  <c r="I492" i="44" s="1"/>
  <c r="AG492" i="44"/>
  <c r="AF492" i="44"/>
  <c r="H492" i="44" s="1"/>
  <c r="AC492" i="44"/>
  <c r="D492" i="44" s="1"/>
  <c r="AB492" i="44"/>
  <c r="B492" i="44" s="1"/>
  <c r="AA492" i="44"/>
  <c r="C492" i="44"/>
  <c r="AI491" i="44"/>
  <c r="AH491" i="44"/>
  <c r="I491" i="44" s="1"/>
  <c r="AG491" i="44"/>
  <c r="AF491" i="44"/>
  <c r="H491" i="44" s="1"/>
  <c r="AC491" i="44"/>
  <c r="D491" i="44" s="1"/>
  <c r="AB491" i="44"/>
  <c r="B491" i="44" s="1"/>
  <c r="AA491" i="44"/>
  <c r="C491" i="44"/>
  <c r="AI490" i="44"/>
  <c r="AH490" i="44"/>
  <c r="I490" i="44" s="1"/>
  <c r="AG490" i="44"/>
  <c r="AF490" i="44"/>
  <c r="H490" i="44" s="1"/>
  <c r="AC490" i="44"/>
  <c r="D490" i="44" s="1"/>
  <c r="AB490" i="44"/>
  <c r="B490" i="44" s="1"/>
  <c r="AA490" i="44"/>
  <c r="C490" i="44"/>
  <c r="AI489" i="44"/>
  <c r="AH489" i="44"/>
  <c r="I489" i="44" s="1"/>
  <c r="AG489" i="44"/>
  <c r="AF489" i="44"/>
  <c r="H489" i="44" s="1"/>
  <c r="AC489" i="44"/>
  <c r="D489" i="44" s="1"/>
  <c r="AB489" i="44"/>
  <c r="B489" i="44" s="1"/>
  <c r="AA489" i="44"/>
  <c r="C489" i="44"/>
  <c r="AI488" i="44"/>
  <c r="AH488" i="44"/>
  <c r="I488" i="44" s="1"/>
  <c r="AG488" i="44"/>
  <c r="AF488" i="44"/>
  <c r="H488" i="44" s="1"/>
  <c r="AC488" i="44"/>
  <c r="D488" i="44" s="1"/>
  <c r="AB488" i="44"/>
  <c r="B488" i="44" s="1"/>
  <c r="AA488" i="44"/>
  <c r="C488" i="44"/>
  <c r="AI487" i="44"/>
  <c r="AH487" i="44"/>
  <c r="I487" i="44" s="1"/>
  <c r="AG487" i="44"/>
  <c r="AF487" i="44"/>
  <c r="H487" i="44" s="1"/>
  <c r="AC487" i="44"/>
  <c r="D487" i="44" s="1"/>
  <c r="AB487" i="44"/>
  <c r="B487" i="44" s="1"/>
  <c r="AA487" i="44"/>
  <c r="C487" i="44"/>
  <c r="AI486" i="44"/>
  <c r="AH486" i="44"/>
  <c r="I486" i="44" s="1"/>
  <c r="AG486" i="44"/>
  <c r="AF486" i="44"/>
  <c r="H486" i="44" s="1"/>
  <c r="AC486" i="44"/>
  <c r="D486" i="44" s="1"/>
  <c r="AB486" i="44"/>
  <c r="B486" i="44" s="1"/>
  <c r="AA486" i="44"/>
  <c r="C486" i="44"/>
  <c r="AI485" i="44"/>
  <c r="AH485" i="44"/>
  <c r="I485" i="44" s="1"/>
  <c r="AG485" i="44"/>
  <c r="AF485" i="44"/>
  <c r="H485" i="44" s="1"/>
  <c r="AC485" i="44"/>
  <c r="D485" i="44" s="1"/>
  <c r="AB485" i="44"/>
  <c r="B485" i="44" s="1"/>
  <c r="AA485" i="44"/>
  <c r="C485" i="44"/>
  <c r="AI484" i="44"/>
  <c r="AH484" i="44"/>
  <c r="I484" i="44" s="1"/>
  <c r="AG484" i="44"/>
  <c r="AF484" i="44"/>
  <c r="H484" i="44" s="1"/>
  <c r="AC484" i="44"/>
  <c r="D484" i="44" s="1"/>
  <c r="AB484" i="44"/>
  <c r="B484" i="44" s="1"/>
  <c r="AA484" i="44"/>
  <c r="C484" i="44"/>
  <c r="AI483" i="44"/>
  <c r="AH483" i="44"/>
  <c r="I483" i="44" s="1"/>
  <c r="AG483" i="44"/>
  <c r="AF483" i="44"/>
  <c r="H483" i="44" s="1"/>
  <c r="AC483" i="44"/>
  <c r="D483" i="44" s="1"/>
  <c r="AB483" i="44"/>
  <c r="B483" i="44" s="1"/>
  <c r="AA483" i="44"/>
  <c r="C483" i="44"/>
  <c r="AI482" i="44"/>
  <c r="AH482" i="44"/>
  <c r="I482" i="44" s="1"/>
  <c r="AG482" i="44"/>
  <c r="AF482" i="44"/>
  <c r="H482" i="44" s="1"/>
  <c r="AC482" i="44"/>
  <c r="D482" i="44" s="1"/>
  <c r="AB482" i="44"/>
  <c r="B482" i="44" s="1"/>
  <c r="AA482" i="44"/>
  <c r="C482" i="44"/>
  <c r="AI481" i="44"/>
  <c r="AH481" i="44"/>
  <c r="I481" i="44" s="1"/>
  <c r="AG481" i="44"/>
  <c r="AF481" i="44"/>
  <c r="H481" i="44" s="1"/>
  <c r="AC481" i="44"/>
  <c r="D481" i="44" s="1"/>
  <c r="AB481" i="44"/>
  <c r="B481" i="44" s="1"/>
  <c r="AA481" i="44"/>
  <c r="C481" i="44"/>
  <c r="AI480" i="44"/>
  <c r="AH480" i="44"/>
  <c r="I480" i="44" s="1"/>
  <c r="AG480" i="44"/>
  <c r="AF480" i="44"/>
  <c r="H480" i="44" s="1"/>
  <c r="AC480" i="44"/>
  <c r="D480" i="44" s="1"/>
  <c r="AB480" i="44"/>
  <c r="B480" i="44" s="1"/>
  <c r="AA480" i="44"/>
  <c r="C480" i="44"/>
  <c r="AI479" i="44"/>
  <c r="AH479" i="44"/>
  <c r="I479" i="44" s="1"/>
  <c r="AG479" i="44"/>
  <c r="AF479" i="44"/>
  <c r="H479" i="44" s="1"/>
  <c r="AC479" i="44"/>
  <c r="D479" i="44" s="1"/>
  <c r="AB479" i="44"/>
  <c r="B479" i="44" s="1"/>
  <c r="AA479" i="44"/>
  <c r="C479" i="44"/>
  <c r="AI478" i="44"/>
  <c r="AH478" i="44"/>
  <c r="I478" i="44" s="1"/>
  <c r="AG478" i="44"/>
  <c r="AF478" i="44"/>
  <c r="H478" i="44" s="1"/>
  <c r="AC478" i="44"/>
  <c r="D478" i="44" s="1"/>
  <c r="AB478" i="44"/>
  <c r="B478" i="44" s="1"/>
  <c r="AA478" i="44"/>
  <c r="C478" i="44"/>
  <c r="AI477" i="44"/>
  <c r="AH477" i="44"/>
  <c r="I477" i="44" s="1"/>
  <c r="AG477" i="44"/>
  <c r="AF477" i="44"/>
  <c r="H477" i="44" s="1"/>
  <c r="AC477" i="44"/>
  <c r="D477" i="44" s="1"/>
  <c r="AB477" i="44"/>
  <c r="B477" i="44" s="1"/>
  <c r="AA477" i="44"/>
  <c r="C477" i="44"/>
  <c r="AI476" i="44"/>
  <c r="AH476" i="44"/>
  <c r="I476" i="44" s="1"/>
  <c r="AG476" i="44"/>
  <c r="AF476" i="44"/>
  <c r="H476" i="44" s="1"/>
  <c r="AC476" i="44"/>
  <c r="D476" i="44" s="1"/>
  <c r="AB476" i="44"/>
  <c r="B476" i="44" s="1"/>
  <c r="AA476" i="44"/>
  <c r="C476" i="44"/>
  <c r="AI475" i="44"/>
  <c r="AG475" i="44"/>
  <c r="AF475" i="44"/>
  <c r="H475" i="44" s="1"/>
  <c r="AC475" i="44"/>
  <c r="D475" i="44" s="1"/>
  <c r="AB475" i="44"/>
  <c r="B475" i="44" s="1"/>
  <c r="AA475" i="44"/>
  <c r="C475" i="44"/>
  <c r="AI474" i="44"/>
  <c r="AG474" i="44"/>
  <c r="AF474" i="44"/>
  <c r="H474" i="44" s="1"/>
  <c r="AC474" i="44"/>
  <c r="D474" i="44" s="1"/>
  <c r="AB474" i="44"/>
  <c r="B474" i="44" s="1"/>
  <c r="AA474" i="44"/>
  <c r="C474" i="44"/>
  <c r="AI473" i="44"/>
  <c r="AG473" i="44"/>
  <c r="AF473" i="44"/>
  <c r="H473" i="44" s="1"/>
  <c r="AC473" i="44"/>
  <c r="D473" i="44" s="1"/>
  <c r="AB473" i="44"/>
  <c r="B473" i="44" s="1"/>
  <c r="AA473" i="44"/>
  <c r="C473" i="44"/>
  <c r="AI472" i="44"/>
  <c r="AH472" i="44"/>
  <c r="I472" i="44" s="1"/>
  <c r="AG472" i="44"/>
  <c r="AF472" i="44"/>
  <c r="H472" i="44" s="1"/>
  <c r="AC472" i="44"/>
  <c r="D472" i="44" s="1"/>
  <c r="AB472" i="44"/>
  <c r="B472" i="44" s="1"/>
  <c r="AA472" i="44"/>
  <c r="C472" i="44"/>
  <c r="AI471" i="44"/>
  <c r="AG471" i="44"/>
  <c r="AF471" i="44"/>
  <c r="H471" i="44" s="1"/>
  <c r="AC471" i="44"/>
  <c r="D471" i="44" s="1"/>
  <c r="AB471" i="44"/>
  <c r="B471" i="44" s="1"/>
  <c r="AA471" i="44"/>
  <c r="C471" i="44"/>
  <c r="AI470" i="44"/>
  <c r="AH470" i="44"/>
  <c r="I470" i="44" s="1"/>
  <c r="AG470" i="44"/>
  <c r="AF470" i="44"/>
  <c r="H470" i="44" s="1"/>
  <c r="AC470" i="44"/>
  <c r="D470" i="44" s="1"/>
  <c r="AB470" i="44"/>
  <c r="B470" i="44" s="1"/>
  <c r="AA470" i="44"/>
  <c r="C470" i="44"/>
  <c r="AI469" i="44"/>
  <c r="AH469" i="44"/>
  <c r="I469" i="44" s="1"/>
  <c r="AG469" i="44"/>
  <c r="AF469" i="44"/>
  <c r="H469" i="44" s="1"/>
  <c r="AC469" i="44"/>
  <c r="D469" i="44" s="1"/>
  <c r="AB469" i="44"/>
  <c r="B469" i="44" s="1"/>
  <c r="AA469" i="44"/>
  <c r="C469" i="44"/>
  <c r="AI468" i="44"/>
  <c r="AH468" i="44"/>
  <c r="I468" i="44" s="1"/>
  <c r="AG468" i="44"/>
  <c r="AF468" i="44"/>
  <c r="H468" i="44" s="1"/>
  <c r="AC468" i="44"/>
  <c r="D468" i="44" s="1"/>
  <c r="AB468" i="44"/>
  <c r="B468" i="44" s="1"/>
  <c r="AA468" i="44"/>
  <c r="C468" i="44"/>
  <c r="AI467" i="44"/>
  <c r="AH467" i="44"/>
  <c r="I467" i="44" s="1"/>
  <c r="AG467" i="44"/>
  <c r="AF467" i="44"/>
  <c r="H467" i="44" s="1"/>
  <c r="AC467" i="44"/>
  <c r="D467" i="44" s="1"/>
  <c r="AB467" i="44"/>
  <c r="B467" i="44" s="1"/>
  <c r="AA467" i="44"/>
  <c r="C467" i="44"/>
  <c r="AI466" i="44"/>
  <c r="AH466" i="44"/>
  <c r="I466" i="44" s="1"/>
  <c r="AG466" i="44"/>
  <c r="AF466" i="44"/>
  <c r="H466" i="44" s="1"/>
  <c r="AC466" i="44"/>
  <c r="D466" i="44" s="1"/>
  <c r="AB466" i="44"/>
  <c r="B466" i="44" s="1"/>
  <c r="AA466" i="44"/>
  <c r="C466" i="44"/>
  <c r="AI465" i="44"/>
  <c r="AH465" i="44"/>
  <c r="I465" i="44" s="1"/>
  <c r="AG465" i="44"/>
  <c r="AF465" i="44"/>
  <c r="H465" i="44" s="1"/>
  <c r="AC465" i="44"/>
  <c r="D465" i="44" s="1"/>
  <c r="AB465" i="44"/>
  <c r="B465" i="44" s="1"/>
  <c r="AA465" i="44"/>
  <c r="C465" i="44"/>
  <c r="AI464" i="44"/>
  <c r="AH464" i="44"/>
  <c r="I464" i="44" s="1"/>
  <c r="AG464" i="44"/>
  <c r="AF464" i="44"/>
  <c r="H464" i="44" s="1"/>
  <c r="AC464" i="44"/>
  <c r="D464" i="44" s="1"/>
  <c r="AB464" i="44"/>
  <c r="B464" i="44" s="1"/>
  <c r="AA464" i="44"/>
  <c r="C464" i="44"/>
  <c r="AI463" i="44"/>
  <c r="AH463" i="44"/>
  <c r="I463" i="44" s="1"/>
  <c r="AG463" i="44"/>
  <c r="AF463" i="44"/>
  <c r="H463" i="44" s="1"/>
  <c r="AC463" i="44"/>
  <c r="D463" i="44" s="1"/>
  <c r="AB463" i="44"/>
  <c r="B463" i="44" s="1"/>
  <c r="AA463" i="44"/>
  <c r="C463" i="44"/>
  <c r="AI462" i="44"/>
  <c r="AH462" i="44"/>
  <c r="I462" i="44" s="1"/>
  <c r="AG462" i="44"/>
  <c r="AF462" i="44"/>
  <c r="H462" i="44" s="1"/>
  <c r="AC462" i="44"/>
  <c r="D462" i="44" s="1"/>
  <c r="AB462" i="44"/>
  <c r="B462" i="44" s="1"/>
  <c r="AA462" i="44"/>
  <c r="C462" i="44"/>
  <c r="AI461" i="44"/>
  <c r="AH461" i="44"/>
  <c r="I461" i="44" s="1"/>
  <c r="AG461" i="44"/>
  <c r="AF461" i="44"/>
  <c r="H461" i="44" s="1"/>
  <c r="AC461" i="44"/>
  <c r="D461" i="44" s="1"/>
  <c r="AB461" i="44"/>
  <c r="B461" i="44" s="1"/>
  <c r="AA461" i="44"/>
  <c r="C461" i="44"/>
  <c r="AI460" i="44"/>
  <c r="AH460" i="44"/>
  <c r="I460" i="44" s="1"/>
  <c r="AG460" i="44"/>
  <c r="AF460" i="44"/>
  <c r="H460" i="44" s="1"/>
  <c r="AC460" i="44"/>
  <c r="D460" i="44" s="1"/>
  <c r="AB460" i="44"/>
  <c r="B460" i="44" s="1"/>
  <c r="AA460" i="44"/>
  <c r="C460" i="44"/>
  <c r="AI459" i="44"/>
  <c r="AH459" i="44"/>
  <c r="I459" i="44" s="1"/>
  <c r="AG459" i="44"/>
  <c r="AF459" i="44"/>
  <c r="H459" i="44" s="1"/>
  <c r="AC459" i="44"/>
  <c r="D459" i="44" s="1"/>
  <c r="AB459" i="44"/>
  <c r="B459" i="44" s="1"/>
  <c r="AA459" i="44"/>
  <c r="C459" i="44"/>
  <c r="AI458" i="44"/>
  <c r="AH458" i="44"/>
  <c r="I458" i="44" s="1"/>
  <c r="AG458" i="44"/>
  <c r="AF458" i="44"/>
  <c r="H458" i="44" s="1"/>
  <c r="AC458" i="44"/>
  <c r="D458" i="44" s="1"/>
  <c r="AB458" i="44"/>
  <c r="B458" i="44" s="1"/>
  <c r="AA458" i="44"/>
  <c r="C458" i="44"/>
  <c r="AI457" i="44"/>
  <c r="AH457" i="44"/>
  <c r="I457" i="44" s="1"/>
  <c r="AG457" i="44"/>
  <c r="AF457" i="44"/>
  <c r="H457" i="44" s="1"/>
  <c r="AC457" i="44"/>
  <c r="D457" i="44" s="1"/>
  <c r="AB457" i="44"/>
  <c r="B457" i="44" s="1"/>
  <c r="AA457" i="44"/>
  <c r="C457" i="44"/>
  <c r="AI456" i="44"/>
  <c r="AH456" i="44"/>
  <c r="I456" i="44" s="1"/>
  <c r="AG456" i="44"/>
  <c r="AF456" i="44"/>
  <c r="H456" i="44" s="1"/>
  <c r="AC456" i="44"/>
  <c r="D456" i="44" s="1"/>
  <c r="AB456" i="44"/>
  <c r="B456" i="44" s="1"/>
  <c r="AA456" i="44"/>
  <c r="C456" i="44"/>
  <c r="AI455" i="44"/>
  <c r="AH455" i="44"/>
  <c r="I455" i="44" s="1"/>
  <c r="AG455" i="44"/>
  <c r="AF455" i="44"/>
  <c r="H455" i="44" s="1"/>
  <c r="AC455" i="44"/>
  <c r="D455" i="44" s="1"/>
  <c r="AB455" i="44"/>
  <c r="B455" i="44" s="1"/>
  <c r="AA455" i="44"/>
  <c r="C455" i="44"/>
  <c r="AI454" i="44"/>
  <c r="AH454" i="44"/>
  <c r="I454" i="44" s="1"/>
  <c r="AG454" i="44"/>
  <c r="AF454" i="44"/>
  <c r="H454" i="44" s="1"/>
  <c r="AC454" i="44"/>
  <c r="D454" i="44" s="1"/>
  <c r="AB454" i="44"/>
  <c r="B454" i="44" s="1"/>
  <c r="AA454" i="44"/>
  <c r="C454" i="44"/>
  <c r="AI453" i="44"/>
  <c r="AH453" i="44"/>
  <c r="I453" i="44" s="1"/>
  <c r="AG453" i="44"/>
  <c r="AF453" i="44"/>
  <c r="H453" i="44" s="1"/>
  <c r="AC453" i="44"/>
  <c r="D453" i="44" s="1"/>
  <c r="AB453" i="44"/>
  <c r="B453" i="44" s="1"/>
  <c r="AA453" i="44"/>
  <c r="C453" i="44"/>
  <c r="AI452" i="44"/>
  <c r="AH452" i="44"/>
  <c r="I452" i="44" s="1"/>
  <c r="AG452" i="44"/>
  <c r="AF452" i="44"/>
  <c r="H452" i="44" s="1"/>
  <c r="AC452" i="44"/>
  <c r="D452" i="44" s="1"/>
  <c r="AB452" i="44"/>
  <c r="B452" i="44" s="1"/>
  <c r="AA452" i="44"/>
  <c r="C452" i="44"/>
  <c r="AI451" i="44"/>
  <c r="AH451" i="44"/>
  <c r="I451" i="44" s="1"/>
  <c r="AG451" i="44"/>
  <c r="AF451" i="44"/>
  <c r="H451" i="44" s="1"/>
  <c r="AC451" i="44"/>
  <c r="D451" i="44" s="1"/>
  <c r="AB451" i="44"/>
  <c r="B451" i="44" s="1"/>
  <c r="AA451" i="44"/>
  <c r="C451" i="44"/>
  <c r="AI450" i="44"/>
  <c r="AH450" i="44"/>
  <c r="I450" i="44" s="1"/>
  <c r="AG450" i="44"/>
  <c r="AF450" i="44"/>
  <c r="H450" i="44" s="1"/>
  <c r="AC450" i="44"/>
  <c r="D450" i="44" s="1"/>
  <c r="AB450" i="44"/>
  <c r="B450" i="44" s="1"/>
  <c r="AA450" i="44"/>
  <c r="C450" i="44"/>
  <c r="AI449" i="44"/>
  <c r="AH449" i="44"/>
  <c r="I449" i="44" s="1"/>
  <c r="AG449" i="44"/>
  <c r="AF449" i="44"/>
  <c r="H449" i="44" s="1"/>
  <c r="AC449" i="44"/>
  <c r="D449" i="44" s="1"/>
  <c r="AB449" i="44"/>
  <c r="B449" i="44" s="1"/>
  <c r="AA449" i="44"/>
  <c r="C449" i="44"/>
  <c r="AI448" i="44"/>
  <c r="AH448" i="44"/>
  <c r="I448" i="44" s="1"/>
  <c r="AG448" i="44"/>
  <c r="AF448" i="44"/>
  <c r="H448" i="44" s="1"/>
  <c r="AC448" i="44"/>
  <c r="D448" i="44" s="1"/>
  <c r="AB448" i="44"/>
  <c r="B448" i="44" s="1"/>
  <c r="AA448" i="44"/>
  <c r="C448" i="44"/>
  <c r="AI447" i="44"/>
  <c r="AH447" i="44"/>
  <c r="I447" i="44" s="1"/>
  <c r="AG447" i="44"/>
  <c r="AF447" i="44"/>
  <c r="H447" i="44" s="1"/>
  <c r="AC447" i="44"/>
  <c r="D447" i="44" s="1"/>
  <c r="AB447" i="44"/>
  <c r="B447" i="44" s="1"/>
  <c r="AA447" i="44"/>
  <c r="C447" i="44"/>
  <c r="AI446" i="44"/>
  <c r="AH446" i="44"/>
  <c r="I446" i="44" s="1"/>
  <c r="AG446" i="44"/>
  <c r="AF446" i="44"/>
  <c r="H446" i="44" s="1"/>
  <c r="AC446" i="44"/>
  <c r="D446" i="44" s="1"/>
  <c r="AB446" i="44"/>
  <c r="B446" i="44" s="1"/>
  <c r="AA446" i="44"/>
  <c r="C446" i="44"/>
  <c r="AI445" i="44"/>
  <c r="AH445" i="44"/>
  <c r="I445" i="44" s="1"/>
  <c r="AG445" i="44"/>
  <c r="AF445" i="44"/>
  <c r="H445" i="44" s="1"/>
  <c r="AC445" i="44"/>
  <c r="D445" i="44" s="1"/>
  <c r="AB445" i="44"/>
  <c r="B445" i="44" s="1"/>
  <c r="AA445" i="44"/>
  <c r="C445" i="44"/>
  <c r="AJ444" i="44"/>
  <c r="K444" i="44" s="1"/>
  <c r="AI444" i="44"/>
  <c r="AH444" i="44"/>
  <c r="I444" i="44" s="1"/>
  <c r="AG444" i="44"/>
  <c r="AF444" i="44"/>
  <c r="H444" i="44" s="1"/>
  <c r="AC444" i="44"/>
  <c r="D444" i="44" s="1"/>
  <c r="AB444" i="44"/>
  <c r="B444" i="44" s="1"/>
  <c r="AA444" i="44"/>
  <c r="C444" i="44"/>
  <c r="AI443" i="44"/>
  <c r="AH443" i="44"/>
  <c r="I443" i="44" s="1"/>
  <c r="AG443" i="44"/>
  <c r="AF443" i="44"/>
  <c r="H443" i="44" s="1"/>
  <c r="AC443" i="44"/>
  <c r="D443" i="44" s="1"/>
  <c r="AB443" i="44"/>
  <c r="B443" i="44" s="1"/>
  <c r="AA443" i="44"/>
  <c r="C443" i="44"/>
  <c r="AJ442" i="44"/>
  <c r="K442" i="44" s="1"/>
  <c r="AI442" i="44"/>
  <c r="AH442" i="44"/>
  <c r="I442" i="44" s="1"/>
  <c r="AG442" i="44"/>
  <c r="AF442" i="44"/>
  <c r="H442" i="44" s="1"/>
  <c r="AC442" i="44"/>
  <c r="D442" i="44" s="1"/>
  <c r="AB442" i="44"/>
  <c r="B442" i="44" s="1"/>
  <c r="AA442" i="44"/>
  <c r="C442" i="44"/>
  <c r="AI441" i="44"/>
  <c r="AH441" i="44"/>
  <c r="I441" i="44" s="1"/>
  <c r="AG441" i="44"/>
  <c r="AF441" i="44"/>
  <c r="H441" i="44" s="1"/>
  <c r="AC441" i="44"/>
  <c r="D441" i="44" s="1"/>
  <c r="AB441" i="44"/>
  <c r="B441" i="44" s="1"/>
  <c r="AA441" i="44"/>
  <c r="C441" i="44"/>
  <c r="AI440" i="44"/>
  <c r="AH440" i="44"/>
  <c r="I440" i="44" s="1"/>
  <c r="AG440" i="44"/>
  <c r="AF440" i="44"/>
  <c r="H440" i="44" s="1"/>
  <c r="AC440" i="44"/>
  <c r="D440" i="44" s="1"/>
  <c r="AB440" i="44"/>
  <c r="B440" i="44" s="1"/>
  <c r="AA440" i="44"/>
  <c r="C440" i="44"/>
  <c r="AI439" i="44"/>
  <c r="AH439" i="44"/>
  <c r="I439" i="44" s="1"/>
  <c r="AG439" i="44"/>
  <c r="AF439" i="44"/>
  <c r="H439" i="44" s="1"/>
  <c r="AC439" i="44"/>
  <c r="D439" i="44" s="1"/>
  <c r="AB439" i="44"/>
  <c r="B439" i="44" s="1"/>
  <c r="AA439" i="44"/>
  <c r="C439" i="44"/>
  <c r="AI438" i="44"/>
  <c r="AH438" i="44"/>
  <c r="I438" i="44" s="1"/>
  <c r="AG438" i="44"/>
  <c r="AF438" i="44"/>
  <c r="H438" i="44" s="1"/>
  <c r="AC438" i="44"/>
  <c r="D438" i="44" s="1"/>
  <c r="AB438" i="44"/>
  <c r="B438" i="44" s="1"/>
  <c r="AA438" i="44"/>
  <c r="C438" i="44"/>
  <c r="AI437" i="44"/>
  <c r="AH437" i="44"/>
  <c r="I437" i="44" s="1"/>
  <c r="AG437" i="44"/>
  <c r="AF437" i="44"/>
  <c r="H437" i="44" s="1"/>
  <c r="AC437" i="44"/>
  <c r="D437" i="44" s="1"/>
  <c r="AB437" i="44"/>
  <c r="B437" i="44" s="1"/>
  <c r="AA437" i="44"/>
  <c r="C437" i="44"/>
  <c r="AI436" i="44"/>
  <c r="AH436" i="44"/>
  <c r="I436" i="44" s="1"/>
  <c r="AG436" i="44"/>
  <c r="AF436" i="44"/>
  <c r="H436" i="44" s="1"/>
  <c r="AC436" i="44"/>
  <c r="D436" i="44" s="1"/>
  <c r="AB436" i="44"/>
  <c r="B436" i="44" s="1"/>
  <c r="AA436" i="44"/>
  <c r="C436" i="44"/>
  <c r="AJ435" i="44"/>
  <c r="AI435" i="44"/>
  <c r="AH435" i="44"/>
  <c r="I435" i="44" s="1"/>
  <c r="AG435" i="44"/>
  <c r="AF435" i="44"/>
  <c r="H435" i="44" s="1"/>
  <c r="AC435" i="44"/>
  <c r="D435" i="44" s="1"/>
  <c r="AB435" i="44"/>
  <c r="B435" i="44" s="1"/>
  <c r="AA435" i="44"/>
  <c r="K435" i="44"/>
  <c r="C435" i="44"/>
  <c r="AI434" i="44"/>
  <c r="AH434" i="44"/>
  <c r="I434" i="44" s="1"/>
  <c r="AG434" i="44"/>
  <c r="AF434" i="44"/>
  <c r="H434" i="44" s="1"/>
  <c r="AC434" i="44"/>
  <c r="D434" i="44" s="1"/>
  <c r="AB434" i="44"/>
  <c r="B434" i="44" s="1"/>
  <c r="AA434" i="44"/>
  <c r="C434" i="44"/>
  <c r="AI433" i="44"/>
  <c r="AH433" i="44"/>
  <c r="I433" i="44" s="1"/>
  <c r="AG433" i="44"/>
  <c r="AF433" i="44"/>
  <c r="H433" i="44" s="1"/>
  <c r="AC433" i="44"/>
  <c r="D433" i="44" s="1"/>
  <c r="AB433" i="44"/>
  <c r="B433" i="44" s="1"/>
  <c r="AA433" i="44"/>
  <c r="C433" i="44"/>
  <c r="AI432" i="44"/>
  <c r="AH432" i="44"/>
  <c r="I432" i="44" s="1"/>
  <c r="AG432" i="44"/>
  <c r="AF432" i="44"/>
  <c r="H432" i="44" s="1"/>
  <c r="AC432" i="44"/>
  <c r="D432" i="44" s="1"/>
  <c r="AB432" i="44"/>
  <c r="B432" i="44" s="1"/>
  <c r="AA432" i="44"/>
  <c r="C432" i="44"/>
  <c r="AJ431" i="44"/>
  <c r="K431" i="44" s="1"/>
  <c r="AI431" i="44"/>
  <c r="AH431" i="44"/>
  <c r="I431" i="44" s="1"/>
  <c r="AG431" i="44"/>
  <c r="AF431" i="44"/>
  <c r="H431" i="44" s="1"/>
  <c r="AC431" i="44"/>
  <c r="D431" i="44" s="1"/>
  <c r="AB431" i="44"/>
  <c r="B431" i="44" s="1"/>
  <c r="AA431" i="44"/>
  <c r="C431" i="44"/>
  <c r="AI430" i="44"/>
  <c r="AH430" i="44"/>
  <c r="I430" i="44" s="1"/>
  <c r="AG430" i="44"/>
  <c r="AF430" i="44"/>
  <c r="H430" i="44" s="1"/>
  <c r="AC430" i="44"/>
  <c r="D430" i="44" s="1"/>
  <c r="AB430" i="44"/>
  <c r="B430" i="44" s="1"/>
  <c r="AA430" i="44"/>
  <c r="C430" i="44"/>
  <c r="AI429" i="44"/>
  <c r="AH429" i="44"/>
  <c r="I429" i="44" s="1"/>
  <c r="AG429" i="44"/>
  <c r="AF429" i="44"/>
  <c r="H429" i="44" s="1"/>
  <c r="AC429" i="44"/>
  <c r="D429" i="44" s="1"/>
  <c r="AB429" i="44"/>
  <c r="B429" i="44" s="1"/>
  <c r="AA429" i="44"/>
  <c r="C429" i="44"/>
  <c r="AI428" i="44"/>
  <c r="AH428" i="44"/>
  <c r="I428" i="44" s="1"/>
  <c r="AG428" i="44"/>
  <c r="AF428" i="44"/>
  <c r="H428" i="44" s="1"/>
  <c r="AC428" i="44"/>
  <c r="D428" i="44" s="1"/>
  <c r="AB428" i="44"/>
  <c r="B428" i="44" s="1"/>
  <c r="AA428" i="44"/>
  <c r="C428" i="44"/>
  <c r="AI427" i="44"/>
  <c r="AH427" i="44"/>
  <c r="I427" i="44" s="1"/>
  <c r="AG427" i="44"/>
  <c r="AF427" i="44"/>
  <c r="H427" i="44" s="1"/>
  <c r="AC427" i="44"/>
  <c r="D427" i="44" s="1"/>
  <c r="AB427" i="44"/>
  <c r="B427" i="44" s="1"/>
  <c r="AA427" i="44"/>
  <c r="C427" i="44"/>
  <c r="AI426" i="44"/>
  <c r="AH426" i="44"/>
  <c r="I426" i="44" s="1"/>
  <c r="AG426" i="44"/>
  <c r="AF426" i="44"/>
  <c r="H426" i="44" s="1"/>
  <c r="AC426" i="44"/>
  <c r="D426" i="44" s="1"/>
  <c r="AB426" i="44"/>
  <c r="B426" i="44" s="1"/>
  <c r="AA426" i="44"/>
  <c r="C426" i="44"/>
  <c r="AI425" i="44"/>
  <c r="AH425" i="44"/>
  <c r="I425" i="44" s="1"/>
  <c r="AG425" i="44"/>
  <c r="AF425" i="44"/>
  <c r="H425" i="44" s="1"/>
  <c r="AC425" i="44"/>
  <c r="D425" i="44" s="1"/>
  <c r="AB425" i="44"/>
  <c r="B425" i="44" s="1"/>
  <c r="AA425" i="44"/>
  <c r="C425" i="44"/>
  <c r="AI424" i="44"/>
  <c r="AH424" i="44"/>
  <c r="I424" i="44" s="1"/>
  <c r="AG424" i="44"/>
  <c r="AF424" i="44"/>
  <c r="H424" i="44" s="1"/>
  <c r="AC424" i="44"/>
  <c r="D424" i="44" s="1"/>
  <c r="AB424" i="44"/>
  <c r="B424" i="44" s="1"/>
  <c r="AA424" i="44"/>
  <c r="C424" i="44"/>
  <c r="AJ423" i="44"/>
  <c r="K423" i="44" s="1"/>
  <c r="AI423" i="44"/>
  <c r="AH423" i="44"/>
  <c r="I423" i="44" s="1"/>
  <c r="AG423" i="44"/>
  <c r="AF423" i="44"/>
  <c r="H423" i="44" s="1"/>
  <c r="AC423" i="44"/>
  <c r="D423" i="44" s="1"/>
  <c r="AB423" i="44"/>
  <c r="B423" i="44" s="1"/>
  <c r="AA423" i="44"/>
  <c r="C423" i="44"/>
  <c r="AI422" i="44"/>
  <c r="AH422" i="44"/>
  <c r="I422" i="44" s="1"/>
  <c r="AG422" i="44"/>
  <c r="AF422" i="44"/>
  <c r="H422" i="44" s="1"/>
  <c r="AC422" i="44"/>
  <c r="D422" i="44" s="1"/>
  <c r="AB422" i="44"/>
  <c r="B422" i="44" s="1"/>
  <c r="AA422" i="44"/>
  <c r="C422" i="44"/>
  <c r="AI421" i="44"/>
  <c r="AH421" i="44"/>
  <c r="I421" i="44" s="1"/>
  <c r="AG421" i="44"/>
  <c r="AF421" i="44"/>
  <c r="H421" i="44" s="1"/>
  <c r="AC421" i="44"/>
  <c r="D421" i="44" s="1"/>
  <c r="AB421" i="44"/>
  <c r="B421" i="44" s="1"/>
  <c r="AA421" i="44"/>
  <c r="C421" i="44"/>
  <c r="AI420" i="44"/>
  <c r="AH420" i="44"/>
  <c r="I420" i="44" s="1"/>
  <c r="AG420" i="44"/>
  <c r="AF420" i="44"/>
  <c r="H420" i="44" s="1"/>
  <c r="AC420" i="44"/>
  <c r="D420" i="44" s="1"/>
  <c r="AB420" i="44"/>
  <c r="B420" i="44" s="1"/>
  <c r="AA420" i="44"/>
  <c r="C420" i="44"/>
  <c r="AI419" i="44"/>
  <c r="AH419" i="44"/>
  <c r="I419" i="44" s="1"/>
  <c r="AG419" i="44"/>
  <c r="AF419" i="44"/>
  <c r="H419" i="44" s="1"/>
  <c r="AC419" i="44"/>
  <c r="D419" i="44" s="1"/>
  <c r="AB419" i="44"/>
  <c r="B419" i="44" s="1"/>
  <c r="AA419" i="44"/>
  <c r="C419" i="44"/>
  <c r="AI418" i="44"/>
  <c r="AH418" i="44"/>
  <c r="I418" i="44" s="1"/>
  <c r="AG418" i="44"/>
  <c r="AF418" i="44"/>
  <c r="H418" i="44" s="1"/>
  <c r="AC418" i="44"/>
  <c r="D418" i="44" s="1"/>
  <c r="AB418" i="44"/>
  <c r="B418" i="44" s="1"/>
  <c r="AA418" i="44"/>
  <c r="C418" i="44"/>
  <c r="AI417" i="44"/>
  <c r="AH417" i="44"/>
  <c r="I417" i="44" s="1"/>
  <c r="AG417" i="44"/>
  <c r="AF417" i="44"/>
  <c r="H417" i="44" s="1"/>
  <c r="AC417" i="44"/>
  <c r="D417" i="44" s="1"/>
  <c r="AB417" i="44"/>
  <c r="B417" i="44" s="1"/>
  <c r="AA417" i="44"/>
  <c r="C417" i="44"/>
  <c r="AI416" i="44"/>
  <c r="AH416" i="44"/>
  <c r="I416" i="44" s="1"/>
  <c r="AG416" i="44"/>
  <c r="AF416" i="44"/>
  <c r="H416" i="44" s="1"/>
  <c r="AC416" i="44"/>
  <c r="D416" i="44" s="1"/>
  <c r="AB416" i="44"/>
  <c r="B416" i="44" s="1"/>
  <c r="AA416" i="44"/>
  <c r="C416" i="44"/>
  <c r="AI415" i="44"/>
  <c r="AH415" i="44"/>
  <c r="I415" i="44" s="1"/>
  <c r="AG415" i="44"/>
  <c r="AF415" i="44"/>
  <c r="H415" i="44" s="1"/>
  <c r="AC415" i="44"/>
  <c r="D415" i="44" s="1"/>
  <c r="AB415" i="44"/>
  <c r="B415" i="44" s="1"/>
  <c r="AA415" i="44"/>
  <c r="C415" i="44"/>
  <c r="AI414" i="44"/>
  <c r="AH414" i="44"/>
  <c r="I414" i="44" s="1"/>
  <c r="AG414" i="44"/>
  <c r="AF414" i="44"/>
  <c r="H414" i="44" s="1"/>
  <c r="AC414" i="44"/>
  <c r="D414" i="44" s="1"/>
  <c r="AB414" i="44"/>
  <c r="B414" i="44" s="1"/>
  <c r="AA414" i="44"/>
  <c r="C414" i="44"/>
  <c r="AI413" i="44"/>
  <c r="AH413" i="44"/>
  <c r="I413" i="44" s="1"/>
  <c r="AG413" i="44"/>
  <c r="AF413" i="44"/>
  <c r="H413" i="44" s="1"/>
  <c r="AC413" i="44"/>
  <c r="D413" i="44" s="1"/>
  <c r="AB413" i="44"/>
  <c r="B413" i="44" s="1"/>
  <c r="AA413" i="44"/>
  <c r="C413" i="44"/>
  <c r="AI412" i="44"/>
  <c r="AH412" i="44"/>
  <c r="I412" i="44" s="1"/>
  <c r="AG412" i="44"/>
  <c r="AF412" i="44"/>
  <c r="H412" i="44" s="1"/>
  <c r="AC412" i="44"/>
  <c r="D412" i="44" s="1"/>
  <c r="AB412" i="44"/>
  <c r="B412" i="44" s="1"/>
  <c r="AA412" i="44"/>
  <c r="C412" i="44"/>
  <c r="AI411" i="44"/>
  <c r="AH411" i="44"/>
  <c r="I411" i="44" s="1"/>
  <c r="AG411" i="44"/>
  <c r="AF411" i="44"/>
  <c r="H411" i="44" s="1"/>
  <c r="AC411" i="44"/>
  <c r="D411" i="44" s="1"/>
  <c r="AB411" i="44"/>
  <c r="B411" i="44" s="1"/>
  <c r="AA411" i="44"/>
  <c r="C411" i="44"/>
  <c r="AI410" i="44"/>
  <c r="AH410" i="44"/>
  <c r="I410" i="44" s="1"/>
  <c r="AG410" i="44"/>
  <c r="AF410" i="44"/>
  <c r="H410" i="44" s="1"/>
  <c r="AC410" i="44"/>
  <c r="D410" i="44" s="1"/>
  <c r="AB410" i="44"/>
  <c r="B410" i="44" s="1"/>
  <c r="AA410" i="44"/>
  <c r="C410" i="44"/>
  <c r="AJ409" i="44"/>
  <c r="AI409" i="44"/>
  <c r="AH409" i="44"/>
  <c r="I409" i="44" s="1"/>
  <c r="AG409" i="44"/>
  <c r="AF409" i="44"/>
  <c r="H409" i="44" s="1"/>
  <c r="AC409" i="44"/>
  <c r="D409" i="44" s="1"/>
  <c r="AB409" i="44"/>
  <c r="B409" i="44" s="1"/>
  <c r="AA409" i="44"/>
  <c r="K409" i="44"/>
  <c r="C409" i="44"/>
  <c r="AJ408" i="44"/>
  <c r="K408" i="44" s="1"/>
  <c r="AI408" i="44"/>
  <c r="AH408" i="44"/>
  <c r="I408" i="44" s="1"/>
  <c r="AG408" i="44"/>
  <c r="AF408" i="44"/>
  <c r="H408" i="44" s="1"/>
  <c r="AC408" i="44"/>
  <c r="D408" i="44" s="1"/>
  <c r="AB408" i="44"/>
  <c r="B408" i="44" s="1"/>
  <c r="AA408" i="44"/>
  <c r="C408" i="44"/>
  <c r="AI407" i="44"/>
  <c r="AH407" i="44"/>
  <c r="I407" i="44" s="1"/>
  <c r="AG407" i="44"/>
  <c r="AF407" i="44"/>
  <c r="H407" i="44" s="1"/>
  <c r="AC407" i="44"/>
  <c r="D407" i="44" s="1"/>
  <c r="AB407" i="44"/>
  <c r="B407" i="44" s="1"/>
  <c r="AA407" i="44"/>
  <c r="C407" i="44"/>
  <c r="A406" i="44"/>
  <c r="AI404" i="44"/>
  <c r="I404" i="44" s="1"/>
  <c r="AH404" i="44"/>
  <c r="AG404" i="44"/>
  <c r="H404" i="44" s="1"/>
  <c r="AF404" i="44"/>
  <c r="AB404" i="44"/>
  <c r="B404" i="44" s="1"/>
  <c r="AA404" i="44"/>
  <c r="C404" i="44"/>
  <c r="AH403" i="44"/>
  <c r="AB403" i="44"/>
  <c r="B403" i="44" s="1"/>
  <c r="AA403" i="44"/>
  <c r="C403" i="44"/>
  <c r="AI402" i="44"/>
  <c r="I402" i="44" s="1"/>
  <c r="AH402" i="44"/>
  <c r="AG402" i="44"/>
  <c r="H402" i="44" s="1"/>
  <c r="AF402" i="44"/>
  <c r="AB402" i="44"/>
  <c r="B402" i="44" s="1"/>
  <c r="AA402" i="44"/>
  <c r="C402" i="44"/>
  <c r="AI401" i="44"/>
  <c r="I401" i="44" s="1"/>
  <c r="AH401" i="44"/>
  <c r="AG401" i="44"/>
  <c r="H401" i="44" s="1"/>
  <c r="AF401" i="44"/>
  <c r="AB401" i="44"/>
  <c r="B401" i="44" s="1"/>
  <c r="AA401" i="44"/>
  <c r="C401" i="44"/>
  <c r="AI400" i="44"/>
  <c r="I400" i="44" s="1"/>
  <c r="AH400" i="44"/>
  <c r="AG400" i="44"/>
  <c r="H400" i="44" s="1"/>
  <c r="AF400" i="44"/>
  <c r="AB400" i="44"/>
  <c r="B400" i="44" s="1"/>
  <c r="AA400" i="44"/>
  <c r="C400" i="44"/>
  <c r="AI399" i="44"/>
  <c r="I399" i="44" s="1"/>
  <c r="AG399" i="44"/>
  <c r="H399" i="44" s="1"/>
  <c r="AF399" i="44"/>
  <c r="AB399" i="44"/>
  <c r="B399" i="44" s="1"/>
  <c r="AA399" i="44"/>
  <c r="C399" i="44"/>
  <c r="AI398" i="44"/>
  <c r="I398" i="44" s="1"/>
  <c r="AF398" i="44"/>
  <c r="AB398" i="44"/>
  <c r="B398" i="44" s="1"/>
  <c r="AA398" i="44"/>
  <c r="C398" i="44"/>
  <c r="AJ397" i="44"/>
  <c r="K397" i="44" s="1"/>
  <c r="AI397" i="44"/>
  <c r="I397" i="44" s="1"/>
  <c r="AH397" i="44"/>
  <c r="AG397" i="44"/>
  <c r="H397" i="44" s="1"/>
  <c r="AF397" i="44"/>
  <c r="AB397" i="44"/>
  <c r="B397" i="44" s="1"/>
  <c r="AA397" i="44"/>
  <c r="C397" i="44"/>
  <c r="AI396" i="44"/>
  <c r="I396" i="44" s="1"/>
  <c r="AH396" i="44"/>
  <c r="AG396" i="44"/>
  <c r="H396" i="44" s="1"/>
  <c r="AF396" i="44"/>
  <c r="AB396" i="44"/>
  <c r="B396" i="44" s="1"/>
  <c r="AA396" i="44"/>
  <c r="C396" i="44"/>
  <c r="AI395" i="44"/>
  <c r="I395" i="44" s="1"/>
  <c r="AH395" i="44"/>
  <c r="AG395" i="44"/>
  <c r="H395" i="44" s="1"/>
  <c r="AF395" i="44"/>
  <c r="AB395" i="44"/>
  <c r="B395" i="44" s="1"/>
  <c r="AA395" i="44"/>
  <c r="C395" i="44"/>
  <c r="AI394" i="44"/>
  <c r="I394" i="44" s="1"/>
  <c r="AG394" i="44"/>
  <c r="H394" i="44" s="1"/>
  <c r="AF394" i="44"/>
  <c r="AB394" i="44"/>
  <c r="B394" i="44" s="1"/>
  <c r="AA394" i="44"/>
  <c r="C394" i="44"/>
  <c r="AI393" i="44"/>
  <c r="I393" i="44" s="1"/>
  <c r="AG393" i="44"/>
  <c r="H393" i="44" s="1"/>
  <c r="AF393" i="44"/>
  <c r="AB393" i="44"/>
  <c r="B393" i="44" s="1"/>
  <c r="AA393" i="44"/>
  <c r="C393" i="44"/>
  <c r="AI392" i="44"/>
  <c r="I392" i="44" s="1"/>
  <c r="AH392" i="44"/>
  <c r="AF392" i="44"/>
  <c r="AB392" i="44"/>
  <c r="B392" i="44" s="1"/>
  <c r="AA392" i="44"/>
  <c r="C392" i="44"/>
  <c r="AI391" i="44"/>
  <c r="I391" i="44" s="1"/>
  <c r="AG391" i="44"/>
  <c r="H391" i="44" s="1"/>
  <c r="AF391" i="44"/>
  <c r="AB391" i="44"/>
  <c r="B391" i="44" s="1"/>
  <c r="AA391" i="44"/>
  <c r="C391" i="44"/>
  <c r="AI390" i="44"/>
  <c r="I390" i="44" s="1"/>
  <c r="AH390" i="44"/>
  <c r="AG390" i="44"/>
  <c r="H390" i="44" s="1"/>
  <c r="AF390" i="44"/>
  <c r="AB390" i="44"/>
  <c r="B390" i="44" s="1"/>
  <c r="AA390" i="44"/>
  <c r="C390" i="44"/>
  <c r="AI389" i="44"/>
  <c r="I389" i="44" s="1"/>
  <c r="AH389" i="44"/>
  <c r="AG389" i="44"/>
  <c r="H389" i="44" s="1"/>
  <c r="AF389" i="44"/>
  <c r="AB389" i="44"/>
  <c r="B389" i="44" s="1"/>
  <c r="AA389" i="44"/>
  <c r="C389" i="44"/>
  <c r="AI388" i="44"/>
  <c r="I388" i="44" s="1"/>
  <c r="AH388" i="44"/>
  <c r="AF388" i="44"/>
  <c r="AB388" i="44"/>
  <c r="B388" i="44" s="1"/>
  <c r="AA388" i="44"/>
  <c r="C388" i="44"/>
  <c r="AI387" i="44"/>
  <c r="I387" i="44" s="1"/>
  <c r="AH387" i="44"/>
  <c r="AG387" i="44"/>
  <c r="H387" i="44" s="1"/>
  <c r="AF387" i="44"/>
  <c r="AB387" i="44"/>
  <c r="B387" i="44" s="1"/>
  <c r="AA387" i="44"/>
  <c r="C387" i="44"/>
  <c r="AI386" i="44"/>
  <c r="I386" i="44" s="1"/>
  <c r="AH386" i="44"/>
  <c r="AF386" i="44"/>
  <c r="AB386" i="44"/>
  <c r="B386" i="44" s="1"/>
  <c r="AA386" i="44"/>
  <c r="C386" i="44"/>
  <c r="AI385" i="44"/>
  <c r="I385" i="44" s="1"/>
  <c r="AH385" i="44"/>
  <c r="AF385" i="44"/>
  <c r="AB385" i="44"/>
  <c r="B385" i="44" s="1"/>
  <c r="AA385" i="44"/>
  <c r="C385" i="44"/>
  <c r="AI384" i="44"/>
  <c r="I384" i="44" s="1"/>
  <c r="AH384" i="44"/>
  <c r="AG384" i="44"/>
  <c r="H384" i="44" s="1"/>
  <c r="AF384" i="44"/>
  <c r="AB384" i="44"/>
  <c r="B384" i="44" s="1"/>
  <c r="AA384" i="44"/>
  <c r="C384" i="44"/>
  <c r="AJ383" i="44"/>
  <c r="K383" i="44" s="1"/>
  <c r="AI383" i="44"/>
  <c r="I383" i="44" s="1"/>
  <c r="AH383" i="44"/>
  <c r="AG383" i="44"/>
  <c r="H383" i="44" s="1"/>
  <c r="AF383" i="44"/>
  <c r="AB383" i="44"/>
  <c r="B383" i="44" s="1"/>
  <c r="AA383" i="44"/>
  <c r="C383" i="44"/>
  <c r="AI382" i="44"/>
  <c r="I382" i="44" s="1"/>
  <c r="AH382" i="44"/>
  <c r="AG382" i="44"/>
  <c r="H382" i="44" s="1"/>
  <c r="AF382" i="44"/>
  <c r="AB382" i="44"/>
  <c r="B382" i="44" s="1"/>
  <c r="AA382" i="44"/>
  <c r="C382" i="44"/>
  <c r="AJ381" i="44"/>
  <c r="K381" i="44" s="1"/>
  <c r="AI381" i="44"/>
  <c r="I381" i="44" s="1"/>
  <c r="AH381" i="44"/>
  <c r="AG381" i="44"/>
  <c r="H381" i="44" s="1"/>
  <c r="AF381" i="44"/>
  <c r="AB381" i="44"/>
  <c r="B381" i="44" s="1"/>
  <c r="AA381" i="44"/>
  <c r="C381" i="44"/>
  <c r="AI380" i="44"/>
  <c r="I380" i="44" s="1"/>
  <c r="AH380" i="44"/>
  <c r="AG380" i="44"/>
  <c r="H380" i="44" s="1"/>
  <c r="AF380" i="44"/>
  <c r="AB380" i="44"/>
  <c r="B380" i="44" s="1"/>
  <c r="AA380" i="44"/>
  <c r="C380" i="44"/>
  <c r="AI379" i="44"/>
  <c r="I379" i="44" s="1"/>
  <c r="AH379" i="44"/>
  <c r="AG379" i="44"/>
  <c r="H379" i="44" s="1"/>
  <c r="AF379" i="44"/>
  <c r="AB379" i="44"/>
  <c r="B379" i="44" s="1"/>
  <c r="AA379" i="44"/>
  <c r="C379" i="44"/>
  <c r="AI378" i="44"/>
  <c r="I378" i="44" s="1"/>
  <c r="AH378" i="44"/>
  <c r="AG378" i="44"/>
  <c r="H378" i="44" s="1"/>
  <c r="AF378" i="44"/>
  <c r="AB378" i="44"/>
  <c r="B378" i="44" s="1"/>
  <c r="AA378" i="44"/>
  <c r="C378" i="44"/>
  <c r="AI377" i="44"/>
  <c r="I377" i="44" s="1"/>
  <c r="AH377" i="44"/>
  <c r="AG377" i="44"/>
  <c r="H377" i="44" s="1"/>
  <c r="AF377" i="44"/>
  <c r="AB377" i="44"/>
  <c r="B377" i="44" s="1"/>
  <c r="AA377" i="44"/>
  <c r="C377" i="44"/>
  <c r="AJ376" i="44"/>
  <c r="K376" i="44" s="1"/>
  <c r="AI376" i="44"/>
  <c r="I376" i="44" s="1"/>
  <c r="AH376" i="44"/>
  <c r="AG376" i="44"/>
  <c r="H376" i="44" s="1"/>
  <c r="AF376" i="44"/>
  <c r="AB376" i="44"/>
  <c r="B376" i="44" s="1"/>
  <c r="AA376" i="44"/>
  <c r="C376" i="44"/>
  <c r="AJ375" i="44"/>
  <c r="K375" i="44" s="1"/>
  <c r="AI375" i="44"/>
  <c r="I375" i="44" s="1"/>
  <c r="AH375" i="44"/>
  <c r="AG375" i="44"/>
  <c r="H375" i="44" s="1"/>
  <c r="AF375" i="44"/>
  <c r="AB375" i="44"/>
  <c r="B375" i="44" s="1"/>
  <c r="AA375" i="44"/>
  <c r="C375" i="44"/>
  <c r="N374" i="44"/>
  <c r="M374" i="44"/>
  <c r="N373" i="44"/>
  <c r="M373" i="44"/>
  <c r="N372" i="44"/>
  <c r="M372" i="44"/>
  <c r="N371" i="44"/>
  <c r="M371" i="44"/>
  <c r="N370" i="44"/>
  <c r="M370" i="44"/>
  <c r="K370" i="44"/>
  <c r="G370" i="44"/>
  <c r="N369" i="44"/>
  <c r="M369" i="44"/>
  <c r="G369" i="44"/>
  <c r="K369" i="44" s="1"/>
  <c r="N368" i="44"/>
  <c r="M368" i="44"/>
  <c r="N367" i="44"/>
  <c r="M367" i="44"/>
  <c r="N366" i="44"/>
  <c r="M366" i="44"/>
  <c r="N365" i="44"/>
  <c r="M365" i="44"/>
  <c r="K365" i="44"/>
  <c r="G365" i="44"/>
  <c r="N364" i="44"/>
  <c r="M364" i="44"/>
  <c r="G364" i="44"/>
  <c r="K364" i="44" s="1"/>
  <c r="N363" i="44"/>
  <c r="M363" i="44"/>
  <c r="G363" i="44"/>
  <c r="K363" i="44" s="1"/>
  <c r="N362" i="44"/>
  <c r="M362" i="44"/>
  <c r="K362" i="44"/>
  <c r="G362" i="44"/>
  <c r="N361" i="44"/>
  <c r="M361" i="44"/>
  <c r="N360" i="44"/>
  <c r="M360" i="44"/>
  <c r="N359" i="44"/>
  <c r="M359" i="44"/>
  <c r="N358" i="44"/>
  <c r="M358" i="44"/>
  <c r="N357" i="44"/>
  <c r="M357" i="44"/>
  <c r="N356" i="44"/>
  <c r="M356" i="44"/>
  <c r="N355" i="44"/>
  <c r="M355" i="44"/>
  <c r="N354" i="44"/>
  <c r="M354" i="44"/>
  <c r="N353" i="44"/>
  <c r="M353" i="44"/>
  <c r="N352" i="44"/>
  <c r="M352" i="44"/>
  <c r="M351" i="44"/>
  <c r="L351" i="44"/>
  <c r="N351" i="44" s="1"/>
  <c r="K351" i="44"/>
  <c r="G351" i="44"/>
  <c r="N350" i="44"/>
  <c r="M350" i="44"/>
  <c r="K349" i="44"/>
  <c r="K348" i="44"/>
  <c r="K347" i="44"/>
  <c r="K346" i="44"/>
  <c r="K345" i="44"/>
  <c r="K344" i="44"/>
  <c r="K343" i="44"/>
  <c r="K342" i="44"/>
  <c r="K341" i="44"/>
  <c r="A341" i="44"/>
  <c r="A342" i="44" s="1"/>
  <c r="A343" i="44" s="1"/>
  <c r="A344" i="44" s="1"/>
  <c r="A345" i="44" s="1"/>
  <c r="A346" i="44" s="1"/>
  <c r="A347" i="44" s="1"/>
  <c r="A348" i="44" s="1"/>
  <c r="A349"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N340" i="44"/>
  <c r="M340" i="44"/>
  <c r="K340" i="44"/>
  <c r="A340" i="44"/>
  <c r="N339" i="44"/>
  <c r="M339" i="44"/>
  <c r="K339" i="44"/>
  <c r="K338" i="44" s="1"/>
  <c r="N338" i="44"/>
  <c r="M338" i="44"/>
  <c r="N337" i="44"/>
  <c r="M337" i="44"/>
  <c r="G337" i="44"/>
  <c r="G356" i="44" s="1"/>
  <c r="K356" i="44" s="1"/>
  <c r="N336" i="44"/>
  <c r="M336" i="44"/>
  <c r="N335" i="44"/>
  <c r="M335" i="44"/>
  <c r="N334" i="44"/>
  <c r="M334" i="44"/>
  <c r="K334" i="44"/>
  <c r="N333" i="44"/>
  <c r="M333" i="44"/>
  <c r="K333" i="44"/>
  <c r="N332" i="44"/>
  <c r="M332" i="44"/>
  <c r="N331" i="44"/>
  <c r="M331" i="44"/>
  <c r="N330" i="44"/>
  <c r="M330" i="44"/>
  <c r="N329" i="44"/>
  <c r="M329" i="44"/>
  <c r="N328" i="44"/>
  <c r="M328" i="44"/>
  <c r="N327" i="44"/>
  <c r="M327" i="44"/>
  <c r="N326" i="44"/>
  <c r="M326" i="44"/>
  <c r="K326" i="44"/>
  <c r="G326" i="44"/>
  <c r="N325" i="44"/>
  <c r="M325" i="44"/>
  <c r="K325" i="44"/>
  <c r="G325" i="44"/>
  <c r="N324" i="44"/>
  <c r="M324" i="44"/>
  <c r="K324" i="44"/>
  <c r="G324" i="44"/>
  <c r="N323" i="44"/>
  <c r="M323" i="44"/>
  <c r="G323" i="44"/>
  <c r="K323" i="44" s="1"/>
  <c r="N322" i="44"/>
  <c r="M322" i="44"/>
  <c r="G322" i="44"/>
  <c r="K322" i="44" s="1"/>
  <c r="N321" i="44"/>
  <c r="M321" i="44"/>
  <c r="K321" i="44"/>
  <c r="G321" i="44"/>
  <c r="N320" i="44"/>
  <c r="M320" i="44"/>
  <c r="G320" i="44"/>
  <c r="K320" i="44" s="1"/>
  <c r="N319" i="44"/>
  <c r="M319" i="44"/>
  <c r="K319" i="44"/>
  <c r="G319" i="44"/>
  <c r="N318" i="44"/>
  <c r="M318" i="44"/>
  <c r="G318" i="44"/>
  <c r="K318" i="44" s="1"/>
  <c r="N317" i="44"/>
  <c r="M317" i="44"/>
  <c r="K317" i="44"/>
  <c r="G317" i="44"/>
  <c r="N316" i="44"/>
  <c r="M316" i="44"/>
  <c r="K316" i="44"/>
  <c r="G316" i="44"/>
  <c r="N315" i="44"/>
  <c r="M315" i="44"/>
  <c r="G315" i="44"/>
  <c r="K315" i="44" s="1"/>
  <c r="N314" i="44"/>
  <c r="M314" i="44"/>
  <c r="G314" i="44"/>
  <c r="K314" i="44" s="1"/>
  <c r="N313" i="44"/>
  <c r="M313" i="44"/>
  <c r="G313" i="44"/>
  <c r="K313" i="44" s="1"/>
  <c r="N312" i="44"/>
  <c r="M312" i="44"/>
  <c r="G312" i="44"/>
  <c r="K312" i="44" s="1"/>
  <c r="N311" i="44"/>
  <c r="M311" i="44"/>
  <c r="G311" i="44"/>
  <c r="K311" i="44" s="1"/>
  <c r="N310" i="44"/>
  <c r="M310" i="44"/>
  <c r="G310" i="44"/>
  <c r="K310" i="44" s="1"/>
  <c r="N309" i="44"/>
  <c r="M309" i="44"/>
  <c r="K309" i="44"/>
  <c r="G309" i="44"/>
  <c r="N308" i="44"/>
  <c r="M308" i="44"/>
  <c r="K308" i="44"/>
  <c r="N307" i="44"/>
  <c r="M307" i="44"/>
  <c r="G307" i="44"/>
  <c r="K307" i="44" s="1"/>
  <c r="N306" i="44"/>
  <c r="M306" i="44"/>
  <c r="G306" i="44"/>
  <c r="K306" i="44" s="1"/>
  <c r="N305" i="44"/>
  <c r="M305" i="44"/>
  <c r="G305" i="44"/>
  <c r="K305" i="44" s="1"/>
  <c r="N304" i="44"/>
  <c r="M304" i="44"/>
  <c r="K304" i="44"/>
  <c r="G304" i="44"/>
  <c r="N303" i="44"/>
  <c r="M303" i="44"/>
  <c r="G303" i="44"/>
  <c r="K303" i="44" s="1"/>
  <c r="N302" i="44"/>
  <c r="M302" i="44"/>
  <c r="K302" i="44"/>
  <c r="G302" i="44"/>
  <c r="P301" i="44"/>
  <c r="N301" i="44"/>
  <c r="M301" i="44"/>
  <c r="K301" i="44"/>
  <c r="G301" i="44"/>
  <c r="N300" i="44"/>
  <c r="M300" i="44"/>
  <c r="G300" i="44"/>
  <c r="K300" i="44" s="1"/>
  <c r="N299" i="44"/>
  <c r="M299" i="44"/>
  <c r="K299" i="44"/>
  <c r="G299" i="44"/>
  <c r="N298" i="44"/>
  <c r="M298" i="44"/>
  <c r="K298" i="44"/>
  <c r="G298" i="44"/>
  <c r="N297" i="44"/>
  <c r="M297" i="44"/>
  <c r="K297" i="44"/>
  <c r="G297" i="44"/>
  <c r="N296" i="44"/>
  <c r="M296" i="44"/>
  <c r="G296" i="44"/>
  <c r="K296" i="44" s="1"/>
  <c r="N295" i="44"/>
  <c r="M295" i="44"/>
  <c r="K295" i="44"/>
  <c r="G295" i="44"/>
  <c r="S294" i="44"/>
  <c r="N294" i="44"/>
  <c r="M294" i="44"/>
  <c r="G294" i="44"/>
  <c r="K294" i="44" s="1"/>
  <c r="N293" i="44"/>
  <c r="M293" i="44"/>
  <c r="S292" i="44"/>
  <c r="J292" i="44" s="1"/>
  <c r="N292" i="44"/>
  <c r="M292" i="44"/>
  <c r="P291" i="44"/>
  <c r="N291" i="44"/>
  <c r="M291" i="44"/>
  <c r="K291" i="44"/>
  <c r="G291" i="44"/>
  <c r="P295" i="44" s="1"/>
  <c r="N290" i="44"/>
  <c r="M290" i="44"/>
  <c r="V289" i="44"/>
  <c r="P289" i="44"/>
  <c r="N289" i="44"/>
  <c r="M289" i="44"/>
  <c r="K289" i="44"/>
  <c r="V288" i="44"/>
  <c r="N288" i="44"/>
  <c r="M288" i="44"/>
  <c r="K288" i="44"/>
  <c r="A288" i="44"/>
  <c r="A289" i="44" s="1"/>
  <c r="A291" i="44" s="1"/>
  <c r="A292" i="44" s="1"/>
  <c r="A293" i="44" s="1"/>
  <c r="A294" i="44" s="1"/>
  <c r="A295" i="44" s="1"/>
  <c r="A296" i="44" s="1"/>
  <c r="A297" i="44" s="1"/>
  <c r="A298" i="44" s="1"/>
  <c r="A299" i="44" s="1"/>
  <c r="A300" i="44" s="1"/>
  <c r="A301" i="44" s="1"/>
  <c r="A302" i="44" s="1"/>
  <c r="A303" i="44" s="1"/>
  <c r="A304" i="44" s="1"/>
  <c r="A305" i="44" s="1"/>
  <c r="A306" i="44" s="1"/>
  <c r="A307" i="44" s="1"/>
  <c r="A308" i="44" s="1"/>
  <c r="A309" i="44" s="1"/>
  <c r="A310" i="44" s="1"/>
  <c r="A311" i="44" s="1"/>
  <c r="A312" i="44" s="1"/>
  <c r="A313" i="44" s="1"/>
  <c r="A314" i="44" s="1"/>
  <c r="A315" i="44" s="1"/>
  <c r="A316" i="44" s="1"/>
  <c r="A317" i="44" s="1"/>
  <c r="A318" i="44" s="1"/>
  <c r="A319" i="44" s="1"/>
  <c r="A320" i="44" s="1"/>
  <c r="A321" i="44" s="1"/>
  <c r="A322" i="44" s="1"/>
  <c r="A323" i="44" s="1"/>
  <c r="A324" i="44" s="1"/>
  <c r="A325" i="44" s="1"/>
  <c r="A326" i="44" s="1"/>
  <c r="A327" i="44" s="1"/>
  <c r="A328" i="44" s="1"/>
  <c r="A329" i="44" s="1"/>
  <c r="A330" i="44" s="1"/>
  <c r="A331" i="44" s="1"/>
  <c r="A332" i="44" s="1"/>
  <c r="A333" i="44" s="1"/>
  <c r="A334" i="44" s="1"/>
  <c r="A335" i="44" s="1"/>
  <c r="N287" i="44"/>
  <c r="M287" i="44"/>
  <c r="K287" i="44"/>
  <c r="G287" i="44"/>
  <c r="A287" i="44"/>
  <c r="N286" i="44"/>
  <c r="M286" i="44"/>
  <c r="K286" i="44"/>
  <c r="G286" i="44"/>
  <c r="A286" i="44"/>
  <c r="AL285" i="44"/>
  <c r="N285" i="44"/>
  <c r="M285" i="44"/>
  <c r="K285" i="44"/>
  <c r="G285" i="44"/>
  <c r="S281" i="44" s="1"/>
  <c r="A285" i="44"/>
  <c r="AL284" i="44"/>
  <c r="N284" i="44"/>
  <c r="M284" i="44"/>
  <c r="K284" i="44"/>
  <c r="G284" i="44"/>
  <c r="A284" i="44"/>
  <c r="AM283" i="44"/>
  <c r="AO283" i="44" s="1"/>
  <c r="AL283" i="44"/>
  <c r="N283" i="44"/>
  <c r="M283" i="44"/>
  <c r="K283" i="44"/>
  <c r="G283" i="44"/>
  <c r="AM282" i="44"/>
  <c r="N282" i="44"/>
  <c r="M282" i="44"/>
  <c r="K282" i="44"/>
  <c r="AN281" i="44"/>
  <c r="AM285" i="44" s="1"/>
  <c r="AM281" i="44"/>
  <c r="N281" i="44"/>
  <c r="M281" i="44"/>
  <c r="N280" i="44"/>
  <c r="M280" i="44"/>
  <c r="E280" i="44"/>
  <c r="AJ278" i="44"/>
  <c r="K278" i="44" s="1"/>
  <c r="AI278" i="44"/>
  <c r="AH278" i="44"/>
  <c r="I278" i="44" s="1"/>
  <c r="AG278" i="44"/>
  <c r="AF278" i="44"/>
  <c r="H278" i="44" s="1"/>
  <c r="AC278" i="44"/>
  <c r="D278" i="44" s="1"/>
  <c r="AB278" i="44"/>
  <c r="B278" i="44" s="1"/>
  <c r="AA278" i="44"/>
  <c r="C278" i="44"/>
  <c r="AJ277" i="44"/>
  <c r="K277" i="44" s="1"/>
  <c r="AI277" i="44"/>
  <c r="AH277" i="44"/>
  <c r="I277" i="44" s="1"/>
  <c r="AG277" i="44"/>
  <c r="AF277" i="44"/>
  <c r="H277" i="44" s="1"/>
  <c r="AC277" i="44"/>
  <c r="D277" i="44" s="1"/>
  <c r="AB277" i="44"/>
  <c r="B277" i="44" s="1"/>
  <c r="AA277" i="44"/>
  <c r="C277" i="44"/>
  <c r="AJ276" i="44"/>
  <c r="K276" i="44" s="1"/>
  <c r="AI276" i="44"/>
  <c r="AH276" i="44"/>
  <c r="I276" i="44" s="1"/>
  <c r="AG276" i="44"/>
  <c r="AF276" i="44"/>
  <c r="H276" i="44" s="1"/>
  <c r="AC276" i="44"/>
  <c r="D276" i="44" s="1"/>
  <c r="AB276" i="44"/>
  <c r="B276" i="44" s="1"/>
  <c r="AA276" i="44"/>
  <c r="C276" i="44"/>
  <c r="AI275" i="44"/>
  <c r="AH275" i="44"/>
  <c r="I275" i="44" s="1"/>
  <c r="AG275" i="44"/>
  <c r="AF275" i="44"/>
  <c r="H275" i="44" s="1"/>
  <c r="AC275" i="44"/>
  <c r="D275" i="44" s="1"/>
  <c r="AB275" i="44"/>
  <c r="B275" i="44" s="1"/>
  <c r="AA275" i="44"/>
  <c r="C275" i="44"/>
  <c r="AI274" i="44"/>
  <c r="AH274" i="44"/>
  <c r="I274" i="44" s="1"/>
  <c r="AG274" i="44"/>
  <c r="AF274" i="44"/>
  <c r="H274" i="44" s="1"/>
  <c r="AC274" i="44"/>
  <c r="D274" i="44" s="1"/>
  <c r="AB274" i="44"/>
  <c r="B274" i="44" s="1"/>
  <c r="AA274" i="44"/>
  <c r="C274" i="44"/>
  <c r="AI273" i="44"/>
  <c r="AH273" i="44"/>
  <c r="I273" i="44" s="1"/>
  <c r="AG273" i="44"/>
  <c r="AF273" i="44"/>
  <c r="H273" i="44" s="1"/>
  <c r="AC273" i="44"/>
  <c r="D273" i="44" s="1"/>
  <c r="AB273" i="44"/>
  <c r="B273" i="44" s="1"/>
  <c r="AA273" i="44"/>
  <c r="C273" i="44"/>
  <c r="AI272" i="44"/>
  <c r="AH272" i="44"/>
  <c r="I272" i="44" s="1"/>
  <c r="AG272" i="44"/>
  <c r="AF272" i="44"/>
  <c r="H272" i="44" s="1"/>
  <c r="AC272" i="44"/>
  <c r="D272" i="44" s="1"/>
  <c r="AB272" i="44"/>
  <c r="B272" i="44" s="1"/>
  <c r="AA272" i="44"/>
  <c r="C272" i="44"/>
  <c r="AI271" i="44"/>
  <c r="AH271" i="44"/>
  <c r="I271" i="44" s="1"/>
  <c r="AG271" i="44"/>
  <c r="AF271" i="44"/>
  <c r="H271" i="44" s="1"/>
  <c r="AC271" i="44"/>
  <c r="D271" i="44" s="1"/>
  <c r="AB271" i="44"/>
  <c r="B271" i="44" s="1"/>
  <c r="AA271" i="44"/>
  <c r="C271" i="44"/>
  <c r="AI270" i="44"/>
  <c r="AH270" i="44"/>
  <c r="I270" i="44" s="1"/>
  <c r="AG270" i="44"/>
  <c r="AF270" i="44"/>
  <c r="H270" i="44" s="1"/>
  <c r="AC270" i="44"/>
  <c r="D270" i="44" s="1"/>
  <c r="AB270" i="44"/>
  <c r="B270" i="44" s="1"/>
  <c r="AA270" i="44"/>
  <c r="C270" i="44"/>
  <c r="AI269" i="44"/>
  <c r="AH269" i="44"/>
  <c r="I269" i="44" s="1"/>
  <c r="AG269" i="44"/>
  <c r="AF269" i="44"/>
  <c r="H269" i="44" s="1"/>
  <c r="AC269" i="44"/>
  <c r="D269" i="44" s="1"/>
  <c r="AB269" i="44"/>
  <c r="B269" i="44" s="1"/>
  <c r="AA269" i="44"/>
  <c r="C269" i="44"/>
  <c r="AI268" i="44"/>
  <c r="AH268" i="44"/>
  <c r="I268" i="44" s="1"/>
  <c r="AG268" i="44"/>
  <c r="AF268" i="44"/>
  <c r="H268" i="44" s="1"/>
  <c r="AC268" i="44"/>
  <c r="D268" i="44" s="1"/>
  <c r="AB268" i="44"/>
  <c r="B268" i="44" s="1"/>
  <c r="AA268" i="44"/>
  <c r="C268" i="44"/>
  <c r="AJ267" i="44"/>
  <c r="K267" i="44" s="1"/>
  <c r="AI267" i="44"/>
  <c r="AH267" i="44"/>
  <c r="I267" i="44" s="1"/>
  <c r="AG267" i="44"/>
  <c r="AF267" i="44"/>
  <c r="H267" i="44" s="1"/>
  <c r="AC267" i="44"/>
  <c r="D267" i="44" s="1"/>
  <c r="AB267" i="44"/>
  <c r="B267" i="44" s="1"/>
  <c r="AA267" i="44"/>
  <c r="C267" i="44"/>
  <c r="AJ266" i="44"/>
  <c r="K266" i="44" s="1"/>
  <c r="AI266" i="44"/>
  <c r="AH266" i="44"/>
  <c r="I266" i="44" s="1"/>
  <c r="AG266" i="44"/>
  <c r="AF266" i="44"/>
  <c r="H266" i="44" s="1"/>
  <c r="AC266" i="44"/>
  <c r="D266" i="44" s="1"/>
  <c r="AB266" i="44"/>
  <c r="B266" i="44" s="1"/>
  <c r="AA266" i="44"/>
  <c r="C266" i="44"/>
  <c r="AI265" i="44"/>
  <c r="AH265" i="44"/>
  <c r="I265" i="44" s="1"/>
  <c r="AG265" i="44"/>
  <c r="AF265" i="44"/>
  <c r="H265" i="44" s="1"/>
  <c r="AC265" i="44"/>
  <c r="D265" i="44" s="1"/>
  <c r="AB265" i="44"/>
  <c r="B265" i="44" s="1"/>
  <c r="AA265" i="44"/>
  <c r="C265" i="44"/>
  <c r="AJ264" i="44"/>
  <c r="K264" i="44" s="1"/>
  <c r="AI264" i="44"/>
  <c r="AH264" i="44"/>
  <c r="I264" i="44" s="1"/>
  <c r="AG264" i="44"/>
  <c r="AF264" i="44"/>
  <c r="H264" i="44" s="1"/>
  <c r="AC264" i="44"/>
  <c r="D264" i="44" s="1"/>
  <c r="AB264" i="44"/>
  <c r="B264" i="44" s="1"/>
  <c r="AA264" i="44"/>
  <c r="C264" i="44"/>
  <c r="AI263" i="44"/>
  <c r="AH263" i="44"/>
  <c r="I263" i="44" s="1"/>
  <c r="AG263" i="44"/>
  <c r="AF263" i="44"/>
  <c r="H263" i="44" s="1"/>
  <c r="AC263" i="44"/>
  <c r="D263" i="44" s="1"/>
  <c r="AB263" i="44"/>
  <c r="B263" i="44" s="1"/>
  <c r="AA263" i="44"/>
  <c r="C263" i="44"/>
  <c r="AJ262" i="44"/>
  <c r="K262" i="44" s="1"/>
  <c r="AI262" i="44"/>
  <c r="AH262" i="44"/>
  <c r="I262" i="44" s="1"/>
  <c r="AG262" i="44"/>
  <c r="AF262" i="44"/>
  <c r="H262" i="44" s="1"/>
  <c r="AC262" i="44"/>
  <c r="D262" i="44" s="1"/>
  <c r="AB262" i="44"/>
  <c r="B262" i="44" s="1"/>
  <c r="AA262" i="44"/>
  <c r="C262" i="44"/>
  <c r="AJ261" i="44"/>
  <c r="K261" i="44" s="1"/>
  <c r="AI261" i="44"/>
  <c r="AH261" i="44"/>
  <c r="I261" i="44" s="1"/>
  <c r="AG261" i="44"/>
  <c r="AF261" i="44"/>
  <c r="H261" i="44" s="1"/>
  <c r="AC261" i="44"/>
  <c r="D261" i="44" s="1"/>
  <c r="AB261" i="44"/>
  <c r="B261" i="44" s="1"/>
  <c r="AA261" i="44"/>
  <c r="C261" i="44"/>
  <c r="AJ260" i="44"/>
  <c r="AI260" i="44"/>
  <c r="AH260" i="44"/>
  <c r="I260" i="44" s="1"/>
  <c r="AG260" i="44"/>
  <c r="AF260" i="44"/>
  <c r="H260" i="44" s="1"/>
  <c r="AC260" i="44"/>
  <c r="D260" i="44" s="1"/>
  <c r="AB260" i="44"/>
  <c r="B260" i="44" s="1"/>
  <c r="AA260" i="44"/>
  <c r="K260" i="44"/>
  <c r="C260" i="44"/>
  <c r="AJ259" i="44"/>
  <c r="AI259" i="44"/>
  <c r="AH259" i="44"/>
  <c r="I259" i="44" s="1"/>
  <c r="AG259" i="44"/>
  <c r="AF259" i="44"/>
  <c r="H259" i="44" s="1"/>
  <c r="AC259" i="44"/>
  <c r="D259" i="44" s="1"/>
  <c r="AB259" i="44"/>
  <c r="B259" i="44" s="1"/>
  <c r="AA259" i="44"/>
  <c r="K259" i="44"/>
  <c r="C259" i="44"/>
  <c r="AJ258" i="44"/>
  <c r="K258" i="44" s="1"/>
  <c r="AI258" i="44"/>
  <c r="AH258" i="44"/>
  <c r="I258" i="44" s="1"/>
  <c r="AG258" i="44"/>
  <c r="AF258" i="44"/>
  <c r="H258" i="44" s="1"/>
  <c r="AC258" i="44"/>
  <c r="D258" i="44" s="1"/>
  <c r="AB258" i="44"/>
  <c r="B258" i="44" s="1"/>
  <c r="AA258" i="44"/>
  <c r="C258" i="44"/>
  <c r="AJ257" i="44"/>
  <c r="K257" i="44" s="1"/>
  <c r="AI257" i="44"/>
  <c r="AH257" i="44"/>
  <c r="I257" i="44" s="1"/>
  <c r="AG257" i="44"/>
  <c r="AF257" i="44"/>
  <c r="H257" i="44" s="1"/>
  <c r="AC257" i="44"/>
  <c r="D257" i="44" s="1"/>
  <c r="AB257" i="44"/>
  <c r="B257" i="44" s="1"/>
  <c r="AA257" i="44"/>
  <c r="C257" i="44"/>
  <c r="AI256" i="44"/>
  <c r="AH256" i="44"/>
  <c r="I256" i="44" s="1"/>
  <c r="AG256" i="44"/>
  <c r="AF256" i="44"/>
  <c r="H256" i="44" s="1"/>
  <c r="AC256" i="44"/>
  <c r="D256" i="44" s="1"/>
  <c r="AB256" i="44"/>
  <c r="B256" i="44" s="1"/>
  <c r="AA256" i="44"/>
  <c r="C256" i="44"/>
  <c r="AI255" i="44"/>
  <c r="AH255" i="44"/>
  <c r="I255" i="44" s="1"/>
  <c r="AG255" i="44"/>
  <c r="AF255" i="44"/>
  <c r="H255" i="44" s="1"/>
  <c r="AC255" i="44"/>
  <c r="D255" i="44" s="1"/>
  <c r="AB255" i="44"/>
  <c r="B255" i="44" s="1"/>
  <c r="AA255" i="44"/>
  <c r="C255" i="44"/>
  <c r="AI254" i="44"/>
  <c r="AH254" i="44"/>
  <c r="I254" i="44" s="1"/>
  <c r="AG254" i="44"/>
  <c r="AF254" i="44"/>
  <c r="H254" i="44" s="1"/>
  <c r="AC254" i="44"/>
  <c r="D254" i="44" s="1"/>
  <c r="AB254" i="44"/>
  <c r="B254" i="44" s="1"/>
  <c r="AA254" i="44"/>
  <c r="C254" i="44"/>
  <c r="AI253" i="44"/>
  <c r="AH253" i="44"/>
  <c r="I253" i="44" s="1"/>
  <c r="AG253" i="44"/>
  <c r="AF253" i="44"/>
  <c r="H253" i="44" s="1"/>
  <c r="AC253" i="44"/>
  <c r="D253" i="44" s="1"/>
  <c r="AB253" i="44"/>
  <c r="B253" i="44" s="1"/>
  <c r="AA253" i="44"/>
  <c r="C253" i="44"/>
  <c r="AI252" i="44"/>
  <c r="AH252" i="44"/>
  <c r="I252" i="44" s="1"/>
  <c r="AG252" i="44"/>
  <c r="AF252" i="44"/>
  <c r="H252" i="44" s="1"/>
  <c r="AC252" i="44"/>
  <c r="D252" i="44" s="1"/>
  <c r="AB252" i="44"/>
  <c r="B252" i="44" s="1"/>
  <c r="AA252" i="44"/>
  <c r="C252" i="44"/>
  <c r="AI251" i="44"/>
  <c r="AH251" i="44"/>
  <c r="I251" i="44" s="1"/>
  <c r="AG251" i="44"/>
  <c r="AF251" i="44"/>
  <c r="H251" i="44" s="1"/>
  <c r="AC251" i="44"/>
  <c r="D251" i="44" s="1"/>
  <c r="AB251" i="44"/>
  <c r="B251" i="44" s="1"/>
  <c r="AA251" i="44"/>
  <c r="C251" i="44"/>
  <c r="AI250" i="44"/>
  <c r="AH250" i="44"/>
  <c r="I250" i="44" s="1"/>
  <c r="AG250" i="44"/>
  <c r="AF250" i="44"/>
  <c r="H250" i="44" s="1"/>
  <c r="AC250" i="44"/>
  <c r="D250" i="44" s="1"/>
  <c r="AB250" i="44"/>
  <c r="B250" i="44" s="1"/>
  <c r="AA250" i="44"/>
  <c r="C250" i="44"/>
  <c r="AI249" i="44"/>
  <c r="AH249" i="44"/>
  <c r="I249" i="44" s="1"/>
  <c r="AG249" i="44"/>
  <c r="AF249" i="44"/>
  <c r="H249" i="44" s="1"/>
  <c r="AC249" i="44"/>
  <c r="D249" i="44" s="1"/>
  <c r="AB249" i="44"/>
  <c r="B249" i="44" s="1"/>
  <c r="AA249" i="44"/>
  <c r="C249" i="44"/>
  <c r="AI248" i="44"/>
  <c r="AH248" i="44"/>
  <c r="I248" i="44" s="1"/>
  <c r="AG248" i="44"/>
  <c r="AF248" i="44"/>
  <c r="H248" i="44" s="1"/>
  <c r="AC248" i="44"/>
  <c r="D248" i="44" s="1"/>
  <c r="AB248" i="44"/>
  <c r="B248" i="44" s="1"/>
  <c r="AA248" i="44"/>
  <c r="C248" i="44"/>
  <c r="AI247" i="44"/>
  <c r="AH247" i="44"/>
  <c r="I247" i="44" s="1"/>
  <c r="AG247" i="44"/>
  <c r="AF247" i="44"/>
  <c r="H247" i="44" s="1"/>
  <c r="AC247" i="44"/>
  <c r="D247" i="44" s="1"/>
  <c r="AB247" i="44"/>
  <c r="B247" i="44" s="1"/>
  <c r="AA247" i="44"/>
  <c r="C247" i="44"/>
  <c r="AI246" i="44"/>
  <c r="AH246" i="44"/>
  <c r="I246" i="44" s="1"/>
  <c r="AG246" i="44"/>
  <c r="AF246" i="44"/>
  <c r="H246" i="44" s="1"/>
  <c r="AC246" i="44"/>
  <c r="D246" i="44" s="1"/>
  <c r="AB246" i="44"/>
  <c r="B246" i="44" s="1"/>
  <c r="AA246" i="44"/>
  <c r="C246" i="44"/>
  <c r="AI245" i="44"/>
  <c r="AH245" i="44"/>
  <c r="I245" i="44" s="1"/>
  <c r="AG245" i="44"/>
  <c r="AF245" i="44"/>
  <c r="H245" i="44" s="1"/>
  <c r="AC245" i="44"/>
  <c r="D245" i="44" s="1"/>
  <c r="AB245" i="44"/>
  <c r="B245" i="44" s="1"/>
  <c r="AA245" i="44"/>
  <c r="C245" i="44"/>
  <c r="AI244" i="44"/>
  <c r="AH244" i="44"/>
  <c r="I244" i="44" s="1"/>
  <c r="AG244" i="44"/>
  <c r="AF244" i="44"/>
  <c r="H244" i="44" s="1"/>
  <c r="AC244" i="44"/>
  <c r="D244" i="44" s="1"/>
  <c r="AB244" i="44"/>
  <c r="B244" i="44" s="1"/>
  <c r="AA244" i="44"/>
  <c r="C244" i="44"/>
  <c r="AI243" i="44"/>
  <c r="AH243" i="44"/>
  <c r="I243" i="44" s="1"/>
  <c r="AG243" i="44"/>
  <c r="AF243" i="44"/>
  <c r="H243" i="44" s="1"/>
  <c r="AC243" i="44"/>
  <c r="D243" i="44" s="1"/>
  <c r="AB243" i="44"/>
  <c r="B243" i="44" s="1"/>
  <c r="AA243" i="44"/>
  <c r="C243" i="44"/>
  <c r="AI242" i="44"/>
  <c r="AH242" i="44"/>
  <c r="I242" i="44" s="1"/>
  <c r="AG242" i="44"/>
  <c r="AF242" i="44"/>
  <c r="H242" i="44" s="1"/>
  <c r="AC242" i="44"/>
  <c r="D242" i="44" s="1"/>
  <c r="AB242" i="44"/>
  <c r="B242" i="44" s="1"/>
  <c r="AA242" i="44"/>
  <c r="C242" i="44"/>
  <c r="AI241" i="44"/>
  <c r="AH241" i="44"/>
  <c r="I241" i="44" s="1"/>
  <c r="AG241" i="44"/>
  <c r="AF241" i="44"/>
  <c r="H241" i="44" s="1"/>
  <c r="AC241" i="44"/>
  <c r="D241" i="44" s="1"/>
  <c r="AB241" i="44"/>
  <c r="B241" i="44" s="1"/>
  <c r="AA241" i="44"/>
  <c r="C241" i="44"/>
  <c r="AI240" i="44"/>
  <c r="AH240" i="44"/>
  <c r="I240" i="44" s="1"/>
  <c r="AG240" i="44"/>
  <c r="AF240" i="44"/>
  <c r="H240" i="44" s="1"/>
  <c r="AC240" i="44"/>
  <c r="D240" i="44" s="1"/>
  <c r="AB240" i="44"/>
  <c r="B240" i="44" s="1"/>
  <c r="AA240" i="44"/>
  <c r="C240" i="44"/>
  <c r="AI239" i="44"/>
  <c r="AH239" i="44"/>
  <c r="I239" i="44" s="1"/>
  <c r="AG239" i="44"/>
  <c r="AF239" i="44"/>
  <c r="H239" i="44" s="1"/>
  <c r="AC239" i="44"/>
  <c r="D239" i="44" s="1"/>
  <c r="AB239" i="44"/>
  <c r="B239" i="44" s="1"/>
  <c r="AA239" i="44"/>
  <c r="C239" i="44"/>
  <c r="AI238" i="44"/>
  <c r="AH238" i="44"/>
  <c r="I238" i="44" s="1"/>
  <c r="AG238" i="44"/>
  <c r="AF238" i="44"/>
  <c r="H238" i="44" s="1"/>
  <c r="AC238" i="44"/>
  <c r="D238" i="44" s="1"/>
  <c r="AB238" i="44"/>
  <c r="B238" i="44" s="1"/>
  <c r="AA238" i="44"/>
  <c r="C238" i="44"/>
  <c r="AI237" i="44"/>
  <c r="AH237" i="44"/>
  <c r="I237" i="44" s="1"/>
  <c r="AG237" i="44"/>
  <c r="AF237" i="44"/>
  <c r="H237" i="44" s="1"/>
  <c r="AC237" i="44"/>
  <c r="D237" i="44" s="1"/>
  <c r="AB237" i="44"/>
  <c r="B237" i="44" s="1"/>
  <c r="AA237" i="44"/>
  <c r="C237" i="44"/>
  <c r="AI236" i="44"/>
  <c r="AH236" i="44"/>
  <c r="I236" i="44" s="1"/>
  <c r="AG236" i="44"/>
  <c r="AF236" i="44"/>
  <c r="H236" i="44" s="1"/>
  <c r="AC236" i="44"/>
  <c r="D236" i="44" s="1"/>
  <c r="AB236" i="44"/>
  <c r="B236" i="44" s="1"/>
  <c r="AA236" i="44"/>
  <c r="C236" i="44"/>
  <c r="AI235" i="44"/>
  <c r="AH235" i="44"/>
  <c r="I235" i="44" s="1"/>
  <c r="AG235" i="44"/>
  <c r="AF235" i="44"/>
  <c r="H235" i="44" s="1"/>
  <c r="AC235" i="44"/>
  <c r="D235" i="44" s="1"/>
  <c r="AB235" i="44"/>
  <c r="B235" i="44" s="1"/>
  <c r="AA235" i="44"/>
  <c r="C235" i="44"/>
  <c r="AI234" i="44"/>
  <c r="AH234" i="44"/>
  <c r="I234" i="44" s="1"/>
  <c r="AG234" i="44"/>
  <c r="AF234" i="44"/>
  <c r="H234" i="44" s="1"/>
  <c r="AC234" i="44"/>
  <c r="D234" i="44" s="1"/>
  <c r="AB234" i="44"/>
  <c r="B234" i="44" s="1"/>
  <c r="AA234" i="44"/>
  <c r="C234" i="44"/>
  <c r="AI233" i="44"/>
  <c r="AH233" i="44"/>
  <c r="I233" i="44" s="1"/>
  <c r="AG233" i="44"/>
  <c r="AF233" i="44"/>
  <c r="H233" i="44" s="1"/>
  <c r="AC233" i="44"/>
  <c r="D233" i="44" s="1"/>
  <c r="AB233" i="44"/>
  <c r="B233" i="44" s="1"/>
  <c r="AA233" i="44"/>
  <c r="C233" i="44"/>
  <c r="AI232" i="44"/>
  <c r="AH232" i="44"/>
  <c r="I232" i="44" s="1"/>
  <c r="AG232" i="44"/>
  <c r="AF232" i="44"/>
  <c r="H232" i="44" s="1"/>
  <c r="AC232" i="44"/>
  <c r="D232" i="44" s="1"/>
  <c r="AB232" i="44"/>
  <c r="B232" i="44" s="1"/>
  <c r="AA232" i="44"/>
  <c r="C232" i="44"/>
  <c r="AI231" i="44"/>
  <c r="AH231" i="44"/>
  <c r="I231" i="44" s="1"/>
  <c r="AG231" i="44"/>
  <c r="AF231" i="44"/>
  <c r="H231" i="44" s="1"/>
  <c r="AC231" i="44"/>
  <c r="D231" i="44" s="1"/>
  <c r="AB231" i="44"/>
  <c r="B231" i="44" s="1"/>
  <c r="AA231" i="44"/>
  <c r="C231" i="44"/>
  <c r="AI230" i="44"/>
  <c r="AH230" i="44"/>
  <c r="I230" i="44" s="1"/>
  <c r="AG230" i="44"/>
  <c r="AF230" i="44"/>
  <c r="H230" i="44" s="1"/>
  <c r="AC230" i="44"/>
  <c r="D230" i="44" s="1"/>
  <c r="AB230" i="44"/>
  <c r="B230" i="44" s="1"/>
  <c r="AA230" i="44"/>
  <c r="C230" i="44"/>
  <c r="AI229" i="44"/>
  <c r="AH229" i="44"/>
  <c r="I229" i="44" s="1"/>
  <c r="AG229" i="44"/>
  <c r="AF229" i="44"/>
  <c r="H229" i="44" s="1"/>
  <c r="AC229" i="44"/>
  <c r="D229" i="44" s="1"/>
  <c r="AB229" i="44"/>
  <c r="B229" i="44" s="1"/>
  <c r="AA229" i="44"/>
  <c r="C229" i="44"/>
  <c r="AI228" i="44"/>
  <c r="AH228" i="44"/>
  <c r="I228" i="44" s="1"/>
  <c r="AG228" i="44"/>
  <c r="AF228" i="44"/>
  <c r="H228" i="44" s="1"/>
  <c r="AC228" i="44"/>
  <c r="D228" i="44" s="1"/>
  <c r="AB228" i="44"/>
  <c r="B228" i="44" s="1"/>
  <c r="AA228" i="44"/>
  <c r="C228" i="44"/>
  <c r="AI227" i="44"/>
  <c r="AH227" i="44"/>
  <c r="I227" i="44" s="1"/>
  <c r="AG227" i="44"/>
  <c r="AF227" i="44"/>
  <c r="H227" i="44" s="1"/>
  <c r="AC227" i="44"/>
  <c r="D227" i="44" s="1"/>
  <c r="AB227" i="44"/>
  <c r="B227" i="44" s="1"/>
  <c r="AA227" i="44"/>
  <c r="C227" i="44"/>
  <c r="AI226" i="44"/>
  <c r="AH226" i="44"/>
  <c r="I226" i="44" s="1"/>
  <c r="AG226" i="44"/>
  <c r="AF226" i="44"/>
  <c r="H226" i="44" s="1"/>
  <c r="AC226" i="44"/>
  <c r="D226" i="44" s="1"/>
  <c r="AB226" i="44"/>
  <c r="B226" i="44" s="1"/>
  <c r="AA226" i="44"/>
  <c r="C226" i="44"/>
  <c r="AI225" i="44"/>
  <c r="AH225" i="44"/>
  <c r="I225" i="44" s="1"/>
  <c r="AG225" i="44"/>
  <c r="AF225" i="44"/>
  <c r="H225" i="44" s="1"/>
  <c r="AC225" i="44"/>
  <c r="D225" i="44" s="1"/>
  <c r="AB225" i="44"/>
  <c r="B225" i="44" s="1"/>
  <c r="AA225" i="44"/>
  <c r="C225" i="44"/>
  <c r="AI224" i="44"/>
  <c r="AH224" i="44"/>
  <c r="I224" i="44" s="1"/>
  <c r="AG224" i="44"/>
  <c r="AF224" i="44"/>
  <c r="H224" i="44" s="1"/>
  <c r="AC224" i="44"/>
  <c r="D224" i="44" s="1"/>
  <c r="AB224" i="44"/>
  <c r="B224" i="44" s="1"/>
  <c r="AA224" i="44"/>
  <c r="C224" i="44"/>
  <c r="AI223" i="44"/>
  <c r="AH223" i="44"/>
  <c r="I223" i="44" s="1"/>
  <c r="AG223" i="44"/>
  <c r="AF223" i="44"/>
  <c r="H223" i="44" s="1"/>
  <c r="AC223" i="44"/>
  <c r="D223" i="44" s="1"/>
  <c r="AB223" i="44"/>
  <c r="B223" i="44" s="1"/>
  <c r="AA223" i="44"/>
  <c r="C223" i="44"/>
  <c r="AI222" i="44"/>
  <c r="AH222" i="44"/>
  <c r="I222" i="44" s="1"/>
  <c r="AG222" i="44"/>
  <c r="AF222" i="44"/>
  <c r="H222" i="44" s="1"/>
  <c r="AC222" i="44"/>
  <c r="D222" i="44" s="1"/>
  <c r="AB222" i="44"/>
  <c r="B222" i="44" s="1"/>
  <c r="AA222" i="44"/>
  <c r="C222" i="44"/>
  <c r="AI221" i="44"/>
  <c r="AH221" i="44"/>
  <c r="I221" i="44" s="1"/>
  <c r="AG221" i="44"/>
  <c r="AF221" i="44"/>
  <c r="H221" i="44" s="1"/>
  <c r="AC221" i="44"/>
  <c r="D221" i="44" s="1"/>
  <c r="AB221" i="44"/>
  <c r="B221" i="44" s="1"/>
  <c r="AA221" i="44"/>
  <c r="C221" i="44"/>
  <c r="AI220" i="44"/>
  <c r="AH220" i="44"/>
  <c r="I220" i="44" s="1"/>
  <c r="AG220" i="44"/>
  <c r="AF220" i="44"/>
  <c r="H220" i="44" s="1"/>
  <c r="AC220" i="44"/>
  <c r="D220" i="44" s="1"/>
  <c r="AB220" i="44"/>
  <c r="B220" i="44" s="1"/>
  <c r="AA220" i="44"/>
  <c r="C220" i="44"/>
  <c r="AI219" i="44"/>
  <c r="AH219" i="44"/>
  <c r="I219" i="44" s="1"/>
  <c r="AG219" i="44"/>
  <c r="AF219" i="44"/>
  <c r="H219" i="44" s="1"/>
  <c r="AC219" i="44"/>
  <c r="D219" i="44" s="1"/>
  <c r="AB219" i="44"/>
  <c r="B219" i="44" s="1"/>
  <c r="AA219" i="44"/>
  <c r="C219" i="44"/>
  <c r="AI218" i="44"/>
  <c r="AH218" i="44"/>
  <c r="I218" i="44" s="1"/>
  <c r="AG218" i="44"/>
  <c r="AF218" i="44"/>
  <c r="H218" i="44" s="1"/>
  <c r="AC218" i="44"/>
  <c r="D218" i="44" s="1"/>
  <c r="AB218" i="44"/>
  <c r="B218" i="44" s="1"/>
  <c r="AA218" i="44"/>
  <c r="C218" i="44"/>
  <c r="AI217" i="44"/>
  <c r="AH217" i="44"/>
  <c r="I217" i="44" s="1"/>
  <c r="AG217" i="44"/>
  <c r="AF217" i="44"/>
  <c r="H217" i="44" s="1"/>
  <c r="AC217" i="44"/>
  <c r="D217" i="44" s="1"/>
  <c r="AB217" i="44"/>
  <c r="B217" i="44" s="1"/>
  <c r="AA217" i="44"/>
  <c r="C217" i="44"/>
  <c r="AI216" i="44"/>
  <c r="AH216" i="44"/>
  <c r="I216" i="44" s="1"/>
  <c r="AG216" i="44"/>
  <c r="AF216" i="44"/>
  <c r="H216" i="44" s="1"/>
  <c r="AC216" i="44"/>
  <c r="D216" i="44" s="1"/>
  <c r="AB216" i="44"/>
  <c r="B216" i="44" s="1"/>
  <c r="AA216" i="44"/>
  <c r="C216" i="44"/>
  <c r="AI215" i="44"/>
  <c r="AH215" i="44"/>
  <c r="I215" i="44" s="1"/>
  <c r="AG215" i="44"/>
  <c r="AF215" i="44"/>
  <c r="H215" i="44" s="1"/>
  <c r="AC215" i="44"/>
  <c r="D215" i="44" s="1"/>
  <c r="AB215" i="44"/>
  <c r="B215" i="44" s="1"/>
  <c r="AA215" i="44"/>
  <c r="C215" i="44"/>
  <c r="AI214" i="44"/>
  <c r="AH214" i="44"/>
  <c r="I214" i="44" s="1"/>
  <c r="AG214" i="44"/>
  <c r="AF214" i="44"/>
  <c r="H214" i="44" s="1"/>
  <c r="AC214" i="44"/>
  <c r="D214" i="44" s="1"/>
  <c r="AB214" i="44"/>
  <c r="B214" i="44" s="1"/>
  <c r="AA214" i="44"/>
  <c r="C214" i="44"/>
  <c r="AI213" i="44"/>
  <c r="AH213" i="44"/>
  <c r="I213" i="44" s="1"/>
  <c r="AG213" i="44"/>
  <c r="AF213" i="44"/>
  <c r="H213" i="44" s="1"/>
  <c r="AC213" i="44"/>
  <c r="D213" i="44" s="1"/>
  <c r="AB213" i="44"/>
  <c r="B213" i="44" s="1"/>
  <c r="AA213" i="44"/>
  <c r="C213" i="44"/>
  <c r="AI212" i="44"/>
  <c r="AH212" i="44"/>
  <c r="I212" i="44" s="1"/>
  <c r="AG212" i="44"/>
  <c r="AF212" i="44"/>
  <c r="H212" i="44" s="1"/>
  <c r="AC212" i="44"/>
  <c r="D212" i="44" s="1"/>
  <c r="AB212" i="44"/>
  <c r="B212" i="44" s="1"/>
  <c r="AA212" i="44"/>
  <c r="C212" i="44"/>
  <c r="AI211" i="44"/>
  <c r="AH211" i="44"/>
  <c r="I211" i="44" s="1"/>
  <c r="AG211" i="44"/>
  <c r="AF211" i="44"/>
  <c r="H211" i="44" s="1"/>
  <c r="AC211" i="44"/>
  <c r="D211" i="44" s="1"/>
  <c r="AB211" i="44"/>
  <c r="B211" i="44" s="1"/>
  <c r="AA211" i="44"/>
  <c r="C211" i="44"/>
  <c r="AI210" i="44"/>
  <c r="AH210" i="44"/>
  <c r="I210" i="44" s="1"/>
  <c r="AG210" i="44"/>
  <c r="AF210" i="44"/>
  <c r="H210" i="44" s="1"/>
  <c r="AC210" i="44"/>
  <c r="D210" i="44" s="1"/>
  <c r="AB210" i="44"/>
  <c r="B210" i="44" s="1"/>
  <c r="AA210" i="44"/>
  <c r="C210" i="44"/>
  <c r="AI209" i="44"/>
  <c r="AH209" i="44"/>
  <c r="I209" i="44" s="1"/>
  <c r="AG209" i="44"/>
  <c r="AF209" i="44"/>
  <c r="H209" i="44" s="1"/>
  <c r="AC209" i="44"/>
  <c r="D209" i="44" s="1"/>
  <c r="AB209" i="44"/>
  <c r="B209" i="44" s="1"/>
  <c r="AA209" i="44"/>
  <c r="C209" i="44"/>
  <c r="AI208" i="44"/>
  <c r="AH208" i="44"/>
  <c r="I208" i="44" s="1"/>
  <c r="AG208" i="44"/>
  <c r="AF208" i="44"/>
  <c r="H208" i="44" s="1"/>
  <c r="AC208" i="44"/>
  <c r="D208" i="44" s="1"/>
  <c r="AB208" i="44"/>
  <c r="B208" i="44" s="1"/>
  <c r="AA208" i="44"/>
  <c r="C208" i="44"/>
  <c r="AI207" i="44"/>
  <c r="AH207" i="44"/>
  <c r="I207" i="44" s="1"/>
  <c r="AG207" i="44"/>
  <c r="AF207" i="44"/>
  <c r="H207" i="44" s="1"/>
  <c r="AC207" i="44"/>
  <c r="D207" i="44" s="1"/>
  <c r="AB207" i="44"/>
  <c r="B207" i="44" s="1"/>
  <c r="AA207" i="44"/>
  <c r="C207" i="44"/>
  <c r="AI206" i="44"/>
  <c r="AH206" i="44"/>
  <c r="I206" i="44" s="1"/>
  <c r="AG206" i="44"/>
  <c r="AF206" i="44"/>
  <c r="H206" i="44" s="1"/>
  <c r="AC206" i="44"/>
  <c r="D206" i="44" s="1"/>
  <c r="AB206" i="44"/>
  <c r="B206" i="44" s="1"/>
  <c r="AA206" i="44"/>
  <c r="C206" i="44"/>
  <c r="AI205" i="44"/>
  <c r="AH205" i="44"/>
  <c r="I205" i="44" s="1"/>
  <c r="AG205" i="44"/>
  <c r="AF205" i="44"/>
  <c r="H205" i="44" s="1"/>
  <c r="AC205" i="44"/>
  <c r="D205" i="44" s="1"/>
  <c r="AB205" i="44"/>
  <c r="B205" i="44" s="1"/>
  <c r="AA205" i="44"/>
  <c r="C205" i="44"/>
  <c r="AI204" i="44"/>
  <c r="AH204" i="44"/>
  <c r="I204" i="44" s="1"/>
  <c r="AG204" i="44"/>
  <c r="AF204" i="44"/>
  <c r="H204" i="44" s="1"/>
  <c r="AC204" i="44"/>
  <c r="D204" i="44" s="1"/>
  <c r="AB204" i="44"/>
  <c r="B204" i="44" s="1"/>
  <c r="AA204" i="44"/>
  <c r="C204" i="44"/>
  <c r="AI203" i="44"/>
  <c r="AH203" i="44"/>
  <c r="I203" i="44" s="1"/>
  <c r="AG203" i="44"/>
  <c r="AF203" i="44"/>
  <c r="H203" i="44" s="1"/>
  <c r="AC203" i="44"/>
  <c r="D203" i="44" s="1"/>
  <c r="AB203" i="44"/>
  <c r="B203" i="44" s="1"/>
  <c r="AA203" i="44"/>
  <c r="C203" i="44"/>
  <c r="AI202" i="44"/>
  <c r="AH202" i="44"/>
  <c r="I202" i="44" s="1"/>
  <c r="AG202" i="44"/>
  <c r="AF202" i="44"/>
  <c r="H202" i="44" s="1"/>
  <c r="AC202" i="44"/>
  <c r="D202" i="44" s="1"/>
  <c r="AB202" i="44"/>
  <c r="B202" i="44" s="1"/>
  <c r="AA202" i="44"/>
  <c r="C202" i="44"/>
  <c r="AI201" i="44"/>
  <c r="AH201" i="44"/>
  <c r="I201" i="44" s="1"/>
  <c r="AG201" i="44"/>
  <c r="AF201" i="44"/>
  <c r="H201" i="44" s="1"/>
  <c r="AC201" i="44"/>
  <c r="D201" i="44" s="1"/>
  <c r="AB201" i="44"/>
  <c r="B201" i="44" s="1"/>
  <c r="AA201" i="44"/>
  <c r="C201" i="44"/>
  <c r="AI200" i="44"/>
  <c r="AH200" i="44"/>
  <c r="I200" i="44" s="1"/>
  <c r="AG200" i="44"/>
  <c r="AF200" i="44"/>
  <c r="H200" i="44" s="1"/>
  <c r="AC200" i="44"/>
  <c r="D200" i="44" s="1"/>
  <c r="AB200" i="44"/>
  <c r="B200" i="44" s="1"/>
  <c r="AA200" i="44"/>
  <c r="C200" i="44"/>
  <c r="AI199" i="44"/>
  <c r="AH199" i="44"/>
  <c r="I199" i="44" s="1"/>
  <c r="AG199" i="44"/>
  <c r="AF199" i="44"/>
  <c r="H199" i="44" s="1"/>
  <c r="AC199" i="44"/>
  <c r="D199" i="44" s="1"/>
  <c r="AB199" i="44"/>
  <c r="B199" i="44" s="1"/>
  <c r="AA199" i="44"/>
  <c r="C199" i="44"/>
  <c r="AI198" i="44"/>
  <c r="AH198" i="44"/>
  <c r="I198" i="44" s="1"/>
  <c r="AG198" i="44"/>
  <c r="AF198" i="44"/>
  <c r="H198" i="44" s="1"/>
  <c r="AC198" i="44"/>
  <c r="D198" i="44" s="1"/>
  <c r="AB198" i="44"/>
  <c r="B198" i="44" s="1"/>
  <c r="AA198" i="44"/>
  <c r="C198" i="44"/>
  <c r="AI197" i="44"/>
  <c r="AH197" i="44"/>
  <c r="I197" i="44" s="1"/>
  <c r="AG197" i="44"/>
  <c r="AF197" i="44"/>
  <c r="H197" i="44" s="1"/>
  <c r="AC197" i="44"/>
  <c r="D197" i="44" s="1"/>
  <c r="AB197" i="44"/>
  <c r="B197" i="44" s="1"/>
  <c r="AA197" i="44"/>
  <c r="C197" i="44"/>
  <c r="AI196" i="44"/>
  <c r="AH196" i="44"/>
  <c r="I196" i="44" s="1"/>
  <c r="AG196" i="44"/>
  <c r="AF196" i="44"/>
  <c r="H196" i="44" s="1"/>
  <c r="AC196" i="44"/>
  <c r="D196" i="44" s="1"/>
  <c r="AB196" i="44"/>
  <c r="B196" i="44" s="1"/>
  <c r="AA196" i="44"/>
  <c r="C196" i="44"/>
  <c r="AI195" i="44"/>
  <c r="AH195" i="44"/>
  <c r="I195" i="44" s="1"/>
  <c r="AG195" i="44"/>
  <c r="AF195" i="44"/>
  <c r="H195" i="44" s="1"/>
  <c r="AC195" i="44"/>
  <c r="D195" i="44" s="1"/>
  <c r="AB195" i="44"/>
  <c r="B195" i="44" s="1"/>
  <c r="AA195" i="44"/>
  <c r="C195" i="44"/>
  <c r="AI194" i="44"/>
  <c r="AH194" i="44"/>
  <c r="I194" i="44" s="1"/>
  <c r="AG194" i="44"/>
  <c r="AF194" i="44"/>
  <c r="H194" i="44" s="1"/>
  <c r="AC194" i="44"/>
  <c r="D194" i="44" s="1"/>
  <c r="AB194" i="44"/>
  <c r="B194" i="44" s="1"/>
  <c r="AA194" i="44"/>
  <c r="C194" i="44"/>
  <c r="AI193" i="44"/>
  <c r="AH193" i="44"/>
  <c r="I193" i="44" s="1"/>
  <c r="AG193" i="44"/>
  <c r="AF193" i="44"/>
  <c r="H193" i="44" s="1"/>
  <c r="AC193" i="44"/>
  <c r="D193" i="44" s="1"/>
  <c r="AB193" i="44"/>
  <c r="B193" i="44" s="1"/>
  <c r="AA193" i="44"/>
  <c r="C193" i="44"/>
  <c r="AI192" i="44"/>
  <c r="AH192" i="44"/>
  <c r="I192" i="44" s="1"/>
  <c r="AG192" i="44"/>
  <c r="AF192" i="44"/>
  <c r="H192" i="44" s="1"/>
  <c r="AC192" i="44"/>
  <c r="D192" i="44" s="1"/>
  <c r="AB192" i="44"/>
  <c r="B192" i="44" s="1"/>
  <c r="AA192" i="44"/>
  <c r="C192" i="44"/>
  <c r="AI191" i="44"/>
  <c r="AH191" i="44"/>
  <c r="I191" i="44" s="1"/>
  <c r="AG191" i="44"/>
  <c r="AF191" i="44"/>
  <c r="H191" i="44" s="1"/>
  <c r="AC191" i="44"/>
  <c r="D191" i="44" s="1"/>
  <c r="AB191" i="44"/>
  <c r="B191" i="44" s="1"/>
  <c r="AA191" i="44"/>
  <c r="C191" i="44"/>
  <c r="AI190" i="44"/>
  <c r="AH190" i="44"/>
  <c r="I190" i="44" s="1"/>
  <c r="AG190" i="44"/>
  <c r="AF190" i="44"/>
  <c r="H190" i="44" s="1"/>
  <c r="AC190" i="44"/>
  <c r="D190" i="44" s="1"/>
  <c r="AB190" i="44"/>
  <c r="B190" i="44" s="1"/>
  <c r="AA190" i="44"/>
  <c r="C190" i="44"/>
  <c r="AI189" i="44"/>
  <c r="AH189" i="44"/>
  <c r="I189" i="44" s="1"/>
  <c r="AG189" i="44"/>
  <c r="AF189" i="44"/>
  <c r="H189" i="44" s="1"/>
  <c r="AC189" i="44"/>
  <c r="D189" i="44" s="1"/>
  <c r="AB189" i="44"/>
  <c r="B189" i="44" s="1"/>
  <c r="AA189" i="44"/>
  <c r="C189" i="44"/>
  <c r="AI188" i="44"/>
  <c r="AH188" i="44"/>
  <c r="I188" i="44" s="1"/>
  <c r="AG188" i="44"/>
  <c r="AF188" i="44"/>
  <c r="H188" i="44" s="1"/>
  <c r="AC188" i="44"/>
  <c r="D188" i="44" s="1"/>
  <c r="AB188" i="44"/>
  <c r="B188" i="44" s="1"/>
  <c r="AA188" i="44"/>
  <c r="C188" i="44"/>
  <c r="AI187" i="44"/>
  <c r="AH187" i="44"/>
  <c r="I187" i="44" s="1"/>
  <c r="AG187" i="44"/>
  <c r="AF187" i="44"/>
  <c r="H187" i="44" s="1"/>
  <c r="AC187" i="44"/>
  <c r="D187" i="44" s="1"/>
  <c r="AB187" i="44"/>
  <c r="B187" i="44" s="1"/>
  <c r="AA187" i="44"/>
  <c r="C187" i="44"/>
  <c r="AI186" i="44"/>
  <c r="AH186" i="44"/>
  <c r="I186" i="44" s="1"/>
  <c r="AG186" i="44"/>
  <c r="AF186" i="44"/>
  <c r="H186" i="44" s="1"/>
  <c r="AC186" i="44"/>
  <c r="D186" i="44" s="1"/>
  <c r="AB186" i="44"/>
  <c r="B186" i="44" s="1"/>
  <c r="AA186" i="44"/>
  <c r="C186" i="44"/>
  <c r="AI185" i="44"/>
  <c r="AH185" i="44"/>
  <c r="I185" i="44" s="1"/>
  <c r="AG185" i="44"/>
  <c r="AF185" i="44"/>
  <c r="H185" i="44" s="1"/>
  <c r="AC185" i="44"/>
  <c r="D185" i="44" s="1"/>
  <c r="AB185" i="44"/>
  <c r="B185" i="44" s="1"/>
  <c r="AA185" i="44"/>
  <c r="C185" i="44"/>
  <c r="AI184" i="44"/>
  <c r="AH184" i="44"/>
  <c r="I184" i="44" s="1"/>
  <c r="AG184" i="44"/>
  <c r="AF184" i="44"/>
  <c r="H184" i="44" s="1"/>
  <c r="AC184" i="44"/>
  <c r="D184" i="44" s="1"/>
  <c r="AB184" i="44"/>
  <c r="B184" i="44" s="1"/>
  <c r="AA184" i="44"/>
  <c r="C184" i="44"/>
  <c r="AI183" i="44"/>
  <c r="AH183" i="44"/>
  <c r="I183" i="44" s="1"/>
  <c r="AG183" i="44"/>
  <c r="AF183" i="44"/>
  <c r="H183" i="44" s="1"/>
  <c r="AC183" i="44"/>
  <c r="D183" i="44" s="1"/>
  <c r="AB183" i="44"/>
  <c r="B183" i="44" s="1"/>
  <c r="AA183" i="44"/>
  <c r="C183" i="44"/>
  <c r="AI182" i="44"/>
  <c r="AH182" i="44"/>
  <c r="I182" i="44" s="1"/>
  <c r="AG182" i="44"/>
  <c r="AF182" i="44"/>
  <c r="H182" i="44" s="1"/>
  <c r="AC182" i="44"/>
  <c r="D182" i="44" s="1"/>
  <c r="AB182" i="44"/>
  <c r="B182" i="44" s="1"/>
  <c r="AA182" i="44"/>
  <c r="C182" i="44"/>
  <c r="AI181" i="44"/>
  <c r="AH181" i="44"/>
  <c r="I181" i="44" s="1"/>
  <c r="AG181" i="44"/>
  <c r="AF181" i="44"/>
  <c r="H181" i="44" s="1"/>
  <c r="AC181" i="44"/>
  <c r="D181" i="44" s="1"/>
  <c r="AB181" i="44"/>
  <c r="B181" i="44" s="1"/>
  <c r="AA181" i="44"/>
  <c r="C181" i="44"/>
  <c r="AI180" i="44"/>
  <c r="AH180" i="44"/>
  <c r="I180" i="44" s="1"/>
  <c r="AG180" i="44"/>
  <c r="AF180" i="44"/>
  <c r="H180" i="44" s="1"/>
  <c r="AC180" i="44"/>
  <c r="D180" i="44" s="1"/>
  <c r="AB180" i="44"/>
  <c r="B180" i="44" s="1"/>
  <c r="AA180" i="44"/>
  <c r="C180" i="44"/>
  <c r="AI179" i="44"/>
  <c r="AH179" i="44"/>
  <c r="I179" i="44" s="1"/>
  <c r="AG179" i="44"/>
  <c r="AF179" i="44"/>
  <c r="H179" i="44" s="1"/>
  <c r="AC179" i="44"/>
  <c r="D179" i="44" s="1"/>
  <c r="AB179" i="44"/>
  <c r="B179" i="44" s="1"/>
  <c r="AA179" i="44"/>
  <c r="C179" i="44"/>
  <c r="AI178" i="44"/>
  <c r="AH178" i="44"/>
  <c r="I178" i="44" s="1"/>
  <c r="AG178" i="44"/>
  <c r="AF178" i="44"/>
  <c r="H178" i="44" s="1"/>
  <c r="AC178" i="44"/>
  <c r="D178" i="44" s="1"/>
  <c r="AB178" i="44"/>
  <c r="B178" i="44" s="1"/>
  <c r="AA178" i="44"/>
  <c r="C178" i="44"/>
  <c r="AI177" i="44"/>
  <c r="AH177" i="44"/>
  <c r="I177" i="44" s="1"/>
  <c r="AG177" i="44"/>
  <c r="AF177" i="44"/>
  <c r="H177" i="44" s="1"/>
  <c r="AC177" i="44"/>
  <c r="D177" i="44" s="1"/>
  <c r="AB177" i="44"/>
  <c r="B177" i="44" s="1"/>
  <c r="AA177" i="44"/>
  <c r="C177" i="44"/>
  <c r="AI176" i="44"/>
  <c r="AH176" i="44"/>
  <c r="I176" i="44" s="1"/>
  <c r="AG176" i="44"/>
  <c r="AF176" i="44"/>
  <c r="H176" i="44" s="1"/>
  <c r="AC176" i="44"/>
  <c r="D176" i="44" s="1"/>
  <c r="AB176" i="44"/>
  <c r="B176" i="44" s="1"/>
  <c r="AA176" i="44"/>
  <c r="C176" i="44"/>
  <c r="AI175" i="44"/>
  <c r="AH175" i="44"/>
  <c r="I175" i="44" s="1"/>
  <c r="AG175" i="44"/>
  <c r="AF175" i="44"/>
  <c r="H175" i="44" s="1"/>
  <c r="AC175" i="44"/>
  <c r="D175" i="44" s="1"/>
  <c r="AB175" i="44"/>
  <c r="B175" i="44" s="1"/>
  <c r="AA175" i="44"/>
  <c r="C175" i="44"/>
  <c r="AI174" i="44"/>
  <c r="AH174" i="44"/>
  <c r="I174" i="44" s="1"/>
  <c r="AG174" i="44"/>
  <c r="AF174" i="44"/>
  <c r="H174" i="44" s="1"/>
  <c r="AC174" i="44"/>
  <c r="D174" i="44" s="1"/>
  <c r="AB174" i="44"/>
  <c r="B174" i="44" s="1"/>
  <c r="AA174" i="44"/>
  <c r="C174" i="44"/>
  <c r="AI173" i="44"/>
  <c r="AH173" i="44"/>
  <c r="I173" i="44" s="1"/>
  <c r="AG173" i="44"/>
  <c r="AF173" i="44"/>
  <c r="H173" i="44" s="1"/>
  <c r="AC173" i="44"/>
  <c r="D173" i="44" s="1"/>
  <c r="AB173" i="44"/>
  <c r="B173" i="44" s="1"/>
  <c r="AA173" i="44"/>
  <c r="C173" i="44"/>
  <c r="AI172" i="44"/>
  <c r="AH172" i="44"/>
  <c r="I172" i="44" s="1"/>
  <c r="AG172" i="44"/>
  <c r="AF172" i="44"/>
  <c r="H172" i="44" s="1"/>
  <c r="AC172" i="44"/>
  <c r="D172" i="44" s="1"/>
  <c r="AB172" i="44"/>
  <c r="B172" i="44" s="1"/>
  <c r="AA172" i="44"/>
  <c r="C172" i="44"/>
  <c r="AI171" i="44"/>
  <c r="AH171" i="44"/>
  <c r="I171" i="44" s="1"/>
  <c r="AG171" i="44"/>
  <c r="AF171" i="44"/>
  <c r="H171" i="44" s="1"/>
  <c r="AC171" i="44"/>
  <c r="D171" i="44" s="1"/>
  <c r="AB171" i="44"/>
  <c r="B171" i="44" s="1"/>
  <c r="AA171" i="44"/>
  <c r="C171" i="44"/>
  <c r="AI170" i="44"/>
  <c r="AH170" i="44"/>
  <c r="I170" i="44" s="1"/>
  <c r="AG170" i="44"/>
  <c r="AF170" i="44"/>
  <c r="H170" i="44" s="1"/>
  <c r="AC170" i="44"/>
  <c r="D170" i="44" s="1"/>
  <c r="AB170" i="44"/>
  <c r="B170" i="44" s="1"/>
  <c r="AA170" i="44"/>
  <c r="C170" i="44"/>
  <c r="AI169" i="44"/>
  <c r="AH169" i="44"/>
  <c r="I169" i="44" s="1"/>
  <c r="AG169" i="44"/>
  <c r="AF169" i="44"/>
  <c r="H169" i="44" s="1"/>
  <c r="AC169" i="44"/>
  <c r="D169" i="44" s="1"/>
  <c r="AB169" i="44"/>
  <c r="B169" i="44" s="1"/>
  <c r="AA169" i="44"/>
  <c r="C169" i="44"/>
  <c r="AI168" i="44"/>
  <c r="AH168" i="44"/>
  <c r="I168" i="44" s="1"/>
  <c r="AG168" i="44"/>
  <c r="AF168" i="44"/>
  <c r="H168" i="44" s="1"/>
  <c r="AC168" i="44"/>
  <c r="D168" i="44" s="1"/>
  <c r="AB168" i="44"/>
  <c r="B168" i="44" s="1"/>
  <c r="AA168" i="44"/>
  <c r="C168" i="44"/>
  <c r="AI167" i="44"/>
  <c r="AH167" i="44"/>
  <c r="I167" i="44" s="1"/>
  <c r="AG167" i="44"/>
  <c r="AF167" i="44"/>
  <c r="H167" i="44" s="1"/>
  <c r="AC167" i="44"/>
  <c r="D167" i="44" s="1"/>
  <c r="AB167" i="44"/>
  <c r="B167" i="44" s="1"/>
  <c r="AA167" i="44"/>
  <c r="C167" i="44"/>
  <c r="AI166" i="44"/>
  <c r="AH166" i="44"/>
  <c r="I166" i="44" s="1"/>
  <c r="AG166" i="44"/>
  <c r="AF166" i="44"/>
  <c r="H166" i="44" s="1"/>
  <c r="AC166" i="44"/>
  <c r="D166" i="44" s="1"/>
  <c r="AB166" i="44"/>
  <c r="B166" i="44" s="1"/>
  <c r="AA166" i="44"/>
  <c r="C166" i="44"/>
  <c r="AI165" i="44"/>
  <c r="AH165" i="44"/>
  <c r="I165" i="44" s="1"/>
  <c r="AG165" i="44"/>
  <c r="AF165" i="44"/>
  <c r="H165" i="44" s="1"/>
  <c r="AC165" i="44"/>
  <c r="D165" i="44" s="1"/>
  <c r="AB165" i="44"/>
  <c r="B165" i="44" s="1"/>
  <c r="AA165" i="44"/>
  <c r="C165" i="44"/>
  <c r="AI164" i="44"/>
  <c r="AH164" i="44"/>
  <c r="I164" i="44" s="1"/>
  <c r="AG164" i="44"/>
  <c r="AF164" i="44"/>
  <c r="H164" i="44" s="1"/>
  <c r="AC164" i="44"/>
  <c r="D164" i="44" s="1"/>
  <c r="AB164" i="44"/>
  <c r="B164" i="44" s="1"/>
  <c r="AA164" i="44"/>
  <c r="C164" i="44"/>
  <c r="AI163" i="44"/>
  <c r="AH163" i="44"/>
  <c r="I163" i="44" s="1"/>
  <c r="AG163" i="44"/>
  <c r="AF163" i="44"/>
  <c r="H163" i="44" s="1"/>
  <c r="AC163" i="44"/>
  <c r="D163" i="44" s="1"/>
  <c r="AB163" i="44"/>
  <c r="B163" i="44" s="1"/>
  <c r="AA163" i="44"/>
  <c r="C163" i="44"/>
  <c r="AI162" i="44"/>
  <c r="AH162" i="44"/>
  <c r="I162" i="44" s="1"/>
  <c r="AG162" i="44"/>
  <c r="AF162" i="44"/>
  <c r="H162" i="44" s="1"/>
  <c r="AC162" i="44"/>
  <c r="D162" i="44" s="1"/>
  <c r="AB162" i="44"/>
  <c r="B162" i="44" s="1"/>
  <c r="AA162" i="44"/>
  <c r="C162" i="44"/>
  <c r="AI161" i="44"/>
  <c r="AH161" i="44"/>
  <c r="I161" i="44" s="1"/>
  <c r="AG161" i="44"/>
  <c r="AF161" i="44"/>
  <c r="H161" i="44" s="1"/>
  <c r="AC161" i="44"/>
  <c r="D161" i="44" s="1"/>
  <c r="AB161" i="44"/>
  <c r="B161" i="44" s="1"/>
  <c r="AA161" i="44"/>
  <c r="C161" i="44"/>
  <c r="AI160" i="44"/>
  <c r="AH160" i="44"/>
  <c r="I160" i="44" s="1"/>
  <c r="AG160" i="44"/>
  <c r="AF160" i="44"/>
  <c r="H160" i="44" s="1"/>
  <c r="AC160" i="44"/>
  <c r="D160" i="44" s="1"/>
  <c r="AB160" i="44"/>
  <c r="B160" i="44" s="1"/>
  <c r="AA160" i="44"/>
  <c r="C160" i="44"/>
  <c r="AI159" i="44"/>
  <c r="AH159" i="44"/>
  <c r="I159" i="44" s="1"/>
  <c r="AG159" i="44"/>
  <c r="AF159" i="44"/>
  <c r="H159" i="44" s="1"/>
  <c r="AC159" i="44"/>
  <c r="D159" i="44" s="1"/>
  <c r="AB159" i="44"/>
  <c r="B159" i="44" s="1"/>
  <c r="AA159" i="44"/>
  <c r="C159" i="44"/>
  <c r="AI158" i="44"/>
  <c r="AH158" i="44"/>
  <c r="I158" i="44" s="1"/>
  <c r="AG158" i="44"/>
  <c r="AF158" i="44"/>
  <c r="H158" i="44" s="1"/>
  <c r="AC158" i="44"/>
  <c r="D158" i="44" s="1"/>
  <c r="AB158" i="44"/>
  <c r="B158" i="44" s="1"/>
  <c r="AA158" i="44"/>
  <c r="C158" i="44"/>
  <c r="AI157" i="44"/>
  <c r="AH157" i="44"/>
  <c r="I157" i="44" s="1"/>
  <c r="AG157" i="44"/>
  <c r="AF157" i="44"/>
  <c r="H157" i="44" s="1"/>
  <c r="AC157" i="44"/>
  <c r="D157" i="44" s="1"/>
  <c r="AB157" i="44"/>
  <c r="B157" i="44" s="1"/>
  <c r="AA157" i="44"/>
  <c r="C157" i="44"/>
  <c r="AI156" i="44"/>
  <c r="AH156" i="44"/>
  <c r="I156" i="44" s="1"/>
  <c r="AG156" i="44"/>
  <c r="AF156" i="44"/>
  <c r="H156" i="44" s="1"/>
  <c r="AC156" i="44"/>
  <c r="D156" i="44" s="1"/>
  <c r="AB156" i="44"/>
  <c r="B156" i="44" s="1"/>
  <c r="AA156" i="44"/>
  <c r="C156" i="44"/>
  <c r="AI155" i="44"/>
  <c r="AH155" i="44"/>
  <c r="I155" i="44" s="1"/>
  <c r="AG155" i="44"/>
  <c r="AF155" i="44"/>
  <c r="H155" i="44" s="1"/>
  <c r="AC155" i="44"/>
  <c r="D155" i="44" s="1"/>
  <c r="AB155" i="44"/>
  <c r="B155" i="44" s="1"/>
  <c r="AA155" i="44"/>
  <c r="C155" i="44"/>
  <c r="AI154" i="44"/>
  <c r="AH154" i="44"/>
  <c r="I154" i="44" s="1"/>
  <c r="AG154" i="44"/>
  <c r="AF154" i="44"/>
  <c r="H154" i="44" s="1"/>
  <c r="AC154" i="44"/>
  <c r="D154" i="44" s="1"/>
  <c r="AB154" i="44"/>
  <c r="B154" i="44" s="1"/>
  <c r="AA154" i="44"/>
  <c r="C154" i="44"/>
  <c r="AI153" i="44"/>
  <c r="AH153" i="44"/>
  <c r="I153" i="44" s="1"/>
  <c r="AG153" i="44"/>
  <c r="AF153" i="44"/>
  <c r="H153" i="44" s="1"/>
  <c r="AC153" i="44"/>
  <c r="D153" i="44" s="1"/>
  <c r="AB153" i="44"/>
  <c r="B153" i="44" s="1"/>
  <c r="AA153" i="44"/>
  <c r="C153" i="44"/>
  <c r="AI152" i="44"/>
  <c r="AH152" i="44"/>
  <c r="I152" i="44" s="1"/>
  <c r="AG152" i="44"/>
  <c r="AF152" i="44"/>
  <c r="H152" i="44" s="1"/>
  <c r="AC152" i="44"/>
  <c r="D152" i="44" s="1"/>
  <c r="AB152" i="44"/>
  <c r="B152" i="44" s="1"/>
  <c r="AA152" i="44"/>
  <c r="C152" i="44"/>
  <c r="AI151" i="44"/>
  <c r="AH151" i="44"/>
  <c r="I151" i="44" s="1"/>
  <c r="AG151" i="44"/>
  <c r="AF151" i="44"/>
  <c r="H151" i="44" s="1"/>
  <c r="AC151" i="44"/>
  <c r="D151" i="44" s="1"/>
  <c r="AB151" i="44"/>
  <c r="B151" i="44" s="1"/>
  <c r="AA151" i="44"/>
  <c r="C151" i="44"/>
  <c r="AI150" i="44"/>
  <c r="AH150" i="44"/>
  <c r="I150" i="44" s="1"/>
  <c r="AG150" i="44"/>
  <c r="AF150" i="44"/>
  <c r="H150" i="44" s="1"/>
  <c r="AC150" i="44"/>
  <c r="D150" i="44" s="1"/>
  <c r="AB150" i="44"/>
  <c r="B150" i="44" s="1"/>
  <c r="AA150" i="44"/>
  <c r="C150" i="44"/>
  <c r="AI149" i="44"/>
  <c r="AH149" i="44"/>
  <c r="I149" i="44" s="1"/>
  <c r="AG149" i="44"/>
  <c r="AF149" i="44"/>
  <c r="H149" i="44" s="1"/>
  <c r="AC149" i="44"/>
  <c r="D149" i="44" s="1"/>
  <c r="AB149" i="44"/>
  <c r="B149" i="44" s="1"/>
  <c r="AA149" i="44"/>
  <c r="C149" i="44"/>
  <c r="AI148" i="44"/>
  <c r="AH148" i="44"/>
  <c r="I148" i="44" s="1"/>
  <c r="AG148" i="44"/>
  <c r="AF148" i="44"/>
  <c r="H148" i="44" s="1"/>
  <c r="AC148" i="44"/>
  <c r="D148" i="44" s="1"/>
  <c r="AB148" i="44"/>
  <c r="B148" i="44" s="1"/>
  <c r="AA148" i="44"/>
  <c r="C148" i="44"/>
  <c r="AI147" i="44"/>
  <c r="AH147" i="44"/>
  <c r="I147" i="44" s="1"/>
  <c r="AG147" i="44"/>
  <c r="AF147" i="44"/>
  <c r="H147" i="44" s="1"/>
  <c r="AC147" i="44"/>
  <c r="D147" i="44" s="1"/>
  <c r="AB147" i="44"/>
  <c r="B147" i="44" s="1"/>
  <c r="AA147" i="44"/>
  <c r="C147" i="44"/>
  <c r="AI146" i="44"/>
  <c r="AH146" i="44"/>
  <c r="I146" i="44" s="1"/>
  <c r="AG146" i="44"/>
  <c r="AF146" i="44"/>
  <c r="H146" i="44" s="1"/>
  <c r="AC146" i="44"/>
  <c r="D146" i="44" s="1"/>
  <c r="AB146" i="44"/>
  <c r="B146" i="44" s="1"/>
  <c r="AA146" i="44"/>
  <c r="C146" i="44"/>
  <c r="AI145" i="44"/>
  <c r="AH145" i="44"/>
  <c r="I145" i="44" s="1"/>
  <c r="AG145" i="44"/>
  <c r="AF145" i="44"/>
  <c r="H145" i="44" s="1"/>
  <c r="AC145" i="44"/>
  <c r="D145" i="44" s="1"/>
  <c r="AB145" i="44"/>
  <c r="B145" i="44" s="1"/>
  <c r="AA145" i="44"/>
  <c r="C145" i="44"/>
  <c r="AI144" i="44"/>
  <c r="AH144" i="44"/>
  <c r="I144" i="44" s="1"/>
  <c r="AG144" i="44"/>
  <c r="AF144" i="44"/>
  <c r="H144" i="44" s="1"/>
  <c r="AC144" i="44"/>
  <c r="D144" i="44" s="1"/>
  <c r="AB144" i="44"/>
  <c r="B144" i="44" s="1"/>
  <c r="AA144" i="44"/>
  <c r="C144" i="44"/>
  <c r="AI143" i="44"/>
  <c r="AH143" i="44"/>
  <c r="I143" i="44" s="1"/>
  <c r="AG143" i="44"/>
  <c r="AF143" i="44"/>
  <c r="H143" i="44" s="1"/>
  <c r="AC143" i="44"/>
  <c r="D143" i="44" s="1"/>
  <c r="AB143" i="44"/>
  <c r="B143" i="44" s="1"/>
  <c r="AA143" i="44"/>
  <c r="C143" i="44"/>
  <c r="AI142" i="44"/>
  <c r="AH142" i="44"/>
  <c r="I142" i="44" s="1"/>
  <c r="AG142" i="44"/>
  <c r="AF142" i="44"/>
  <c r="H142" i="44" s="1"/>
  <c r="AC142" i="44"/>
  <c r="D142" i="44" s="1"/>
  <c r="AB142" i="44"/>
  <c r="B142" i="44" s="1"/>
  <c r="AA142" i="44"/>
  <c r="C142" i="44"/>
  <c r="AI141" i="44"/>
  <c r="AH141" i="44"/>
  <c r="I141" i="44" s="1"/>
  <c r="AG141" i="44"/>
  <c r="AF141" i="44"/>
  <c r="H141" i="44" s="1"/>
  <c r="AC141" i="44"/>
  <c r="D141" i="44" s="1"/>
  <c r="AB141" i="44"/>
  <c r="B141" i="44" s="1"/>
  <c r="AA141" i="44"/>
  <c r="C141" i="44"/>
  <c r="AJ140" i="44"/>
  <c r="K140" i="44" s="1"/>
  <c r="AI140" i="44"/>
  <c r="AH140" i="44"/>
  <c r="I140" i="44" s="1"/>
  <c r="AG140" i="44"/>
  <c r="AF140" i="44"/>
  <c r="AC140" i="44"/>
  <c r="D140" i="44" s="1"/>
  <c r="AB140" i="44"/>
  <c r="B140" i="44" s="1"/>
  <c r="AA140" i="44"/>
  <c r="H140" i="44"/>
  <c r="C140" i="44"/>
  <c r="AI139" i="44"/>
  <c r="AH139" i="44"/>
  <c r="I139" i="44" s="1"/>
  <c r="AG139" i="44"/>
  <c r="AF139" i="44"/>
  <c r="H139" i="44" s="1"/>
  <c r="AC139" i="44"/>
  <c r="D139" i="44" s="1"/>
  <c r="AB139" i="44"/>
  <c r="B139" i="44" s="1"/>
  <c r="AA139" i="44"/>
  <c r="C139" i="44"/>
  <c r="AI138" i="44"/>
  <c r="I138" i="44" s="1"/>
  <c r="AG138" i="44"/>
  <c r="H138" i="44" s="1"/>
  <c r="AF138" i="44"/>
  <c r="AB138" i="44"/>
  <c r="B138" i="44" s="1"/>
  <c r="AA138" i="44"/>
  <c r="D138" i="44"/>
  <c r="C138" i="44"/>
  <c r="AI137" i="44"/>
  <c r="I137" i="44" s="1"/>
  <c r="AG137" i="44"/>
  <c r="H137" i="44" s="1"/>
  <c r="AF137" i="44"/>
  <c r="AB137" i="44"/>
  <c r="B137" i="44" s="1"/>
  <c r="AA137" i="44"/>
  <c r="D137" i="44"/>
  <c r="C137" i="44"/>
  <c r="AI136" i="44"/>
  <c r="I136" i="44" s="1"/>
  <c r="AG136" i="44"/>
  <c r="H136" i="44" s="1"/>
  <c r="AF136" i="44"/>
  <c r="AB136" i="44"/>
  <c r="B136" i="44" s="1"/>
  <c r="AA136" i="44"/>
  <c r="D136" i="44"/>
  <c r="C136" i="44"/>
  <c r="AI135" i="44"/>
  <c r="I135" i="44" s="1"/>
  <c r="AG135" i="44"/>
  <c r="H135" i="44" s="1"/>
  <c r="AF135" i="44"/>
  <c r="AB135" i="44"/>
  <c r="B135" i="44" s="1"/>
  <c r="AA135" i="44"/>
  <c r="D135" i="44"/>
  <c r="C135" i="44"/>
  <c r="AI134" i="44"/>
  <c r="I134" i="44" s="1"/>
  <c r="AG134" i="44"/>
  <c r="H134" i="44" s="1"/>
  <c r="AF134" i="44"/>
  <c r="AB134" i="44"/>
  <c r="B134" i="44" s="1"/>
  <c r="AA134" i="44"/>
  <c r="D134" i="44"/>
  <c r="C134" i="44"/>
  <c r="AJ133" i="44"/>
  <c r="K133" i="44" s="1"/>
  <c r="AI133" i="44"/>
  <c r="I133" i="44" s="1"/>
  <c r="AH133" i="44"/>
  <c r="AG133" i="44"/>
  <c r="H133" i="44" s="1"/>
  <c r="AF133" i="44"/>
  <c r="AB133" i="44"/>
  <c r="B133" i="44" s="1"/>
  <c r="AA133" i="44"/>
  <c r="D133" i="44"/>
  <c r="C133" i="44"/>
  <c r="AJ132" i="44"/>
  <c r="K132" i="44" s="1"/>
  <c r="AI132" i="44"/>
  <c r="I132" i="44" s="1"/>
  <c r="AH132" i="44"/>
  <c r="AG132" i="44"/>
  <c r="H132" i="44" s="1"/>
  <c r="AF132" i="44"/>
  <c r="AB132" i="44"/>
  <c r="B132" i="44" s="1"/>
  <c r="AA132" i="44"/>
  <c r="D132" i="44"/>
  <c r="C132" i="44"/>
  <c r="AI131" i="44"/>
  <c r="I131" i="44" s="1"/>
  <c r="AH131" i="44"/>
  <c r="AG131" i="44"/>
  <c r="H131" i="44" s="1"/>
  <c r="AF131" i="44"/>
  <c r="AB131" i="44"/>
  <c r="B131" i="44" s="1"/>
  <c r="AA131" i="44"/>
  <c r="D131" i="44"/>
  <c r="C131" i="44"/>
  <c r="AJ130" i="44"/>
  <c r="K130" i="44" s="1"/>
  <c r="AI130" i="44"/>
  <c r="I130" i="44" s="1"/>
  <c r="AH130" i="44"/>
  <c r="AG130" i="44"/>
  <c r="H130" i="44" s="1"/>
  <c r="AF130" i="44"/>
  <c r="AB130" i="44"/>
  <c r="B130" i="44" s="1"/>
  <c r="AA130" i="44"/>
  <c r="D130" i="44"/>
  <c r="C130" i="44"/>
  <c r="AI129" i="44"/>
  <c r="I129" i="44" s="1"/>
  <c r="AG129" i="44"/>
  <c r="H129" i="44" s="1"/>
  <c r="AF129" i="44"/>
  <c r="AB129" i="44"/>
  <c r="B129" i="44" s="1"/>
  <c r="AA129" i="44"/>
  <c r="D129" i="44"/>
  <c r="C129" i="44"/>
  <c r="AJ128" i="44"/>
  <c r="K128" i="44" s="1"/>
  <c r="AI128" i="44"/>
  <c r="I128" i="44" s="1"/>
  <c r="AH128" i="44"/>
  <c r="AG128" i="44"/>
  <c r="H128" i="44" s="1"/>
  <c r="AF128" i="44"/>
  <c r="AB128" i="44"/>
  <c r="B128" i="44" s="1"/>
  <c r="AA128" i="44"/>
  <c r="D128" i="44"/>
  <c r="C128" i="44"/>
  <c r="AI127" i="44"/>
  <c r="I127" i="44" s="1"/>
  <c r="AG127" i="44"/>
  <c r="H127" i="44" s="1"/>
  <c r="AF127" i="44"/>
  <c r="AB127" i="44"/>
  <c r="B127" i="44" s="1"/>
  <c r="AA127" i="44"/>
  <c r="D127" i="44"/>
  <c r="C127" i="44"/>
  <c r="AJ126" i="44"/>
  <c r="K126" i="44" s="1"/>
  <c r="AI126" i="44"/>
  <c r="I126" i="44" s="1"/>
  <c r="AH126" i="44"/>
  <c r="AG126" i="44"/>
  <c r="H126" i="44" s="1"/>
  <c r="AF126" i="44"/>
  <c r="AB126" i="44"/>
  <c r="B126" i="44" s="1"/>
  <c r="AA126" i="44"/>
  <c r="D126" i="44"/>
  <c r="C126" i="44"/>
  <c r="AI125" i="44"/>
  <c r="I125" i="44" s="1"/>
  <c r="AH125" i="44"/>
  <c r="AG125" i="44"/>
  <c r="H125" i="44" s="1"/>
  <c r="AF125" i="44"/>
  <c r="AB125" i="44"/>
  <c r="B125" i="44" s="1"/>
  <c r="AA125" i="44"/>
  <c r="D125" i="44"/>
  <c r="C125" i="44"/>
  <c r="AI124" i="44"/>
  <c r="I124" i="44" s="1"/>
  <c r="AH124" i="44"/>
  <c r="AG124" i="44"/>
  <c r="H124" i="44" s="1"/>
  <c r="AF124" i="44"/>
  <c r="AB124" i="44"/>
  <c r="B124" i="44" s="1"/>
  <c r="AA124" i="44"/>
  <c r="D124" i="44"/>
  <c r="C124" i="44"/>
  <c r="AI123" i="44"/>
  <c r="AG123" i="44"/>
  <c r="AF123" i="44"/>
  <c r="H123" i="44" s="1"/>
  <c r="AC123" i="44"/>
  <c r="D123" i="44" s="1"/>
  <c r="AB123" i="44"/>
  <c r="B123" i="44" s="1"/>
  <c r="AA123" i="44"/>
  <c r="C123" i="44"/>
  <c r="AJ122" i="44"/>
  <c r="K122" i="44" s="1"/>
  <c r="AI122" i="44"/>
  <c r="AH122" i="44"/>
  <c r="I122" i="44" s="1"/>
  <c r="AG122" i="44"/>
  <c r="AF122" i="44"/>
  <c r="H122" i="44" s="1"/>
  <c r="AC122" i="44"/>
  <c r="D122" i="44" s="1"/>
  <c r="AB122" i="44"/>
  <c r="B122" i="44" s="1"/>
  <c r="AA122" i="44"/>
  <c r="C122" i="44"/>
  <c r="AJ121" i="44"/>
  <c r="K121" i="44" s="1"/>
  <c r="AI121" i="44"/>
  <c r="AH121" i="44"/>
  <c r="I121" i="44" s="1"/>
  <c r="AG121" i="44"/>
  <c r="AF121" i="44"/>
  <c r="H121" i="44" s="1"/>
  <c r="AC121" i="44"/>
  <c r="D121" i="44" s="1"/>
  <c r="AB121" i="44"/>
  <c r="B121" i="44" s="1"/>
  <c r="AA121" i="44"/>
  <c r="C121" i="44"/>
  <c r="AI120" i="44"/>
  <c r="I120" i="44" s="1"/>
  <c r="AB120" i="44"/>
  <c r="B120" i="44" s="1"/>
  <c r="AA120" i="44"/>
  <c r="D120" i="44"/>
  <c r="C120" i="44"/>
  <c r="AI119" i="44"/>
  <c r="I119" i="44" s="1"/>
  <c r="AG119" i="44"/>
  <c r="H119" i="44" s="1"/>
  <c r="AF119" i="44"/>
  <c r="AB119" i="44"/>
  <c r="B119" i="44" s="1"/>
  <c r="AA119" i="44"/>
  <c r="D119" i="44"/>
  <c r="C119" i="44"/>
  <c r="AI118" i="44"/>
  <c r="AH118" i="44"/>
  <c r="I118" i="44" s="1"/>
  <c r="AG118" i="44"/>
  <c r="AF118" i="44"/>
  <c r="H118" i="44" s="1"/>
  <c r="AC118" i="44"/>
  <c r="D118" i="44" s="1"/>
  <c r="AB118" i="44"/>
  <c r="B118" i="44" s="1"/>
  <c r="AA118" i="44"/>
  <c r="C118" i="44"/>
  <c r="AI117" i="44"/>
  <c r="I117" i="44" s="1"/>
  <c r="AH117" i="44"/>
  <c r="AG117" i="44"/>
  <c r="H117" i="44" s="1"/>
  <c r="AF117" i="44"/>
  <c r="AB117" i="44"/>
  <c r="B117" i="44" s="1"/>
  <c r="AA117" i="44"/>
  <c r="D117" i="44"/>
  <c r="C117" i="44"/>
  <c r="AI116" i="44"/>
  <c r="I116" i="44" s="1"/>
  <c r="AH116" i="44"/>
  <c r="AG116" i="44"/>
  <c r="H116" i="44" s="1"/>
  <c r="AF116" i="44"/>
  <c r="AB116" i="44"/>
  <c r="B116" i="44" s="1"/>
  <c r="AA116" i="44"/>
  <c r="D116" i="44"/>
  <c r="C116" i="44"/>
  <c r="AJ115" i="44"/>
  <c r="K115" i="44" s="1"/>
  <c r="AI115" i="44"/>
  <c r="AH115" i="44"/>
  <c r="I115" i="44" s="1"/>
  <c r="AG115" i="44"/>
  <c r="AF115" i="44"/>
  <c r="H115" i="44" s="1"/>
  <c r="AC115" i="44"/>
  <c r="D115" i="44" s="1"/>
  <c r="AB115" i="44"/>
  <c r="B115" i="44" s="1"/>
  <c r="AA115" i="44"/>
  <c r="C115" i="44"/>
  <c r="AJ114" i="44"/>
  <c r="K114" i="44" s="1"/>
  <c r="AI114" i="44"/>
  <c r="AH114" i="44"/>
  <c r="I114" i="44" s="1"/>
  <c r="AG114" i="44"/>
  <c r="AF114" i="44"/>
  <c r="H114" i="44" s="1"/>
  <c r="AC114" i="44"/>
  <c r="D114" i="44" s="1"/>
  <c r="AB114" i="44"/>
  <c r="B114" i="44" s="1"/>
  <c r="AA114" i="44"/>
  <c r="C114" i="44"/>
  <c r="AI113" i="44"/>
  <c r="I113" i="44" s="1"/>
  <c r="AG113" i="44"/>
  <c r="H113" i="44" s="1"/>
  <c r="AF113" i="44"/>
  <c r="AB113" i="44"/>
  <c r="B113" i="44" s="1"/>
  <c r="AA113" i="44"/>
  <c r="D113" i="44"/>
  <c r="C113" i="44"/>
  <c r="AI112" i="44"/>
  <c r="I112" i="44" s="1"/>
  <c r="AH112" i="44"/>
  <c r="AG112" i="44"/>
  <c r="H112" i="44" s="1"/>
  <c r="AF112" i="44"/>
  <c r="AB112" i="44"/>
  <c r="B112" i="44" s="1"/>
  <c r="AA112" i="44"/>
  <c r="D112" i="44"/>
  <c r="C112" i="44"/>
  <c r="AI111" i="44"/>
  <c r="I111" i="44" s="1"/>
  <c r="AH111" i="44"/>
  <c r="AG111" i="44"/>
  <c r="H111" i="44" s="1"/>
  <c r="AF111" i="44"/>
  <c r="AB111" i="44"/>
  <c r="B111" i="44" s="1"/>
  <c r="AA111" i="44"/>
  <c r="D111" i="44"/>
  <c r="C111" i="44"/>
  <c r="AI110" i="44"/>
  <c r="AH110" i="44"/>
  <c r="I110" i="44" s="1"/>
  <c r="AG110" i="44"/>
  <c r="AF110" i="44"/>
  <c r="H110" i="44" s="1"/>
  <c r="AC110" i="44"/>
  <c r="D110" i="44" s="1"/>
  <c r="AB110" i="44"/>
  <c r="B110" i="44" s="1"/>
  <c r="AA110" i="44"/>
  <c r="C110" i="44"/>
  <c r="AI109" i="44"/>
  <c r="I109" i="44" s="1"/>
  <c r="AH109" i="44"/>
  <c r="AG109" i="44"/>
  <c r="H109" i="44" s="1"/>
  <c r="AF109" i="44"/>
  <c r="AB109" i="44"/>
  <c r="B109" i="44" s="1"/>
  <c r="AA109" i="44"/>
  <c r="D109" i="44"/>
  <c r="C109" i="44"/>
  <c r="AI108" i="44"/>
  <c r="I108" i="44" s="1"/>
  <c r="AH108" i="44"/>
  <c r="AG108" i="44"/>
  <c r="H108" i="44" s="1"/>
  <c r="AF108" i="44"/>
  <c r="AB108" i="44"/>
  <c r="B108" i="44" s="1"/>
  <c r="AA108" i="44"/>
  <c r="D108" i="44"/>
  <c r="C108" i="44"/>
  <c r="AI107" i="44"/>
  <c r="AH107" i="44"/>
  <c r="I107" i="44" s="1"/>
  <c r="AG107" i="44"/>
  <c r="AF107" i="44"/>
  <c r="H107" i="44" s="1"/>
  <c r="AC107" i="44"/>
  <c r="D107" i="44" s="1"/>
  <c r="AB107" i="44"/>
  <c r="B107" i="44" s="1"/>
  <c r="AA107" i="44"/>
  <c r="C107" i="44"/>
  <c r="AI106" i="44"/>
  <c r="AH106" i="44"/>
  <c r="I106" i="44" s="1"/>
  <c r="AG106" i="44"/>
  <c r="AF106" i="44"/>
  <c r="H106" i="44" s="1"/>
  <c r="AC106" i="44"/>
  <c r="D106" i="44" s="1"/>
  <c r="AB106" i="44"/>
  <c r="B106" i="44" s="1"/>
  <c r="AA106" i="44"/>
  <c r="C106" i="44"/>
  <c r="AI105" i="44"/>
  <c r="I105" i="44" s="1"/>
  <c r="AH105" i="44"/>
  <c r="AG105" i="44"/>
  <c r="H105" i="44" s="1"/>
  <c r="AF105" i="44"/>
  <c r="AB105" i="44"/>
  <c r="B105" i="44" s="1"/>
  <c r="AA105" i="44"/>
  <c r="D105" i="44"/>
  <c r="C105" i="44"/>
  <c r="AI104" i="44"/>
  <c r="I104" i="44" s="1"/>
  <c r="AG104" i="44"/>
  <c r="H104" i="44" s="1"/>
  <c r="AF104" i="44"/>
  <c r="AB104" i="44"/>
  <c r="B104" i="44" s="1"/>
  <c r="AA104" i="44"/>
  <c r="D104" i="44"/>
  <c r="C104" i="44"/>
  <c r="AI103" i="44"/>
  <c r="I103" i="44" s="1"/>
  <c r="AG103" i="44"/>
  <c r="H103" i="44" s="1"/>
  <c r="AF103" i="44"/>
  <c r="AB103" i="44"/>
  <c r="B103" i="44" s="1"/>
  <c r="AA103" i="44"/>
  <c r="D103" i="44"/>
  <c r="C103" i="44"/>
  <c r="AI102" i="44"/>
  <c r="AH102" i="44"/>
  <c r="I102" i="44" s="1"/>
  <c r="AG102" i="44"/>
  <c r="AF102" i="44"/>
  <c r="H102" i="44" s="1"/>
  <c r="AC102" i="44"/>
  <c r="D102" i="44" s="1"/>
  <c r="AB102" i="44"/>
  <c r="B102" i="44" s="1"/>
  <c r="AA102" i="44"/>
  <c r="C102" i="44"/>
  <c r="AI101" i="44"/>
  <c r="AH101" i="44"/>
  <c r="I101" i="44" s="1"/>
  <c r="AG101" i="44"/>
  <c r="AF101" i="44"/>
  <c r="H101" i="44" s="1"/>
  <c r="AC101" i="44"/>
  <c r="D101" i="44" s="1"/>
  <c r="AB101" i="44"/>
  <c r="B101" i="44" s="1"/>
  <c r="AA101" i="44"/>
  <c r="C101" i="44"/>
  <c r="AJ100" i="44"/>
  <c r="K100" i="44" s="1"/>
  <c r="AI100" i="44"/>
  <c r="AH100" i="44"/>
  <c r="I100" i="44" s="1"/>
  <c r="AG100" i="44"/>
  <c r="AF100" i="44"/>
  <c r="H100" i="44" s="1"/>
  <c r="AC100" i="44"/>
  <c r="D100" i="44" s="1"/>
  <c r="AB100" i="44"/>
  <c r="B100" i="44" s="1"/>
  <c r="AA100" i="44"/>
  <c r="C100" i="44"/>
  <c r="AI99" i="44"/>
  <c r="AH99" i="44"/>
  <c r="I99" i="44" s="1"/>
  <c r="AG99" i="44"/>
  <c r="AF99" i="44"/>
  <c r="H99" i="44" s="1"/>
  <c r="AC99" i="44"/>
  <c r="D99" i="44" s="1"/>
  <c r="AB99" i="44"/>
  <c r="B99" i="44" s="1"/>
  <c r="AA99" i="44"/>
  <c r="C99" i="44"/>
  <c r="AI98" i="44"/>
  <c r="AH98" i="44"/>
  <c r="I98" i="44" s="1"/>
  <c r="AG98" i="44"/>
  <c r="AF98" i="44"/>
  <c r="H98" i="44" s="1"/>
  <c r="AC98" i="44"/>
  <c r="D98" i="44" s="1"/>
  <c r="AB98" i="44"/>
  <c r="B98" i="44" s="1"/>
  <c r="AA98" i="44"/>
  <c r="C98" i="44"/>
  <c r="AI97" i="44"/>
  <c r="AH97" i="44"/>
  <c r="I97" i="44" s="1"/>
  <c r="AG97" i="44"/>
  <c r="AF97" i="44"/>
  <c r="H97" i="44" s="1"/>
  <c r="AC97" i="44"/>
  <c r="D97" i="44" s="1"/>
  <c r="AB97" i="44"/>
  <c r="B97" i="44" s="1"/>
  <c r="AA97" i="44"/>
  <c r="C97" i="44"/>
  <c r="AI96" i="44"/>
  <c r="AH96" i="44"/>
  <c r="I96" i="44" s="1"/>
  <c r="AG96" i="44"/>
  <c r="AF96" i="44"/>
  <c r="H96" i="44" s="1"/>
  <c r="AC96" i="44"/>
  <c r="D96" i="44" s="1"/>
  <c r="AB96" i="44"/>
  <c r="B96" i="44" s="1"/>
  <c r="AA96" i="44"/>
  <c r="C96" i="44"/>
  <c r="AI95" i="44"/>
  <c r="AH95" i="44"/>
  <c r="I95" i="44" s="1"/>
  <c r="AG95" i="44"/>
  <c r="AF95" i="44"/>
  <c r="H95" i="44" s="1"/>
  <c r="AC95" i="44"/>
  <c r="D95" i="44" s="1"/>
  <c r="AB95" i="44"/>
  <c r="B95" i="44" s="1"/>
  <c r="AA95" i="44"/>
  <c r="C95" i="44"/>
  <c r="AJ94" i="44"/>
  <c r="K94" i="44" s="1"/>
  <c r="AI94" i="44"/>
  <c r="I94" i="44" s="1"/>
  <c r="AH94" i="44"/>
  <c r="AG94" i="44"/>
  <c r="H94" i="44" s="1"/>
  <c r="AF94" i="44"/>
  <c r="AB94" i="44"/>
  <c r="B94" i="44" s="1"/>
  <c r="AA94" i="44"/>
  <c r="D94" i="44"/>
  <c r="C94" i="44"/>
  <c r="AI93" i="44"/>
  <c r="I93" i="44" s="1"/>
  <c r="AH93" i="44"/>
  <c r="AG93" i="44"/>
  <c r="H93" i="44" s="1"/>
  <c r="AF93" i="44"/>
  <c r="AB93" i="44"/>
  <c r="B93" i="44" s="1"/>
  <c r="AA93" i="44"/>
  <c r="D93" i="44"/>
  <c r="C93" i="44"/>
  <c r="AI92" i="44"/>
  <c r="I92" i="44" s="1"/>
  <c r="AH92" i="44"/>
  <c r="AG92" i="44"/>
  <c r="H92" i="44" s="1"/>
  <c r="AF92" i="44"/>
  <c r="AB92" i="44"/>
  <c r="B92" i="44" s="1"/>
  <c r="AA92" i="44"/>
  <c r="D92" i="44"/>
  <c r="C92" i="44"/>
  <c r="AI91" i="44"/>
  <c r="I91" i="44" s="1"/>
  <c r="AH91" i="44"/>
  <c r="AG91" i="44"/>
  <c r="H91" i="44" s="1"/>
  <c r="AF91" i="44"/>
  <c r="AB91" i="44"/>
  <c r="B91" i="44" s="1"/>
  <c r="AA91" i="44"/>
  <c r="D91" i="44"/>
  <c r="C91" i="44"/>
  <c r="AI90" i="44"/>
  <c r="I90" i="44" s="1"/>
  <c r="AH90" i="44"/>
  <c r="AG90" i="44"/>
  <c r="H90" i="44" s="1"/>
  <c r="AF90" i="44"/>
  <c r="AB90" i="44"/>
  <c r="B90" i="44" s="1"/>
  <c r="AA90" i="44"/>
  <c r="D90" i="44"/>
  <c r="C90" i="44"/>
  <c r="AI89" i="44"/>
  <c r="I89" i="44" s="1"/>
  <c r="AH89" i="44"/>
  <c r="AG89" i="44"/>
  <c r="H89" i="44" s="1"/>
  <c r="AF89" i="44"/>
  <c r="AB89" i="44"/>
  <c r="B89" i="44" s="1"/>
  <c r="AA89" i="44"/>
  <c r="D89" i="44"/>
  <c r="C89" i="44"/>
  <c r="AI88" i="44"/>
  <c r="I88" i="44" s="1"/>
  <c r="AH88" i="44"/>
  <c r="AG88" i="44"/>
  <c r="H88" i="44" s="1"/>
  <c r="AF88" i="44"/>
  <c r="AB88" i="44"/>
  <c r="B88" i="44" s="1"/>
  <c r="AA88" i="44"/>
  <c r="D88" i="44"/>
  <c r="C88" i="44"/>
  <c r="AI87" i="44"/>
  <c r="AH87" i="44"/>
  <c r="I87" i="44" s="1"/>
  <c r="AG87" i="44"/>
  <c r="AF87" i="44"/>
  <c r="H87" i="44" s="1"/>
  <c r="AC87" i="44"/>
  <c r="D87" i="44" s="1"/>
  <c r="AB87" i="44"/>
  <c r="B87" i="44" s="1"/>
  <c r="AA87" i="44"/>
  <c r="C87" i="44"/>
  <c r="AI86" i="44"/>
  <c r="AH86" i="44"/>
  <c r="I86" i="44" s="1"/>
  <c r="AG86" i="44"/>
  <c r="AF86" i="44"/>
  <c r="H86" i="44" s="1"/>
  <c r="AC86" i="44"/>
  <c r="D86" i="44" s="1"/>
  <c r="AB86" i="44"/>
  <c r="B86" i="44" s="1"/>
  <c r="AA86" i="44"/>
  <c r="C86" i="44"/>
  <c r="AJ85" i="44"/>
  <c r="K85" i="44" s="1"/>
  <c r="AI85" i="44"/>
  <c r="I85" i="44" s="1"/>
  <c r="AH85" i="44"/>
  <c r="AG85" i="44"/>
  <c r="H85" i="44" s="1"/>
  <c r="AF85" i="44"/>
  <c r="AB85" i="44"/>
  <c r="B85" i="44" s="1"/>
  <c r="AA85" i="44"/>
  <c r="D85" i="44"/>
  <c r="C85" i="44"/>
  <c r="AI84" i="44"/>
  <c r="I84" i="44" s="1"/>
  <c r="AH84" i="44"/>
  <c r="AG84" i="44"/>
  <c r="H84" i="44" s="1"/>
  <c r="AF84" i="44"/>
  <c r="AB84" i="44"/>
  <c r="B84" i="44" s="1"/>
  <c r="AA84" i="44"/>
  <c r="D84" i="44"/>
  <c r="C84" i="44"/>
  <c r="AI83" i="44"/>
  <c r="I83" i="44" s="1"/>
  <c r="AH83" i="44"/>
  <c r="AG83" i="44"/>
  <c r="H83" i="44" s="1"/>
  <c r="AF83" i="44"/>
  <c r="AB83" i="44"/>
  <c r="B83" i="44" s="1"/>
  <c r="AA83" i="44"/>
  <c r="D83" i="44"/>
  <c r="C83" i="44"/>
  <c r="AI82" i="44"/>
  <c r="I82" i="44" s="1"/>
  <c r="AH82" i="44"/>
  <c r="AG82" i="44"/>
  <c r="H82" i="44" s="1"/>
  <c r="AF82" i="44"/>
  <c r="AB82" i="44"/>
  <c r="B82" i="44" s="1"/>
  <c r="AA82" i="44"/>
  <c r="D82" i="44"/>
  <c r="C82" i="44"/>
  <c r="AI81" i="44"/>
  <c r="I81" i="44" s="1"/>
  <c r="AH81" i="44"/>
  <c r="AG81" i="44"/>
  <c r="H81" i="44" s="1"/>
  <c r="AF81" i="44"/>
  <c r="AB81" i="44"/>
  <c r="B81" i="44" s="1"/>
  <c r="AA81" i="44"/>
  <c r="D81" i="44"/>
  <c r="C81" i="44"/>
  <c r="AI80" i="44"/>
  <c r="I80" i="44" s="1"/>
  <c r="AH80" i="44"/>
  <c r="AG80" i="44"/>
  <c r="H80" i="44" s="1"/>
  <c r="AF80" i="44"/>
  <c r="AB80" i="44"/>
  <c r="B80" i="44" s="1"/>
  <c r="AA80" i="44"/>
  <c r="D80" i="44"/>
  <c r="C80" i="44"/>
  <c r="AI79" i="44"/>
  <c r="I79" i="44" s="1"/>
  <c r="AH79" i="44"/>
  <c r="AG79" i="44"/>
  <c r="H79" i="44" s="1"/>
  <c r="AF79" i="44"/>
  <c r="AB79" i="44"/>
  <c r="B79" i="44" s="1"/>
  <c r="AA79" i="44"/>
  <c r="D79" i="44"/>
  <c r="C79" i="44"/>
  <c r="AI78" i="44"/>
  <c r="I78" i="44" s="1"/>
  <c r="AG78" i="44"/>
  <c r="H78" i="44" s="1"/>
  <c r="AF78" i="44"/>
  <c r="AB78" i="44"/>
  <c r="B78" i="44" s="1"/>
  <c r="AA78" i="44"/>
  <c r="D78" i="44"/>
  <c r="C78" i="44"/>
  <c r="AI77" i="44"/>
  <c r="I77" i="44" s="1"/>
  <c r="AG77" i="44"/>
  <c r="H77" i="44" s="1"/>
  <c r="AF77" i="44"/>
  <c r="AB77" i="44"/>
  <c r="B77" i="44" s="1"/>
  <c r="AA77" i="44"/>
  <c r="D77" i="44"/>
  <c r="C77" i="44"/>
  <c r="AI76" i="44"/>
  <c r="I76" i="44" s="1"/>
  <c r="AH76" i="44"/>
  <c r="AG76" i="44"/>
  <c r="H76" i="44" s="1"/>
  <c r="AF76" i="44"/>
  <c r="AB76" i="44"/>
  <c r="B76" i="44" s="1"/>
  <c r="AA76" i="44"/>
  <c r="D76" i="44"/>
  <c r="C76" i="44"/>
  <c r="AI75" i="44"/>
  <c r="I75" i="44" s="1"/>
  <c r="AH75" i="44"/>
  <c r="AG75" i="44"/>
  <c r="H75" i="44" s="1"/>
  <c r="AF75" i="44"/>
  <c r="AB75" i="44"/>
  <c r="B75" i="44" s="1"/>
  <c r="AA75" i="44"/>
  <c r="D75" i="44"/>
  <c r="C75" i="44"/>
  <c r="AI74" i="44"/>
  <c r="I74" i="44" s="1"/>
  <c r="AH74" i="44"/>
  <c r="AG74" i="44"/>
  <c r="H74" i="44" s="1"/>
  <c r="AF74" i="44"/>
  <c r="AB74" i="44"/>
  <c r="B74" i="44" s="1"/>
  <c r="AA74" i="44"/>
  <c r="D74" i="44"/>
  <c r="C74" i="44"/>
  <c r="AI73" i="44"/>
  <c r="I73" i="44" s="1"/>
  <c r="AH73" i="44"/>
  <c r="AG73" i="44"/>
  <c r="H73" i="44" s="1"/>
  <c r="AF73" i="44"/>
  <c r="AB73" i="44"/>
  <c r="B73" i="44" s="1"/>
  <c r="AA73" i="44"/>
  <c r="D73" i="44"/>
  <c r="C73" i="44"/>
  <c r="AI72" i="44"/>
  <c r="I72" i="44" s="1"/>
  <c r="AH72" i="44"/>
  <c r="AG72" i="44"/>
  <c r="H72" i="44" s="1"/>
  <c r="AF72" i="44"/>
  <c r="AB72" i="44"/>
  <c r="AA72" i="44"/>
  <c r="D72" i="44"/>
  <c r="AI71" i="44"/>
  <c r="I71" i="44" s="1"/>
  <c r="AH71" i="44"/>
  <c r="AG71" i="44"/>
  <c r="H71" i="44" s="1"/>
  <c r="AF71" i="44"/>
  <c r="AB71" i="44"/>
  <c r="AA71" i="44"/>
  <c r="D71" i="44"/>
  <c r="AI70" i="44"/>
  <c r="I70" i="44" s="1"/>
  <c r="AH70" i="44"/>
  <c r="AG70" i="44"/>
  <c r="H70" i="44" s="1"/>
  <c r="AF70" i="44"/>
  <c r="AB70" i="44"/>
  <c r="AA70" i="44"/>
  <c r="D70" i="44"/>
  <c r="AI69" i="44"/>
  <c r="I69" i="44" s="1"/>
  <c r="AH69" i="44"/>
  <c r="AG69" i="44"/>
  <c r="H69" i="44" s="1"/>
  <c r="AF69" i="44"/>
  <c r="AB69" i="44"/>
  <c r="AA69" i="44"/>
  <c r="D69" i="44"/>
  <c r="AI68" i="44"/>
  <c r="I68" i="44" s="1"/>
  <c r="AH68" i="44"/>
  <c r="AG68" i="44"/>
  <c r="H68" i="44" s="1"/>
  <c r="AF68" i="44"/>
  <c r="AB68" i="44"/>
  <c r="AA68" i="44"/>
  <c r="D68" i="44"/>
  <c r="AI67" i="44"/>
  <c r="AH67" i="44"/>
  <c r="I67" i="44" s="1"/>
  <c r="AG67" i="44"/>
  <c r="AF67" i="44"/>
  <c r="H67" i="44" s="1"/>
  <c r="AC67" i="44"/>
  <c r="D67" i="44" s="1"/>
  <c r="AB67" i="44"/>
  <c r="AA67" i="44"/>
  <c r="AI66" i="44"/>
  <c r="AH66" i="44"/>
  <c r="I66" i="44" s="1"/>
  <c r="AG66" i="44"/>
  <c r="AF66" i="44"/>
  <c r="H66" i="44" s="1"/>
  <c r="AC66" i="44"/>
  <c r="D66" i="44" s="1"/>
  <c r="AB66" i="44"/>
  <c r="AA66" i="44"/>
  <c r="AI65" i="44"/>
  <c r="I65" i="44" s="1"/>
  <c r="AG65" i="44"/>
  <c r="H65" i="44" s="1"/>
  <c r="AF65" i="44"/>
  <c r="AB65" i="44"/>
  <c r="AA65" i="44"/>
  <c r="D65" i="44"/>
  <c r="AJ64" i="44"/>
  <c r="K64" i="44" s="1"/>
  <c r="AI64" i="44"/>
  <c r="I64" i="44" s="1"/>
  <c r="AH64" i="44"/>
  <c r="AG64" i="44"/>
  <c r="H64" i="44" s="1"/>
  <c r="AF64" i="44"/>
  <c r="AB64" i="44"/>
  <c r="AA64" i="44"/>
  <c r="D64" i="44"/>
  <c r="AI63" i="44"/>
  <c r="I63" i="44" s="1"/>
  <c r="AH63" i="44"/>
  <c r="AG63" i="44"/>
  <c r="H63" i="44" s="1"/>
  <c r="AF63" i="44"/>
  <c r="AB63" i="44"/>
  <c r="AA63" i="44"/>
  <c r="D63" i="44"/>
  <c r="AI62" i="44"/>
  <c r="I62" i="44" s="1"/>
  <c r="AG62" i="44"/>
  <c r="H62" i="44" s="1"/>
  <c r="AF62" i="44"/>
  <c r="AB62" i="44"/>
  <c r="AA62" i="44"/>
  <c r="D62" i="44"/>
  <c r="AI61" i="44"/>
  <c r="I61" i="44" s="1"/>
  <c r="AH61" i="44"/>
  <c r="AG61" i="44"/>
  <c r="H61" i="44" s="1"/>
  <c r="AF61" i="44"/>
  <c r="AB61" i="44"/>
  <c r="AA61" i="44"/>
  <c r="D61" i="44"/>
  <c r="AI60" i="44"/>
  <c r="I60" i="44" s="1"/>
  <c r="AG60" i="44"/>
  <c r="H60" i="44" s="1"/>
  <c r="AF60" i="44"/>
  <c r="AB60" i="44"/>
  <c r="AA60" i="44"/>
  <c r="D60" i="44"/>
  <c r="AI59" i="44"/>
  <c r="I59" i="44" s="1"/>
  <c r="AG59" i="44"/>
  <c r="H59" i="44" s="1"/>
  <c r="AF59" i="44"/>
  <c r="AB59" i="44"/>
  <c r="AA59" i="44"/>
  <c r="D59" i="44"/>
  <c r="AI58" i="44"/>
  <c r="I58" i="44" s="1"/>
  <c r="AH58" i="44"/>
  <c r="AG58" i="44"/>
  <c r="H58" i="44" s="1"/>
  <c r="AF58" i="44"/>
  <c r="AB58" i="44"/>
  <c r="AA58" i="44"/>
  <c r="D58" i="44"/>
  <c r="AI57" i="44"/>
  <c r="I57" i="44" s="1"/>
  <c r="AG57" i="44"/>
  <c r="H57" i="44" s="1"/>
  <c r="AF57" i="44"/>
  <c r="AB57" i="44"/>
  <c r="AA57" i="44"/>
  <c r="D57" i="44"/>
  <c r="AI56" i="44"/>
  <c r="I56" i="44" s="1"/>
  <c r="AH56" i="44"/>
  <c r="AG56" i="44"/>
  <c r="H56" i="44" s="1"/>
  <c r="AF56" i="44"/>
  <c r="AB56" i="44"/>
  <c r="AA56" i="44"/>
  <c r="D56" i="44"/>
  <c r="AI55" i="44"/>
  <c r="I55" i="44" s="1"/>
  <c r="AH55" i="44"/>
  <c r="AG55" i="44"/>
  <c r="H55" i="44" s="1"/>
  <c r="AF55" i="44"/>
  <c r="AB55" i="44"/>
  <c r="AA55" i="44"/>
  <c r="D55" i="44"/>
  <c r="AI54" i="44"/>
  <c r="I54" i="44" s="1"/>
  <c r="AH54" i="44"/>
  <c r="AG54" i="44"/>
  <c r="H54" i="44" s="1"/>
  <c r="AF54" i="44"/>
  <c r="AB54" i="44"/>
  <c r="AA54" i="44"/>
  <c r="D54" i="44"/>
  <c r="AI53" i="44"/>
  <c r="I53" i="44" s="1"/>
  <c r="AG53" i="44"/>
  <c r="H53" i="44" s="1"/>
  <c r="AF53" i="44"/>
  <c r="AB53" i="44"/>
  <c r="AA53" i="44"/>
  <c r="D53" i="44"/>
  <c r="AI52" i="44"/>
  <c r="I52" i="44" s="1"/>
  <c r="AH52" i="44"/>
  <c r="AG52" i="44"/>
  <c r="H52" i="44" s="1"/>
  <c r="AF52" i="44"/>
  <c r="AB52" i="44"/>
  <c r="AA52" i="44"/>
  <c r="D52" i="44"/>
  <c r="AI51" i="44"/>
  <c r="I51" i="44" s="1"/>
  <c r="AH51" i="44"/>
  <c r="AG51" i="44"/>
  <c r="H51" i="44" s="1"/>
  <c r="AF51" i="44"/>
  <c r="AB51" i="44"/>
  <c r="AA51" i="44"/>
  <c r="D51" i="44"/>
  <c r="AJ50" i="44"/>
  <c r="K50" i="44" s="1"/>
  <c r="AI50" i="44"/>
  <c r="I50" i="44" s="1"/>
  <c r="AH50" i="44"/>
  <c r="AF50" i="44"/>
  <c r="AB50" i="44"/>
  <c r="AA50" i="44"/>
  <c r="D50" i="44"/>
  <c r="AI49" i="44"/>
  <c r="I49" i="44" s="1"/>
  <c r="AH49" i="44"/>
  <c r="AG49" i="44"/>
  <c r="H49" i="44" s="1"/>
  <c r="AF49" i="44"/>
  <c r="AB49" i="44"/>
  <c r="AA49" i="44"/>
  <c r="D49" i="44"/>
  <c r="AJ48" i="44"/>
  <c r="K48" i="44" s="1"/>
  <c r="AI48" i="44"/>
  <c r="I48" i="44" s="1"/>
  <c r="AH48" i="44"/>
  <c r="AG48" i="44"/>
  <c r="H48" i="44" s="1"/>
  <c r="AF48" i="44"/>
  <c r="AB48" i="44"/>
  <c r="AA48" i="44"/>
  <c r="D48" i="44"/>
  <c r="AI47" i="44"/>
  <c r="I47" i="44" s="1"/>
  <c r="AH47" i="44"/>
  <c r="AG47" i="44"/>
  <c r="H47" i="44" s="1"/>
  <c r="AF47" i="44"/>
  <c r="AB47" i="44"/>
  <c r="AA47" i="44"/>
  <c r="D47" i="44"/>
  <c r="AI46" i="44"/>
  <c r="I46" i="44" s="1"/>
  <c r="AH46" i="44"/>
  <c r="AG46" i="44"/>
  <c r="H46" i="44" s="1"/>
  <c r="AF46" i="44"/>
  <c r="AB46" i="44"/>
  <c r="AA46" i="44"/>
  <c r="D46" i="44"/>
  <c r="AI45" i="44"/>
  <c r="I45" i="44" s="1"/>
  <c r="AH45" i="44"/>
  <c r="AG45" i="44"/>
  <c r="H45" i="44" s="1"/>
  <c r="AF45" i="44"/>
  <c r="AB45" i="44"/>
  <c r="AA45" i="44"/>
  <c r="D45" i="44"/>
  <c r="AI44" i="44"/>
  <c r="I44" i="44" s="1"/>
  <c r="AH44" i="44"/>
  <c r="AG44" i="44"/>
  <c r="H44" i="44" s="1"/>
  <c r="AF44" i="44"/>
  <c r="AB44" i="44"/>
  <c r="AA44" i="44"/>
  <c r="D44" i="44"/>
  <c r="AI43" i="44"/>
  <c r="I43" i="44" s="1"/>
  <c r="AH43" i="44"/>
  <c r="AG43" i="44"/>
  <c r="H43" i="44" s="1"/>
  <c r="AF43" i="44"/>
  <c r="AB43" i="44"/>
  <c r="AA43" i="44"/>
  <c r="D43" i="44"/>
  <c r="AI42" i="44"/>
  <c r="I42" i="44" s="1"/>
  <c r="AH42" i="44"/>
  <c r="AG42" i="44"/>
  <c r="H42" i="44" s="1"/>
  <c r="AF42" i="44"/>
  <c r="AB42" i="44"/>
  <c r="AA42" i="44"/>
  <c r="D42" i="44"/>
  <c r="AI41" i="44"/>
  <c r="I41" i="44" s="1"/>
  <c r="AH41" i="44"/>
  <c r="AG41" i="44"/>
  <c r="H41" i="44" s="1"/>
  <c r="AF41" i="44"/>
  <c r="AB41" i="44"/>
  <c r="AA41" i="44"/>
  <c r="D41" i="44"/>
  <c r="AI40" i="44"/>
  <c r="I40" i="44" s="1"/>
  <c r="AH40" i="44"/>
  <c r="AG40" i="44"/>
  <c r="H40" i="44" s="1"/>
  <c r="AF40" i="44"/>
  <c r="AB40" i="44"/>
  <c r="AA40" i="44"/>
  <c r="D40" i="44"/>
  <c r="AI39" i="44"/>
  <c r="I39" i="44" s="1"/>
  <c r="AH39" i="44"/>
  <c r="AG39" i="44"/>
  <c r="H39" i="44" s="1"/>
  <c r="AF39" i="44"/>
  <c r="AB39" i="44"/>
  <c r="AA39" i="44"/>
  <c r="D39" i="44"/>
  <c r="AI38" i="44"/>
  <c r="I38" i="44" s="1"/>
  <c r="AH38" i="44"/>
  <c r="AG38" i="44"/>
  <c r="H38" i="44" s="1"/>
  <c r="AF38" i="44"/>
  <c r="AB38" i="44"/>
  <c r="AA38" i="44"/>
  <c r="D38" i="44"/>
  <c r="AI37" i="44"/>
  <c r="I37" i="44" s="1"/>
  <c r="AH37" i="44"/>
  <c r="AG37" i="44"/>
  <c r="H37" i="44" s="1"/>
  <c r="AF37" i="44"/>
  <c r="AB37" i="44"/>
  <c r="AA37" i="44"/>
  <c r="D37" i="44"/>
  <c r="AI36" i="44"/>
  <c r="I36" i="44" s="1"/>
  <c r="AH36" i="44"/>
  <c r="AG36" i="44"/>
  <c r="H36" i="44" s="1"/>
  <c r="AF36" i="44"/>
  <c r="AB36" i="44"/>
  <c r="AA36" i="44"/>
  <c r="D36" i="44"/>
  <c r="AI35" i="44"/>
  <c r="I35" i="44" s="1"/>
  <c r="AH35" i="44"/>
  <c r="AG35" i="44"/>
  <c r="H35" i="44" s="1"/>
  <c r="AF35" i="44"/>
  <c r="AB35" i="44"/>
  <c r="AA35" i="44"/>
  <c r="D35" i="44"/>
  <c r="AJ34" i="44"/>
  <c r="K34" i="44" s="1"/>
  <c r="AI34" i="44"/>
  <c r="I34" i="44" s="1"/>
  <c r="AH34" i="44"/>
  <c r="AG34" i="44"/>
  <c r="H34" i="44" s="1"/>
  <c r="AF34" i="44"/>
  <c r="AB34" i="44"/>
  <c r="AA34" i="44"/>
  <c r="D34" i="44"/>
  <c r="AI33" i="44"/>
  <c r="I33" i="44" s="1"/>
  <c r="AH33" i="44"/>
  <c r="AG33" i="44"/>
  <c r="H33" i="44" s="1"/>
  <c r="AF33" i="44"/>
  <c r="AB33" i="44"/>
  <c r="AA33" i="44"/>
  <c r="D33" i="44"/>
  <c r="AI32" i="44"/>
  <c r="I32" i="44" s="1"/>
  <c r="AH32" i="44"/>
  <c r="AG32" i="44"/>
  <c r="H32" i="44" s="1"/>
  <c r="AF32" i="44"/>
  <c r="AB32" i="44"/>
  <c r="AA32" i="44"/>
  <c r="D32" i="44"/>
  <c r="AI31" i="44"/>
  <c r="I31" i="44" s="1"/>
  <c r="AH31" i="44"/>
  <c r="AG31" i="44"/>
  <c r="H31" i="44" s="1"/>
  <c r="AF31" i="44"/>
  <c r="AB31" i="44"/>
  <c r="AA31" i="44"/>
  <c r="D31" i="44"/>
  <c r="AI30" i="44"/>
  <c r="I30" i="44" s="1"/>
  <c r="AH30" i="44"/>
  <c r="AG30" i="44"/>
  <c r="H30" i="44" s="1"/>
  <c r="AF30" i="44"/>
  <c r="AB30" i="44"/>
  <c r="AA30" i="44"/>
  <c r="D30" i="44"/>
  <c r="AI29" i="44"/>
  <c r="I29" i="44" s="1"/>
  <c r="AH29" i="44"/>
  <c r="AG29" i="44"/>
  <c r="H29" i="44" s="1"/>
  <c r="AF29" i="44"/>
  <c r="AB29" i="44"/>
  <c r="AA29" i="44"/>
  <c r="D29" i="44"/>
  <c r="AI28" i="44"/>
  <c r="I28" i="44" s="1"/>
  <c r="AH28" i="44"/>
  <c r="AG28" i="44"/>
  <c r="H28" i="44" s="1"/>
  <c r="AF28" i="44"/>
  <c r="AB28" i="44"/>
  <c r="AA28" i="44"/>
  <c r="D28" i="44"/>
  <c r="AI27" i="44"/>
  <c r="I27" i="44" s="1"/>
  <c r="AH27" i="44"/>
  <c r="AG27" i="44"/>
  <c r="H27" i="44" s="1"/>
  <c r="AF27" i="44"/>
  <c r="AB27" i="44"/>
  <c r="AA27" i="44"/>
  <c r="D27" i="44"/>
  <c r="AI26" i="44"/>
  <c r="I26" i="44" s="1"/>
  <c r="AH26" i="44"/>
  <c r="AB26" i="44"/>
  <c r="AA26" i="44"/>
  <c r="D26" i="44"/>
  <c r="AI25" i="44"/>
  <c r="I25" i="44" s="1"/>
  <c r="AH25" i="44"/>
  <c r="AG25" i="44"/>
  <c r="H25" i="44" s="1"/>
  <c r="AF25" i="44"/>
  <c r="AB25" i="44"/>
  <c r="AA25" i="44"/>
  <c r="D25" i="44"/>
  <c r="AI24" i="44"/>
  <c r="I24" i="44" s="1"/>
  <c r="AH24" i="44"/>
  <c r="AG24" i="44"/>
  <c r="H24" i="44" s="1"/>
  <c r="AF24" i="44"/>
  <c r="AB24" i="44"/>
  <c r="AA24" i="44"/>
  <c r="D24" i="44"/>
  <c r="AI23" i="44"/>
  <c r="I23" i="44" s="1"/>
  <c r="AH23" i="44"/>
  <c r="AG23" i="44"/>
  <c r="H23" i="44" s="1"/>
  <c r="AF23" i="44"/>
  <c r="AB23" i="44"/>
  <c r="AA23" i="44"/>
  <c r="D23" i="44"/>
  <c r="AI22" i="44"/>
  <c r="I22" i="44" s="1"/>
  <c r="AH22" i="44"/>
  <c r="AG22" i="44"/>
  <c r="H22" i="44" s="1"/>
  <c r="AF22" i="44"/>
  <c r="AB22" i="44"/>
  <c r="AA22" i="44"/>
  <c r="D22" i="44"/>
  <c r="AI21" i="44"/>
  <c r="I21" i="44" s="1"/>
  <c r="AG21" i="44"/>
  <c r="H21" i="44" s="1"/>
  <c r="AF21" i="44"/>
  <c r="AB21" i="44"/>
  <c r="AA21" i="44"/>
  <c r="D21" i="44"/>
  <c r="AI20" i="44"/>
  <c r="I20" i="44" s="1"/>
  <c r="AH20" i="44"/>
  <c r="AG20" i="44"/>
  <c r="H20" i="44" s="1"/>
  <c r="AF20" i="44"/>
  <c r="AB20" i="44"/>
  <c r="B20" i="44" s="1"/>
  <c r="AA20" i="44"/>
  <c r="D20" i="44"/>
  <c r="AI19" i="44"/>
  <c r="I19" i="44" s="1"/>
  <c r="AH19" i="44"/>
  <c r="AG19" i="44"/>
  <c r="H19" i="44" s="1"/>
  <c r="AF19" i="44"/>
  <c r="AB19" i="44"/>
  <c r="AA19" i="44"/>
  <c r="D19" i="44"/>
  <c r="AI18" i="44"/>
  <c r="I18" i="44" s="1"/>
  <c r="AG18" i="44"/>
  <c r="H18" i="44" s="1"/>
  <c r="AF18" i="44"/>
  <c r="AB18" i="44"/>
  <c r="AA18" i="44"/>
  <c r="D18" i="44"/>
  <c r="AI17" i="44"/>
  <c r="I17" i="44" s="1"/>
  <c r="AG17" i="44"/>
  <c r="H17" i="44" s="1"/>
  <c r="AF17" i="44"/>
  <c r="AB17" i="44"/>
  <c r="AA17" i="44"/>
  <c r="D17" i="44"/>
  <c r="AI16" i="44"/>
  <c r="I16" i="44" s="1"/>
  <c r="AG16" i="44"/>
  <c r="H16" i="44" s="1"/>
  <c r="AF16" i="44"/>
  <c r="AB16" i="44"/>
  <c r="AA16" i="44"/>
  <c r="N16" i="44"/>
  <c r="M16" i="44"/>
  <c r="D16" i="44"/>
  <c r="AI15" i="44"/>
  <c r="I15" i="44" s="1"/>
  <c r="AG15" i="44"/>
  <c r="H15" i="44" s="1"/>
  <c r="AF15" i="44"/>
  <c r="AB15" i="44"/>
  <c r="AA15" i="44"/>
  <c r="N15" i="44"/>
  <c r="M15" i="44"/>
  <c r="D15" i="44"/>
  <c r="AI14" i="44"/>
  <c r="I14" i="44" s="1"/>
  <c r="AH14" i="44"/>
  <c r="AG14" i="44"/>
  <c r="H14" i="44" s="1"/>
  <c r="AF14" i="44"/>
  <c r="AB14" i="44"/>
  <c r="AA14" i="44"/>
  <c r="N14" i="44"/>
  <c r="M14" i="44"/>
  <c r="D14" i="44"/>
  <c r="AI13" i="44"/>
  <c r="I13" i="44" s="1"/>
  <c r="AH13" i="44"/>
  <c r="AG13" i="44"/>
  <c r="H13" i="44" s="1"/>
  <c r="AF13" i="44"/>
  <c r="AB13" i="44"/>
  <c r="B13" i="44" s="1"/>
  <c r="AA13" i="44"/>
  <c r="D13" i="44"/>
  <c r="C13" i="44"/>
  <c r="AI12" i="44"/>
  <c r="I12" i="44" s="1"/>
  <c r="AH12" i="44"/>
  <c r="AG12" i="44"/>
  <c r="H12" i="44" s="1"/>
  <c r="AF12" i="44"/>
  <c r="AB12" i="44"/>
  <c r="AA12" i="44"/>
  <c r="N12" i="44"/>
  <c r="M12" i="44"/>
  <c r="D12" i="44"/>
  <c r="AI11" i="44"/>
  <c r="I11" i="44" s="1"/>
  <c r="AH11" i="44"/>
  <c r="AG11" i="44"/>
  <c r="H11" i="44" s="1"/>
  <c r="AF11" i="44"/>
  <c r="AB11" i="44"/>
  <c r="AA11" i="44"/>
  <c r="N11" i="44"/>
  <c r="M11" i="44"/>
  <c r="D11" i="44"/>
  <c r="AJ10" i="44"/>
  <c r="K10" i="44" s="1"/>
  <c r="AI10" i="44"/>
  <c r="I10" i="44" s="1"/>
  <c r="AH10" i="44"/>
  <c r="AG10" i="44"/>
  <c r="H10" i="44" s="1"/>
  <c r="AF10" i="44"/>
  <c r="AB10" i="44"/>
  <c r="AA10" i="44"/>
  <c r="N10" i="44"/>
  <c r="M10" i="44"/>
  <c r="D10" i="44"/>
  <c r="AI9" i="44"/>
  <c r="I9" i="44" s="1"/>
  <c r="AH9" i="44"/>
  <c r="AG9" i="44"/>
  <c r="H9" i="44" s="1"/>
  <c r="AF9" i="44"/>
  <c r="AB9" i="44"/>
  <c r="AA9" i="44"/>
  <c r="N9" i="44"/>
  <c r="M9" i="44"/>
  <c r="D9" i="44"/>
  <c r="AI8" i="44"/>
  <c r="AH8" i="44"/>
  <c r="I8" i="44" s="1"/>
  <c r="AG8" i="44"/>
  <c r="AF8" i="44"/>
  <c r="H8" i="44" s="1"/>
  <c r="AC8" i="44"/>
  <c r="D8" i="44" s="1"/>
  <c r="AB8" i="44"/>
  <c r="AA8" i="44"/>
  <c r="N8" i="44"/>
  <c r="M8" i="44"/>
  <c r="C8" i="44"/>
  <c r="R7" i="44"/>
  <c r="Q7" i="44"/>
  <c r="P7" i="44"/>
  <c r="DO446" i="1"/>
  <c r="DO445" i="1"/>
  <c r="DO444" i="1"/>
  <c r="DO443" i="1"/>
  <c r="DM446" i="1"/>
  <c r="DM445" i="1"/>
  <c r="DM444" i="1"/>
  <c r="DM443" i="1"/>
  <c r="J444" i="44" l="1"/>
  <c r="J409" i="44"/>
  <c r="J535" i="44"/>
  <c r="J132" i="44"/>
  <c r="J48" i="44"/>
  <c r="AK48" i="44" s="1"/>
  <c r="J126" i="44"/>
  <c r="J435" i="44"/>
  <c r="J140" i="44"/>
  <c r="J257" i="44"/>
  <c r="J260" i="44"/>
  <c r="J408" i="44"/>
  <c r="J100" i="44"/>
  <c r="J133" i="44"/>
  <c r="J64" i="44"/>
  <c r="AK64" i="44" s="1"/>
  <c r="J115" i="44"/>
  <c r="J278" i="44"/>
  <c r="J534" i="44"/>
  <c r="J376" i="44"/>
  <c r="J442" i="44"/>
  <c r="J423" i="44"/>
  <c r="J531" i="44"/>
  <c r="J122" i="44"/>
  <c r="J264" i="44"/>
  <c r="AJ272" i="44"/>
  <c r="K272" i="44" s="1"/>
  <c r="J272" i="44" s="1"/>
  <c r="J94" i="44"/>
  <c r="J381" i="44"/>
  <c r="J85" i="44"/>
  <c r="J50" i="44"/>
  <c r="AK50" i="44" s="1"/>
  <c r="J10" i="44"/>
  <c r="AK10" i="44" s="1"/>
  <c r="J34" i="44"/>
  <c r="AK34" i="44" s="1"/>
  <c r="AJ271" i="44"/>
  <c r="K271" i="44" s="1"/>
  <c r="J271" i="44" s="1"/>
  <c r="J130" i="44"/>
  <c r="J262" i="44"/>
  <c r="J114" i="44"/>
  <c r="J128" i="44"/>
  <c r="J121" i="44"/>
  <c r="J276" i="44"/>
  <c r="J431" i="44"/>
  <c r="J259" i="44"/>
  <c r="J397" i="44"/>
  <c r="J277" i="44"/>
  <c r="J267" i="44"/>
  <c r="J536" i="44"/>
  <c r="J538" i="44"/>
  <c r="J537" i="44"/>
  <c r="J261" i="44"/>
  <c r="J266" i="44"/>
  <c r="J258" i="44"/>
  <c r="AO285" i="44"/>
  <c r="AN285" i="44"/>
  <c r="G332" i="44"/>
  <c r="K332" i="44" s="1"/>
  <c r="G335" i="44"/>
  <c r="K335" i="44" s="1"/>
  <c r="G293" i="44"/>
  <c r="K293" i="44" s="1"/>
  <c r="K290" i="44" s="1"/>
  <c r="K281" i="44" s="1"/>
  <c r="G327" i="44"/>
  <c r="K327" i="44" s="1"/>
  <c r="G292" i="44"/>
  <c r="K292" i="44" s="1"/>
  <c r="G329" i="44"/>
  <c r="K329" i="44" s="1"/>
  <c r="G331" i="44"/>
  <c r="K331" i="44" s="1"/>
  <c r="K336" i="44"/>
  <c r="J383" i="44"/>
  <c r="G328" i="44"/>
  <c r="K328" i="44" s="1"/>
  <c r="G330" i="44"/>
  <c r="K330" i="44" s="1"/>
  <c r="G367" i="44"/>
  <c r="K367" i="44" s="1"/>
  <c r="G359" i="44"/>
  <c r="K359" i="44" s="1"/>
  <c r="G372" i="44"/>
  <c r="G354" i="44"/>
  <c r="K354" i="44" s="1"/>
  <c r="G357" i="44"/>
  <c r="K357" i="44" s="1"/>
  <c r="G368" i="44"/>
  <c r="K368" i="44" s="1"/>
  <c r="G360" i="44"/>
  <c r="K360" i="44" s="1"/>
  <c r="G352" i="44"/>
  <c r="K352" i="44" s="1"/>
  <c r="K371" i="44" s="1"/>
  <c r="G355" i="44"/>
  <c r="K355" i="44" s="1"/>
  <c r="G366" i="44"/>
  <c r="K366" i="44" s="1"/>
  <c r="G358" i="44"/>
  <c r="K358" i="44" s="1"/>
  <c r="J375" i="44"/>
  <c r="AN283" i="44"/>
  <c r="G353" i="44"/>
  <c r="K353" i="44" s="1"/>
  <c r="G361" i="44"/>
  <c r="K361" i="44" s="1"/>
  <c r="J281" i="44" l="1"/>
  <c r="K350" i="44"/>
  <c r="K337" i="44" s="1"/>
  <c r="J337" i="44" s="1"/>
  <c r="G547" i="44"/>
  <c r="K547" i="44" s="1"/>
  <c r="G548" i="44"/>
  <c r="K548" i="44" s="1"/>
  <c r="G543" i="44"/>
  <c r="K543" i="44" s="1"/>
  <c r="G562" i="44"/>
  <c r="G546" i="44"/>
  <c r="K546" i="44" s="1"/>
  <c r="G544" i="44"/>
  <c r="K544" i="44" s="1"/>
  <c r="K559" i="44" l="1"/>
  <c r="K540" i="44" s="1"/>
  <c r="EP676" i="1" l="1"/>
  <c r="EO676" i="1"/>
  <c r="EP675" i="1"/>
  <c r="EO675" i="1"/>
  <c r="EP674" i="1"/>
  <c r="EO674" i="1"/>
  <c r="EP673" i="1"/>
  <c r="EO673" i="1"/>
  <c r="EP672" i="1"/>
  <c r="EO672" i="1"/>
  <c r="EP671" i="1"/>
  <c r="EO671" i="1"/>
  <c r="EP670" i="1"/>
  <c r="EO670" i="1"/>
  <c r="EP669" i="1"/>
  <c r="EO669" i="1"/>
  <c r="EP668" i="1"/>
  <c r="EO668" i="1"/>
  <c r="EP667" i="1"/>
  <c r="EO667" i="1"/>
  <c r="EP666" i="1"/>
  <c r="EO666" i="1"/>
  <c r="EP665" i="1"/>
  <c r="EO665" i="1"/>
  <c r="EP664" i="1"/>
  <c r="EO664" i="1"/>
  <c r="EP663" i="1"/>
  <c r="EO663" i="1"/>
  <c r="EP662" i="1"/>
  <c r="EO662" i="1"/>
  <c r="EP661" i="1"/>
  <c r="EO661" i="1"/>
  <c r="EP660" i="1"/>
  <c r="EO660" i="1"/>
  <c r="EP659" i="1"/>
  <c r="EO659" i="1"/>
  <c r="EP658" i="1"/>
  <c r="EO658" i="1"/>
  <c r="EP657" i="1"/>
  <c r="EO657" i="1"/>
  <c r="EP656" i="1"/>
  <c r="EO656" i="1"/>
  <c r="EP655" i="1"/>
  <c r="EO655" i="1"/>
  <c r="EP654" i="1"/>
  <c r="EO654" i="1"/>
  <c r="EP653" i="1"/>
  <c r="EO653" i="1"/>
  <c r="EP652" i="1"/>
  <c r="EO652" i="1"/>
  <c r="EP651" i="1"/>
  <c r="EO651" i="1"/>
  <c r="EP650" i="1"/>
  <c r="EO650" i="1"/>
  <c r="EP649" i="1"/>
  <c r="EO649" i="1"/>
  <c r="EP648" i="1"/>
  <c r="EO648" i="1"/>
  <c r="EP647" i="1"/>
  <c r="EO647" i="1"/>
  <c r="EP646" i="1"/>
  <c r="EO646" i="1"/>
  <c r="EP645" i="1"/>
  <c r="EO645" i="1"/>
  <c r="EP644" i="1"/>
  <c r="EO644" i="1"/>
  <c r="EP643" i="1"/>
  <c r="EO643" i="1"/>
  <c r="EP642" i="1"/>
  <c r="EO642" i="1"/>
  <c r="EP641" i="1"/>
  <c r="EO641" i="1"/>
  <c r="EP639" i="1"/>
  <c r="EO639" i="1"/>
  <c r="EP638" i="1"/>
  <c r="EO638" i="1"/>
  <c r="EP637" i="1"/>
  <c r="EO637" i="1"/>
  <c r="EP636" i="1"/>
  <c r="EO636" i="1"/>
  <c r="EP635" i="1"/>
  <c r="EO635" i="1"/>
  <c r="EP634" i="1"/>
  <c r="EO634" i="1"/>
  <c r="EP633" i="1"/>
  <c r="EO633" i="1"/>
  <c r="EP632" i="1"/>
  <c r="EO632" i="1"/>
  <c r="EP631" i="1"/>
  <c r="EO631" i="1"/>
  <c r="EP630" i="1"/>
  <c r="EO630" i="1"/>
  <c r="EP629" i="1"/>
  <c r="EO629" i="1"/>
  <c r="EP627" i="1"/>
  <c r="EO627" i="1"/>
  <c r="EP626" i="1"/>
  <c r="EO626" i="1"/>
  <c r="EP625" i="1"/>
  <c r="EO625" i="1"/>
  <c r="EP624" i="1"/>
  <c r="EO624" i="1"/>
  <c r="EP623" i="1"/>
  <c r="EO623" i="1"/>
  <c r="EP622" i="1"/>
  <c r="EO622" i="1"/>
  <c r="EP621" i="1"/>
  <c r="EO621" i="1"/>
  <c r="EP620" i="1"/>
  <c r="EO620" i="1"/>
  <c r="EP619" i="1"/>
  <c r="EO619" i="1"/>
  <c r="EP617" i="1"/>
  <c r="EO617" i="1"/>
  <c r="EP616" i="1"/>
  <c r="EO616" i="1"/>
  <c r="EP615" i="1"/>
  <c r="EO615" i="1"/>
  <c r="EP614" i="1"/>
  <c r="EO614" i="1"/>
  <c r="EP613" i="1"/>
  <c r="EO613" i="1"/>
  <c r="EP612" i="1"/>
  <c r="EO612" i="1"/>
  <c r="EP611" i="1"/>
  <c r="EO611" i="1"/>
  <c r="EP608" i="1"/>
  <c r="EO608" i="1"/>
  <c r="EP607" i="1"/>
  <c r="EO607" i="1"/>
  <c r="EP606" i="1"/>
  <c r="EO606" i="1"/>
  <c r="EP602" i="1"/>
  <c r="EO602" i="1"/>
  <c r="EP601" i="1"/>
  <c r="EO601" i="1"/>
  <c r="EP600" i="1"/>
  <c r="EO600" i="1"/>
  <c r="EP598" i="1"/>
  <c r="EO598" i="1"/>
  <c r="EP595" i="1"/>
  <c r="EO595" i="1"/>
  <c r="EP594" i="1"/>
  <c r="EO594" i="1"/>
  <c r="EP593" i="1"/>
  <c r="EO593" i="1"/>
  <c r="EP592" i="1"/>
  <c r="EO592" i="1"/>
  <c r="EP591" i="1"/>
  <c r="EO591" i="1"/>
  <c r="EP590" i="1"/>
  <c r="EO590" i="1"/>
  <c r="EP589" i="1"/>
  <c r="EO589" i="1"/>
  <c r="EP588" i="1"/>
  <c r="EO588" i="1"/>
  <c r="EP587" i="1"/>
  <c r="EO587" i="1"/>
  <c r="EP586" i="1"/>
  <c r="EO586" i="1"/>
  <c r="EP585" i="1"/>
  <c r="EO585" i="1"/>
  <c r="EP584" i="1"/>
  <c r="EO584" i="1"/>
  <c r="EP583" i="1"/>
  <c r="EO583" i="1"/>
  <c r="EP582" i="1"/>
  <c r="EO582" i="1"/>
  <c r="EP581" i="1"/>
  <c r="EO581" i="1"/>
  <c r="EP580" i="1"/>
  <c r="EO580" i="1"/>
  <c r="EP578" i="1"/>
  <c r="EO578" i="1"/>
  <c r="EP577" i="1"/>
  <c r="EO577" i="1"/>
  <c r="EP576" i="1"/>
  <c r="EO576" i="1"/>
  <c r="EP575" i="1"/>
  <c r="EO575" i="1"/>
  <c r="EP574" i="1"/>
  <c r="EO574" i="1"/>
  <c r="EP572" i="1"/>
  <c r="EO572" i="1"/>
  <c r="EP571" i="1"/>
  <c r="EO571" i="1"/>
  <c r="EP570" i="1"/>
  <c r="EO570" i="1"/>
  <c r="EP569" i="1"/>
  <c r="EO569" i="1"/>
  <c r="EP567" i="1"/>
  <c r="EO567" i="1"/>
  <c r="EP566" i="1"/>
  <c r="EO566" i="1"/>
  <c r="EP565" i="1"/>
  <c r="EO565" i="1"/>
  <c r="EP564" i="1"/>
  <c r="EO564" i="1"/>
  <c r="EP563" i="1"/>
  <c r="EO563" i="1"/>
  <c r="EP562" i="1"/>
  <c r="EO562" i="1"/>
  <c r="EP561" i="1"/>
  <c r="EO561" i="1"/>
  <c r="EP560" i="1"/>
  <c r="EO560" i="1"/>
  <c r="EP556" i="1"/>
  <c r="EO556" i="1"/>
  <c r="EP554" i="1"/>
  <c r="EO554" i="1"/>
  <c r="EP551" i="1"/>
  <c r="EO551" i="1"/>
  <c r="EP550" i="1"/>
  <c r="EO550" i="1"/>
  <c r="EP548" i="1"/>
  <c r="EO548" i="1"/>
  <c r="EP547" i="1"/>
  <c r="EO547" i="1"/>
  <c r="EP545" i="1"/>
  <c r="EO545" i="1"/>
  <c r="EP544" i="1"/>
  <c r="EO544" i="1"/>
  <c r="EP543" i="1"/>
  <c r="EO543" i="1"/>
  <c r="EP542" i="1"/>
  <c r="EO542" i="1"/>
  <c r="EP539" i="1"/>
  <c r="EO539" i="1"/>
  <c r="EP538" i="1"/>
  <c r="EO538" i="1"/>
  <c r="EP536" i="1"/>
  <c r="EO536" i="1"/>
  <c r="EP535" i="1"/>
  <c r="EO535" i="1"/>
  <c r="EP533" i="1"/>
  <c r="EO533" i="1"/>
  <c r="EP532" i="1"/>
  <c r="EO532" i="1"/>
  <c r="EP529" i="1"/>
  <c r="EO529" i="1"/>
  <c r="EP528" i="1"/>
  <c r="EO528" i="1"/>
  <c r="EP526" i="1"/>
  <c r="EO526" i="1"/>
  <c r="EP525" i="1"/>
  <c r="EO525" i="1"/>
  <c r="EP524" i="1"/>
  <c r="EO524" i="1"/>
  <c r="EP523" i="1"/>
  <c r="EO523" i="1"/>
  <c r="EP522" i="1"/>
  <c r="EO522" i="1"/>
  <c r="EP520" i="1"/>
  <c r="EO520" i="1"/>
  <c r="EP518" i="1"/>
  <c r="EO518" i="1"/>
  <c r="EP517" i="1"/>
  <c r="EO517" i="1"/>
  <c r="EP516" i="1"/>
  <c r="EO516" i="1"/>
  <c r="EP514" i="1"/>
  <c r="EO514" i="1"/>
  <c r="EP512" i="1"/>
  <c r="EO512" i="1"/>
  <c r="EP511" i="1"/>
  <c r="EO511" i="1"/>
  <c r="EP509" i="1"/>
  <c r="EO509" i="1"/>
  <c r="EP507" i="1"/>
  <c r="EO507" i="1"/>
  <c r="EP505" i="1"/>
  <c r="EO505" i="1"/>
  <c r="EP504" i="1"/>
  <c r="EO504" i="1"/>
  <c r="EP501" i="1"/>
  <c r="EO501" i="1"/>
  <c r="EP500" i="1"/>
  <c r="EO500" i="1"/>
  <c r="EP498" i="1"/>
  <c r="EO498" i="1"/>
  <c r="EP497" i="1"/>
  <c r="EO497" i="1"/>
  <c r="EP493" i="1"/>
  <c r="EO493" i="1"/>
  <c r="EP489" i="1"/>
  <c r="EO489" i="1"/>
  <c r="EP488" i="1"/>
  <c r="EO488" i="1"/>
  <c r="EP485" i="1"/>
  <c r="EO485" i="1"/>
  <c r="EP484" i="1"/>
  <c r="EO484" i="1"/>
  <c r="EP483" i="1"/>
  <c r="EO483" i="1"/>
  <c r="EP481" i="1"/>
  <c r="EO481" i="1"/>
  <c r="EP479" i="1"/>
  <c r="EO479" i="1"/>
  <c r="EP476" i="1"/>
  <c r="EO476" i="1"/>
  <c r="EP473" i="1"/>
  <c r="EO473" i="1"/>
  <c r="EP470" i="1"/>
  <c r="EO470" i="1"/>
  <c r="EP469" i="1"/>
  <c r="EO469" i="1"/>
  <c r="EP468" i="1"/>
  <c r="EO468" i="1"/>
  <c r="EP467" i="1"/>
  <c r="EO467" i="1"/>
  <c r="EP465" i="1"/>
  <c r="EO465" i="1"/>
  <c r="EP463" i="1"/>
  <c r="EO463" i="1"/>
  <c r="EP461" i="1"/>
  <c r="EO461" i="1"/>
  <c r="EP459" i="1"/>
  <c r="EO459" i="1"/>
  <c r="EP458" i="1"/>
  <c r="EO458" i="1"/>
  <c r="EP457" i="1"/>
  <c r="EO457" i="1"/>
  <c r="EP456" i="1"/>
  <c r="EO456" i="1"/>
  <c r="EP454" i="1"/>
  <c r="EO454" i="1"/>
  <c r="EP452" i="1"/>
  <c r="EO452" i="1"/>
  <c r="EP451" i="1"/>
  <c r="EO451" i="1"/>
  <c r="EP450" i="1"/>
  <c r="EO450" i="1"/>
  <c r="EP449" i="1"/>
  <c r="EO449" i="1"/>
  <c r="EP448" i="1"/>
  <c r="EO448" i="1"/>
  <c r="EP447" i="1"/>
  <c r="EO447" i="1"/>
  <c r="EP445" i="1"/>
  <c r="EO445" i="1"/>
  <c r="EP443" i="1"/>
  <c r="EO443" i="1"/>
  <c r="EP442" i="1"/>
  <c r="EO442" i="1"/>
  <c r="EP441" i="1"/>
  <c r="EO441" i="1"/>
  <c r="EP440" i="1"/>
  <c r="EO440" i="1"/>
  <c r="EP439" i="1"/>
  <c r="EO439" i="1"/>
  <c r="EP438" i="1"/>
  <c r="EO438" i="1"/>
  <c r="EP437" i="1"/>
  <c r="EO437" i="1"/>
  <c r="EP436" i="1"/>
  <c r="EO436" i="1"/>
  <c r="EP435" i="1"/>
  <c r="EO435" i="1"/>
  <c r="EP434" i="1"/>
  <c r="EO434" i="1"/>
  <c r="EP433" i="1"/>
  <c r="EO433" i="1"/>
  <c r="EP432" i="1"/>
  <c r="EO432" i="1"/>
  <c r="EP431" i="1"/>
  <c r="EO431" i="1"/>
  <c r="EP430" i="1"/>
  <c r="EO430" i="1"/>
  <c r="EP429" i="1"/>
  <c r="EO429" i="1"/>
  <c r="EP428" i="1"/>
  <c r="EO428" i="1"/>
  <c r="EP427" i="1"/>
  <c r="EO427" i="1"/>
  <c r="EP426" i="1"/>
  <c r="EO426" i="1"/>
  <c r="EP425" i="1"/>
  <c r="EO425" i="1"/>
  <c r="EP424" i="1"/>
  <c r="EO424" i="1"/>
  <c r="EP423" i="1"/>
  <c r="EO423" i="1"/>
  <c r="EP422" i="1"/>
  <c r="EO422" i="1"/>
  <c r="EP421" i="1"/>
  <c r="EO421" i="1"/>
  <c r="EP420" i="1"/>
  <c r="EO420" i="1"/>
  <c r="EP419" i="1"/>
  <c r="EO419" i="1"/>
  <c r="EP418" i="1"/>
  <c r="EO418" i="1"/>
  <c r="EP417" i="1"/>
  <c r="EO417" i="1"/>
  <c r="EP416" i="1"/>
  <c r="EO416" i="1"/>
  <c r="EP415" i="1"/>
  <c r="EO415" i="1"/>
  <c r="EP414" i="1"/>
  <c r="EO414" i="1"/>
  <c r="EP413" i="1"/>
  <c r="EO413" i="1"/>
  <c r="EP412" i="1"/>
  <c r="EO412" i="1"/>
  <c r="EP411" i="1"/>
  <c r="EO411" i="1"/>
  <c r="EP410" i="1"/>
  <c r="EO410" i="1"/>
  <c r="EP409" i="1"/>
  <c r="EO409" i="1"/>
  <c r="EP408" i="1"/>
  <c r="EO408" i="1"/>
  <c r="EP407" i="1"/>
  <c r="EO407" i="1"/>
  <c r="EP406" i="1"/>
  <c r="EO406" i="1"/>
  <c r="EP405" i="1"/>
  <c r="EO405" i="1"/>
  <c r="EP404" i="1"/>
  <c r="EO404" i="1"/>
  <c r="EP403" i="1"/>
  <c r="EO403" i="1"/>
  <c r="EP402" i="1"/>
  <c r="EO402" i="1"/>
  <c r="EP401" i="1"/>
  <c r="EO401" i="1"/>
  <c r="EP400" i="1"/>
  <c r="EO400" i="1"/>
  <c r="EP399" i="1"/>
  <c r="EO399" i="1"/>
  <c r="EP398" i="1"/>
  <c r="EO398" i="1"/>
  <c r="EP396" i="1"/>
  <c r="EO396" i="1"/>
  <c r="EP395" i="1"/>
  <c r="EO395" i="1"/>
  <c r="EP394" i="1"/>
  <c r="EO394" i="1"/>
  <c r="EP393" i="1"/>
  <c r="EO393" i="1"/>
  <c r="EP392" i="1"/>
  <c r="EO392" i="1"/>
  <c r="EP391" i="1"/>
  <c r="EO391" i="1"/>
  <c r="EP390" i="1"/>
  <c r="EO390" i="1"/>
  <c r="EP389" i="1"/>
  <c r="EO389" i="1"/>
  <c r="EP388" i="1"/>
  <c r="EO388" i="1"/>
  <c r="EP387" i="1"/>
  <c r="EO387" i="1"/>
  <c r="EP386" i="1"/>
  <c r="EO386" i="1"/>
  <c r="EP385" i="1"/>
  <c r="EO385" i="1"/>
  <c r="EP384" i="1"/>
  <c r="EO384" i="1"/>
  <c r="EP383" i="1"/>
  <c r="EO383" i="1"/>
  <c r="EP382" i="1"/>
  <c r="EO382" i="1"/>
  <c r="EP381" i="1"/>
  <c r="EO381" i="1"/>
  <c r="EP380" i="1"/>
  <c r="EO380" i="1"/>
  <c r="EP379" i="1"/>
  <c r="EO379" i="1"/>
  <c r="EP378" i="1"/>
  <c r="EO378" i="1"/>
  <c r="EP377" i="1"/>
  <c r="EO377" i="1"/>
  <c r="EP376" i="1"/>
  <c r="EO376" i="1"/>
  <c r="EP375" i="1"/>
  <c r="EO375" i="1"/>
  <c r="EP374" i="1"/>
  <c r="EO374" i="1"/>
  <c r="EP373" i="1"/>
  <c r="EO373" i="1"/>
  <c r="EP372" i="1"/>
  <c r="EO372" i="1"/>
  <c r="EP371" i="1"/>
  <c r="EO371" i="1"/>
  <c r="EP370" i="1"/>
  <c r="EO370" i="1"/>
  <c r="EP369" i="1"/>
  <c r="EO369" i="1"/>
  <c r="EP368" i="1"/>
  <c r="EO368" i="1"/>
  <c r="EP367" i="1"/>
  <c r="EO367" i="1"/>
  <c r="EP366" i="1"/>
  <c r="EO366" i="1"/>
  <c r="EP365" i="1"/>
  <c r="EO365" i="1"/>
  <c r="EP364" i="1"/>
  <c r="EO364" i="1"/>
  <c r="EP363" i="1"/>
  <c r="EO363" i="1"/>
  <c r="EP362" i="1"/>
  <c r="EO362" i="1"/>
  <c r="EP361" i="1"/>
  <c r="EO361" i="1"/>
  <c r="EP360" i="1"/>
  <c r="EO360" i="1"/>
  <c r="EP359" i="1"/>
  <c r="EO359" i="1"/>
  <c r="EP358" i="1"/>
  <c r="EO358" i="1"/>
  <c r="EP357" i="1"/>
  <c r="EO357" i="1"/>
  <c r="EP356" i="1"/>
  <c r="EO356" i="1"/>
  <c r="EP355" i="1"/>
  <c r="EO355" i="1"/>
  <c r="EP354" i="1"/>
  <c r="EO354" i="1"/>
  <c r="EP353" i="1"/>
  <c r="EO353" i="1"/>
  <c r="EP352" i="1"/>
  <c r="EO352" i="1"/>
  <c r="EP351" i="1"/>
  <c r="EO351" i="1"/>
  <c r="EP350" i="1"/>
  <c r="EO350" i="1"/>
  <c r="EP349" i="1"/>
  <c r="EO349" i="1"/>
  <c r="EP348" i="1"/>
  <c r="EO348" i="1"/>
  <c r="EP347" i="1"/>
  <c r="EO347" i="1"/>
  <c r="EP346" i="1"/>
  <c r="EO346" i="1"/>
  <c r="EP345" i="1"/>
  <c r="EO345" i="1"/>
  <c r="EP344" i="1"/>
  <c r="EO344" i="1"/>
  <c r="EP343" i="1"/>
  <c r="EO343" i="1"/>
  <c r="EP342" i="1"/>
  <c r="EO342" i="1"/>
  <c r="EP341" i="1"/>
  <c r="EO341" i="1"/>
  <c r="EP340" i="1"/>
  <c r="EO340" i="1"/>
  <c r="EP339" i="1"/>
  <c r="EO339" i="1"/>
  <c r="EP338" i="1"/>
  <c r="EO338" i="1"/>
  <c r="EP337" i="1"/>
  <c r="EO337" i="1"/>
  <c r="EP336" i="1"/>
  <c r="EO336" i="1"/>
  <c r="EP335" i="1"/>
  <c r="EO335" i="1"/>
  <c r="EP334" i="1"/>
  <c r="EO334" i="1"/>
  <c r="EP333" i="1"/>
  <c r="EO333" i="1"/>
  <c r="EP332" i="1"/>
  <c r="EO332" i="1"/>
  <c r="EP331" i="1"/>
  <c r="EO331" i="1"/>
  <c r="EP330" i="1"/>
  <c r="EO330" i="1"/>
  <c r="EP329" i="1"/>
  <c r="EO329" i="1"/>
  <c r="EP328" i="1"/>
  <c r="EO328" i="1"/>
  <c r="EP327" i="1"/>
  <c r="EO327" i="1"/>
  <c r="EP326" i="1"/>
  <c r="EO326" i="1"/>
  <c r="EP325" i="1"/>
  <c r="EO325" i="1"/>
  <c r="EP324" i="1"/>
  <c r="EO324" i="1"/>
  <c r="EP323" i="1"/>
  <c r="EO323" i="1"/>
  <c r="EP322" i="1"/>
  <c r="EO322" i="1"/>
  <c r="EP321" i="1"/>
  <c r="EO321" i="1"/>
  <c r="EP320" i="1"/>
  <c r="EO320" i="1"/>
  <c r="EP319" i="1"/>
  <c r="EO319" i="1"/>
  <c r="EP318" i="1"/>
  <c r="EO318" i="1"/>
  <c r="EP317" i="1"/>
  <c r="EO317" i="1"/>
  <c r="EP316" i="1"/>
  <c r="EO316" i="1"/>
  <c r="EP314" i="1"/>
  <c r="EO314" i="1"/>
  <c r="EP313" i="1"/>
  <c r="EO313" i="1"/>
  <c r="EP312" i="1"/>
  <c r="EO312" i="1"/>
  <c r="EP238" i="1"/>
  <c r="EO238" i="1"/>
  <c r="EP237" i="1"/>
  <c r="EO237" i="1"/>
  <c r="EP231" i="1"/>
  <c r="EO231" i="1"/>
  <c r="EP228" i="1"/>
  <c r="EO228" i="1"/>
  <c r="EP227" i="1"/>
  <c r="EO227" i="1"/>
  <c r="EP226" i="1"/>
  <c r="EO226" i="1"/>
  <c r="EP225" i="1"/>
  <c r="EO225" i="1"/>
  <c r="EP224" i="1"/>
  <c r="EO224" i="1"/>
  <c r="EP223" i="1"/>
  <c r="EO223" i="1"/>
  <c r="EP222" i="1"/>
  <c r="EO222" i="1"/>
  <c r="EP221" i="1"/>
  <c r="EO221" i="1"/>
  <c r="EP220" i="1"/>
  <c r="EO220" i="1"/>
  <c r="EP219" i="1"/>
  <c r="EO219" i="1"/>
  <c r="EP218" i="1"/>
  <c r="EO218" i="1"/>
  <c r="EP217" i="1"/>
  <c r="EO217" i="1"/>
  <c r="EP216" i="1"/>
  <c r="EO216" i="1"/>
  <c r="EP214" i="1"/>
  <c r="EO214" i="1"/>
  <c r="EP212" i="1"/>
  <c r="EO212" i="1"/>
  <c r="EP211" i="1"/>
  <c r="EO211" i="1"/>
  <c r="EP210" i="1"/>
  <c r="EO210" i="1"/>
  <c r="EP209" i="1"/>
  <c r="EO209" i="1"/>
  <c r="EP208" i="1"/>
  <c r="EO208" i="1"/>
  <c r="EP207" i="1"/>
  <c r="EO207" i="1"/>
  <c r="EP205" i="1"/>
  <c r="EO205" i="1"/>
  <c r="EP203" i="1"/>
  <c r="EO203" i="1"/>
  <c r="EP201" i="1"/>
  <c r="EO201" i="1"/>
  <c r="EP200" i="1"/>
  <c r="EO200" i="1"/>
  <c r="EP199" i="1"/>
  <c r="EO199" i="1"/>
  <c r="EP198" i="1"/>
  <c r="EO198" i="1"/>
  <c r="EP197" i="1"/>
  <c r="EO197" i="1"/>
  <c r="EP196" i="1"/>
  <c r="EO196" i="1"/>
  <c r="EP195" i="1"/>
  <c r="EO195" i="1"/>
  <c r="EP193" i="1"/>
  <c r="EO193" i="1"/>
  <c r="EP191" i="1"/>
  <c r="EO191" i="1"/>
  <c r="EP190" i="1"/>
  <c r="EO190" i="1"/>
  <c r="EP189" i="1"/>
  <c r="EO189" i="1"/>
  <c r="EP188" i="1"/>
  <c r="EO188" i="1"/>
  <c r="EP187" i="1"/>
  <c r="EO187" i="1"/>
  <c r="EP186" i="1"/>
  <c r="EO186" i="1"/>
  <c r="EP185" i="1"/>
  <c r="EO185" i="1"/>
  <c r="EP184" i="1"/>
  <c r="EO184" i="1"/>
  <c r="EP183" i="1"/>
  <c r="EO183" i="1"/>
  <c r="EP182" i="1"/>
  <c r="EO182" i="1"/>
  <c r="EP166" i="1"/>
  <c r="EO166" i="1"/>
  <c r="EP165" i="1"/>
  <c r="EO165" i="1"/>
  <c r="EP164" i="1"/>
  <c r="EO164" i="1"/>
  <c r="EP163" i="1"/>
  <c r="EO163" i="1"/>
  <c r="EP162" i="1"/>
  <c r="EO162" i="1"/>
  <c r="EP161" i="1"/>
  <c r="EO161" i="1"/>
  <c r="EP160" i="1"/>
  <c r="EO160" i="1"/>
  <c r="EP159" i="1"/>
  <c r="EO159" i="1"/>
  <c r="EP158" i="1"/>
  <c r="EO158" i="1"/>
  <c r="EP157" i="1"/>
  <c r="EO157" i="1"/>
  <c r="EP154" i="1"/>
  <c r="EO154" i="1"/>
  <c r="EP153" i="1"/>
  <c r="EO153" i="1"/>
  <c r="EP152" i="1"/>
  <c r="EO152" i="1"/>
  <c r="EP151" i="1"/>
  <c r="EO151" i="1"/>
  <c r="EP149" i="1"/>
  <c r="EO149" i="1"/>
  <c r="EP147" i="1"/>
  <c r="EO147" i="1"/>
  <c r="EP146" i="1"/>
  <c r="EO146" i="1"/>
  <c r="EP145" i="1"/>
  <c r="EO145" i="1"/>
  <c r="EP143" i="1"/>
  <c r="EO143" i="1"/>
  <c r="EP142" i="1"/>
  <c r="EO142" i="1"/>
  <c r="EP141" i="1"/>
  <c r="EO141" i="1"/>
  <c r="EP140" i="1"/>
  <c r="EO140" i="1"/>
  <c r="EP139" i="1"/>
  <c r="EO139" i="1"/>
  <c r="EP137" i="1"/>
  <c r="EO137" i="1"/>
  <c r="EP136" i="1"/>
  <c r="EO136" i="1"/>
  <c r="EP135" i="1"/>
  <c r="EO135" i="1"/>
  <c r="EP134" i="1"/>
  <c r="EO134" i="1"/>
  <c r="EP132" i="1"/>
  <c r="EO132" i="1"/>
  <c r="EP129" i="1"/>
  <c r="EO129" i="1"/>
  <c r="EP126" i="1"/>
  <c r="EO126" i="1"/>
  <c r="EP125" i="1"/>
  <c r="EO125" i="1"/>
  <c r="EP124" i="1"/>
  <c r="EO124" i="1"/>
  <c r="EP123" i="1"/>
  <c r="EO123" i="1"/>
  <c r="EP122" i="1"/>
  <c r="EO122" i="1"/>
  <c r="EP121" i="1"/>
  <c r="EO121" i="1"/>
  <c r="EP120" i="1"/>
  <c r="EO120" i="1"/>
  <c r="EP119" i="1"/>
  <c r="EO119" i="1"/>
  <c r="EP118" i="1"/>
  <c r="EO118" i="1"/>
  <c r="EP115" i="1"/>
  <c r="EO115" i="1"/>
  <c r="EP113" i="1"/>
  <c r="EO113" i="1"/>
  <c r="EP112" i="1"/>
  <c r="EO112" i="1"/>
  <c r="EP110" i="1"/>
  <c r="EO110" i="1"/>
  <c r="EP109" i="1"/>
  <c r="EO109" i="1"/>
  <c r="EP108" i="1"/>
  <c r="EO108" i="1"/>
  <c r="EP107" i="1"/>
  <c r="EO107" i="1"/>
  <c r="EP106" i="1"/>
  <c r="EO106" i="1"/>
  <c r="EP104" i="1"/>
  <c r="EO104" i="1"/>
  <c r="EP103" i="1"/>
  <c r="EO103" i="1"/>
  <c r="EP102" i="1"/>
  <c r="EO102" i="1"/>
  <c r="EP100" i="1"/>
  <c r="EO100" i="1"/>
  <c r="EP99" i="1"/>
  <c r="EO99" i="1"/>
  <c r="EP98" i="1"/>
  <c r="EO98" i="1"/>
  <c r="EP96" i="1"/>
  <c r="EO96" i="1"/>
  <c r="EP94" i="1"/>
  <c r="EO94" i="1"/>
  <c r="EP92" i="1"/>
  <c r="EO92" i="1"/>
  <c r="EP90" i="1"/>
  <c r="EO90" i="1"/>
  <c r="EP88" i="1"/>
  <c r="EO88" i="1"/>
  <c r="EP87" i="1"/>
  <c r="EO87" i="1"/>
  <c r="EP86" i="1"/>
  <c r="EO86" i="1"/>
  <c r="EP85" i="1"/>
  <c r="EO85" i="1"/>
  <c r="EP84" i="1"/>
  <c r="EO84" i="1"/>
  <c r="EP81" i="1"/>
  <c r="EO81" i="1"/>
  <c r="EP79" i="1"/>
  <c r="EO79" i="1"/>
  <c r="EP78" i="1"/>
  <c r="EO78" i="1"/>
  <c r="EP77" i="1"/>
  <c r="EO77" i="1"/>
  <c r="EP76" i="1"/>
  <c r="EO76" i="1"/>
  <c r="EP75" i="1"/>
  <c r="EO75" i="1"/>
  <c r="EP73" i="1"/>
  <c r="EO73" i="1"/>
  <c r="EP72" i="1"/>
  <c r="EO72" i="1"/>
  <c r="EP69" i="1"/>
  <c r="EO69" i="1"/>
  <c r="EP67" i="1"/>
  <c r="EO67" i="1"/>
  <c r="EP64" i="1"/>
  <c r="EO64" i="1"/>
  <c r="EP60" i="1"/>
  <c r="EO60" i="1"/>
  <c r="EP55" i="1"/>
  <c r="EO55" i="1"/>
  <c r="EP54" i="1"/>
  <c r="EO54" i="1"/>
  <c r="EP49" i="1"/>
  <c r="EO49" i="1"/>
  <c r="EP43" i="1"/>
  <c r="EO43" i="1"/>
  <c r="EP38" i="1"/>
  <c r="EO38" i="1"/>
  <c r="EP37" i="1"/>
  <c r="EO37" i="1"/>
  <c r="EP34" i="1"/>
  <c r="EO34" i="1"/>
  <c r="EP32" i="1"/>
  <c r="EO32" i="1"/>
  <c r="EP30" i="1"/>
  <c r="EO30" i="1"/>
  <c r="EP28" i="1"/>
  <c r="EO28" i="1"/>
  <c r="EP26" i="1"/>
  <c r="EO26" i="1"/>
  <c r="EP22" i="1"/>
  <c r="EO22" i="1"/>
  <c r="EP21" i="1"/>
  <c r="EO21" i="1"/>
  <c r="EP17" i="1"/>
  <c r="EO17" i="1"/>
  <c r="EP11" i="1"/>
  <c r="EO11" i="1"/>
  <c r="EP10" i="1"/>
  <c r="EO10" i="1"/>
  <c r="EP9" i="1"/>
  <c r="EO9" i="1"/>
  <c r="DR676" i="1"/>
  <c r="EV676" i="1" s="1"/>
  <c r="DQ676" i="1"/>
  <c r="EU676" i="1" s="1"/>
  <c r="DR675" i="1"/>
  <c r="EV675" i="1" s="1"/>
  <c r="DQ675" i="1"/>
  <c r="EU675" i="1" s="1"/>
  <c r="DR674" i="1"/>
  <c r="DQ674" i="1"/>
  <c r="EU674" i="1" s="1"/>
  <c r="DR673" i="1"/>
  <c r="DQ673" i="1"/>
  <c r="DR672" i="1"/>
  <c r="EV672" i="1" s="1"/>
  <c r="DQ672" i="1"/>
  <c r="EU672" i="1" s="1"/>
  <c r="DR671" i="1"/>
  <c r="EV671" i="1" s="1"/>
  <c r="DQ671" i="1"/>
  <c r="EU671" i="1" s="1"/>
  <c r="DR670" i="1"/>
  <c r="DQ670" i="1"/>
  <c r="EU670" i="1" s="1"/>
  <c r="DR669" i="1"/>
  <c r="DQ669" i="1"/>
  <c r="DR668" i="1"/>
  <c r="EV668" i="1" s="1"/>
  <c r="DQ668" i="1"/>
  <c r="EU668" i="1" s="1"/>
  <c r="DR667" i="1"/>
  <c r="EV667" i="1" s="1"/>
  <c r="DQ667" i="1"/>
  <c r="EU667" i="1" s="1"/>
  <c r="DR666" i="1"/>
  <c r="DQ666" i="1"/>
  <c r="EU666" i="1" s="1"/>
  <c r="DR665" i="1"/>
  <c r="DQ665" i="1"/>
  <c r="DR664" i="1"/>
  <c r="EV664" i="1" s="1"/>
  <c r="DQ664" i="1"/>
  <c r="EU664" i="1" s="1"/>
  <c r="DR663" i="1"/>
  <c r="EV663" i="1" s="1"/>
  <c r="DQ663" i="1"/>
  <c r="EU663" i="1" s="1"/>
  <c r="DR662" i="1"/>
  <c r="DQ662" i="1"/>
  <c r="EU662" i="1" s="1"/>
  <c r="DR661" i="1"/>
  <c r="DQ661" i="1"/>
  <c r="DR660" i="1"/>
  <c r="EV660" i="1" s="1"/>
  <c r="DQ660" i="1"/>
  <c r="EU660" i="1" s="1"/>
  <c r="DR659" i="1"/>
  <c r="EV659" i="1" s="1"/>
  <c r="DQ659" i="1"/>
  <c r="EU659" i="1" s="1"/>
  <c r="DR658" i="1"/>
  <c r="DQ658" i="1"/>
  <c r="EU658" i="1" s="1"/>
  <c r="DR657" i="1"/>
  <c r="DQ657" i="1"/>
  <c r="DR656" i="1"/>
  <c r="EV656" i="1" s="1"/>
  <c r="DQ656" i="1"/>
  <c r="EU656" i="1" s="1"/>
  <c r="DR655" i="1"/>
  <c r="EV655" i="1" s="1"/>
  <c r="DQ655" i="1"/>
  <c r="DR654" i="1"/>
  <c r="DQ654" i="1"/>
  <c r="EU654" i="1" s="1"/>
  <c r="DR653" i="1"/>
  <c r="DQ653" i="1"/>
  <c r="DR652" i="1"/>
  <c r="EV652" i="1" s="1"/>
  <c r="DQ652" i="1"/>
  <c r="EU652" i="1" s="1"/>
  <c r="DR651" i="1"/>
  <c r="EV651" i="1" s="1"/>
  <c r="DQ651" i="1"/>
  <c r="DR650" i="1"/>
  <c r="DQ650" i="1"/>
  <c r="EU650" i="1" s="1"/>
  <c r="DR649" i="1"/>
  <c r="DQ649" i="1"/>
  <c r="DR648" i="1"/>
  <c r="EV648" i="1" s="1"/>
  <c r="DQ648" i="1"/>
  <c r="EU648" i="1" s="1"/>
  <c r="DR647" i="1"/>
  <c r="EV647" i="1" s="1"/>
  <c r="DQ647" i="1"/>
  <c r="DR646" i="1"/>
  <c r="DQ646" i="1"/>
  <c r="EU646" i="1" s="1"/>
  <c r="DR645" i="1"/>
  <c r="DQ645" i="1"/>
  <c r="DR644" i="1"/>
  <c r="EV644" i="1" s="1"/>
  <c r="DQ644" i="1"/>
  <c r="EU644" i="1" s="1"/>
  <c r="DR643" i="1"/>
  <c r="EV643" i="1" s="1"/>
  <c r="DQ643" i="1"/>
  <c r="DR642" i="1"/>
  <c r="DQ642" i="1"/>
  <c r="EU642" i="1" s="1"/>
  <c r="DR641" i="1"/>
  <c r="DQ641" i="1"/>
  <c r="DR639" i="1"/>
  <c r="EV639" i="1" s="1"/>
  <c r="DQ639" i="1"/>
  <c r="EU639" i="1" s="1"/>
  <c r="DR638" i="1"/>
  <c r="EV638" i="1" s="1"/>
  <c r="DQ638" i="1"/>
  <c r="DR637" i="1"/>
  <c r="DQ637" i="1"/>
  <c r="EU637" i="1" s="1"/>
  <c r="DR636" i="1"/>
  <c r="DQ636" i="1"/>
  <c r="DR635" i="1"/>
  <c r="EV635" i="1" s="1"/>
  <c r="DQ635" i="1"/>
  <c r="EU635" i="1" s="1"/>
  <c r="DR634" i="1"/>
  <c r="EV634" i="1" s="1"/>
  <c r="DQ634" i="1"/>
  <c r="DR633" i="1"/>
  <c r="DQ633" i="1"/>
  <c r="EU633" i="1" s="1"/>
  <c r="DR632" i="1"/>
  <c r="DQ632" i="1"/>
  <c r="DR631" i="1"/>
  <c r="EV631" i="1" s="1"/>
  <c r="DQ631" i="1"/>
  <c r="EU631" i="1" s="1"/>
  <c r="DR630" i="1"/>
  <c r="EV630" i="1" s="1"/>
  <c r="DQ630" i="1"/>
  <c r="DR629" i="1"/>
  <c r="DQ629" i="1"/>
  <c r="EU629" i="1" s="1"/>
  <c r="DR627" i="1"/>
  <c r="DQ627" i="1"/>
  <c r="DR626" i="1"/>
  <c r="EV626" i="1" s="1"/>
  <c r="DQ626" i="1"/>
  <c r="EU626" i="1" s="1"/>
  <c r="DR625" i="1"/>
  <c r="EV625" i="1" s="1"/>
  <c r="DQ625" i="1"/>
  <c r="DR624" i="1"/>
  <c r="DQ624" i="1"/>
  <c r="EU624" i="1" s="1"/>
  <c r="DR623" i="1"/>
  <c r="DQ623" i="1"/>
  <c r="DR622" i="1"/>
  <c r="EV622" i="1" s="1"/>
  <c r="DQ622" i="1"/>
  <c r="EU622" i="1" s="1"/>
  <c r="DR621" i="1"/>
  <c r="EV621" i="1" s="1"/>
  <c r="DQ621" i="1"/>
  <c r="DR620" i="1"/>
  <c r="DQ620" i="1"/>
  <c r="EU620" i="1" s="1"/>
  <c r="DR619" i="1"/>
  <c r="DQ619" i="1"/>
  <c r="DR617" i="1"/>
  <c r="EV617" i="1" s="1"/>
  <c r="DQ617" i="1"/>
  <c r="EU617" i="1" s="1"/>
  <c r="DR616" i="1"/>
  <c r="EV616" i="1" s="1"/>
  <c r="DQ616" i="1"/>
  <c r="DR615" i="1"/>
  <c r="DQ615" i="1"/>
  <c r="EU615" i="1" s="1"/>
  <c r="DR614" i="1"/>
  <c r="DQ614" i="1"/>
  <c r="DR613" i="1"/>
  <c r="EV613" i="1" s="1"/>
  <c r="DQ613" i="1"/>
  <c r="EU613" i="1" s="1"/>
  <c r="DR612" i="1"/>
  <c r="EV612" i="1" s="1"/>
  <c r="DQ612" i="1"/>
  <c r="DR611" i="1"/>
  <c r="DQ611" i="1"/>
  <c r="EU611" i="1" s="1"/>
  <c r="DQ608" i="1"/>
  <c r="DR607" i="1"/>
  <c r="EV607" i="1" s="1"/>
  <c r="DQ607" i="1"/>
  <c r="EU607" i="1" s="1"/>
  <c r="DR606" i="1"/>
  <c r="DQ606" i="1"/>
  <c r="EU606" i="1" s="1"/>
  <c r="DR602" i="1"/>
  <c r="DR601" i="1"/>
  <c r="DR600" i="1"/>
  <c r="EV600" i="1" s="1"/>
  <c r="DR598" i="1"/>
  <c r="DQ598" i="1"/>
  <c r="DR595" i="1"/>
  <c r="DR594" i="1"/>
  <c r="DQ594" i="1"/>
  <c r="DR593" i="1"/>
  <c r="EV593" i="1" s="1"/>
  <c r="DQ593" i="1"/>
  <c r="EU593" i="1" s="1"/>
  <c r="DR592" i="1"/>
  <c r="EV592" i="1" s="1"/>
  <c r="DQ592" i="1"/>
  <c r="DR591" i="1"/>
  <c r="EV591" i="1" s="1"/>
  <c r="DQ591" i="1"/>
  <c r="EU591" i="1" s="1"/>
  <c r="DR590" i="1"/>
  <c r="DQ590" i="1"/>
  <c r="DR589" i="1"/>
  <c r="EV589" i="1" s="1"/>
  <c r="DQ589" i="1"/>
  <c r="EU589" i="1" s="1"/>
  <c r="DR588" i="1"/>
  <c r="EV588" i="1" s="1"/>
  <c r="DQ588" i="1"/>
  <c r="DR587" i="1"/>
  <c r="DQ587" i="1"/>
  <c r="EU587" i="1" s="1"/>
  <c r="DR586" i="1"/>
  <c r="DQ586" i="1"/>
  <c r="DR585" i="1"/>
  <c r="EV585" i="1" s="1"/>
  <c r="DQ585" i="1"/>
  <c r="EU585" i="1" s="1"/>
  <c r="DR584" i="1"/>
  <c r="EV584" i="1" s="1"/>
  <c r="DQ584" i="1"/>
  <c r="DR583" i="1"/>
  <c r="EV583" i="1" s="1"/>
  <c r="DQ583" i="1"/>
  <c r="EU583" i="1" s="1"/>
  <c r="DR582" i="1"/>
  <c r="DQ582" i="1"/>
  <c r="DR581" i="1"/>
  <c r="EV581" i="1" s="1"/>
  <c r="DQ581" i="1"/>
  <c r="EU581" i="1" s="1"/>
  <c r="DR580" i="1"/>
  <c r="DQ580" i="1"/>
  <c r="DR578" i="1"/>
  <c r="DQ578" i="1"/>
  <c r="DR577" i="1"/>
  <c r="DQ577" i="1"/>
  <c r="DR576" i="1"/>
  <c r="EV576" i="1" s="1"/>
  <c r="DQ576" i="1"/>
  <c r="EU576" i="1" s="1"/>
  <c r="DR575" i="1"/>
  <c r="EV575" i="1" s="1"/>
  <c r="DQ575" i="1"/>
  <c r="DR574" i="1"/>
  <c r="EV574" i="1" s="1"/>
  <c r="DQ574" i="1"/>
  <c r="EU574" i="1" s="1"/>
  <c r="DR572" i="1"/>
  <c r="DQ572" i="1"/>
  <c r="DR571" i="1"/>
  <c r="EV571" i="1" s="1"/>
  <c r="DQ571" i="1"/>
  <c r="EU571" i="1" s="1"/>
  <c r="DR570" i="1"/>
  <c r="DQ570" i="1"/>
  <c r="DR569" i="1"/>
  <c r="DQ569" i="1"/>
  <c r="DR567" i="1"/>
  <c r="DQ567" i="1"/>
  <c r="DR566" i="1"/>
  <c r="EV566" i="1" s="1"/>
  <c r="DQ566" i="1"/>
  <c r="EU566" i="1" s="1"/>
  <c r="DR565" i="1"/>
  <c r="EV565" i="1" s="1"/>
  <c r="DQ565" i="1"/>
  <c r="DR564" i="1"/>
  <c r="EV564" i="1" s="1"/>
  <c r="DQ564" i="1"/>
  <c r="EU564" i="1" s="1"/>
  <c r="DR563" i="1"/>
  <c r="DQ563" i="1"/>
  <c r="DR562" i="1"/>
  <c r="EV562" i="1" s="1"/>
  <c r="DQ562" i="1"/>
  <c r="EU562" i="1" s="1"/>
  <c r="DR561" i="1"/>
  <c r="DQ561" i="1"/>
  <c r="DR560" i="1"/>
  <c r="DQ560" i="1"/>
  <c r="DR556" i="1"/>
  <c r="DQ556" i="1"/>
  <c r="DR554" i="1"/>
  <c r="EV554" i="1" s="1"/>
  <c r="DQ554" i="1"/>
  <c r="EU554" i="1" s="1"/>
  <c r="DR551" i="1"/>
  <c r="EV551" i="1" s="1"/>
  <c r="DQ551" i="1"/>
  <c r="DR550" i="1"/>
  <c r="EV550" i="1" s="1"/>
  <c r="DQ550" i="1"/>
  <c r="EU550" i="1" s="1"/>
  <c r="DR548" i="1"/>
  <c r="DQ548" i="1"/>
  <c r="DR547" i="1"/>
  <c r="EV547" i="1" s="1"/>
  <c r="DQ547" i="1"/>
  <c r="EU547" i="1" s="1"/>
  <c r="DR545" i="1"/>
  <c r="DQ545" i="1"/>
  <c r="DR544" i="1"/>
  <c r="DQ544" i="1"/>
  <c r="DR543" i="1"/>
  <c r="DQ543" i="1"/>
  <c r="DR542" i="1"/>
  <c r="EV542" i="1" s="1"/>
  <c r="DQ542" i="1"/>
  <c r="EU542" i="1" s="1"/>
  <c r="DR539" i="1"/>
  <c r="EV539" i="1" s="1"/>
  <c r="DQ539" i="1"/>
  <c r="DR538" i="1"/>
  <c r="EV538" i="1" s="1"/>
  <c r="DQ538" i="1"/>
  <c r="EU538" i="1" s="1"/>
  <c r="DR536" i="1"/>
  <c r="DQ536" i="1"/>
  <c r="DR535" i="1"/>
  <c r="EV535" i="1" s="1"/>
  <c r="DQ535" i="1"/>
  <c r="EU535" i="1" s="1"/>
  <c r="DR533" i="1"/>
  <c r="DQ533" i="1"/>
  <c r="DR532" i="1"/>
  <c r="DQ532" i="1"/>
  <c r="DR529" i="1"/>
  <c r="DQ529" i="1"/>
  <c r="DR528" i="1"/>
  <c r="EV528" i="1" s="1"/>
  <c r="DQ528" i="1"/>
  <c r="EU528" i="1" s="1"/>
  <c r="DR526" i="1"/>
  <c r="EV526" i="1" s="1"/>
  <c r="DQ526" i="1"/>
  <c r="DR525" i="1"/>
  <c r="EV525" i="1" s="1"/>
  <c r="DQ525" i="1"/>
  <c r="EU525" i="1" s="1"/>
  <c r="DR524" i="1"/>
  <c r="DQ524" i="1"/>
  <c r="DR523" i="1"/>
  <c r="EV523" i="1" s="1"/>
  <c r="DQ523" i="1"/>
  <c r="EU523" i="1" s="1"/>
  <c r="DR522" i="1"/>
  <c r="DQ522" i="1"/>
  <c r="DR520" i="1"/>
  <c r="DQ520" i="1"/>
  <c r="DR518" i="1"/>
  <c r="DQ518" i="1"/>
  <c r="DR517" i="1"/>
  <c r="EV517" i="1" s="1"/>
  <c r="DQ517" i="1"/>
  <c r="EU517" i="1" s="1"/>
  <c r="DR516" i="1"/>
  <c r="EV516" i="1" s="1"/>
  <c r="DQ516" i="1"/>
  <c r="DR514" i="1"/>
  <c r="EV514" i="1" s="1"/>
  <c r="DQ514" i="1"/>
  <c r="EU514" i="1" s="1"/>
  <c r="DR512" i="1"/>
  <c r="DQ512" i="1"/>
  <c r="DR511" i="1"/>
  <c r="EV511" i="1" s="1"/>
  <c r="DQ511" i="1"/>
  <c r="EU511" i="1" s="1"/>
  <c r="DR509" i="1"/>
  <c r="DQ509" i="1"/>
  <c r="DR507" i="1"/>
  <c r="DQ507" i="1"/>
  <c r="DR505" i="1"/>
  <c r="DQ505" i="1"/>
  <c r="DR504" i="1"/>
  <c r="DR501" i="1"/>
  <c r="DR500" i="1"/>
  <c r="DQ500" i="1"/>
  <c r="EU500" i="1" s="1"/>
  <c r="DR498" i="1"/>
  <c r="DQ498" i="1"/>
  <c r="DR497" i="1"/>
  <c r="EV497" i="1" s="1"/>
  <c r="DQ497" i="1"/>
  <c r="DR493" i="1"/>
  <c r="DR489" i="1"/>
  <c r="DR488" i="1"/>
  <c r="DQ488" i="1"/>
  <c r="DR485" i="1"/>
  <c r="DR484" i="1"/>
  <c r="EV484" i="1" s="1"/>
  <c r="DQ484" i="1"/>
  <c r="DR483" i="1"/>
  <c r="DQ483" i="1"/>
  <c r="EU483" i="1" s="1"/>
  <c r="DR481" i="1"/>
  <c r="DQ481" i="1"/>
  <c r="DR479" i="1"/>
  <c r="EV479" i="1" s="1"/>
  <c r="DQ479" i="1"/>
  <c r="DR476" i="1"/>
  <c r="EV476" i="1" s="1"/>
  <c r="DQ476" i="1"/>
  <c r="EU476" i="1" s="1"/>
  <c r="DR473" i="1"/>
  <c r="EV473" i="1" s="1"/>
  <c r="DQ473" i="1"/>
  <c r="EU473" i="1" s="1"/>
  <c r="DR470" i="1"/>
  <c r="DQ470" i="1"/>
  <c r="DR469" i="1"/>
  <c r="DQ469" i="1"/>
  <c r="EU469" i="1" s="1"/>
  <c r="DR468" i="1"/>
  <c r="EV468" i="1" s="1"/>
  <c r="DQ468" i="1"/>
  <c r="DR467" i="1"/>
  <c r="DQ467" i="1"/>
  <c r="EU467" i="1" s="1"/>
  <c r="DR465" i="1"/>
  <c r="DQ465" i="1"/>
  <c r="DR463" i="1"/>
  <c r="EV463" i="1" s="1"/>
  <c r="DQ463" i="1"/>
  <c r="DR461" i="1"/>
  <c r="EV461" i="1" s="1"/>
  <c r="DQ461" i="1"/>
  <c r="EU461" i="1" s="1"/>
  <c r="DR459" i="1"/>
  <c r="EV459" i="1" s="1"/>
  <c r="DQ459" i="1"/>
  <c r="EU459" i="1" s="1"/>
  <c r="DR458" i="1"/>
  <c r="DQ458" i="1"/>
  <c r="DR457" i="1"/>
  <c r="EV457" i="1" s="1"/>
  <c r="DQ457" i="1"/>
  <c r="EU457" i="1" s="1"/>
  <c r="DR456" i="1"/>
  <c r="EV456" i="1" s="1"/>
  <c r="DQ456" i="1"/>
  <c r="DR454" i="1"/>
  <c r="DQ454" i="1"/>
  <c r="EU454" i="1" s="1"/>
  <c r="DR452" i="1"/>
  <c r="DQ452" i="1"/>
  <c r="DR451" i="1"/>
  <c r="EV451" i="1" s="1"/>
  <c r="DQ451" i="1"/>
  <c r="DR450" i="1"/>
  <c r="EV450" i="1" s="1"/>
  <c r="DQ450" i="1"/>
  <c r="EU450" i="1" s="1"/>
  <c r="DR449" i="1"/>
  <c r="EV449" i="1" s="1"/>
  <c r="DQ449" i="1"/>
  <c r="EU449" i="1" s="1"/>
  <c r="DR448" i="1"/>
  <c r="DQ448" i="1"/>
  <c r="DR447" i="1"/>
  <c r="EV447" i="1" s="1"/>
  <c r="DQ447" i="1"/>
  <c r="EU447" i="1" s="1"/>
  <c r="DR445" i="1"/>
  <c r="EV445" i="1" s="1"/>
  <c r="DQ445" i="1"/>
  <c r="DR443" i="1"/>
  <c r="DQ443" i="1"/>
  <c r="EU443" i="1" s="1"/>
  <c r="DR442" i="1"/>
  <c r="DQ442" i="1"/>
  <c r="DR441" i="1"/>
  <c r="EV441" i="1" s="1"/>
  <c r="DQ441" i="1"/>
  <c r="DR440" i="1"/>
  <c r="EV440" i="1" s="1"/>
  <c r="DQ440" i="1"/>
  <c r="EU440" i="1" s="1"/>
  <c r="DR439" i="1"/>
  <c r="EV439" i="1" s="1"/>
  <c r="DQ439" i="1"/>
  <c r="EU439" i="1" s="1"/>
  <c r="DR438" i="1"/>
  <c r="DQ438" i="1"/>
  <c r="DR437" i="1"/>
  <c r="EV437" i="1" s="1"/>
  <c r="DQ437" i="1"/>
  <c r="EU437" i="1" s="1"/>
  <c r="DR436" i="1"/>
  <c r="EV436" i="1" s="1"/>
  <c r="DQ436" i="1"/>
  <c r="DR435" i="1"/>
  <c r="DQ435" i="1"/>
  <c r="EU435" i="1" s="1"/>
  <c r="DR434" i="1"/>
  <c r="DQ434" i="1"/>
  <c r="DR433" i="1"/>
  <c r="EV433" i="1" s="1"/>
  <c r="DQ433" i="1"/>
  <c r="DR432" i="1"/>
  <c r="EV432" i="1" s="1"/>
  <c r="DQ432" i="1"/>
  <c r="EU432" i="1" s="1"/>
  <c r="DR431" i="1"/>
  <c r="EV431" i="1" s="1"/>
  <c r="DQ431" i="1"/>
  <c r="EU431" i="1" s="1"/>
  <c r="DR430" i="1"/>
  <c r="DQ430" i="1"/>
  <c r="DR429" i="1"/>
  <c r="EV429" i="1" s="1"/>
  <c r="DQ429" i="1"/>
  <c r="EU429" i="1" s="1"/>
  <c r="DR428" i="1"/>
  <c r="EV428" i="1" s="1"/>
  <c r="DQ428" i="1"/>
  <c r="DR427" i="1"/>
  <c r="DQ427" i="1"/>
  <c r="EU427" i="1" s="1"/>
  <c r="DR426" i="1"/>
  <c r="DQ426" i="1"/>
  <c r="DR425" i="1"/>
  <c r="EV425" i="1" s="1"/>
  <c r="DQ425" i="1"/>
  <c r="DR424" i="1"/>
  <c r="EV424" i="1" s="1"/>
  <c r="DQ424" i="1"/>
  <c r="EU424" i="1" s="1"/>
  <c r="DR423" i="1"/>
  <c r="EV423" i="1" s="1"/>
  <c r="DQ423" i="1"/>
  <c r="EU423" i="1" s="1"/>
  <c r="DR422" i="1"/>
  <c r="DQ422" i="1"/>
  <c r="DR421" i="1"/>
  <c r="EV421" i="1" s="1"/>
  <c r="DQ421" i="1"/>
  <c r="EU421" i="1" s="1"/>
  <c r="DR420" i="1"/>
  <c r="EV420" i="1" s="1"/>
  <c r="DQ420" i="1"/>
  <c r="EU420" i="1" s="1"/>
  <c r="DR419" i="1"/>
  <c r="DQ419" i="1"/>
  <c r="EU419" i="1" s="1"/>
  <c r="DR418" i="1"/>
  <c r="DQ418" i="1"/>
  <c r="DR417" i="1"/>
  <c r="EV417" i="1" s="1"/>
  <c r="DQ417" i="1"/>
  <c r="DR416" i="1"/>
  <c r="EV416" i="1" s="1"/>
  <c r="DQ416" i="1"/>
  <c r="EU416" i="1" s="1"/>
  <c r="DR415" i="1"/>
  <c r="EV415" i="1" s="1"/>
  <c r="DQ415" i="1"/>
  <c r="EU415" i="1" s="1"/>
  <c r="DR414" i="1"/>
  <c r="DQ414" i="1"/>
  <c r="DR413" i="1"/>
  <c r="EV413" i="1" s="1"/>
  <c r="DQ413" i="1"/>
  <c r="EU413" i="1" s="1"/>
  <c r="DR412" i="1"/>
  <c r="EV412" i="1" s="1"/>
  <c r="DQ412" i="1"/>
  <c r="EU412" i="1" s="1"/>
  <c r="DR411" i="1"/>
  <c r="DQ411" i="1"/>
  <c r="EU411" i="1" s="1"/>
  <c r="DR410" i="1"/>
  <c r="DQ410" i="1"/>
  <c r="DR409" i="1"/>
  <c r="EV409" i="1" s="1"/>
  <c r="DQ409" i="1"/>
  <c r="DR408" i="1"/>
  <c r="EV408" i="1" s="1"/>
  <c r="DQ408" i="1"/>
  <c r="EU408" i="1" s="1"/>
  <c r="DR407" i="1"/>
  <c r="EV407" i="1" s="1"/>
  <c r="DQ407" i="1"/>
  <c r="DR406" i="1"/>
  <c r="DQ406" i="1"/>
  <c r="DR405" i="1"/>
  <c r="EV405" i="1" s="1"/>
  <c r="DQ405" i="1"/>
  <c r="EU405" i="1" s="1"/>
  <c r="DR404" i="1"/>
  <c r="EV404" i="1" s="1"/>
  <c r="DQ404" i="1"/>
  <c r="EU404" i="1" s="1"/>
  <c r="DR403" i="1"/>
  <c r="DQ403" i="1"/>
  <c r="DR402" i="1"/>
  <c r="DQ402" i="1"/>
  <c r="DR401" i="1"/>
  <c r="EV401" i="1" s="1"/>
  <c r="DQ401" i="1"/>
  <c r="DR400" i="1"/>
  <c r="EV400" i="1" s="1"/>
  <c r="DQ400" i="1"/>
  <c r="EU400" i="1" s="1"/>
  <c r="DR399" i="1"/>
  <c r="EV399" i="1" s="1"/>
  <c r="DQ399" i="1"/>
  <c r="EU399" i="1" s="1"/>
  <c r="DR398" i="1"/>
  <c r="DQ398" i="1"/>
  <c r="DR396" i="1"/>
  <c r="EV396" i="1" s="1"/>
  <c r="DQ396" i="1"/>
  <c r="EU396" i="1" s="1"/>
  <c r="DR395" i="1"/>
  <c r="DQ395" i="1"/>
  <c r="EU395" i="1" s="1"/>
  <c r="DR394" i="1"/>
  <c r="DQ394" i="1"/>
  <c r="DR393" i="1"/>
  <c r="DQ393" i="1"/>
  <c r="DR392" i="1"/>
  <c r="EV392" i="1" s="1"/>
  <c r="DQ392" i="1"/>
  <c r="DR391" i="1"/>
  <c r="EV391" i="1" s="1"/>
  <c r="DQ391" i="1"/>
  <c r="EU391" i="1" s="1"/>
  <c r="DR390" i="1"/>
  <c r="EV390" i="1" s="1"/>
  <c r="DQ390" i="1"/>
  <c r="EU390" i="1" s="1"/>
  <c r="DR389" i="1"/>
  <c r="DQ389" i="1"/>
  <c r="DR388" i="1"/>
  <c r="EV388" i="1" s="1"/>
  <c r="DQ388" i="1"/>
  <c r="EU388" i="1" s="1"/>
  <c r="DR387" i="1"/>
  <c r="DQ387" i="1"/>
  <c r="EU387" i="1" s="1"/>
  <c r="DR386" i="1"/>
  <c r="DQ386" i="1"/>
  <c r="EU386" i="1" s="1"/>
  <c r="DR385" i="1"/>
  <c r="DQ385" i="1"/>
  <c r="DR384" i="1"/>
  <c r="EV384" i="1" s="1"/>
  <c r="DQ384" i="1"/>
  <c r="DR383" i="1"/>
  <c r="EV383" i="1" s="1"/>
  <c r="DQ383" i="1"/>
  <c r="EU383" i="1" s="1"/>
  <c r="DR382" i="1"/>
  <c r="EV382" i="1" s="1"/>
  <c r="DQ382" i="1"/>
  <c r="EU382" i="1" s="1"/>
  <c r="DR381" i="1"/>
  <c r="DQ381" i="1"/>
  <c r="DR380" i="1"/>
  <c r="EV380" i="1" s="1"/>
  <c r="DQ380" i="1"/>
  <c r="EU380" i="1" s="1"/>
  <c r="DR379" i="1"/>
  <c r="DQ379" i="1"/>
  <c r="EU379" i="1" s="1"/>
  <c r="DR378" i="1"/>
  <c r="DQ378" i="1"/>
  <c r="DR377" i="1"/>
  <c r="DQ377" i="1"/>
  <c r="DR376" i="1"/>
  <c r="EV376" i="1" s="1"/>
  <c r="DQ376" i="1"/>
  <c r="DR375" i="1"/>
  <c r="EV375" i="1" s="1"/>
  <c r="DQ375" i="1"/>
  <c r="EU375" i="1" s="1"/>
  <c r="DR374" i="1"/>
  <c r="EV374" i="1" s="1"/>
  <c r="DQ374" i="1"/>
  <c r="EU374" i="1" s="1"/>
  <c r="DR373" i="1"/>
  <c r="DQ373" i="1"/>
  <c r="EU373" i="1" s="1"/>
  <c r="DR372" i="1"/>
  <c r="DQ372" i="1"/>
  <c r="EU372" i="1" s="1"/>
  <c r="DR371" i="1"/>
  <c r="EV371" i="1" s="1"/>
  <c r="DQ371" i="1"/>
  <c r="DR370" i="1"/>
  <c r="DQ370" i="1"/>
  <c r="DR369" i="1"/>
  <c r="DQ369" i="1"/>
  <c r="DR368" i="1"/>
  <c r="EV368" i="1" s="1"/>
  <c r="DQ368" i="1"/>
  <c r="DR367" i="1"/>
  <c r="EV367" i="1" s="1"/>
  <c r="DQ367" i="1"/>
  <c r="EU367" i="1" s="1"/>
  <c r="DR366" i="1"/>
  <c r="DQ366" i="1"/>
  <c r="EU366" i="1" s="1"/>
  <c r="DR365" i="1"/>
  <c r="DQ365" i="1"/>
  <c r="EU365" i="1" s="1"/>
  <c r="DR364" i="1"/>
  <c r="DQ364" i="1"/>
  <c r="DR363" i="1"/>
  <c r="EV363" i="1" s="1"/>
  <c r="DQ363" i="1"/>
  <c r="DR362" i="1"/>
  <c r="DQ362" i="1"/>
  <c r="DR361" i="1"/>
  <c r="DQ361" i="1"/>
  <c r="DR360" i="1"/>
  <c r="EV360" i="1" s="1"/>
  <c r="DQ360" i="1"/>
  <c r="EU360" i="1" s="1"/>
  <c r="DR359" i="1"/>
  <c r="DQ359" i="1"/>
  <c r="EU359" i="1" s="1"/>
  <c r="DR358" i="1"/>
  <c r="DQ358" i="1"/>
  <c r="DR357" i="1"/>
  <c r="DQ357" i="1"/>
  <c r="EU357" i="1" s="1"/>
  <c r="DR356" i="1"/>
  <c r="EV356" i="1" s="1"/>
  <c r="DQ356" i="1"/>
  <c r="DR355" i="1"/>
  <c r="DQ355" i="1"/>
  <c r="EU355" i="1" s="1"/>
  <c r="DR354" i="1"/>
  <c r="DQ354" i="1"/>
  <c r="DR353" i="1"/>
  <c r="DQ353" i="1"/>
  <c r="DR352" i="1"/>
  <c r="EV352" i="1" s="1"/>
  <c r="DQ352" i="1"/>
  <c r="DR351" i="1"/>
  <c r="EV351" i="1" s="1"/>
  <c r="DQ351" i="1"/>
  <c r="EU351" i="1" s="1"/>
  <c r="DR350" i="1"/>
  <c r="EV350" i="1" s="1"/>
  <c r="DQ350" i="1"/>
  <c r="EU350" i="1" s="1"/>
  <c r="DR349" i="1"/>
  <c r="DQ349" i="1"/>
  <c r="DR348" i="1"/>
  <c r="EV348" i="1" s="1"/>
  <c r="DQ348" i="1"/>
  <c r="DR347" i="1"/>
  <c r="EV347" i="1" s="1"/>
  <c r="DQ347" i="1"/>
  <c r="DR346" i="1"/>
  <c r="DQ346" i="1"/>
  <c r="EU346" i="1" s="1"/>
  <c r="DR345" i="1"/>
  <c r="DQ345" i="1"/>
  <c r="DR344" i="1"/>
  <c r="EV344" i="1" s="1"/>
  <c r="DQ344" i="1"/>
  <c r="DR343" i="1"/>
  <c r="EV343" i="1" s="1"/>
  <c r="DQ343" i="1"/>
  <c r="EU343" i="1" s="1"/>
  <c r="DR342" i="1"/>
  <c r="DQ342" i="1"/>
  <c r="EU342" i="1" s="1"/>
  <c r="DR341" i="1"/>
  <c r="DQ341" i="1"/>
  <c r="EU341" i="1" s="1"/>
  <c r="DR340" i="1"/>
  <c r="DQ340" i="1"/>
  <c r="EU340" i="1" s="1"/>
  <c r="DR339" i="1"/>
  <c r="DQ339" i="1"/>
  <c r="DR338" i="1"/>
  <c r="DQ338" i="1"/>
  <c r="DR337" i="1"/>
  <c r="DQ337" i="1"/>
  <c r="DR336" i="1"/>
  <c r="DQ336" i="1"/>
  <c r="DR335" i="1"/>
  <c r="EV335" i="1" s="1"/>
  <c r="DQ335" i="1"/>
  <c r="DR334" i="1"/>
  <c r="EV334" i="1" s="1"/>
  <c r="DQ334" i="1"/>
  <c r="EU334" i="1" s="1"/>
  <c r="DR333" i="1"/>
  <c r="DQ333" i="1"/>
  <c r="EU333" i="1" s="1"/>
  <c r="DR332" i="1"/>
  <c r="DQ332" i="1"/>
  <c r="EU332" i="1" s="1"/>
  <c r="DR331" i="1"/>
  <c r="DQ331" i="1"/>
  <c r="DR330" i="1"/>
  <c r="DQ330" i="1"/>
  <c r="DR329" i="1"/>
  <c r="DQ329" i="1"/>
  <c r="DR328" i="1"/>
  <c r="DQ328" i="1"/>
  <c r="DR327" i="1"/>
  <c r="EV327" i="1" s="1"/>
  <c r="DQ327" i="1"/>
  <c r="DR326" i="1"/>
  <c r="EV326" i="1" s="1"/>
  <c r="DQ326" i="1"/>
  <c r="EU326" i="1" s="1"/>
  <c r="DR325" i="1"/>
  <c r="DQ325" i="1"/>
  <c r="EU325" i="1" s="1"/>
  <c r="DR324" i="1"/>
  <c r="DQ324" i="1"/>
  <c r="EU324" i="1" s="1"/>
  <c r="DR323" i="1"/>
  <c r="DQ323" i="1"/>
  <c r="DR322" i="1"/>
  <c r="DQ322" i="1"/>
  <c r="DR321" i="1"/>
  <c r="DQ321" i="1"/>
  <c r="DR320" i="1"/>
  <c r="DQ320" i="1"/>
  <c r="DR319" i="1"/>
  <c r="EV319" i="1" s="1"/>
  <c r="DQ319" i="1"/>
  <c r="DR318" i="1"/>
  <c r="EV318" i="1" s="1"/>
  <c r="DQ318" i="1"/>
  <c r="EU318" i="1" s="1"/>
  <c r="DR317" i="1"/>
  <c r="DQ317" i="1"/>
  <c r="EU317" i="1" s="1"/>
  <c r="DR316" i="1"/>
  <c r="DQ316" i="1"/>
  <c r="EU316" i="1" s="1"/>
  <c r="DR314" i="1"/>
  <c r="DQ314" i="1"/>
  <c r="DR313" i="1"/>
  <c r="DQ313" i="1"/>
  <c r="DR312" i="1"/>
  <c r="DQ312" i="1"/>
  <c r="DR238" i="1"/>
  <c r="DQ238" i="1"/>
  <c r="DR237" i="1"/>
  <c r="EV237" i="1" s="1"/>
  <c r="DQ237" i="1"/>
  <c r="DR231" i="1"/>
  <c r="EV231" i="1" s="1"/>
  <c r="DQ231" i="1"/>
  <c r="EU231" i="1" s="1"/>
  <c r="DR228" i="1"/>
  <c r="DR227" i="1"/>
  <c r="DR226" i="1"/>
  <c r="DR225" i="1"/>
  <c r="DR224" i="1"/>
  <c r="DR223" i="1"/>
  <c r="DQ223" i="1"/>
  <c r="DR222" i="1"/>
  <c r="DQ222" i="1"/>
  <c r="DR221" i="1"/>
  <c r="EV221" i="1" s="1"/>
  <c r="DQ221" i="1"/>
  <c r="EU221" i="1" s="1"/>
  <c r="DR220" i="1"/>
  <c r="DQ220" i="1"/>
  <c r="DR219" i="1"/>
  <c r="DR218" i="1"/>
  <c r="DQ218" i="1"/>
  <c r="DR217" i="1"/>
  <c r="DR216" i="1"/>
  <c r="DQ216" i="1"/>
  <c r="DR214" i="1"/>
  <c r="DQ214" i="1"/>
  <c r="DR212" i="1"/>
  <c r="DQ212" i="1"/>
  <c r="DR211" i="1"/>
  <c r="DR210" i="1"/>
  <c r="DQ210" i="1"/>
  <c r="EU210" i="1" s="1"/>
  <c r="DR209" i="1"/>
  <c r="DQ209" i="1"/>
  <c r="EU209" i="1" s="1"/>
  <c r="DR208" i="1"/>
  <c r="DR207" i="1"/>
  <c r="DR205" i="1"/>
  <c r="DQ205" i="1"/>
  <c r="DR203" i="1"/>
  <c r="DQ203" i="1"/>
  <c r="DR201" i="1"/>
  <c r="DQ201" i="1"/>
  <c r="DR200" i="1"/>
  <c r="DQ200" i="1"/>
  <c r="EU200" i="1" s="1"/>
  <c r="DR199" i="1"/>
  <c r="DQ199" i="1"/>
  <c r="DR198" i="1"/>
  <c r="DR197" i="1"/>
  <c r="DQ197" i="1"/>
  <c r="DR196" i="1"/>
  <c r="DQ196" i="1"/>
  <c r="DR195" i="1"/>
  <c r="DQ195" i="1"/>
  <c r="DR193" i="1"/>
  <c r="DQ193" i="1"/>
  <c r="DR191" i="1"/>
  <c r="DQ191" i="1"/>
  <c r="DR190" i="1"/>
  <c r="EV190" i="1" s="1"/>
  <c r="DQ190" i="1"/>
  <c r="EU190" i="1" s="1"/>
  <c r="DR189" i="1"/>
  <c r="DQ189" i="1"/>
  <c r="DR188" i="1"/>
  <c r="DQ188" i="1"/>
  <c r="DR187" i="1"/>
  <c r="DR186" i="1"/>
  <c r="DR185" i="1"/>
  <c r="DQ185" i="1"/>
  <c r="DR184" i="1"/>
  <c r="DQ184" i="1"/>
  <c r="DR183" i="1"/>
  <c r="DQ183" i="1"/>
  <c r="DR182" i="1"/>
  <c r="EV182" i="1" s="1"/>
  <c r="DQ182" i="1"/>
  <c r="EU182" i="1" s="1"/>
  <c r="DR166" i="1"/>
  <c r="DQ166" i="1"/>
  <c r="DR165" i="1"/>
  <c r="DQ165" i="1"/>
  <c r="EU165" i="1" s="1"/>
  <c r="DR164" i="1"/>
  <c r="DQ164" i="1"/>
  <c r="DR163" i="1"/>
  <c r="DQ163" i="1"/>
  <c r="DR162" i="1"/>
  <c r="DQ162" i="1"/>
  <c r="DR161" i="1"/>
  <c r="DQ161" i="1"/>
  <c r="DR160" i="1"/>
  <c r="DQ160" i="1"/>
  <c r="DR159" i="1"/>
  <c r="EV159" i="1" s="1"/>
  <c r="DQ159" i="1"/>
  <c r="EU159" i="1" s="1"/>
  <c r="DR158" i="1"/>
  <c r="DQ158" i="1"/>
  <c r="DR157" i="1"/>
  <c r="DQ157" i="1"/>
  <c r="EU157" i="1" s="1"/>
  <c r="DR154" i="1"/>
  <c r="DQ154" i="1"/>
  <c r="DR153" i="1"/>
  <c r="DQ153" i="1"/>
  <c r="DR152" i="1"/>
  <c r="DQ152" i="1"/>
  <c r="DR151" i="1"/>
  <c r="DQ151" i="1"/>
  <c r="DR149" i="1"/>
  <c r="DQ149" i="1"/>
  <c r="DR147" i="1"/>
  <c r="EV147" i="1" s="1"/>
  <c r="DQ147" i="1"/>
  <c r="EU147" i="1" s="1"/>
  <c r="DR146" i="1"/>
  <c r="DQ146" i="1"/>
  <c r="DR145" i="1"/>
  <c r="DQ145" i="1"/>
  <c r="DR143" i="1"/>
  <c r="DQ143" i="1"/>
  <c r="DR142" i="1"/>
  <c r="DQ142" i="1"/>
  <c r="DR141" i="1"/>
  <c r="DR140" i="1"/>
  <c r="DR139" i="1"/>
  <c r="DQ139" i="1"/>
  <c r="DR137" i="1"/>
  <c r="DQ137" i="1"/>
  <c r="EU137" i="1" s="1"/>
  <c r="DR136" i="1"/>
  <c r="DQ136" i="1"/>
  <c r="DR135" i="1"/>
  <c r="DQ135" i="1"/>
  <c r="EU135" i="1" s="1"/>
  <c r="DR134" i="1"/>
  <c r="DQ134" i="1"/>
  <c r="DR132" i="1"/>
  <c r="DQ132" i="1"/>
  <c r="EU132" i="1" s="1"/>
  <c r="DR129" i="1"/>
  <c r="DQ129" i="1"/>
  <c r="DR126" i="1"/>
  <c r="DQ126" i="1"/>
  <c r="DR125" i="1"/>
  <c r="DQ125" i="1"/>
  <c r="DR124" i="1"/>
  <c r="DQ124" i="1"/>
  <c r="EU124" i="1" s="1"/>
  <c r="DR123" i="1"/>
  <c r="DQ123" i="1"/>
  <c r="DR122" i="1"/>
  <c r="EV122" i="1" s="1"/>
  <c r="DR121" i="1"/>
  <c r="DQ121" i="1"/>
  <c r="DR120" i="1"/>
  <c r="EV120" i="1" s="1"/>
  <c r="DQ120" i="1"/>
  <c r="DR119" i="1"/>
  <c r="DR118" i="1"/>
  <c r="EV118" i="1" s="1"/>
  <c r="DQ118" i="1"/>
  <c r="DR115" i="1"/>
  <c r="DR113" i="1"/>
  <c r="DR112" i="1"/>
  <c r="DQ112" i="1"/>
  <c r="DR110" i="1"/>
  <c r="DR109" i="1"/>
  <c r="DQ109" i="1"/>
  <c r="DR108" i="1"/>
  <c r="DQ108" i="1"/>
  <c r="DR107" i="1"/>
  <c r="DQ107" i="1"/>
  <c r="DR106" i="1"/>
  <c r="EV106" i="1" s="1"/>
  <c r="DR104" i="1"/>
  <c r="DQ104" i="1"/>
  <c r="DR103" i="1"/>
  <c r="DQ103" i="1"/>
  <c r="EU103" i="1" s="1"/>
  <c r="DR102" i="1"/>
  <c r="DQ102" i="1"/>
  <c r="DR100" i="1"/>
  <c r="DQ100" i="1"/>
  <c r="EU100" i="1" s="1"/>
  <c r="DR99" i="1"/>
  <c r="DQ99" i="1"/>
  <c r="DR98" i="1"/>
  <c r="EV98" i="1" s="1"/>
  <c r="DQ98" i="1"/>
  <c r="DR96" i="1"/>
  <c r="DQ96" i="1"/>
  <c r="DR94" i="1"/>
  <c r="EV94" i="1" s="1"/>
  <c r="DQ94" i="1"/>
  <c r="DR92" i="1"/>
  <c r="DQ92" i="1"/>
  <c r="DR90" i="1"/>
  <c r="DQ90" i="1"/>
  <c r="EU90" i="1" s="1"/>
  <c r="DR88" i="1"/>
  <c r="DQ88" i="1"/>
  <c r="DR87" i="1"/>
  <c r="DQ87" i="1"/>
  <c r="EU87" i="1" s="1"/>
  <c r="DR86" i="1"/>
  <c r="DQ86" i="1"/>
  <c r="DR85" i="1"/>
  <c r="EV85" i="1" s="1"/>
  <c r="DQ85" i="1"/>
  <c r="DR84" i="1"/>
  <c r="DQ84" i="1"/>
  <c r="DR81" i="1"/>
  <c r="EV81" i="1" s="1"/>
  <c r="DQ81" i="1"/>
  <c r="DR79" i="1"/>
  <c r="DQ79" i="1"/>
  <c r="DR78" i="1"/>
  <c r="DQ78" i="1"/>
  <c r="EU78" i="1" s="1"/>
  <c r="DR77" i="1"/>
  <c r="DQ77" i="1"/>
  <c r="DR76" i="1"/>
  <c r="DQ76" i="1"/>
  <c r="EU76" i="1" s="1"/>
  <c r="DR75" i="1"/>
  <c r="DQ75" i="1"/>
  <c r="DR73" i="1"/>
  <c r="EV73" i="1" s="1"/>
  <c r="DQ73" i="1"/>
  <c r="DR72" i="1"/>
  <c r="DQ72" i="1"/>
  <c r="DR69" i="1"/>
  <c r="EV69" i="1" s="1"/>
  <c r="DQ69" i="1"/>
  <c r="DR67" i="1"/>
  <c r="DQ67" i="1"/>
  <c r="DR64" i="1"/>
  <c r="DQ64" i="1"/>
  <c r="EU64" i="1" s="1"/>
  <c r="DR60" i="1"/>
  <c r="DQ60" i="1"/>
  <c r="DR55" i="1"/>
  <c r="DQ55" i="1"/>
  <c r="EU55" i="1" s="1"/>
  <c r="DR54" i="1"/>
  <c r="DQ54" i="1"/>
  <c r="DR49" i="1"/>
  <c r="EV49" i="1" s="1"/>
  <c r="DQ49" i="1"/>
  <c r="DR43" i="1"/>
  <c r="DQ43" i="1"/>
  <c r="DR38" i="1"/>
  <c r="EV38" i="1" s="1"/>
  <c r="DR37" i="1"/>
  <c r="EV37" i="1" s="1"/>
  <c r="DQ37" i="1"/>
  <c r="DR34" i="1"/>
  <c r="DQ34" i="1"/>
  <c r="EU34" i="1" s="1"/>
  <c r="DR32" i="1"/>
  <c r="DR30" i="1"/>
  <c r="DR28" i="1"/>
  <c r="DR26" i="1"/>
  <c r="DR22" i="1"/>
  <c r="DQ22" i="1"/>
  <c r="DR21" i="1"/>
  <c r="EV21" i="1" s="1"/>
  <c r="DQ21" i="1"/>
  <c r="DR17" i="1"/>
  <c r="DQ17" i="1"/>
  <c r="DR11" i="1"/>
  <c r="DQ11" i="1"/>
  <c r="EU11" i="1" s="1"/>
  <c r="DR10" i="1"/>
  <c r="DQ10" i="1"/>
  <c r="DR9" i="1"/>
  <c r="DQ9" i="1"/>
  <c r="EU9" i="1" s="1"/>
  <c r="DQ446" i="1"/>
  <c r="DQ444" i="1"/>
  <c r="A448" i="1"/>
  <c r="A447" i="1"/>
  <c r="A446" i="1"/>
  <c r="A445" i="1"/>
  <c r="A444" i="1"/>
  <c r="A443" i="1"/>
  <c r="EU189" i="1" l="1"/>
  <c r="EV501" i="1"/>
  <c r="EV17" i="1"/>
  <c r="EV191" i="1"/>
  <c r="EV67" i="1"/>
  <c r="EV79" i="1"/>
  <c r="EV92" i="1"/>
  <c r="EV104" i="1"/>
  <c r="EV149" i="1"/>
  <c r="EV160" i="1"/>
  <c r="EV183" i="1"/>
  <c r="EV222" i="1"/>
  <c r="EV493" i="1"/>
  <c r="EV139" i="1"/>
  <c r="EV212" i="1"/>
  <c r="EV606" i="1"/>
  <c r="EV115" i="1"/>
  <c r="EV201" i="1"/>
  <c r="EV598" i="1"/>
  <c r="EU67" i="1"/>
  <c r="EU79" i="1"/>
  <c r="EU92" i="1"/>
  <c r="EU104" i="1"/>
  <c r="EU37" i="1"/>
  <c r="EU612" i="1"/>
  <c r="EU616" i="1"/>
  <c r="EU621" i="1"/>
  <c r="EU625" i="1"/>
  <c r="EU630" i="1"/>
  <c r="EU634" i="1"/>
  <c r="EU638" i="1"/>
  <c r="EU643" i="1"/>
  <c r="EU647" i="1"/>
  <c r="EU651" i="1"/>
  <c r="EU655" i="1"/>
  <c r="EU17" i="1"/>
  <c r="EU598" i="1"/>
  <c r="EU509" i="1"/>
  <c r="EU516" i="1"/>
  <c r="EU522" i="1"/>
  <c r="EU526" i="1"/>
  <c r="EU533" i="1"/>
  <c r="EU539" i="1"/>
  <c r="EU545" i="1"/>
  <c r="EU551" i="1"/>
  <c r="EU561" i="1"/>
  <c r="EU565" i="1"/>
  <c r="EU570" i="1"/>
  <c r="EU575" i="1"/>
  <c r="EU580" i="1"/>
  <c r="EU584" i="1"/>
  <c r="EU588" i="1"/>
  <c r="EU592" i="1"/>
  <c r="EU188" i="1"/>
  <c r="EV489" i="1"/>
  <c r="EV615" i="1"/>
  <c r="EV624" i="1"/>
  <c r="EV633" i="1"/>
  <c r="EV642" i="1"/>
  <c r="EV650" i="1"/>
  <c r="EV658" i="1"/>
  <c r="EV666" i="1"/>
  <c r="EV674" i="1"/>
  <c r="EV124" i="1"/>
  <c r="EV137" i="1"/>
  <c r="EV211" i="1"/>
  <c r="EV602" i="1"/>
  <c r="EV26" i="1"/>
  <c r="EV200" i="1"/>
  <c r="EV108" i="1"/>
  <c r="EU22" i="1"/>
  <c r="EU199" i="1"/>
  <c r="EU512" i="1"/>
  <c r="EU524" i="1"/>
  <c r="EU536" i="1"/>
  <c r="EU548" i="1"/>
  <c r="EU563" i="1"/>
  <c r="EU572" i="1"/>
  <c r="EU582" i="1"/>
  <c r="EU590" i="1"/>
  <c r="EU107" i="1"/>
  <c r="EU43" i="1"/>
  <c r="EU96" i="1"/>
  <c r="EU166" i="1"/>
  <c r="EU72" i="1"/>
  <c r="EU146" i="1"/>
  <c r="EU614" i="1"/>
  <c r="EU623" i="1"/>
  <c r="EU632" i="1"/>
  <c r="EU641" i="1"/>
  <c r="EU649" i="1"/>
  <c r="EU657" i="1"/>
  <c r="EU665" i="1"/>
  <c r="EU673" i="1"/>
  <c r="EU84" i="1"/>
  <c r="EU158" i="1"/>
  <c r="EU220" i="1"/>
  <c r="EU123" i="1"/>
  <c r="EU136" i="1"/>
  <c r="EV10" i="1"/>
  <c r="EV32" i="1"/>
  <c r="EV60" i="1"/>
  <c r="EV77" i="1"/>
  <c r="EV88" i="1"/>
  <c r="EV102" i="1"/>
  <c r="EV112" i="1"/>
  <c r="EV129" i="1"/>
  <c r="EV146" i="1"/>
  <c r="EV158" i="1"/>
  <c r="EV166" i="1"/>
  <c r="EV189" i="1"/>
  <c r="EV199" i="1"/>
  <c r="EV210" i="1"/>
  <c r="EV220" i="1"/>
  <c r="EV228" i="1"/>
  <c r="EV317" i="1"/>
  <c r="EV325" i="1"/>
  <c r="EV333" i="1"/>
  <c r="EV341" i="1"/>
  <c r="EV353" i="1"/>
  <c r="EV361" i="1"/>
  <c r="EV365" i="1"/>
  <c r="EV373" i="1"/>
  <c r="EV381" i="1"/>
  <c r="EV389" i="1"/>
  <c r="EV398" i="1"/>
  <c r="EV406" i="1"/>
  <c r="EV414" i="1"/>
  <c r="EV422" i="1"/>
  <c r="EV430" i="1"/>
  <c r="EV438" i="1"/>
  <c r="EV448" i="1"/>
  <c r="EV458" i="1"/>
  <c r="EV470" i="1"/>
  <c r="EV488" i="1"/>
  <c r="EV505" i="1"/>
  <c r="EV512" i="1"/>
  <c r="EV518" i="1"/>
  <c r="EV524" i="1"/>
  <c r="EV529" i="1"/>
  <c r="EV536" i="1"/>
  <c r="EV543" i="1"/>
  <c r="EV548" i="1"/>
  <c r="EV556" i="1"/>
  <c r="EV563" i="1"/>
  <c r="EV567" i="1"/>
  <c r="EV572" i="1"/>
  <c r="EV577" i="1"/>
  <c r="EV582" i="1"/>
  <c r="EV586" i="1"/>
  <c r="EV590" i="1"/>
  <c r="EV594" i="1"/>
  <c r="EV601" i="1"/>
  <c r="EV614" i="1"/>
  <c r="EV619" i="1"/>
  <c r="EV623" i="1"/>
  <c r="EV627" i="1"/>
  <c r="EV632" i="1"/>
  <c r="EV636" i="1"/>
  <c r="EV641" i="1"/>
  <c r="EV645" i="1"/>
  <c r="EV649" i="1"/>
  <c r="EV653" i="1"/>
  <c r="EV657" i="1"/>
  <c r="EV661" i="1"/>
  <c r="EV665" i="1"/>
  <c r="EV669" i="1"/>
  <c r="EV673" i="1"/>
  <c r="EU369" i="1"/>
  <c r="EV355" i="1"/>
  <c r="EU73" i="1"/>
  <c r="EU54" i="1"/>
  <c r="EU139" i="1"/>
  <c r="EU145" i="1"/>
  <c r="EU153" i="1"/>
  <c r="EU160" i="1"/>
  <c r="EV162" i="1"/>
  <c r="EU323" i="1"/>
  <c r="EU339" i="1"/>
  <c r="EU345" i="1"/>
  <c r="EV354" i="1"/>
  <c r="EU402" i="1"/>
  <c r="EV30" i="1"/>
  <c r="EV76" i="1"/>
  <c r="EV100" i="1"/>
  <c r="EV145" i="1"/>
  <c r="EU149" i="1"/>
  <c r="EV153" i="1"/>
  <c r="EV188" i="1"/>
  <c r="EV195" i="1"/>
  <c r="EV208" i="1"/>
  <c r="EV226" i="1"/>
  <c r="EV323" i="1"/>
  <c r="EV339" i="1"/>
  <c r="EV345" i="1"/>
  <c r="EU362" i="1"/>
  <c r="EU410" i="1"/>
  <c r="EU86" i="1"/>
  <c r="EU98" i="1"/>
  <c r="EU109" i="1"/>
  <c r="EU125" i="1"/>
  <c r="EV141" i="1"/>
  <c r="EU154" i="1"/>
  <c r="EU191" i="1"/>
  <c r="EU196" i="1"/>
  <c r="EU203" i="1"/>
  <c r="EU212" i="1"/>
  <c r="EU223" i="1"/>
  <c r="EV11" i="1"/>
  <c r="EU21" i="1"/>
  <c r="EV43" i="1"/>
  <c r="EV54" i="1"/>
  <c r="EV64" i="1"/>
  <c r="EU69" i="1"/>
  <c r="EU77" i="1"/>
  <c r="EV84" i="1"/>
  <c r="EV86" i="1"/>
  <c r="EV90" i="1"/>
  <c r="EU94" i="1"/>
  <c r="EU102" i="1"/>
  <c r="EV107" i="1"/>
  <c r="EV109" i="1"/>
  <c r="EV113" i="1"/>
  <c r="EU118" i="1"/>
  <c r="EV123" i="1"/>
  <c r="EV125" i="1"/>
  <c r="EV132" i="1"/>
  <c r="EV136" i="1"/>
  <c r="EV163" i="1"/>
  <c r="EV185" i="1"/>
  <c r="EV196" i="1"/>
  <c r="EV217" i="1"/>
  <c r="EV313" i="1"/>
  <c r="EV330" i="1"/>
  <c r="EU433" i="1"/>
  <c r="EU142" i="1"/>
  <c r="EU151" i="1"/>
  <c r="EU161" i="1"/>
  <c r="EU164" i="1"/>
  <c r="EU197" i="1"/>
  <c r="EU218" i="1"/>
  <c r="EU314" i="1"/>
  <c r="EU331" i="1"/>
  <c r="EU370" i="1"/>
  <c r="EV9" i="1"/>
  <c r="EV55" i="1"/>
  <c r="EV87" i="1"/>
  <c r="EV110" i="1"/>
  <c r="EU126" i="1"/>
  <c r="EU134" i="1"/>
  <c r="EV142" i="1"/>
  <c r="EV151" i="1"/>
  <c r="EV157" i="1"/>
  <c r="EV161" i="1"/>
  <c r="EV164" i="1"/>
  <c r="EV186" i="1"/>
  <c r="EV197" i="1"/>
  <c r="EV218" i="1"/>
  <c r="EV314" i="1"/>
  <c r="EV331" i="1"/>
  <c r="EV419" i="1"/>
  <c r="EU441" i="1"/>
  <c r="EU407" i="1"/>
  <c r="EU49" i="1"/>
  <c r="EU75" i="1"/>
  <c r="EU85" i="1"/>
  <c r="EU99" i="1"/>
  <c r="EU108" i="1"/>
  <c r="EU121" i="1"/>
  <c r="EV126" i="1"/>
  <c r="EV134" i="1"/>
  <c r="EV140" i="1"/>
  <c r="EU143" i="1"/>
  <c r="EU152" i="1"/>
  <c r="EU184" i="1"/>
  <c r="EU193" i="1"/>
  <c r="EU201" i="1"/>
  <c r="EU214" i="1"/>
  <c r="EU238" i="1"/>
  <c r="EV357" i="1"/>
  <c r="EU438" i="1"/>
  <c r="EU10" i="1"/>
  <c r="EV22" i="1"/>
  <c r="EV28" i="1"/>
  <c r="EV34" i="1"/>
  <c r="EU60" i="1"/>
  <c r="EV72" i="1"/>
  <c r="EV75" i="1"/>
  <c r="EV78" i="1"/>
  <c r="EU81" i="1"/>
  <c r="EU88" i="1"/>
  <c r="EV96" i="1"/>
  <c r="EV99" i="1"/>
  <c r="EV103" i="1"/>
  <c r="EU112" i="1"/>
  <c r="EV119" i="1"/>
  <c r="EV121" i="1"/>
  <c r="EU129" i="1"/>
  <c r="EV143" i="1"/>
  <c r="EV152" i="1"/>
  <c r="EU162" i="1"/>
  <c r="EV165" i="1"/>
  <c r="EV184" i="1"/>
  <c r="EV187" i="1"/>
  <c r="EV193" i="1"/>
  <c r="EV198" i="1"/>
  <c r="EV207" i="1"/>
  <c r="EV225" i="1"/>
  <c r="EV322" i="1"/>
  <c r="EV338" i="1"/>
  <c r="EU348" i="1"/>
  <c r="EU384" i="1"/>
  <c r="EU394" i="1"/>
  <c r="EV362" i="1"/>
  <c r="EV369" i="1"/>
  <c r="EV372" i="1"/>
  <c r="EV379" i="1"/>
  <c r="EV386" i="1"/>
  <c r="EV393" i="1"/>
  <c r="EV435" i="1"/>
  <c r="EV504" i="1"/>
  <c r="EU518" i="1"/>
  <c r="EU594" i="1"/>
  <c r="EU320" i="1"/>
  <c r="EU328" i="1"/>
  <c r="EU336" i="1"/>
  <c r="EV346" i="1"/>
  <c r="EU353" i="1"/>
  <c r="EU358" i="1"/>
  <c r="EU363" i="1"/>
  <c r="EV370" i="1"/>
  <c r="EU377" i="1"/>
  <c r="EU389" i="1"/>
  <c r="EU392" i="1"/>
  <c r="EV394" i="1"/>
  <c r="EV402" i="1"/>
  <c r="EV410" i="1"/>
  <c r="EU422" i="1"/>
  <c r="EU436" i="1"/>
  <c r="EU452" i="1"/>
  <c r="EU470" i="1"/>
  <c r="EV498" i="1"/>
  <c r="EU560" i="1"/>
  <c r="EU577" i="1"/>
  <c r="EU627" i="1"/>
  <c r="EV203" i="1"/>
  <c r="EV209" i="1"/>
  <c r="EV214" i="1"/>
  <c r="EV219" i="1"/>
  <c r="EV223" i="1"/>
  <c r="EV227" i="1"/>
  <c r="EV238" i="1"/>
  <c r="EV316" i="1"/>
  <c r="EV320" i="1"/>
  <c r="EV324" i="1"/>
  <c r="EV328" i="1"/>
  <c r="EV332" i="1"/>
  <c r="EV336" i="1"/>
  <c r="EV340" i="1"/>
  <c r="EV342" i="1"/>
  <c r="EU349" i="1"/>
  <c r="EU356" i="1"/>
  <c r="EV358" i="1"/>
  <c r="EU361" i="1"/>
  <c r="EV377" i="1"/>
  <c r="EV387" i="1"/>
  <c r="EU398" i="1"/>
  <c r="EU403" i="1"/>
  <c r="EU417" i="1"/>
  <c r="EU426" i="1"/>
  <c r="EU442" i="1"/>
  <c r="EU458" i="1"/>
  <c r="EU120" i="1"/>
  <c r="EV135" i="1"/>
  <c r="EV154" i="1"/>
  <c r="EU163" i="1"/>
  <c r="EU183" i="1"/>
  <c r="EU185" i="1"/>
  <c r="EU195" i="1"/>
  <c r="EU205" i="1"/>
  <c r="EU216" i="1"/>
  <c r="EU312" i="1"/>
  <c r="EU321" i="1"/>
  <c r="EU329" i="1"/>
  <c r="EU337" i="1"/>
  <c r="EU344" i="1"/>
  <c r="EV349" i="1"/>
  <c r="EV366" i="1"/>
  <c r="EU368" i="1"/>
  <c r="EU371" i="1"/>
  <c r="EV395" i="1"/>
  <c r="EV403" i="1"/>
  <c r="EU414" i="1"/>
  <c r="EV426" i="1"/>
  <c r="EV442" i="1"/>
  <c r="EV500" i="1"/>
  <c r="EU507" i="1"/>
  <c r="EU529" i="1"/>
  <c r="EU544" i="1"/>
  <c r="EV205" i="1"/>
  <c r="EV216" i="1"/>
  <c r="EV224" i="1"/>
  <c r="EV312" i="1"/>
  <c r="EV321" i="1"/>
  <c r="EV329" i="1"/>
  <c r="EV337" i="1"/>
  <c r="EU347" i="1"/>
  <c r="EV359" i="1"/>
  <c r="EU364" i="1"/>
  <c r="EU378" i="1"/>
  <c r="EU385" i="1"/>
  <c r="EU401" i="1"/>
  <c r="EU406" i="1"/>
  <c r="EU409" i="1"/>
  <c r="EU222" i="1"/>
  <c r="EU237" i="1"/>
  <c r="EU313" i="1"/>
  <c r="EU319" i="1"/>
  <c r="EU322" i="1"/>
  <c r="EU327" i="1"/>
  <c r="EU330" i="1"/>
  <c r="EU335" i="1"/>
  <c r="EU338" i="1"/>
  <c r="EU352" i="1"/>
  <c r="EU354" i="1"/>
  <c r="EV364" i="1"/>
  <c r="EU376" i="1"/>
  <c r="EV378" i="1"/>
  <c r="EU381" i="1"/>
  <c r="EV385" i="1"/>
  <c r="EV443" i="1"/>
  <c r="EU456" i="1"/>
  <c r="EU463" i="1"/>
  <c r="EU481" i="1"/>
  <c r="EU567" i="1"/>
  <c r="EV654" i="1"/>
  <c r="EU661" i="1"/>
  <c r="EU393" i="1"/>
  <c r="EV418" i="1"/>
  <c r="EV467" i="1"/>
  <c r="EV481" i="1"/>
  <c r="EV485" i="1"/>
  <c r="EV507" i="1"/>
  <c r="EV522" i="1"/>
  <c r="EV560" i="1"/>
  <c r="EV570" i="1"/>
  <c r="EU619" i="1"/>
  <c r="EV670" i="1"/>
  <c r="EU608" i="1"/>
  <c r="EU468" i="1"/>
  <c r="EV483" i="1"/>
  <c r="EU497" i="1"/>
  <c r="EU505" i="1"/>
  <c r="EV509" i="1"/>
  <c r="EV544" i="1"/>
  <c r="EV561" i="1"/>
  <c r="EV587" i="1"/>
  <c r="EV646" i="1"/>
  <c r="EU653" i="1"/>
  <c r="EV452" i="1"/>
  <c r="EU479" i="1"/>
  <c r="EU488" i="1"/>
  <c r="EU532" i="1"/>
  <c r="EU556" i="1"/>
  <c r="EU578" i="1"/>
  <c r="EV637" i="1"/>
  <c r="EU669" i="1"/>
  <c r="EV411" i="1"/>
  <c r="EV427" i="1"/>
  <c r="EU434" i="1"/>
  <c r="EU445" i="1"/>
  <c r="EU448" i="1"/>
  <c r="EU484" i="1"/>
  <c r="EV532" i="1"/>
  <c r="EV545" i="1"/>
  <c r="EV578" i="1"/>
  <c r="EV595" i="1"/>
  <c r="EV629" i="1"/>
  <c r="EV662" i="1"/>
  <c r="EU418" i="1"/>
  <c r="EU425" i="1"/>
  <c r="EV434" i="1"/>
  <c r="EV454" i="1"/>
  <c r="EU465" i="1"/>
  <c r="EU520" i="1"/>
  <c r="EU543" i="1"/>
  <c r="EU569" i="1"/>
  <c r="EU586" i="1"/>
  <c r="EV620" i="1"/>
  <c r="EU645" i="1"/>
  <c r="EU428" i="1"/>
  <c r="EU430" i="1"/>
  <c r="EU451" i="1"/>
  <c r="EV465" i="1"/>
  <c r="EV469" i="1"/>
  <c r="EU498" i="1"/>
  <c r="EV520" i="1"/>
  <c r="EV533" i="1"/>
  <c r="EV569" i="1"/>
  <c r="EV580" i="1"/>
  <c r="EV611" i="1"/>
  <c r="EU636" i="1"/>
  <c r="AE539" i="44" l="1"/>
  <c r="G539" i="44" s="1"/>
  <c r="AD539" i="44"/>
  <c r="F539" i="44" s="1"/>
  <c r="AE538" i="44"/>
  <c r="G538" i="44" s="1"/>
  <c r="AD538" i="44"/>
  <c r="F538" i="44" s="1"/>
  <c r="AE278" i="44"/>
  <c r="G278" i="44" s="1"/>
  <c r="AD278" i="44"/>
  <c r="F278" i="44" s="1"/>
  <c r="AE277" i="44"/>
  <c r="G277" i="44" s="1"/>
  <c r="AD277" i="44"/>
  <c r="F277" i="44" s="1"/>
  <c r="AE276" i="44"/>
  <c r="G276" i="44" s="1"/>
  <c r="AD276" i="44"/>
  <c r="F276" i="44" s="1"/>
  <c r="AE144" i="44"/>
  <c r="G144" i="44" s="1"/>
  <c r="AD144" i="44"/>
  <c r="F144" i="44" s="1"/>
  <c r="AE143" i="44"/>
  <c r="G143" i="44" s="1"/>
  <c r="AD143" i="44"/>
  <c r="F143" i="44" s="1"/>
  <c r="AE99" i="44"/>
  <c r="G99" i="44" s="1"/>
  <c r="AD99" i="44"/>
  <c r="F99" i="44" s="1"/>
  <c r="A452" i="1"/>
  <c r="A451" i="1"/>
  <c r="A450" i="1"/>
  <c r="DB451" i="1" l="1"/>
  <c r="EX451" i="1" s="1"/>
  <c r="DA452" i="1"/>
  <c r="EW452" i="1" s="1"/>
  <c r="EY452" i="1" s="1"/>
  <c r="B452" i="1" s="1"/>
  <c r="DA313" i="1"/>
  <c r="EW313" i="1" s="1"/>
  <c r="EY313" i="1" s="1"/>
  <c r="DA314" i="1"/>
  <c r="EW314" i="1" s="1"/>
  <c r="EY314" i="1" s="1"/>
  <c r="DA675" i="1"/>
  <c r="EW675" i="1" s="1"/>
  <c r="EY675" i="1" s="1"/>
  <c r="DB182" i="1"/>
  <c r="EX182" i="1" s="1"/>
  <c r="DB452" i="1"/>
  <c r="EX452" i="1" s="1"/>
  <c r="DB314" i="1"/>
  <c r="EX314" i="1" s="1"/>
  <c r="DB675" i="1"/>
  <c r="EX675" i="1" s="1"/>
  <c r="DA451" i="1"/>
  <c r="EW451" i="1" s="1"/>
  <c r="EY451" i="1" s="1"/>
  <c r="B451" i="1" s="1"/>
  <c r="DA450" i="1"/>
  <c r="EW450" i="1" s="1"/>
  <c r="EY450" i="1" s="1"/>
  <c r="B450" i="1" s="1"/>
  <c r="DA676" i="1"/>
  <c r="EW676" i="1" s="1"/>
  <c r="EY676" i="1" s="1"/>
  <c r="DA182" i="1"/>
  <c r="EW182" i="1" s="1"/>
  <c r="EY182" i="1" s="1"/>
  <c r="DB313" i="1"/>
  <c r="EX313" i="1" s="1"/>
  <c r="DB450" i="1"/>
  <c r="EX450" i="1" s="1"/>
  <c r="DB676" i="1"/>
  <c r="EX676" i="1" s="1"/>
  <c r="EZ7" i="1"/>
  <c r="ET7" i="1"/>
  <c r="ES7" i="1"/>
  <c r="ER7" i="1"/>
  <c r="EQ7" i="1"/>
  <c r="EN7" i="1"/>
  <c r="EM7" i="1"/>
  <c r="EL7" i="1"/>
  <c r="EK7" i="1"/>
  <c r="EJ7" i="1"/>
  <c r="EI7" i="1"/>
  <c r="EH7" i="1"/>
  <c r="EG7" i="1"/>
  <c r="ED7" i="1"/>
  <c r="EC7" i="1"/>
  <c r="EB7" i="1"/>
  <c r="EA7" i="1"/>
  <c r="DZ7" i="1"/>
  <c r="DY7" i="1"/>
  <c r="DX7" i="1"/>
  <c r="DW7" i="1"/>
  <c r="DV7" i="1"/>
  <c r="DU7" i="1"/>
  <c r="DT7" i="1"/>
  <c r="DS7" i="1"/>
  <c r="DP7" i="1"/>
  <c r="DK7" i="1"/>
  <c r="DI7" i="1"/>
  <c r="DG7" i="1"/>
  <c r="DF7" i="1"/>
  <c r="DE7" i="1"/>
  <c r="DD7" i="1"/>
  <c r="DC7" i="1"/>
  <c r="CZ7" i="1"/>
  <c r="CY7" i="1"/>
  <c r="CV7" i="1"/>
  <c r="CU7" i="1"/>
  <c r="DJ600" i="1"/>
  <c r="N11" i="43"/>
  <c r="J11" i="43"/>
  <c r="DL676" i="1"/>
  <c r="DO676" i="1" s="1"/>
  <c r="AJ539" i="44" s="1"/>
  <c r="K539" i="44" s="1"/>
  <c r="J539" i="44" s="1"/>
  <c r="DM229" i="1"/>
  <c r="DO229" i="1"/>
  <c r="DJ229" i="1"/>
  <c r="A230" i="1"/>
  <c r="A229" i="1"/>
  <c r="DO640" i="1"/>
  <c r="DM640" i="1"/>
  <c r="DO628" i="1"/>
  <c r="DM628" i="1"/>
  <c r="DO618" i="1"/>
  <c r="DM618" i="1"/>
  <c r="DO599" i="1"/>
  <c r="DM599" i="1"/>
  <c r="DM596" i="1"/>
  <c r="DO596" i="1"/>
  <c r="DO573" i="1"/>
  <c r="DM573" i="1"/>
  <c r="DO557" i="1"/>
  <c r="DM557" i="1"/>
  <c r="DO540" i="1"/>
  <c r="DM540" i="1"/>
  <c r="A641" i="1"/>
  <c r="A640" i="1"/>
  <c r="A628" i="1"/>
  <c r="A619" i="1"/>
  <c r="A618" i="1"/>
  <c r="A599" i="1"/>
  <c r="A598" i="1"/>
  <c r="A597" i="1"/>
  <c r="A596" i="1"/>
  <c r="A574" i="1"/>
  <c r="A573" i="1"/>
  <c r="A560" i="1"/>
  <c r="A559" i="1"/>
  <c r="A558" i="1"/>
  <c r="A557" i="1"/>
  <c r="A543" i="1"/>
  <c r="A542" i="1"/>
  <c r="A541" i="1"/>
  <c r="A540" i="1"/>
  <c r="DM676" i="1" l="1"/>
  <c r="DQ600" i="1"/>
  <c r="EU600" i="1" s="1"/>
  <c r="AH473" i="44"/>
  <c r="I473" i="44" s="1"/>
  <c r="C452" i="1"/>
  <c r="E452" i="1" s="1"/>
  <c r="C451" i="1"/>
  <c r="E451" i="1" s="1"/>
  <c r="C450" i="1"/>
  <c r="E450" i="1" s="1"/>
  <c r="DN640" i="1"/>
  <c r="DN229" i="1"/>
  <c r="DN599" i="1"/>
  <c r="DN628" i="1"/>
  <c r="DN618" i="1"/>
  <c r="DN596" i="1"/>
  <c r="B676" i="1" l="1"/>
  <c r="B675" i="1"/>
  <c r="A676" i="1"/>
  <c r="A675" i="1"/>
  <c r="C676" i="1" l="1"/>
  <c r="C675" i="1"/>
  <c r="P12" i="42"/>
  <c r="J11" i="42"/>
  <c r="E12" i="42"/>
  <c r="Q11" i="42"/>
  <c r="N11" i="42"/>
  <c r="DO314" i="1"/>
  <c r="AJ144" i="44" s="1"/>
  <c r="K144" i="44" s="1"/>
  <c r="J144" i="44" s="1"/>
  <c r="DM314" i="1"/>
  <c r="DO313" i="1"/>
  <c r="AJ143" i="44" s="1"/>
  <c r="K143" i="44" s="1"/>
  <c r="J143" i="44" s="1"/>
  <c r="DM313" i="1"/>
  <c r="A314" i="1"/>
  <c r="A313" i="1"/>
  <c r="DN314" i="1" l="1"/>
  <c r="DN313" i="1"/>
  <c r="B313" i="1" l="1"/>
  <c r="C313" i="1"/>
  <c r="B314" i="1"/>
  <c r="C314" i="1"/>
  <c r="DO442" i="1" l="1"/>
  <c r="AJ270" i="44" s="1"/>
  <c r="K270" i="44" s="1"/>
  <c r="J270" i="44" s="1"/>
  <c r="DM442" i="1"/>
  <c r="DO441" i="1"/>
  <c r="AJ269" i="44" s="1"/>
  <c r="K269" i="44" s="1"/>
  <c r="J269" i="44" s="1"/>
  <c r="DM441" i="1"/>
  <c r="CF674" i="1"/>
  <c r="CE674" i="1"/>
  <c r="CF673" i="1"/>
  <c r="CE673" i="1"/>
  <c r="CF672" i="1"/>
  <c r="CE672" i="1"/>
  <c r="CF671" i="1"/>
  <c r="CE671" i="1"/>
  <c r="CF670" i="1"/>
  <c r="CE670" i="1"/>
  <c r="CF669" i="1"/>
  <c r="CE669" i="1"/>
  <c r="CF668" i="1"/>
  <c r="CE668" i="1"/>
  <c r="CF667" i="1"/>
  <c r="CE667" i="1"/>
  <c r="CF666" i="1"/>
  <c r="CE666" i="1"/>
  <c r="CF665" i="1"/>
  <c r="CE665" i="1"/>
  <c r="CF664" i="1"/>
  <c r="CE664" i="1"/>
  <c r="CF663" i="1"/>
  <c r="CE663" i="1"/>
  <c r="CF662" i="1"/>
  <c r="CE662" i="1"/>
  <c r="CF661" i="1"/>
  <c r="CE661" i="1"/>
  <c r="CF660" i="1"/>
  <c r="CE660" i="1"/>
  <c r="CF659" i="1"/>
  <c r="CE659" i="1"/>
  <c r="CF658" i="1"/>
  <c r="CE658" i="1"/>
  <c r="CF657" i="1"/>
  <c r="CE657" i="1"/>
  <c r="CF656" i="1"/>
  <c r="CE656" i="1"/>
  <c r="CF655" i="1"/>
  <c r="CE655" i="1"/>
  <c r="CF654" i="1"/>
  <c r="CE654" i="1"/>
  <c r="CF653" i="1"/>
  <c r="CE653" i="1"/>
  <c r="CF652" i="1"/>
  <c r="CE652" i="1"/>
  <c r="CF651" i="1"/>
  <c r="CE651" i="1"/>
  <c r="CF650" i="1"/>
  <c r="CE650" i="1"/>
  <c r="CF649" i="1"/>
  <c r="CE649" i="1"/>
  <c r="CF648" i="1"/>
  <c r="CE648" i="1"/>
  <c r="CF647" i="1"/>
  <c r="CE647" i="1"/>
  <c r="CF646" i="1"/>
  <c r="CE646" i="1"/>
  <c r="CF645" i="1"/>
  <c r="CE645" i="1"/>
  <c r="CF644" i="1"/>
  <c r="CE644" i="1"/>
  <c r="CF643" i="1"/>
  <c r="CE643" i="1"/>
  <c r="CF642" i="1"/>
  <c r="CE642" i="1"/>
  <c r="CF641" i="1"/>
  <c r="CE641" i="1"/>
  <c r="CF639" i="1"/>
  <c r="CE639" i="1"/>
  <c r="CF638" i="1"/>
  <c r="CE638" i="1"/>
  <c r="CF637" i="1"/>
  <c r="CE637" i="1"/>
  <c r="CF636" i="1"/>
  <c r="CE636" i="1"/>
  <c r="CF635" i="1"/>
  <c r="CE635" i="1"/>
  <c r="CF634" i="1"/>
  <c r="CE634" i="1"/>
  <c r="CF633" i="1"/>
  <c r="CE633" i="1"/>
  <c r="CF632" i="1"/>
  <c r="CE632" i="1"/>
  <c r="CF631" i="1"/>
  <c r="CE631" i="1"/>
  <c r="CF630" i="1"/>
  <c r="CE630" i="1"/>
  <c r="CF629" i="1"/>
  <c r="CE629" i="1"/>
  <c r="CF627" i="1"/>
  <c r="CE627" i="1"/>
  <c r="CF626" i="1"/>
  <c r="CE626" i="1"/>
  <c r="CF625" i="1"/>
  <c r="CE625" i="1"/>
  <c r="CF624" i="1"/>
  <c r="CE624" i="1"/>
  <c r="CF623" i="1"/>
  <c r="CE623" i="1"/>
  <c r="CF622" i="1"/>
  <c r="CE622" i="1"/>
  <c r="CF621" i="1"/>
  <c r="CE621" i="1"/>
  <c r="CF620" i="1"/>
  <c r="CE620" i="1"/>
  <c r="CF619" i="1"/>
  <c r="CE619" i="1"/>
  <c r="CF617" i="1"/>
  <c r="CE617" i="1"/>
  <c r="CF616" i="1"/>
  <c r="CE616" i="1"/>
  <c r="CF615" i="1"/>
  <c r="CE615" i="1"/>
  <c r="CF614" i="1"/>
  <c r="CE614" i="1"/>
  <c r="CF613" i="1"/>
  <c r="CE613" i="1"/>
  <c r="CF612" i="1"/>
  <c r="CE612" i="1"/>
  <c r="CF611" i="1"/>
  <c r="CE611" i="1"/>
  <c r="CF608" i="1"/>
  <c r="CE608" i="1"/>
  <c r="CF607" i="1"/>
  <c r="CE607" i="1"/>
  <c r="CF606" i="1"/>
  <c r="CE606" i="1"/>
  <c r="CF602" i="1"/>
  <c r="CE602" i="1"/>
  <c r="CF601" i="1"/>
  <c r="CE601" i="1"/>
  <c r="CF600" i="1"/>
  <c r="CE600" i="1"/>
  <c r="CF598" i="1"/>
  <c r="CE598" i="1"/>
  <c r="CF595" i="1"/>
  <c r="CE595" i="1"/>
  <c r="CF594" i="1"/>
  <c r="CE594" i="1"/>
  <c r="CF593" i="1"/>
  <c r="CE593" i="1"/>
  <c r="CF592" i="1"/>
  <c r="CE592" i="1"/>
  <c r="CF591" i="1"/>
  <c r="CE591" i="1"/>
  <c r="CF590" i="1"/>
  <c r="CE590" i="1"/>
  <c r="CF589" i="1"/>
  <c r="CE589" i="1"/>
  <c r="CF588" i="1"/>
  <c r="CE588" i="1"/>
  <c r="CF587" i="1"/>
  <c r="CE587" i="1"/>
  <c r="CF586" i="1"/>
  <c r="CE586" i="1"/>
  <c r="CF585" i="1"/>
  <c r="CE585" i="1"/>
  <c r="CF584" i="1"/>
  <c r="CE584" i="1"/>
  <c r="CF583" i="1"/>
  <c r="CE583" i="1"/>
  <c r="CF582" i="1"/>
  <c r="CE582" i="1"/>
  <c r="CF581" i="1"/>
  <c r="CE581" i="1"/>
  <c r="CF580" i="1"/>
  <c r="CE580" i="1"/>
  <c r="CF578" i="1"/>
  <c r="CE578" i="1"/>
  <c r="CF577" i="1"/>
  <c r="CE577" i="1"/>
  <c r="CF576" i="1"/>
  <c r="CE576" i="1"/>
  <c r="CF575" i="1"/>
  <c r="CE575" i="1"/>
  <c r="CF574" i="1"/>
  <c r="CE574" i="1"/>
  <c r="CF572" i="1"/>
  <c r="CE572" i="1"/>
  <c r="CF571" i="1"/>
  <c r="CE571" i="1"/>
  <c r="CF570" i="1"/>
  <c r="CE570" i="1"/>
  <c r="CF569" i="1"/>
  <c r="CE569" i="1"/>
  <c r="CF567" i="1"/>
  <c r="CE567" i="1"/>
  <c r="CF566" i="1"/>
  <c r="CE566" i="1"/>
  <c r="CF565" i="1"/>
  <c r="CE565" i="1"/>
  <c r="CF564" i="1"/>
  <c r="CE564" i="1"/>
  <c r="CF563" i="1"/>
  <c r="CE563" i="1"/>
  <c r="CF562" i="1"/>
  <c r="CE562" i="1"/>
  <c r="CF561" i="1"/>
  <c r="CE561" i="1"/>
  <c r="CF560" i="1"/>
  <c r="CE560" i="1"/>
  <c r="CF556" i="1"/>
  <c r="CE556" i="1"/>
  <c r="CF554" i="1"/>
  <c r="CE554" i="1"/>
  <c r="CF551" i="1"/>
  <c r="CE551" i="1"/>
  <c r="CF550" i="1"/>
  <c r="CE550" i="1"/>
  <c r="CF548" i="1"/>
  <c r="CE548" i="1"/>
  <c r="CF547" i="1"/>
  <c r="CE547" i="1"/>
  <c r="CF545" i="1"/>
  <c r="CE545" i="1"/>
  <c r="CF544" i="1"/>
  <c r="CE544" i="1"/>
  <c r="CF543" i="1"/>
  <c r="CE543" i="1"/>
  <c r="CF542" i="1"/>
  <c r="CE542" i="1"/>
  <c r="CF539" i="1"/>
  <c r="CE539" i="1"/>
  <c r="CF538" i="1"/>
  <c r="CE538" i="1"/>
  <c r="CF536" i="1"/>
  <c r="CE536" i="1"/>
  <c r="CF535" i="1"/>
  <c r="CE535" i="1"/>
  <c r="CF533" i="1"/>
  <c r="CE533" i="1"/>
  <c r="CF532" i="1"/>
  <c r="CE532" i="1"/>
  <c r="CF529" i="1"/>
  <c r="CE529" i="1"/>
  <c r="CF528" i="1"/>
  <c r="CE528" i="1"/>
  <c r="CF526" i="1"/>
  <c r="CE526" i="1"/>
  <c r="CF525" i="1"/>
  <c r="CE525" i="1"/>
  <c r="CF524" i="1"/>
  <c r="CE524" i="1"/>
  <c r="CF523" i="1"/>
  <c r="CE523" i="1"/>
  <c r="CF522" i="1"/>
  <c r="CE522" i="1"/>
  <c r="CF520" i="1"/>
  <c r="CE520" i="1"/>
  <c r="CF518" i="1"/>
  <c r="CE518" i="1"/>
  <c r="CF517" i="1"/>
  <c r="CE517" i="1"/>
  <c r="CF516" i="1"/>
  <c r="CE516" i="1"/>
  <c r="CF514" i="1"/>
  <c r="CE514" i="1"/>
  <c r="CF512" i="1"/>
  <c r="CE512" i="1"/>
  <c r="CF511" i="1"/>
  <c r="CE511" i="1"/>
  <c r="CF509" i="1"/>
  <c r="CE509" i="1"/>
  <c r="CF507" i="1"/>
  <c r="CE507" i="1"/>
  <c r="CF505" i="1"/>
  <c r="CE505" i="1"/>
  <c r="CF504" i="1"/>
  <c r="CE504" i="1"/>
  <c r="CF501" i="1"/>
  <c r="CE501" i="1"/>
  <c r="CF500" i="1"/>
  <c r="CE500" i="1"/>
  <c r="CF498" i="1"/>
  <c r="CE498" i="1"/>
  <c r="CF497" i="1"/>
  <c r="CE497" i="1"/>
  <c r="CF493" i="1"/>
  <c r="CE493" i="1"/>
  <c r="CF489" i="1"/>
  <c r="CE489" i="1"/>
  <c r="CF488" i="1"/>
  <c r="CE488" i="1"/>
  <c r="CF485" i="1"/>
  <c r="CE485" i="1"/>
  <c r="CF484" i="1"/>
  <c r="CE484" i="1"/>
  <c r="CF483" i="1"/>
  <c r="CE483" i="1"/>
  <c r="CF481" i="1"/>
  <c r="CE481" i="1"/>
  <c r="CF479" i="1"/>
  <c r="CE479" i="1"/>
  <c r="CF476" i="1"/>
  <c r="CE476" i="1"/>
  <c r="CF473" i="1"/>
  <c r="CE473" i="1"/>
  <c r="CF470" i="1"/>
  <c r="CE470" i="1"/>
  <c r="CF469" i="1"/>
  <c r="CE469" i="1"/>
  <c r="CF468" i="1"/>
  <c r="CE468" i="1"/>
  <c r="CF467" i="1"/>
  <c r="CE467" i="1"/>
  <c r="CF465" i="1"/>
  <c r="CE465" i="1"/>
  <c r="CF463" i="1"/>
  <c r="CE463" i="1"/>
  <c r="CF461" i="1"/>
  <c r="CE461" i="1"/>
  <c r="CF459" i="1"/>
  <c r="CE459" i="1"/>
  <c r="CF458" i="1"/>
  <c r="CE458" i="1"/>
  <c r="CF457" i="1"/>
  <c r="CE457" i="1"/>
  <c r="CF456" i="1"/>
  <c r="CE456" i="1"/>
  <c r="CF454" i="1"/>
  <c r="CE454" i="1"/>
  <c r="CF449" i="1"/>
  <c r="CE449" i="1"/>
  <c r="CF448" i="1"/>
  <c r="CE448" i="1"/>
  <c r="CF447" i="1"/>
  <c r="CE447" i="1"/>
  <c r="CF445" i="1"/>
  <c r="CE445" i="1"/>
  <c r="CF443" i="1"/>
  <c r="CE443" i="1"/>
  <c r="CF442" i="1"/>
  <c r="CE442" i="1"/>
  <c r="CF441" i="1"/>
  <c r="CE441" i="1"/>
  <c r="CF440" i="1"/>
  <c r="CE440" i="1"/>
  <c r="CF439" i="1"/>
  <c r="CE439" i="1"/>
  <c r="CF438" i="1"/>
  <c r="CE438" i="1"/>
  <c r="CF437" i="1"/>
  <c r="CE437" i="1"/>
  <c r="CF436" i="1"/>
  <c r="CE436" i="1"/>
  <c r="CF435" i="1"/>
  <c r="CE435" i="1"/>
  <c r="CF434" i="1"/>
  <c r="CE434" i="1"/>
  <c r="CF433" i="1"/>
  <c r="CE433" i="1"/>
  <c r="CF432" i="1"/>
  <c r="CE432" i="1"/>
  <c r="CF431" i="1"/>
  <c r="CE431" i="1"/>
  <c r="CF430" i="1"/>
  <c r="CE430" i="1"/>
  <c r="CF429" i="1"/>
  <c r="CE429" i="1"/>
  <c r="CF428" i="1"/>
  <c r="CE428" i="1"/>
  <c r="CF427" i="1"/>
  <c r="CE427" i="1"/>
  <c r="CF426" i="1"/>
  <c r="CE426" i="1"/>
  <c r="CF425" i="1"/>
  <c r="CE425" i="1"/>
  <c r="CF424" i="1"/>
  <c r="CE424" i="1"/>
  <c r="CF423" i="1"/>
  <c r="CE423" i="1"/>
  <c r="CF422" i="1"/>
  <c r="CE422" i="1"/>
  <c r="CF421" i="1"/>
  <c r="CE421" i="1"/>
  <c r="CF420" i="1"/>
  <c r="CE420" i="1"/>
  <c r="CF419" i="1"/>
  <c r="CE419" i="1"/>
  <c r="CF418" i="1"/>
  <c r="CE418" i="1"/>
  <c r="CF417" i="1"/>
  <c r="CE417" i="1"/>
  <c r="CF416" i="1"/>
  <c r="CE416" i="1"/>
  <c r="CF415" i="1"/>
  <c r="CE415" i="1"/>
  <c r="CF414" i="1"/>
  <c r="CE414" i="1"/>
  <c r="CF413" i="1"/>
  <c r="CE413" i="1"/>
  <c r="CF412" i="1"/>
  <c r="CE412" i="1"/>
  <c r="CF411" i="1"/>
  <c r="CE411" i="1"/>
  <c r="CF410" i="1"/>
  <c r="CE410" i="1"/>
  <c r="CF409" i="1"/>
  <c r="CE409" i="1"/>
  <c r="CF408" i="1"/>
  <c r="CE408" i="1"/>
  <c r="CF407" i="1"/>
  <c r="CE407" i="1"/>
  <c r="CF406" i="1"/>
  <c r="CE406" i="1"/>
  <c r="CF405" i="1"/>
  <c r="CE405" i="1"/>
  <c r="CF404" i="1"/>
  <c r="CE404" i="1"/>
  <c r="CF403" i="1"/>
  <c r="CE403" i="1"/>
  <c r="CF402" i="1"/>
  <c r="CE402" i="1"/>
  <c r="CF401" i="1"/>
  <c r="CE401" i="1"/>
  <c r="CF400" i="1"/>
  <c r="CE400" i="1"/>
  <c r="CF399" i="1"/>
  <c r="CE399" i="1"/>
  <c r="CF398" i="1"/>
  <c r="CE398" i="1"/>
  <c r="CF396" i="1"/>
  <c r="CE396" i="1"/>
  <c r="CF395" i="1"/>
  <c r="CE395" i="1"/>
  <c r="CF394" i="1"/>
  <c r="CE394" i="1"/>
  <c r="CF393" i="1"/>
  <c r="CE393" i="1"/>
  <c r="CF392" i="1"/>
  <c r="CE392" i="1"/>
  <c r="CF391" i="1"/>
  <c r="CE391" i="1"/>
  <c r="CF390" i="1"/>
  <c r="CE390" i="1"/>
  <c r="CF389" i="1"/>
  <c r="CE389" i="1"/>
  <c r="CF388" i="1"/>
  <c r="CE388" i="1"/>
  <c r="CF387" i="1"/>
  <c r="CE387" i="1"/>
  <c r="CF386" i="1"/>
  <c r="CE386" i="1"/>
  <c r="CF385" i="1"/>
  <c r="CE385" i="1"/>
  <c r="CF384" i="1"/>
  <c r="CE384" i="1"/>
  <c r="CF383" i="1"/>
  <c r="CE383" i="1"/>
  <c r="CF382" i="1"/>
  <c r="CE382" i="1"/>
  <c r="CF381" i="1"/>
  <c r="CE381" i="1"/>
  <c r="CF380" i="1"/>
  <c r="CE380" i="1"/>
  <c r="CF379" i="1"/>
  <c r="CE379" i="1"/>
  <c r="CF378" i="1"/>
  <c r="CE378" i="1"/>
  <c r="CF377" i="1"/>
  <c r="CE377" i="1"/>
  <c r="CF376" i="1"/>
  <c r="CE376" i="1"/>
  <c r="CF375" i="1"/>
  <c r="CE375" i="1"/>
  <c r="CF374" i="1"/>
  <c r="CE374" i="1"/>
  <c r="CF373" i="1"/>
  <c r="CE373" i="1"/>
  <c r="CF372" i="1"/>
  <c r="CE372" i="1"/>
  <c r="CF371" i="1"/>
  <c r="CE371" i="1"/>
  <c r="CF370" i="1"/>
  <c r="CE370" i="1"/>
  <c r="CF369" i="1"/>
  <c r="CE369" i="1"/>
  <c r="CF368" i="1"/>
  <c r="CE368" i="1"/>
  <c r="CF367" i="1"/>
  <c r="CE367" i="1"/>
  <c r="CF366" i="1"/>
  <c r="CE366" i="1"/>
  <c r="CF365" i="1"/>
  <c r="CE365" i="1"/>
  <c r="CF364" i="1"/>
  <c r="CE364" i="1"/>
  <c r="CF363" i="1"/>
  <c r="CE363" i="1"/>
  <c r="CF362" i="1"/>
  <c r="CE362" i="1"/>
  <c r="CF361" i="1"/>
  <c r="CE361" i="1"/>
  <c r="CF360" i="1"/>
  <c r="CE360" i="1"/>
  <c r="CF359" i="1"/>
  <c r="CE359" i="1"/>
  <c r="CF358" i="1"/>
  <c r="CE358" i="1"/>
  <c r="CF357" i="1"/>
  <c r="CE357" i="1"/>
  <c r="CF356" i="1"/>
  <c r="CE356" i="1"/>
  <c r="CF355" i="1"/>
  <c r="CE355" i="1"/>
  <c r="CF354" i="1"/>
  <c r="CE354" i="1"/>
  <c r="CF353" i="1"/>
  <c r="CE353" i="1"/>
  <c r="CF352" i="1"/>
  <c r="CE352" i="1"/>
  <c r="CF351" i="1"/>
  <c r="CE351" i="1"/>
  <c r="CF350" i="1"/>
  <c r="CE350" i="1"/>
  <c r="CF349" i="1"/>
  <c r="CE349" i="1"/>
  <c r="CF348" i="1"/>
  <c r="CE348" i="1"/>
  <c r="CF347" i="1"/>
  <c r="CE347" i="1"/>
  <c r="CF346" i="1"/>
  <c r="CE346" i="1"/>
  <c r="CF345" i="1"/>
  <c r="CE345" i="1"/>
  <c r="CF344" i="1"/>
  <c r="CE344" i="1"/>
  <c r="CF343" i="1"/>
  <c r="CE343" i="1"/>
  <c r="CF342" i="1"/>
  <c r="CE342" i="1"/>
  <c r="CF341" i="1"/>
  <c r="CE341" i="1"/>
  <c r="CF340" i="1"/>
  <c r="CE340" i="1"/>
  <c r="CF339" i="1"/>
  <c r="CE339" i="1"/>
  <c r="CF338" i="1"/>
  <c r="CE338" i="1"/>
  <c r="CF337" i="1"/>
  <c r="CE337" i="1"/>
  <c r="CF336" i="1"/>
  <c r="CE336" i="1"/>
  <c r="CF335" i="1"/>
  <c r="CE335" i="1"/>
  <c r="CF334" i="1"/>
  <c r="CE334" i="1"/>
  <c r="CF333" i="1"/>
  <c r="CE333" i="1"/>
  <c r="CF332" i="1"/>
  <c r="CE332" i="1"/>
  <c r="CF331" i="1"/>
  <c r="CE331" i="1"/>
  <c r="CF330" i="1"/>
  <c r="CE330" i="1"/>
  <c r="CF329" i="1"/>
  <c r="CE329" i="1"/>
  <c r="CF328" i="1"/>
  <c r="CE328" i="1"/>
  <c r="CF327" i="1"/>
  <c r="CE327" i="1"/>
  <c r="CF326" i="1"/>
  <c r="CE326" i="1"/>
  <c r="CF325" i="1"/>
  <c r="CE325" i="1"/>
  <c r="CF324" i="1"/>
  <c r="CE324" i="1"/>
  <c r="CF323" i="1"/>
  <c r="CE323" i="1"/>
  <c r="CF322" i="1"/>
  <c r="CE322" i="1"/>
  <c r="CF321" i="1"/>
  <c r="CE321" i="1"/>
  <c r="CF320" i="1"/>
  <c r="CE320" i="1"/>
  <c r="CF319" i="1"/>
  <c r="CE319" i="1"/>
  <c r="CF318" i="1"/>
  <c r="CE318" i="1"/>
  <c r="CF317" i="1"/>
  <c r="CE317" i="1"/>
  <c r="CF316" i="1"/>
  <c r="CE316" i="1"/>
  <c r="CF312" i="1"/>
  <c r="CE312" i="1"/>
  <c r="CF238" i="1"/>
  <c r="CE238" i="1"/>
  <c r="CF237" i="1"/>
  <c r="CE237" i="1"/>
  <c r="CF231" i="1"/>
  <c r="CE231" i="1"/>
  <c r="CF228" i="1"/>
  <c r="CE228" i="1"/>
  <c r="CF227" i="1"/>
  <c r="CE227" i="1"/>
  <c r="CF226" i="1"/>
  <c r="CE226" i="1"/>
  <c r="CF225" i="1"/>
  <c r="CE225" i="1"/>
  <c r="CF224" i="1"/>
  <c r="CE224" i="1"/>
  <c r="CF223" i="1"/>
  <c r="CE223" i="1"/>
  <c r="CF222" i="1"/>
  <c r="CE222" i="1"/>
  <c r="CF221" i="1"/>
  <c r="CE221" i="1"/>
  <c r="CF220" i="1"/>
  <c r="CE220" i="1"/>
  <c r="CF219" i="1"/>
  <c r="CE219" i="1"/>
  <c r="CF218" i="1"/>
  <c r="CE218" i="1"/>
  <c r="CF217" i="1"/>
  <c r="CE217" i="1"/>
  <c r="CF216" i="1"/>
  <c r="CE216" i="1"/>
  <c r="CF214" i="1"/>
  <c r="CE214" i="1"/>
  <c r="CF212" i="1"/>
  <c r="CE212" i="1"/>
  <c r="CF211" i="1"/>
  <c r="CE211" i="1"/>
  <c r="CF210" i="1"/>
  <c r="CE210" i="1"/>
  <c r="CF209" i="1"/>
  <c r="CE209" i="1"/>
  <c r="CF208" i="1"/>
  <c r="CE208" i="1"/>
  <c r="CF207" i="1"/>
  <c r="CE207" i="1"/>
  <c r="CF205" i="1"/>
  <c r="CE205" i="1"/>
  <c r="CF203" i="1"/>
  <c r="CE203" i="1"/>
  <c r="CF201" i="1"/>
  <c r="CE201" i="1"/>
  <c r="CF200" i="1"/>
  <c r="CE200" i="1"/>
  <c r="CF199" i="1"/>
  <c r="CE199" i="1"/>
  <c r="CF198" i="1"/>
  <c r="CE198" i="1"/>
  <c r="CF197" i="1"/>
  <c r="CE197" i="1"/>
  <c r="CF196" i="1"/>
  <c r="CE196" i="1"/>
  <c r="CF195" i="1"/>
  <c r="CE195" i="1"/>
  <c r="CF193" i="1"/>
  <c r="CE193" i="1"/>
  <c r="CF191" i="1"/>
  <c r="CE191" i="1"/>
  <c r="CF190" i="1"/>
  <c r="CE190" i="1"/>
  <c r="CF189" i="1"/>
  <c r="CE189" i="1"/>
  <c r="CF188" i="1"/>
  <c r="CE188" i="1"/>
  <c r="CF187" i="1"/>
  <c r="CE187" i="1"/>
  <c r="CF186" i="1"/>
  <c r="CE186" i="1"/>
  <c r="CF185" i="1"/>
  <c r="CE185" i="1"/>
  <c r="CF184" i="1"/>
  <c r="CE184" i="1"/>
  <c r="CF183" i="1"/>
  <c r="CE183" i="1"/>
  <c r="CF166" i="1"/>
  <c r="CE166" i="1"/>
  <c r="CF165" i="1"/>
  <c r="CE165" i="1"/>
  <c r="CF164" i="1"/>
  <c r="CE164" i="1"/>
  <c r="CF163" i="1"/>
  <c r="CE163" i="1"/>
  <c r="CF162" i="1"/>
  <c r="CE162" i="1"/>
  <c r="CF161" i="1"/>
  <c r="CE161" i="1"/>
  <c r="CF160" i="1"/>
  <c r="CE160" i="1"/>
  <c r="CF159" i="1"/>
  <c r="CE159" i="1"/>
  <c r="CF158" i="1"/>
  <c r="CE158" i="1"/>
  <c r="CF157" i="1"/>
  <c r="CE157" i="1"/>
  <c r="CF154" i="1"/>
  <c r="CE154" i="1"/>
  <c r="CF153" i="1"/>
  <c r="CE153" i="1"/>
  <c r="CF152" i="1"/>
  <c r="CE152" i="1"/>
  <c r="CF151" i="1"/>
  <c r="CE151" i="1"/>
  <c r="CF149" i="1"/>
  <c r="CE149" i="1"/>
  <c r="CF147" i="1"/>
  <c r="CE147" i="1"/>
  <c r="CF146" i="1"/>
  <c r="CE146" i="1"/>
  <c r="CF145" i="1"/>
  <c r="CE145" i="1"/>
  <c r="CF143" i="1"/>
  <c r="CE143" i="1"/>
  <c r="CF142" i="1"/>
  <c r="CE142" i="1"/>
  <c r="CF141" i="1"/>
  <c r="CE141" i="1"/>
  <c r="CF140" i="1"/>
  <c r="CE140" i="1"/>
  <c r="CF139" i="1"/>
  <c r="CE139" i="1"/>
  <c r="CF137" i="1"/>
  <c r="CE137" i="1"/>
  <c r="CF136" i="1"/>
  <c r="CE136" i="1"/>
  <c r="CF135" i="1"/>
  <c r="CE135" i="1"/>
  <c r="CF134" i="1"/>
  <c r="CE134" i="1"/>
  <c r="CF132" i="1"/>
  <c r="CE132" i="1"/>
  <c r="CF129" i="1"/>
  <c r="CE129" i="1"/>
  <c r="CF126" i="1"/>
  <c r="CE126" i="1"/>
  <c r="CF125" i="1"/>
  <c r="CE125" i="1"/>
  <c r="CF124" i="1"/>
  <c r="CE124" i="1"/>
  <c r="CF123" i="1"/>
  <c r="CE123" i="1"/>
  <c r="CF122" i="1"/>
  <c r="CE122" i="1"/>
  <c r="CF121" i="1"/>
  <c r="CE121" i="1"/>
  <c r="CF120" i="1"/>
  <c r="CE120" i="1"/>
  <c r="CF119" i="1"/>
  <c r="CE119" i="1"/>
  <c r="CF118" i="1"/>
  <c r="CE118" i="1"/>
  <c r="CF115" i="1"/>
  <c r="CE115" i="1"/>
  <c r="CF113" i="1"/>
  <c r="CE113" i="1"/>
  <c r="CF112" i="1"/>
  <c r="CE112" i="1"/>
  <c r="CF110" i="1"/>
  <c r="CE110" i="1"/>
  <c r="CF109" i="1"/>
  <c r="CE109" i="1"/>
  <c r="CF108" i="1"/>
  <c r="CE108" i="1"/>
  <c r="CF107" i="1"/>
  <c r="CE107" i="1"/>
  <c r="CF106" i="1"/>
  <c r="CE106" i="1"/>
  <c r="CF104" i="1"/>
  <c r="CE104" i="1"/>
  <c r="CF103" i="1"/>
  <c r="CE103" i="1"/>
  <c r="CF102" i="1"/>
  <c r="CE102" i="1"/>
  <c r="CF100" i="1"/>
  <c r="CE100" i="1"/>
  <c r="CF99" i="1"/>
  <c r="CE99" i="1"/>
  <c r="CF98" i="1"/>
  <c r="CE98" i="1"/>
  <c r="CF96" i="1"/>
  <c r="CE96" i="1"/>
  <c r="CF94" i="1"/>
  <c r="CE94" i="1"/>
  <c r="CF92" i="1"/>
  <c r="CE92" i="1"/>
  <c r="CF90" i="1"/>
  <c r="CE90" i="1"/>
  <c r="CF88" i="1"/>
  <c r="CE88" i="1"/>
  <c r="CF87" i="1"/>
  <c r="CE87" i="1"/>
  <c r="CF86" i="1"/>
  <c r="CE86" i="1"/>
  <c r="CF85" i="1"/>
  <c r="CE85" i="1"/>
  <c r="CF84" i="1"/>
  <c r="CE84" i="1"/>
  <c r="CF81" i="1"/>
  <c r="CE81" i="1"/>
  <c r="CF79" i="1"/>
  <c r="CE79" i="1"/>
  <c r="CF78" i="1"/>
  <c r="CE78" i="1"/>
  <c r="CF77" i="1"/>
  <c r="CE77" i="1"/>
  <c r="CF76" i="1"/>
  <c r="CE76" i="1"/>
  <c r="CF75" i="1"/>
  <c r="CE75" i="1"/>
  <c r="CF73" i="1"/>
  <c r="CE73" i="1"/>
  <c r="CF72" i="1"/>
  <c r="CE72" i="1"/>
  <c r="CF69" i="1"/>
  <c r="CE69" i="1"/>
  <c r="CF67" i="1"/>
  <c r="CE67" i="1"/>
  <c r="CF64" i="1"/>
  <c r="CE64" i="1"/>
  <c r="CF60" i="1"/>
  <c r="CE60" i="1"/>
  <c r="CF55" i="1"/>
  <c r="CE55" i="1"/>
  <c r="CF54" i="1"/>
  <c r="CE54" i="1"/>
  <c r="CF49" i="1"/>
  <c r="CE49" i="1"/>
  <c r="CF43" i="1"/>
  <c r="CE43" i="1"/>
  <c r="CF38" i="1"/>
  <c r="CE38" i="1"/>
  <c r="CF37" i="1"/>
  <c r="CE37" i="1"/>
  <c r="CF34" i="1"/>
  <c r="CE34" i="1"/>
  <c r="CF32" i="1"/>
  <c r="CE32" i="1"/>
  <c r="CF30" i="1"/>
  <c r="CE30" i="1"/>
  <c r="CF28" i="1"/>
  <c r="CE28" i="1"/>
  <c r="CF26" i="1"/>
  <c r="CE26" i="1"/>
  <c r="CF22" i="1"/>
  <c r="CE22" i="1"/>
  <c r="CF21" i="1"/>
  <c r="CE21" i="1"/>
  <c r="CF17" i="1"/>
  <c r="CE17" i="1"/>
  <c r="CF11" i="1"/>
  <c r="CE11" i="1"/>
  <c r="CF10" i="1"/>
  <c r="CE10" i="1"/>
  <c r="CF9" i="1"/>
  <c r="CE9" i="1"/>
  <c r="CF8" i="1"/>
  <c r="CE8" i="1"/>
  <c r="A674" i="1"/>
  <c r="A673" i="1"/>
  <c r="A672" i="1"/>
  <c r="A671" i="1"/>
  <c r="AD109" i="44" l="1"/>
  <c r="F109" i="44" s="1"/>
  <c r="CS193" i="1"/>
  <c r="AD113" i="44"/>
  <c r="F113" i="44" s="1"/>
  <c r="CS198" i="1"/>
  <c r="CS203" i="1"/>
  <c r="AD117" i="44" s="1"/>
  <c r="F117" i="44" s="1"/>
  <c r="CS209" i="1"/>
  <c r="DA209" i="1" s="1"/>
  <c r="EW209" i="1" s="1"/>
  <c r="EY209" i="1" s="1"/>
  <c r="CS214" i="1"/>
  <c r="CS219" i="1"/>
  <c r="CS223" i="1"/>
  <c r="CS227" i="1"/>
  <c r="CS238" i="1"/>
  <c r="CS318" i="1"/>
  <c r="CS322" i="1"/>
  <c r="CS326" i="1"/>
  <c r="CS330" i="1"/>
  <c r="CS334" i="1"/>
  <c r="CS338" i="1"/>
  <c r="CS342" i="1"/>
  <c r="CS346" i="1"/>
  <c r="CS350" i="1"/>
  <c r="AD179" i="44" s="1"/>
  <c r="F179" i="44" s="1"/>
  <c r="CS354" i="1"/>
  <c r="DA354" i="1" s="1"/>
  <c r="EW354" i="1" s="1"/>
  <c r="EY354" i="1" s="1"/>
  <c r="CS358" i="1"/>
  <c r="CS362" i="1"/>
  <c r="CS366" i="1"/>
  <c r="CS370" i="1"/>
  <c r="CS374" i="1"/>
  <c r="CS378" i="1"/>
  <c r="CS382" i="1"/>
  <c r="CS386" i="1"/>
  <c r="DA386" i="1" s="1"/>
  <c r="EW386" i="1" s="1"/>
  <c r="EY386" i="1" s="1"/>
  <c r="CS390" i="1"/>
  <c r="CS394" i="1"/>
  <c r="CS399" i="1"/>
  <c r="CS403" i="1"/>
  <c r="CS407" i="1"/>
  <c r="AD239" i="44"/>
  <c r="F239" i="44" s="1"/>
  <c r="CS411" i="1"/>
  <c r="CS415" i="1"/>
  <c r="DA415" i="1" s="1"/>
  <c r="EW415" i="1" s="1"/>
  <c r="EY415" i="1" s="1"/>
  <c r="CS419" i="1"/>
  <c r="CS423" i="1"/>
  <c r="CS427" i="1"/>
  <c r="CS431" i="1"/>
  <c r="CS435" i="1"/>
  <c r="CS439" i="1"/>
  <c r="CS443" i="1"/>
  <c r="CS449" i="1"/>
  <c r="DA449" i="1" s="1"/>
  <c r="EW449" i="1" s="1"/>
  <c r="EY449" i="1" s="1"/>
  <c r="CS458" i="1"/>
  <c r="CS465" i="1"/>
  <c r="CS470" i="1"/>
  <c r="CS481" i="1"/>
  <c r="CS488" i="1"/>
  <c r="CS498" i="1"/>
  <c r="CS505" i="1"/>
  <c r="AD410" i="44"/>
  <c r="F410" i="44" s="1"/>
  <c r="CS512" i="1"/>
  <c r="CS518" i="1"/>
  <c r="CS524" i="1"/>
  <c r="CS529" i="1"/>
  <c r="CS536" i="1"/>
  <c r="CS543" i="1"/>
  <c r="CS548" i="1"/>
  <c r="CS556" i="1"/>
  <c r="DA556" i="1" s="1"/>
  <c r="EW556" i="1" s="1"/>
  <c r="EY556" i="1" s="1"/>
  <c r="CS563" i="1"/>
  <c r="CS567" i="1"/>
  <c r="CS572" i="1"/>
  <c r="CS577" i="1"/>
  <c r="CS582" i="1"/>
  <c r="AD458" i="44" s="1"/>
  <c r="F458" i="44" s="1"/>
  <c r="CS586" i="1"/>
  <c r="CS590" i="1"/>
  <c r="CS594" i="1"/>
  <c r="AD474" i="44"/>
  <c r="F474" i="44" s="1"/>
  <c r="CS601" i="1"/>
  <c r="CS608" i="1"/>
  <c r="CS614" i="1"/>
  <c r="AD480" i="44" s="1"/>
  <c r="F480" i="44" s="1"/>
  <c r="CS619" i="1"/>
  <c r="CS623" i="1"/>
  <c r="DA623" i="1" s="1"/>
  <c r="EW623" i="1" s="1"/>
  <c r="EY623" i="1" s="1"/>
  <c r="CS627" i="1"/>
  <c r="AD496" i="44"/>
  <c r="F496" i="44" s="1"/>
  <c r="CS632" i="1"/>
  <c r="CS636" i="1"/>
  <c r="AD500" i="44" s="1"/>
  <c r="F500" i="44" s="1"/>
  <c r="CS641" i="1"/>
  <c r="AD504" i="44" s="1"/>
  <c r="F504" i="44" s="1"/>
  <c r="CS645" i="1"/>
  <c r="DA645" i="1" s="1"/>
  <c r="EW645" i="1" s="1"/>
  <c r="EY645" i="1" s="1"/>
  <c r="CS649" i="1"/>
  <c r="AD516" i="44"/>
  <c r="F516" i="44" s="1"/>
  <c r="CS653" i="1"/>
  <c r="CS657" i="1"/>
  <c r="CS661" i="1"/>
  <c r="CS665" i="1"/>
  <c r="CS669" i="1"/>
  <c r="AD532" i="44" s="1"/>
  <c r="F532" i="44" s="1"/>
  <c r="CS673" i="1"/>
  <c r="AD536" i="44" s="1"/>
  <c r="F536" i="44" s="1"/>
  <c r="CT193" i="1"/>
  <c r="AE109" i="44" s="1"/>
  <c r="G109" i="44" s="1"/>
  <c r="CT198" i="1"/>
  <c r="CT203" i="1"/>
  <c r="AE117" i="44" s="1"/>
  <c r="G117" i="44" s="1"/>
  <c r="CT209" i="1"/>
  <c r="AE121" i="44" s="1"/>
  <c r="G121" i="44" s="1"/>
  <c r="CT214" i="1"/>
  <c r="AE125" i="44" s="1"/>
  <c r="G125" i="44" s="1"/>
  <c r="CT219" i="1"/>
  <c r="CT223" i="1"/>
  <c r="AE133" i="44" s="1"/>
  <c r="G133" i="44" s="1"/>
  <c r="CT227" i="1"/>
  <c r="AE137" i="44" s="1"/>
  <c r="G137" i="44" s="1"/>
  <c r="CT238" i="1"/>
  <c r="AE141" i="44" s="1"/>
  <c r="G141" i="44" s="1"/>
  <c r="CT318" i="1"/>
  <c r="CT322" i="1"/>
  <c r="AE151" i="44" s="1"/>
  <c r="G151" i="44" s="1"/>
  <c r="CT326" i="1"/>
  <c r="AE155" i="44" s="1"/>
  <c r="G155" i="44" s="1"/>
  <c r="AE159" i="44"/>
  <c r="G159" i="44" s="1"/>
  <c r="CT330" i="1"/>
  <c r="CT334" i="1"/>
  <c r="AE163" i="44" s="1"/>
  <c r="G163" i="44" s="1"/>
  <c r="CT338" i="1"/>
  <c r="AE167" i="44" s="1"/>
  <c r="G167" i="44" s="1"/>
  <c r="AE171" i="44"/>
  <c r="G171" i="44" s="1"/>
  <c r="CT342" i="1"/>
  <c r="CT346" i="1"/>
  <c r="AE175" i="44" s="1"/>
  <c r="G175" i="44" s="1"/>
  <c r="CT350" i="1"/>
  <c r="AE179" i="44" s="1"/>
  <c r="G179" i="44" s="1"/>
  <c r="CT354" i="1"/>
  <c r="AE183" i="44" s="1"/>
  <c r="G183" i="44" s="1"/>
  <c r="CT358" i="1"/>
  <c r="AE187" i="44" s="1"/>
  <c r="G187" i="44" s="1"/>
  <c r="CT362" i="1"/>
  <c r="AE191" i="44" s="1"/>
  <c r="G191" i="44" s="1"/>
  <c r="CT366" i="1"/>
  <c r="AE195" i="44" s="1"/>
  <c r="G195" i="44" s="1"/>
  <c r="CT370" i="1"/>
  <c r="AE199" i="44" s="1"/>
  <c r="G199" i="44" s="1"/>
  <c r="CT374" i="1"/>
  <c r="AE203" i="44" s="1"/>
  <c r="G203" i="44" s="1"/>
  <c r="CT378" i="1"/>
  <c r="AE207" i="44" s="1"/>
  <c r="G207" i="44" s="1"/>
  <c r="CT382" i="1"/>
  <c r="AE211" i="44" s="1"/>
  <c r="G211" i="44" s="1"/>
  <c r="CT386" i="1"/>
  <c r="AE215" i="44" s="1"/>
  <c r="G215" i="44" s="1"/>
  <c r="CT390" i="1"/>
  <c r="AE219" i="44" s="1"/>
  <c r="G219" i="44" s="1"/>
  <c r="CT394" i="1"/>
  <c r="AE223" i="44" s="1"/>
  <c r="G223" i="44" s="1"/>
  <c r="CT399" i="1"/>
  <c r="AE227" i="44" s="1"/>
  <c r="G227" i="44" s="1"/>
  <c r="CT403" i="1"/>
  <c r="AE231" i="44" s="1"/>
  <c r="G231" i="44" s="1"/>
  <c r="CT407" i="1"/>
  <c r="AE235" i="44" s="1"/>
  <c r="G235" i="44" s="1"/>
  <c r="CT411" i="1"/>
  <c r="AE239" i="44" s="1"/>
  <c r="G239" i="44" s="1"/>
  <c r="AE243" i="44"/>
  <c r="G243" i="44" s="1"/>
  <c r="CT415" i="1"/>
  <c r="CT419" i="1"/>
  <c r="AE247" i="44" s="1"/>
  <c r="G247" i="44" s="1"/>
  <c r="CT423" i="1"/>
  <c r="AE251" i="44" s="1"/>
  <c r="G251" i="44" s="1"/>
  <c r="CT427" i="1"/>
  <c r="AE255" i="44" s="1"/>
  <c r="G255" i="44" s="1"/>
  <c r="AE259" i="44"/>
  <c r="G259" i="44" s="1"/>
  <c r="CT431" i="1"/>
  <c r="CT435" i="1"/>
  <c r="AE263" i="44" s="1"/>
  <c r="G263" i="44" s="1"/>
  <c r="AE267" i="44"/>
  <c r="G267" i="44" s="1"/>
  <c r="CT439" i="1"/>
  <c r="CT443" i="1"/>
  <c r="AE271" i="44" s="1"/>
  <c r="G271" i="44" s="1"/>
  <c r="CT449" i="1"/>
  <c r="AE275" i="44" s="1"/>
  <c r="G275" i="44" s="1"/>
  <c r="AE376" i="44"/>
  <c r="G376" i="44" s="1"/>
  <c r="CT458" i="1"/>
  <c r="CT465" i="1"/>
  <c r="AE380" i="44" s="1"/>
  <c r="G380" i="44" s="1"/>
  <c r="CT470" i="1"/>
  <c r="DB470" i="1" s="1"/>
  <c r="EX470" i="1" s="1"/>
  <c r="CT481" i="1"/>
  <c r="AE388" i="44" s="1"/>
  <c r="G388" i="44" s="1"/>
  <c r="CT488" i="1"/>
  <c r="AE392" i="44" s="1"/>
  <c r="G392" i="44" s="1"/>
  <c r="AE396" i="44"/>
  <c r="G396" i="44" s="1"/>
  <c r="CT498" i="1"/>
  <c r="CT505" i="1"/>
  <c r="AE400" i="44" s="1"/>
  <c r="G400" i="44" s="1"/>
  <c r="CT512" i="1"/>
  <c r="AE410" i="44" s="1"/>
  <c r="G410" i="44" s="1"/>
  <c r="AE414" i="44"/>
  <c r="G414" i="44" s="1"/>
  <c r="CT518" i="1"/>
  <c r="CT524" i="1"/>
  <c r="AE418" i="44" s="1"/>
  <c r="G418" i="44" s="1"/>
  <c r="CT529" i="1"/>
  <c r="DB529" i="1" s="1"/>
  <c r="EX529" i="1" s="1"/>
  <c r="CT536" i="1"/>
  <c r="AE426" i="44" s="1"/>
  <c r="G426" i="44" s="1"/>
  <c r="CT543" i="1"/>
  <c r="AE430" i="44" s="1"/>
  <c r="G430" i="44" s="1"/>
  <c r="AE434" i="44"/>
  <c r="G434" i="44" s="1"/>
  <c r="CT548" i="1"/>
  <c r="CT556" i="1"/>
  <c r="AE438" i="44" s="1"/>
  <c r="G438" i="44" s="1"/>
  <c r="AE442" i="44"/>
  <c r="G442" i="44" s="1"/>
  <c r="CT563" i="1"/>
  <c r="CT567" i="1"/>
  <c r="AE446" i="44" s="1"/>
  <c r="G446" i="44" s="1"/>
  <c r="AE450" i="44"/>
  <c r="G450" i="44" s="1"/>
  <c r="CT572" i="1"/>
  <c r="CT577" i="1"/>
  <c r="DB577" i="1" s="1"/>
  <c r="EX577" i="1" s="1"/>
  <c r="AE458" i="44"/>
  <c r="G458" i="44" s="1"/>
  <c r="CT582" i="1"/>
  <c r="AE462" i="44"/>
  <c r="G462" i="44" s="1"/>
  <c r="CT586" i="1"/>
  <c r="CT590" i="1"/>
  <c r="AE466" i="44" s="1"/>
  <c r="G466" i="44" s="1"/>
  <c r="CT594" i="1"/>
  <c r="AE470" i="44" s="1"/>
  <c r="G470" i="44" s="1"/>
  <c r="CT601" i="1"/>
  <c r="AE474" i="44" s="1"/>
  <c r="G474" i="44" s="1"/>
  <c r="AE403" i="44"/>
  <c r="G403" i="44" s="1"/>
  <c r="CT608" i="1"/>
  <c r="CT614" i="1"/>
  <c r="AE480" i="44" s="1"/>
  <c r="G480" i="44" s="1"/>
  <c r="CT619" i="1"/>
  <c r="AE484" i="44" s="1"/>
  <c r="G484" i="44" s="1"/>
  <c r="AE488" i="44"/>
  <c r="G488" i="44" s="1"/>
  <c r="CT623" i="1"/>
  <c r="AE492" i="44"/>
  <c r="G492" i="44" s="1"/>
  <c r="CT627" i="1"/>
  <c r="AE496" i="44"/>
  <c r="G496" i="44" s="1"/>
  <c r="CT632" i="1"/>
  <c r="CT636" i="1"/>
  <c r="DB636" i="1" s="1"/>
  <c r="EX636" i="1" s="1"/>
  <c r="AE504" i="44"/>
  <c r="G504" i="44" s="1"/>
  <c r="CT641" i="1"/>
  <c r="CT645" i="1"/>
  <c r="AE508" i="44" s="1"/>
  <c r="G508" i="44" s="1"/>
  <c r="AE512" i="44"/>
  <c r="G512" i="44" s="1"/>
  <c r="CT649" i="1"/>
  <c r="CT653" i="1"/>
  <c r="AE516" i="44" s="1"/>
  <c r="G516" i="44" s="1"/>
  <c r="CT657" i="1"/>
  <c r="AE520" i="44" s="1"/>
  <c r="G520" i="44" s="1"/>
  <c r="AE524" i="44"/>
  <c r="G524" i="44" s="1"/>
  <c r="CT661" i="1"/>
  <c r="AE528" i="44"/>
  <c r="G528" i="44" s="1"/>
  <c r="CT665" i="1"/>
  <c r="CT669" i="1"/>
  <c r="DB669" i="1" s="1"/>
  <c r="EX669" i="1" s="1"/>
  <c r="CT673" i="1"/>
  <c r="AE536" i="44" s="1"/>
  <c r="G536" i="44" s="1"/>
  <c r="AD110" i="44"/>
  <c r="F110" i="44" s="1"/>
  <c r="CS195" i="1"/>
  <c r="CS199" i="1"/>
  <c r="AD114" i="44" s="1"/>
  <c r="F114" i="44" s="1"/>
  <c r="CS205" i="1"/>
  <c r="AD118" i="44" s="1"/>
  <c r="F118" i="44" s="1"/>
  <c r="AD122" i="44"/>
  <c r="F122" i="44" s="1"/>
  <c r="CS210" i="1"/>
  <c r="CS216" i="1"/>
  <c r="DA216" i="1" s="1"/>
  <c r="EW216" i="1" s="1"/>
  <c r="EY216" i="1" s="1"/>
  <c r="AD130" i="44"/>
  <c r="F130" i="44" s="1"/>
  <c r="CS220" i="1"/>
  <c r="CS224" i="1"/>
  <c r="AD134" i="44" s="1"/>
  <c r="F134" i="44" s="1"/>
  <c r="AD138" i="44"/>
  <c r="F138" i="44" s="1"/>
  <c r="CS228" i="1"/>
  <c r="CS312" i="1"/>
  <c r="AD142" i="44" s="1"/>
  <c r="F142" i="44" s="1"/>
  <c r="AD148" i="44"/>
  <c r="F148" i="44" s="1"/>
  <c r="CS319" i="1"/>
  <c r="CS323" i="1"/>
  <c r="DA323" i="1" s="1"/>
  <c r="EW323" i="1" s="1"/>
  <c r="EY323" i="1" s="1"/>
  <c r="AD156" i="44"/>
  <c r="F156" i="44" s="1"/>
  <c r="CS327" i="1"/>
  <c r="AD160" i="44"/>
  <c r="F160" i="44" s="1"/>
  <c r="CS331" i="1"/>
  <c r="CS335" i="1"/>
  <c r="AD164" i="44" s="1"/>
  <c r="F164" i="44" s="1"/>
  <c r="CS339" i="1"/>
  <c r="AD168" i="44" s="1"/>
  <c r="F168" i="44" s="1"/>
  <c r="CS343" i="1"/>
  <c r="AD172" i="44" s="1"/>
  <c r="F172" i="44" s="1"/>
  <c r="AD176" i="44"/>
  <c r="F176" i="44" s="1"/>
  <c r="CS347" i="1"/>
  <c r="CS351" i="1"/>
  <c r="AD180" i="44" s="1"/>
  <c r="F180" i="44" s="1"/>
  <c r="CS355" i="1"/>
  <c r="DA355" i="1" s="1"/>
  <c r="EW355" i="1" s="1"/>
  <c r="EY355" i="1" s="1"/>
  <c r="AD188" i="44"/>
  <c r="F188" i="44" s="1"/>
  <c r="CS359" i="1"/>
  <c r="AD192" i="44"/>
  <c r="F192" i="44" s="1"/>
  <c r="CS363" i="1"/>
  <c r="AD196" i="44"/>
  <c r="F196" i="44" s="1"/>
  <c r="CS367" i="1"/>
  <c r="CS371" i="1"/>
  <c r="AD200" i="44" s="1"/>
  <c r="F200" i="44" s="1"/>
  <c r="AD204" i="44"/>
  <c r="F204" i="44" s="1"/>
  <c r="CS375" i="1"/>
  <c r="CS379" i="1"/>
  <c r="AD208" i="44" s="1"/>
  <c r="F208" i="44" s="1"/>
  <c r="AD212" i="44"/>
  <c r="F212" i="44" s="1"/>
  <c r="CS383" i="1"/>
  <c r="CS387" i="1"/>
  <c r="AD216" i="44" s="1"/>
  <c r="F216" i="44" s="1"/>
  <c r="CS391" i="1"/>
  <c r="AD220" i="44" s="1"/>
  <c r="F220" i="44" s="1"/>
  <c r="AD224" i="44"/>
  <c r="F224" i="44" s="1"/>
  <c r="CS395" i="1"/>
  <c r="AD228" i="44"/>
  <c r="F228" i="44" s="1"/>
  <c r="CS400" i="1"/>
  <c r="CS404" i="1"/>
  <c r="AD232" i="44" s="1"/>
  <c r="F232" i="44" s="1"/>
  <c r="CS408" i="1"/>
  <c r="AD236" i="44" s="1"/>
  <c r="F236" i="44" s="1"/>
  <c r="AD240" i="44"/>
  <c r="F240" i="44" s="1"/>
  <c r="CS412" i="1"/>
  <c r="CS416" i="1"/>
  <c r="AD244" i="44" s="1"/>
  <c r="F244" i="44" s="1"/>
  <c r="CS420" i="1"/>
  <c r="DA420" i="1" s="1"/>
  <c r="EW420" i="1" s="1"/>
  <c r="EY420" i="1" s="1"/>
  <c r="AD252" i="44"/>
  <c r="F252" i="44" s="1"/>
  <c r="CS424" i="1"/>
  <c r="CS428" i="1"/>
  <c r="DA428" i="1" s="1"/>
  <c r="EW428" i="1" s="1"/>
  <c r="EY428" i="1" s="1"/>
  <c r="AD260" i="44"/>
  <c r="F260" i="44" s="1"/>
  <c r="CS432" i="1"/>
  <c r="CS436" i="1"/>
  <c r="AD264" i="44" s="1"/>
  <c r="F264" i="44" s="1"/>
  <c r="AD268" i="44"/>
  <c r="F268" i="44" s="1"/>
  <c r="CS440" i="1"/>
  <c r="CS445" i="1"/>
  <c r="AD272" i="44" s="1"/>
  <c r="F272" i="44" s="1"/>
  <c r="AD377" i="44"/>
  <c r="F377" i="44" s="1"/>
  <c r="CS459" i="1"/>
  <c r="CS467" i="1"/>
  <c r="AD381" i="44" s="1"/>
  <c r="F381" i="44" s="1"/>
  <c r="AD385" i="44"/>
  <c r="F385" i="44" s="1"/>
  <c r="CS473" i="1"/>
  <c r="AD389" i="44"/>
  <c r="F389" i="44" s="1"/>
  <c r="CS483" i="1"/>
  <c r="CS489" i="1"/>
  <c r="AD393" i="44" s="1"/>
  <c r="F393" i="44" s="1"/>
  <c r="CS507" i="1"/>
  <c r="DA507" i="1" s="1"/>
  <c r="EW507" i="1" s="1"/>
  <c r="EY507" i="1" s="1"/>
  <c r="CS514" i="1"/>
  <c r="AD411" i="44" s="1"/>
  <c r="F411" i="44" s="1"/>
  <c r="AD415" i="44"/>
  <c r="F415" i="44" s="1"/>
  <c r="CS520" i="1"/>
  <c r="CS525" i="1"/>
  <c r="AD419" i="44" s="1"/>
  <c r="F419" i="44" s="1"/>
  <c r="CS532" i="1"/>
  <c r="AD423" i="44" s="1"/>
  <c r="F423" i="44" s="1"/>
  <c r="AD427" i="44"/>
  <c r="F427" i="44" s="1"/>
  <c r="CS538" i="1"/>
  <c r="AD431" i="44"/>
  <c r="F431" i="44" s="1"/>
  <c r="CS544" i="1"/>
  <c r="AD435" i="44"/>
  <c r="F435" i="44" s="1"/>
  <c r="CS550" i="1"/>
  <c r="CS560" i="1"/>
  <c r="DA560" i="1" s="1"/>
  <c r="EW560" i="1" s="1"/>
  <c r="EY560" i="1" s="1"/>
  <c r="AD443" i="44"/>
  <c r="F443" i="44" s="1"/>
  <c r="CS564" i="1"/>
  <c r="CS569" i="1"/>
  <c r="AD447" i="44" s="1"/>
  <c r="F447" i="44" s="1"/>
  <c r="AD451" i="44"/>
  <c r="F451" i="44" s="1"/>
  <c r="CS574" i="1"/>
  <c r="CS578" i="1"/>
  <c r="AD455" i="44" s="1"/>
  <c r="F455" i="44" s="1"/>
  <c r="CS583" i="1"/>
  <c r="AD459" i="44" s="1"/>
  <c r="F459" i="44" s="1"/>
  <c r="AD463" i="44"/>
  <c r="F463" i="44" s="1"/>
  <c r="CS587" i="1"/>
  <c r="AD467" i="44"/>
  <c r="F467" i="44" s="1"/>
  <c r="CS591" i="1"/>
  <c r="CS595" i="1"/>
  <c r="DA595" i="1" s="1"/>
  <c r="CS602" i="1"/>
  <c r="AD475" i="44" s="1"/>
  <c r="F475" i="44" s="1"/>
  <c r="AD404" i="44"/>
  <c r="F404" i="44" s="1"/>
  <c r="CS611" i="1"/>
  <c r="CS615" i="1"/>
  <c r="AD481" i="44" s="1"/>
  <c r="F481" i="44" s="1"/>
  <c r="CS620" i="1"/>
  <c r="AD485" i="44" s="1"/>
  <c r="F485" i="44" s="1"/>
  <c r="AD489" i="44"/>
  <c r="F489" i="44" s="1"/>
  <c r="CS624" i="1"/>
  <c r="CS629" i="1"/>
  <c r="DA629" i="1" s="1"/>
  <c r="EW629" i="1" s="1"/>
  <c r="EY629" i="1" s="1"/>
  <c r="AD497" i="44"/>
  <c r="F497" i="44" s="1"/>
  <c r="CS633" i="1"/>
  <c r="CS637" i="1"/>
  <c r="AD501" i="44" s="1"/>
  <c r="F501" i="44" s="1"/>
  <c r="AD505" i="44"/>
  <c r="F505" i="44" s="1"/>
  <c r="CS642" i="1"/>
  <c r="CS646" i="1"/>
  <c r="AD509" i="44" s="1"/>
  <c r="F509" i="44" s="1"/>
  <c r="AD513" i="44"/>
  <c r="F513" i="44" s="1"/>
  <c r="CS650" i="1"/>
  <c r="CS654" i="1"/>
  <c r="DA654" i="1" s="1"/>
  <c r="EW654" i="1" s="1"/>
  <c r="EY654" i="1" s="1"/>
  <c r="AD521" i="44"/>
  <c r="F521" i="44" s="1"/>
  <c r="CS658" i="1"/>
  <c r="AD525" i="44"/>
  <c r="F525" i="44" s="1"/>
  <c r="CS662" i="1"/>
  <c r="CS666" i="1"/>
  <c r="AD529" i="44" s="1"/>
  <c r="F529" i="44" s="1"/>
  <c r="CS670" i="1"/>
  <c r="AD533" i="44" s="1"/>
  <c r="F533" i="44" s="1"/>
  <c r="CS674" i="1"/>
  <c r="AD537" i="44" s="1"/>
  <c r="F537" i="44" s="1"/>
  <c r="AE110" i="44"/>
  <c r="G110" i="44" s="1"/>
  <c r="CT195" i="1"/>
  <c r="CT199" i="1"/>
  <c r="AE114" i="44" s="1"/>
  <c r="G114" i="44" s="1"/>
  <c r="CT205" i="1"/>
  <c r="AE118" i="44" s="1"/>
  <c r="G118" i="44" s="1"/>
  <c r="AE122" i="44"/>
  <c r="G122" i="44" s="1"/>
  <c r="CT210" i="1"/>
  <c r="AE126" i="44"/>
  <c r="G126" i="44" s="1"/>
  <c r="CT216" i="1"/>
  <c r="AE130" i="44"/>
  <c r="G130" i="44" s="1"/>
  <c r="CT220" i="1"/>
  <c r="CT224" i="1"/>
  <c r="DB224" i="1" s="1"/>
  <c r="EX224" i="1" s="1"/>
  <c r="AE138" i="44"/>
  <c r="G138" i="44" s="1"/>
  <c r="CT228" i="1"/>
  <c r="CT312" i="1"/>
  <c r="AE142" i="44" s="1"/>
  <c r="G142" i="44" s="1"/>
  <c r="AE148" i="44"/>
  <c r="G148" i="44" s="1"/>
  <c r="CT319" i="1"/>
  <c r="CT323" i="1"/>
  <c r="DB323" i="1" s="1"/>
  <c r="EX323" i="1" s="1"/>
  <c r="CT327" i="1"/>
  <c r="AE156" i="44" s="1"/>
  <c r="G156" i="44" s="1"/>
  <c r="AE160" i="44"/>
  <c r="G160" i="44" s="1"/>
  <c r="CT331" i="1"/>
  <c r="AE164" i="44"/>
  <c r="G164" i="44" s="1"/>
  <c r="CT335" i="1"/>
  <c r="CT339" i="1"/>
  <c r="DB339" i="1" s="1"/>
  <c r="EX339" i="1" s="1"/>
  <c r="CT343" i="1"/>
  <c r="AE172" i="44" s="1"/>
  <c r="G172" i="44" s="1"/>
  <c r="AE176" i="44"/>
  <c r="G176" i="44" s="1"/>
  <c r="CT347" i="1"/>
  <c r="CT351" i="1"/>
  <c r="AE180" i="44" s="1"/>
  <c r="G180" i="44" s="1"/>
  <c r="CT355" i="1"/>
  <c r="DB355" i="1" s="1"/>
  <c r="EX355" i="1" s="1"/>
  <c r="AE188" i="44"/>
  <c r="G188" i="44" s="1"/>
  <c r="CT359" i="1"/>
  <c r="CT363" i="1"/>
  <c r="AE192" i="44" s="1"/>
  <c r="G192" i="44" s="1"/>
  <c r="AE196" i="44"/>
  <c r="G196" i="44" s="1"/>
  <c r="CT367" i="1"/>
  <c r="CT371" i="1"/>
  <c r="DB371" i="1" s="1"/>
  <c r="EX371" i="1" s="1"/>
  <c r="AE204" i="44"/>
  <c r="G204" i="44" s="1"/>
  <c r="CT375" i="1"/>
  <c r="CT379" i="1"/>
  <c r="AE208" i="44" s="1"/>
  <c r="G208" i="44" s="1"/>
  <c r="AE212" i="44"/>
  <c r="G212" i="44" s="1"/>
  <c r="CT383" i="1"/>
  <c r="CT387" i="1"/>
  <c r="DB387" i="1" s="1"/>
  <c r="EX387" i="1" s="1"/>
  <c r="AE220" i="44"/>
  <c r="G220" i="44" s="1"/>
  <c r="CT391" i="1"/>
  <c r="AE224" i="44"/>
  <c r="G224" i="44" s="1"/>
  <c r="CT395" i="1"/>
  <c r="CT400" i="1"/>
  <c r="AE228" i="44" s="1"/>
  <c r="G228" i="44" s="1"/>
  <c r="CT404" i="1"/>
  <c r="DB404" i="1" s="1"/>
  <c r="EX404" i="1" s="1"/>
  <c r="CT408" i="1"/>
  <c r="AE236" i="44" s="1"/>
  <c r="G236" i="44" s="1"/>
  <c r="AE240" i="44"/>
  <c r="G240" i="44" s="1"/>
  <c r="CT412" i="1"/>
  <c r="CT416" i="1"/>
  <c r="AE244" i="44" s="1"/>
  <c r="G244" i="44" s="1"/>
  <c r="CT420" i="1"/>
  <c r="DB420" i="1" s="1"/>
  <c r="EX420" i="1" s="1"/>
  <c r="AE252" i="44"/>
  <c r="G252" i="44" s="1"/>
  <c r="CT424" i="1"/>
  <c r="AE256" i="44"/>
  <c r="G256" i="44" s="1"/>
  <c r="CT428" i="1"/>
  <c r="AE260" i="44"/>
  <c r="G260" i="44" s="1"/>
  <c r="CT432" i="1"/>
  <c r="CT436" i="1"/>
  <c r="DB436" i="1" s="1"/>
  <c r="EX436" i="1" s="1"/>
  <c r="AE268" i="44"/>
  <c r="G268" i="44" s="1"/>
  <c r="CT440" i="1"/>
  <c r="CT445" i="1"/>
  <c r="AE272" i="44" s="1"/>
  <c r="G272" i="44" s="1"/>
  <c r="AE377" i="44"/>
  <c r="G377" i="44" s="1"/>
  <c r="CT459" i="1"/>
  <c r="CT467" i="1"/>
  <c r="DB467" i="1" s="1"/>
  <c r="EX467" i="1" s="1"/>
  <c r="CT473" i="1"/>
  <c r="AE385" i="44" s="1"/>
  <c r="G385" i="44" s="1"/>
  <c r="AE389" i="44"/>
  <c r="G389" i="44" s="1"/>
  <c r="CT483" i="1"/>
  <c r="AE393" i="44"/>
  <c r="G393" i="44" s="1"/>
  <c r="CT489" i="1"/>
  <c r="CT507" i="1"/>
  <c r="AE401" i="44" s="1"/>
  <c r="G401" i="44" s="1"/>
  <c r="CT514" i="1"/>
  <c r="AE411" i="44" s="1"/>
  <c r="G411" i="44" s="1"/>
  <c r="AE415" i="44"/>
  <c r="G415" i="44" s="1"/>
  <c r="CT520" i="1"/>
  <c r="CT525" i="1"/>
  <c r="AE419" i="44" s="1"/>
  <c r="G419" i="44" s="1"/>
  <c r="CT532" i="1"/>
  <c r="AE423" i="44" s="1"/>
  <c r="G423" i="44" s="1"/>
  <c r="AE427" i="44"/>
  <c r="G427" i="44" s="1"/>
  <c r="CT538" i="1"/>
  <c r="CT544" i="1"/>
  <c r="DB544" i="1" s="1"/>
  <c r="EX544" i="1" s="1"/>
  <c r="AE435" i="44"/>
  <c r="G435" i="44" s="1"/>
  <c r="CT550" i="1"/>
  <c r="CT560" i="1"/>
  <c r="DB560" i="1" s="1"/>
  <c r="EX560" i="1" s="1"/>
  <c r="AE443" i="44"/>
  <c r="G443" i="44" s="1"/>
  <c r="CT564" i="1"/>
  <c r="CT569" i="1"/>
  <c r="AE447" i="44" s="1"/>
  <c r="G447" i="44" s="1"/>
  <c r="AE451" i="44"/>
  <c r="G451" i="44" s="1"/>
  <c r="CT574" i="1"/>
  <c r="CT578" i="1"/>
  <c r="AE455" i="44" s="1"/>
  <c r="G455" i="44" s="1"/>
  <c r="AE459" i="44"/>
  <c r="G459" i="44" s="1"/>
  <c r="CT583" i="1"/>
  <c r="AE463" i="44"/>
  <c r="G463" i="44" s="1"/>
  <c r="CT587" i="1"/>
  <c r="CT591" i="1"/>
  <c r="AE467" i="44" s="1"/>
  <c r="G467" i="44" s="1"/>
  <c r="CT595" i="1"/>
  <c r="AE471" i="44" s="1"/>
  <c r="G471" i="44" s="1"/>
  <c r="CT602" i="1"/>
  <c r="AE475" i="44" s="1"/>
  <c r="G475" i="44" s="1"/>
  <c r="AE404" i="44"/>
  <c r="G404" i="44" s="1"/>
  <c r="CT611" i="1"/>
  <c r="CT615" i="1"/>
  <c r="AE481" i="44" s="1"/>
  <c r="G481" i="44" s="1"/>
  <c r="CT620" i="1"/>
  <c r="AE485" i="44" s="1"/>
  <c r="G485" i="44" s="1"/>
  <c r="AE489" i="44"/>
  <c r="G489" i="44" s="1"/>
  <c r="CT624" i="1"/>
  <c r="AE493" i="44"/>
  <c r="G493" i="44" s="1"/>
  <c r="CT629" i="1"/>
  <c r="AE497" i="44"/>
  <c r="G497" i="44" s="1"/>
  <c r="CT633" i="1"/>
  <c r="CT637" i="1"/>
  <c r="DB637" i="1" s="1"/>
  <c r="EX637" i="1" s="1"/>
  <c r="AE505" i="44"/>
  <c r="G505" i="44" s="1"/>
  <c r="CT642" i="1"/>
  <c r="CT646" i="1"/>
  <c r="AE509" i="44" s="1"/>
  <c r="G509" i="44" s="1"/>
  <c r="AE513" i="44"/>
  <c r="G513" i="44" s="1"/>
  <c r="CT650" i="1"/>
  <c r="CT654" i="1"/>
  <c r="AE517" i="44" s="1"/>
  <c r="G517" i="44" s="1"/>
  <c r="CT658" i="1"/>
  <c r="AE521" i="44" s="1"/>
  <c r="G521" i="44" s="1"/>
  <c r="AE525" i="44"/>
  <c r="G525" i="44" s="1"/>
  <c r="CT662" i="1"/>
  <c r="AE529" i="44"/>
  <c r="G529" i="44" s="1"/>
  <c r="CT666" i="1"/>
  <c r="DB666" i="1" s="1"/>
  <c r="EX666" i="1" s="1"/>
  <c r="CT670" i="1"/>
  <c r="DB670" i="1" s="1"/>
  <c r="EX670" i="1" s="1"/>
  <c r="AE537" i="44"/>
  <c r="G537" i="44" s="1"/>
  <c r="CT674" i="1"/>
  <c r="AD111" i="44"/>
  <c r="F111" i="44" s="1"/>
  <c r="CS196" i="1"/>
  <c r="CS200" i="1"/>
  <c r="AD115" i="44" s="1"/>
  <c r="F115" i="44" s="1"/>
  <c r="CS207" i="1"/>
  <c r="AD119" i="44" s="1"/>
  <c r="F119" i="44" s="1"/>
  <c r="AD123" i="44"/>
  <c r="F123" i="44" s="1"/>
  <c r="CS211" i="1"/>
  <c r="CS217" i="1"/>
  <c r="AD127" i="44" s="1"/>
  <c r="F127" i="44" s="1"/>
  <c r="AD131" i="44"/>
  <c r="F131" i="44" s="1"/>
  <c r="CS221" i="1"/>
  <c r="CS225" i="1"/>
  <c r="DA225" i="1" s="1"/>
  <c r="AD139" i="44"/>
  <c r="F139" i="44" s="1"/>
  <c r="CS231" i="1"/>
  <c r="AD145" i="44"/>
  <c r="F145" i="44" s="1"/>
  <c r="CS316" i="1"/>
  <c r="AD149" i="44"/>
  <c r="F149" i="44" s="1"/>
  <c r="CS320" i="1"/>
  <c r="CS324" i="1"/>
  <c r="AD153" i="44" s="1"/>
  <c r="F153" i="44" s="1"/>
  <c r="CS328" i="1"/>
  <c r="AD157" i="44" s="1"/>
  <c r="F157" i="44" s="1"/>
  <c r="AD161" i="44"/>
  <c r="F161" i="44" s="1"/>
  <c r="CS332" i="1"/>
  <c r="CS336" i="1"/>
  <c r="AD165" i="44" s="1"/>
  <c r="F165" i="44" s="1"/>
  <c r="CS340" i="1"/>
  <c r="DA340" i="1" s="1"/>
  <c r="EW340" i="1" s="1"/>
  <c r="EY340" i="1" s="1"/>
  <c r="CS344" i="1"/>
  <c r="AD173" i="44" s="1"/>
  <c r="F173" i="44" s="1"/>
  <c r="AD177" i="44"/>
  <c r="F177" i="44" s="1"/>
  <c r="CS348" i="1"/>
  <c r="AD181" i="44"/>
  <c r="F181" i="44" s="1"/>
  <c r="CS352" i="1"/>
  <c r="AD185" i="44"/>
  <c r="F185" i="44" s="1"/>
  <c r="CS356" i="1"/>
  <c r="CS360" i="1"/>
  <c r="AD189" i="44" s="1"/>
  <c r="F189" i="44" s="1"/>
  <c r="AD193" i="44"/>
  <c r="F193" i="44" s="1"/>
  <c r="CS364" i="1"/>
  <c r="AD197" i="44"/>
  <c r="F197" i="44" s="1"/>
  <c r="CS368" i="1"/>
  <c r="AD201" i="44"/>
  <c r="F201" i="44" s="1"/>
  <c r="CS372" i="1"/>
  <c r="CS376" i="1"/>
  <c r="DA376" i="1" s="1"/>
  <c r="EW376" i="1" s="1"/>
  <c r="EY376" i="1" s="1"/>
  <c r="AD209" i="44"/>
  <c r="F209" i="44" s="1"/>
  <c r="CS380" i="1"/>
  <c r="DA380" i="1" s="1"/>
  <c r="EW380" i="1" s="1"/>
  <c r="EY380" i="1" s="1"/>
  <c r="AD213" i="44"/>
  <c r="F213" i="44" s="1"/>
  <c r="CS384" i="1"/>
  <c r="AD217" i="44"/>
  <c r="F217" i="44" s="1"/>
  <c r="CS388" i="1"/>
  <c r="CS392" i="1"/>
  <c r="AD221" i="44" s="1"/>
  <c r="F221" i="44" s="1"/>
  <c r="AD225" i="44"/>
  <c r="F225" i="44" s="1"/>
  <c r="CS396" i="1"/>
  <c r="AD229" i="44"/>
  <c r="F229" i="44" s="1"/>
  <c r="CS401" i="1"/>
  <c r="AD233" i="44"/>
  <c r="F233" i="44" s="1"/>
  <c r="CS405" i="1"/>
  <c r="CS409" i="1"/>
  <c r="AD237" i="44" s="1"/>
  <c r="F237" i="44" s="1"/>
  <c r="AD241" i="44"/>
  <c r="F241" i="44" s="1"/>
  <c r="CS413" i="1"/>
  <c r="DA413" i="1" s="1"/>
  <c r="EW413" i="1" s="1"/>
  <c r="EY413" i="1" s="1"/>
  <c r="AD245" i="44"/>
  <c r="F245" i="44" s="1"/>
  <c r="CS417" i="1"/>
  <c r="AD249" i="44"/>
  <c r="F249" i="44" s="1"/>
  <c r="CS421" i="1"/>
  <c r="DA421" i="1" s="1"/>
  <c r="EW421" i="1" s="1"/>
  <c r="EY421" i="1" s="1"/>
  <c r="CS425" i="1"/>
  <c r="DA425" i="1" s="1"/>
  <c r="EW425" i="1" s="1"/>
  <c r="EY425" i="1" s="1"/>
  <c r="AD257" i="44"/>
  <c r="F257" i="44" s="1"/>
  <c r="CS429" i="1"/>
  <c r="AD261" i="44"/>
  <c r="F261" i="44" s="1"/>
  <c r="CS433" i="1"/>
  <c r="AD265" i="44"/>
  <c r="F265" i="44" s="1"/>
  <c r="CS437" i="1"/>
  <c r="CS441" i="1"/>
  <c r="AD269" i="44" s="1"/>
  <c r="F269" i="44" s="1"/>
  <c r="AD273" i="44"/>
  <c r="F273" i="44" s="1"/>
  <c r="CS447" i="1"/>
  <c r="AD378" i="44"/>
  <c r="F378" i="44" s="1"/>
  <c r="CS461" i="1"/>
  <c r="AD382" i="44"/>
  <c r="F382" i="44" s="1"/>
  <c r="CS468" i="1"/>
  <c r="DA468" i="1" s="1"/>
  <c r="EW468" i="1" s="1"/>
  <c r="EY468" i="1" s="1"/>
  <c r="CS476" i="1"/>
  <c r="AD386" i="44" s="1"/>
  <c r="F386" i="44" s="1"/>
  <c r="AD390" i="44"/>
  <c r="F390" i="44" s="1"/>
  <c r="CS484" i="1"/>
  <c r="AD394" i="44"/>
  <c r="F394" i="44" s="1"/>
  <c r="CS493" i="1"/>
  <c r="AD398" i="44"/>
  <c r="F398" i="44" s="1"/>
  <c r="CS501" i="1"/>
  <c r="CS509" i="1"/>
  <c r="AD402" i="44" s="1"/>
  <c r="F402" i="44" s="1"/>
  <c r="AD412" i="44"/>
  <c r="F412" i="44" s="1"/>
  <c r="CS516" i="1"/>
  <c r="AD416" i="44"/>
  <c r="F416" i="44" s="1"/>
  <c r="CS522" i="1"/>
  <c r="AD420" i="44"/>
  <c r="F420" i="44" s="1"/>
  <c r="CS526" i="1"/>
  <c r="CS533" i="1"/>
  <c r="DA533" i="1" s="1"/>
  <c r="EW533" i="1" s="1"/>
  <c r="EY533" i="1" s="1"/>
  <c r="AD428" i="44"/>
  <c r="F428" i="44" s="1"/>
  <c r="CS539" i="1"/>
  <c r="AD432" i="44"/>
  <c r="F432" i="44" s="1"/>
  <c r="CS545" i="1"/>
  <c r="AD436" i="44"/>
  <c r="F436" i="44" s="1"/>
  <c r="CS551" i="1"/>
  <c r="CS561" i="1"/>
  <c r="AD440" i="44" s="1"/>
  <c r="F440" i="44" s="1"/>
  <c r="AD444" i="44"/>
  <c r="F444" i="44" s="1"/>
  <c r="CS565" i="1"/>
  <c r="DA565" i="1" s="1"/>
  <c r="EW565" i="1" s="1"/>
  <c r="EY565" i="1" s="1"/>
  <c r="AD448" i="44"/>
  <c r="F448" i="44" s="1"/>
  <c r="CS570" i="1"/>
  <c r="AD452" i="44"/>
  <c r="F452" i="44" s="1"/>
  <c r="CS575" i="1"/>
  <c r="DA575" i="1" s="1"/>
  <c r="EW575" i="1" s="1"/>
  <c r="EY575" i="1" s="1"/>
  <c r="CS580" i="1"/>
  <c r="DA580" i="1" s="1"/>
  <c r="EW580" i="1" s="1"/>
  <c r="EY580" i="1" s="1"/>
  <c r="AD460" i="44"/>
  <c r="F460" i="44" s="1"/>
  <c r="CS584" i="1"/>
  <c r="AD464" i="44"/>
  <c r="F464" i="44" s="1"/>
  <c r="CS588" i="1"/>
  <c r="AD468" i="44"/>
  <c r="F468" i="44" s="1"/>
  <c r="CS592" i="1"/>
  <c r="CS598" i="1"/>
  <c r="AD472" i="44" s="1"/>
  <c r="F472" i="44" s="1"/>
  <c r="AD476" i="44"/>
  <c r="F476" i="44" s="1"/>
  <c r="CS606" i="1"/>
  <c r="AD478" i="44"/>
  <c r="F478" i="44" s="1"/>
  <c r="CS612" i="1"/>
  <c r="AD482" i="44"/>
  <c r="F482" i="44" s="1"/>
  <c r="CS616" i="1"/>
  <c r="AD486" i="44"/>
  <c r="F486" i="44" s="1"/>
  <c r="CS621" i="1"/>
  <c r="AD490" i="44"/>
  <c r="F490" i="44" s="1"/>
  <c r="CS625" i="1"/>
  <c r="DA625" i="1" s="1"/>
  <c r="EW625" i="1" s="1"/>
  <c r="EY625" i="1" s="1"/>
  <c r="AD494" i="44"/>
  <c r="F494" i="44" s="1"/>
  <c r="CS630" i="1"/>
  <c r="DA630" i="1" s="1"/>
  <c r="EW630" i="1" s="1"/>
  <c r="EY630" i="1" s="1"/>
  <c r="AD498" i="44"/>
  <c r="F498" i="44" s="1"/>
  <c r="CS634" i="1"/>
  <c r="AD502" i="44"/>
  <c r="F502" i="44" s="1"/>
  <c r="CS638" i="1"/>
  <c r="AD506" i="44"/>
  <c r="F506" i="44" s="1"/>
  <c r="CS643" i="1"/>
  <c r="AD510" i="44"/>
  <c r="F510" i="44" s="1"/>
  <c r="CS647" i="1"/>
  <c r="AD514" i="44"/>
  <c r="F514" i="44" s="1"/>
  <c r="CS651" i="1"/>
  <c r="AD518" i="44"/>
  <c r="F518" i="44" s="1"/>
  <c r="CS655" i="1"/>
  <c r="AD522" i="44"/>
  <c r="F522" i="44" s="1"/>
  <c r="CS659" i="1"/>
  <c r="AD526" i="44"/>
  <c r="F526" i="44" s="1"/>
  <c r="CS663" i="1"/>
  <c r="AD530" i="44"/>
  <c r="F530" i="44" s="1"/>
  <c r="CS667" i="1"/>
  <c r="AD534" i="44"/>
  <c r="F534" i="44" s="1"/>
  <c r="CS671" i="1"/>
  <c r="AE111" i="44"/>
  <c r="G111" i="44" s="1"/>
  <c r="CT196" i="1"/>
  <c r="DB196" i="1" s="1"/>
  <c r="EX196" i="1" s="1"/>
  <c r="AE115" i="44"/>
  <c r="G115" i="44" s="1"/>
  <c r="CT200" i="1"/>
  <c r="AE119" i="44"/>
  <c r="G119" i="44" s="1"/>
  <c r="CT207" i="1"/>
  <c r="AE123" i="44"/>
  <c r="G123" i="44" s="1"/>
  <c r="CT211" i="1"/>
  <c r="AE127" i="44"/>
  <c r="G127" i="44" s="1"/>
  <c r="CT217" i="1"/>
  <c r="AE131" i="44"/>
  <c r="G131" i="44" s="1"/>
  <c r="CT221" i="1"/>
  <c r="AE135" i="44"/>
  <c r="G135" i="44" s="1"/>
  <c r="CT225" i="1"/>
  <c r="AE139" i="44"/>
  <c r="G139" i="44" s="1"/>
  <c r="CT231" i="1"/>
  <c r="AE145" i="44"/>
  <c r="G145" i="44" s="1"/>
  <c r="CT316" i="1"/>
  <c r="AE149" i="44"/>
  <c r="G149" i="44" s="1"/>
  <c r="CT320" i="1"/>
  <c r="AE153" i="44"/>
  <c r="G153" i="44" s="1"/>
  <c r="CT324" i="1"/>
  <c r="AE157" i="44"/>
  <c r="G157" i="44" s="1"/>
  <c r="CT328" i="1"/>
  <c r="DB328" i="1" s="1"/>
  <c r="EX328" i="1" s="1"/>
  <c r="AE161" i="44"/>
  <c r="G161" i="44" s="1"/>
  <c r="CT332" i="1"/>
  <c r="AE165" i="44"/>
  <c r="G165" i="44" s="1"/>
  <c r="CT336" i="1"/>
  <c r="AE169" i="44"/>
  <c r="G169" i="44" s="1"/>
  <c r="CT340" i="1"/>
  <c r="AE173" i="44"/>
  <c r="G173" i="44" s="1"/>
  <c r="CT344" i="1"/>
  <c r="AE177" i="44"/>
  <c r="G177" i="44" s="1"/>
  <c r="CT348" i="1"/>
  <c r="AE181" i="44"/>
  <c r="G181" i="44" s="1"/>
  <c r="CT352" i="1"/>
  <c r="AE185" i="44"/>
  <c r="G185" i="44" s="1"/>
  <c r="CT356" i="1"/>
  <c r="AE189" i="44"/>
  <c r="G189" i="44" s="1"/>
  <c r="CT360" i="1"/>
  <c r="AE193" i="44"/>
  <c r="G193" i="44" s="1"/>
  <c r="CT364" i="1"/>
  <c r="AE197" i="44"/>
  <c r="G197" i="44" s="1"/>
  <c r="CT368" i="1"/>
  <c r="DB368" i="1" s="1"/>
  <c r="EX368" i="1" s="1"/>
  <c r="AE201" i="44"/>
  <c r="G201" i="44" s="1"/>
  <c r="CT372" i="1"/>
  <c r="AE205" i="44"/>
  <c r="G205" i="44" s="1"/>
  <c r="CT376" i="1"/>
  <c r="AE209" i="44"/>
  <c r="G209" i="44" s="1"/>
  <c r="CT380" i="1"/>
  <c r="DB380" i="1" s="1"/>
  <c r="EX380" i="1" s="1"/>
  <c r="AE213" i="44"/>
  <c r="G213" i="44" s="1"/>
  <c r="CT384" i="1"/>
  <c r="AE217" i="44"/>
  <c r="G217" i="44" s="1"/>
  <c r="CT388" i="1"/>
  <c r="AE221" i="44"/>
  <c r="G221" i="44" s="1"/>
  <c r="CT392" i="1"/>
  <c r="DB392" i="1" s="1"/>
  <c r="EX392" i="1" s="1"/>
  <c r="AE225" i="44"/>
  <c r="G225" i="44" s="1"/>
  <c r="CT396" i="1"/>
  <c r="AE229" i="44"/>
  <c r="G229" i="44" s="1"/>
  <c r="CT401" i="1"/>
  <c r="AE233" i="44"/>
  <c r="G233" i="44" s="1"/>
  <c r="CT405" i="1"/>
  <c r="AE237" i="44"/>
  <c r="G237" i="44" s="1"/>
  <c r="CT409" i="1"/>
  <c r="DB409" i="1" s="1"/>
  <c r="EX409" i="1" s="1"/>
  <c r="AE241" i="44"/>
  <c r="G241" i="44" s="1"/>
  <c r="CT413" i="1"/>
  <c r="AE245" i="44"/>
  <c r="G245" i="44" s="1"/>
  <c r="CT417" i="1"/>
  <c r="DB417" i="1" s="1"/>
  <c r="EX417" i="1" s="1"/>
  <c r="AE249" i="44"/>
  <c r="G249" i="44" s="1"/>
  <c r="CT421" i="1"/>
  <c r="AE253" i="44"/>
  <c r="G253" i="44" s="1"/>
  <c r="CT425" i="1"/>
  <c r="DB425" i="1" s="1"/>
  <c r="EX425" i="1" s="1"/>
  <c r="AE257" i="44"/>
  <c r="G257" i="44" s="1"/>
  <c r="CT429" i="1"/>
  <c r="AE261" i="44"/>
  <c r="G261" i="44" s="1"/>
  <c r="CT433" i="1"/>
  <c r="AE265" i="44"/>
  <c r="G265" i="44" s="1"/>
  <c r="CT437" i="1"/>
  <c r="AE269" i="44"/>
  <c r="G269" i="44" s="1"/>
  <c r="CT441" i="1"/>
  <c r="AE273" i="44"/>
  <c r="G273" i="44" s="1"/>
  <c r="CT447" i="1"/>
  <c r="DB447" i="1" s="1"/>
  <c r="EX447" i="1" s="1"/>
  <c r="AE378" i="44"/>
  <c r="G378" i="44" s="1"/>
  <c r="CT461" i="1"/>
  <c r="AE382" i="44"/>
  <c r="G382" i="44" s="1"/>
  <c r="CT468" i="1"/>
  <c r="AE386" i="44"/>
  <c r="G386" i="44" s="1"/>
  <c r="CT476" i="1"/>
  <c r="AE390" i="44"/>
  <c r="G390" i="44" s="1"/>
  <c r="CT484" i="1"/>
  <c r="DB484" i="1" s="1"/>
  <c r="EX484" i="1" s="1"/>
  <c r="AE394" i="44"/>
  <c r="G394" i="44" s="1"/>
  <c r="CT493" i="1"/>
  <c r="AE398" i="44"/>
  <c r="G398" i="44" s="1"/>
  <c r="CT501" i="1"/>
  <c r="AE402" i="44"/>
  <c r="G402" i="44" s="1"/>
  <c r="CT509" i="1"/>
  <c r="DB509" i="1" s="1"/>
  <c r="EX509" i="1" s="1"/>
  <c r="AE412" i="44"/>
  <c r="G412" i="44" s="1"/>
  <c r="CT516" i="1"/>
  <c r="DB516" i="1" s="1"/>
  <c r="EX516" i="1" s="1"/>
  <c r="AE416" i="44"/>
  <c r="G416" i="44" s="1"/>
  <c r="CT522" i="1"/>
  <c r="DB522" i="1" s="1"/>
  <c r="EX522" i="1" s="1"/>
  <c r="AE420" i="44"/>
  <c r="G420" i="44" s="1"/>
  <c r="CT526" i="1"/>
  <c r="AE424" i="44"/>
  <c r="G424" i="44" s="1"/>
  <c r="CT533" i="1"/>
  <c r="DB533" i="1" s="1"/>
  <c r="EX533" i="1" s="1"/>
  <c r="AE428" i="44"/>
  <c r="G428" i="44" s="1"/>
  <c r="CT539" i="1"/>
  <c r="DB539" i="1" s="1"/>
  <c r="EX539" i="1" s="1"/>
  <c r="AE432" i="44"/>
  <c r="G432" i="44" s="1"/>
  <c r="CT545" i="1"/>
  <c r="AE436" i="44"/>
  <c r="G436" i="44" s="1"/>
  <c r="CT551" i="1"/>
  <c r="AE440" i="44"/>
  <c r="G440" i="44" s="1"/>
  <c r="CT561" i="1"/>
  <c r="AE444" i="44"/>
  <c r="G444" i="44" s="1"/>
  <c r="CT565" i="1"/>
  <c r="AE448" i="44"/>
  <c r="G448" i="44" s="1"/>
  <c r="CT570" i="1"/>
  <c r="AE452" i="44"/>
  <c r="G452" i="44" s="1"/>
  <c r="CT575" i="1"/>
  <c r="AE456" i="44"/>
  <c r="G456" i="44" s="1"/>
  <c r="CT580" i="1"/>
  <c r="AE460" i="44"/>
  <c r="G460" i="44" s="1"/>
  <c r="CT584" i="1"/>
  <c r="DB584" i="1" s="1"/>
  <c r="EX584" i="1" s="1"/>
  <c r="AE464" i="44"/>
  <c r="G464" i="44" s="1"/>
  <c r="CT588" i="1"/>
  <c r="AE468" i="44"/>
  <c r="G468" i="44" s="1"/>
  <c r="CT592" i="1"/>
  <c r="AE472" i="44"/>
  <c r="G472" i="44" s="1"/>
  <c r="CT598" i="1"/>
  <c r="DB598" i="1" s="1"/>
  <c r="EX598" i="1" s="1"/>
  <c r="AE476" i="44"/>
  <c r="G476" i="44" s="1"/>
  <c r="CT606" i="1"/>
  <c r="AE478" i="44"/>
  <c r="G478" i="44" s="1"/>
  <c r="CT612" i="1"/>
  <c r="AE482" i="44"/>
  <c r="G482" i="44" s="1"/>
  <c r="CT616" i="1"/>
  <c r="AE486" i="44"/>
  <c r="G486" i="44" s="1"/>
  <c r="CT621" i="1"/>
  <c r="AE490" i="44"/>
  <c r="G490" i="44" s="1"/>
  <c r="CT625" i="1"/>
  <c r="AE494" i="44"/>
  <c r="G494" i="44" s="1"/>
  <c r="CT630" i="1"/>
  <c r="DB630" i="1" s="1"/>
  <c r="EX630" i="1" s="1"/>
  <c r="AE498" i="44"/>
  <c r="G498" i="44" s="1"/>
  <c r="CT634" i="1"/>
  <c r="AE502" i="44"/>
  <c r="G502" i="44" s="1"/>
  <c r="CT638" i="1"/>
  <c r="AE506" i="44"/>
  <c r="G506" i="44" s="1"/>
  <c r="CT643" i="1"/>
  <c r="DB643" i="1" s="1"/>
  <c r="EX643" i="1" s="1"/>
  <c r="AE510" i="44"/>
  <c r="G510" i="44" s="1"/>
  <c r="CT647" i="1"/>
  <c r="AE514" i="44"/>
  <c r="G514" i="44" s="1"/>
  <c r="CT651" i="1"/>
  <c r="DB651" i="1" s="1"/>
  <c r="EX651" i="1" s="1"/>
  <c r="AE518" i="44"/>
  <c r="G518" i="44" s="1"/>
  <c r="CT655" i="1"/>
  <c r="DB655" i="1" s="1"/>
  <c r="EX655" i="1" s="1"/>
  <c r="AE522" i="44"/>
  <c r="G522" i="44" s="1"/>
  <c r="CT659" i="1"/>
  <c r="DB659" i="1" s="1"/>
  <c r="EX659" i="1" s="1"/>
  <c r="AE526" i="44"/>
  <c r="G526" i="44" s="1"/>
  <c r="CT663" i="1"/>
  <c r="AE530" i="44"/>
  <c r="G530" i="44" s="1"/>
  <c r="CT667" i="1"/>
  <c r="AE534" i="44"/>
  <c r="G534" i="44" s="1"/>
  <c r="CT671" i="1"/>
  <c r="DB671" i="1" s="1"/>
  <c r="EX671" i="1" s="1"/>
  <c r="AD108" i="44"/>
  <c r="F108" i="44" s="1"/>
  <c r="CS191" i="1"/>
  <c r="AD112" i="44"/>
  <c r="F112" i="44" s="1"/>
  <c r="CS197" i="1"/>
  <c r="AD116" i="44"/>
  <c r="F116" i="44" s="1"/>
  <c r="CS201" i="1"/>
  <c r="AD120" i="44"/>
  <c r="F120" i="44" s="1"/>
  <c r="CS208" i="1"/>
  <c r="AD124" i="44"/>
  <c r="F124" i="44" s="1"/>
  <c r="CS212" i="1"/>
  <c r="AD128" i="44"/>
  <c r="F128" i="44" s="1"/>
  <c r="CS218" i="1"/>
  <c r="DA218" i="1" s="1"/>
  <c r="EW218" i="1" s="1"/>
  <c r="EY218" i="1" s="1"/>
  <c r="AD132" i="44"/>
  <c r="F132" i="44" s="1"/>
  <c r="CS222" i="1"/>
  <c r="DA222" i="1" s="1"/>
  <c r="EW222" i="1" s="1"/>
  <c r="EY222" i="1" s="1"/>
  <c r="AD136" i="44"/>
  <c r="F136" i="44" s="1"/>
  <c r="CS226" i="1"/>
  <c r="AD140" i="44"/>
  <c r="F140" i="44" s="1"/>
  <c r="CS237" i="1"/>
  <c r="AD146" i="44"/>
  <c r="F146" i="44" s="1"/>
  <c r="CS317" i="1"/>
  <c r="AD150" i="44"/>
  <c r="F150" i="44" s="1"/>
  <c r="CS321" i="1"/>
  <c r="AD154" i="44"/>
  <c r="F154" i="44" s="1"/>
  <c r="CS325" i="1"/>
  <c r="DA325" i="1" s="1"/>
  <c r="EW325" i="1" s="1"/>
  <c r="EY325" i="1" s="1"/>
  <c r="AD158" i="44"/>
  <c r="F158" i="44" s="1"/>
  <c r="CS329" i="1"/>
  <c r="AD162" i="44"/>
  <c r="F162" i="44" s="1"/>
  <c r="CS333" i="1"/>
  <c r="AD166" i="44"/>
  <c r="F166" i="44" s="1"/>
  <c r="CS337" i="1"/>
  <c r="AD170" i="44"/>
  <c r="F170" i="44" s="1"/>
  <c r="CS341" i="1"/>
  <c r="DA341" i="1" s="1"/>
  <c r="EW341" i="1" s="1"/>
  <c r="EY341" i="1" s="1"/>
  <c r="AD174" i="44"/>
  <c r="F174" i="44" s="1"/>
  <c r="CS345" i="1"/>
  <c r="AD178" i="44"/>
  <c r="F178" i="44" s="1"/>
  <c r="CS349" i="1"/>
  <c r="AD182" i="44"/>
  <c r="F182" i="44" s="1"/>
  <c r="CS353" i="1"/>
  <c r="AD186" i="44"/>
  <c r="F186" i="44" s="1"/>
  <c r="CS357" i="1"/>
  <c r="AD190" i="44"/>
  <c r="F190" i="44" s="1"/>
  <c r="CS361" i="1"/>
  <c r="DA361" i="1" s="1"/>
  <c r="EW361" i="1" s="1"/>
  <c r="EY361" i="1" s="1"/>
  <c r="AD194" i="44"/>
  <c r="F194" i="44" s="1"/>
  <c r="CS365" i="1"/>
  <c r="AD198" i="44"/>
  <c r="F198" i="44" s="1"/>
  <c r="CS369" i="1"/>
  <c r="AD202" i="44"/>
  <c r="F202" i="44" s="1"/>
  <c r="CS373" i="1"/>
  <c r="DA373" i="1" s="1"/>
  <c r="EW373" i="1" s="1"/>
  <c r="EY373" i="1" s="1"/>
  <c r="AD206" i="44"/>
  <c r="F206" i="44" s="1"/>
  <c r="CS377" i="1"/>
  <c r="DA377" i="1" s="1"/>
  <c r="EW377" i="1" s="1"/>
  <c r="EY377" i="1" s="1"/>
  <c r="AD210" i="44"/>
  <c r="F210" i="44" s="1"/>
  <c r="CS381" i="1"/>
  <c r="AD214" i="44"/>
  <c r="F214" i="44" s="1"/>
  <c r="CS385" i="1"/>
  <c r="AD218" i="44"/>
  <c r="F218" i="44" s="1"/>
  <c r="CS389" i="1"/>
  <c r="DA389" i="1" s="1"/>
  <c r="EW389" i="1" s="1"/>
  <c r="EY389" i="1" s="1"/>
  <c r="AD222" i="44"/>
  <c r="F222" i="44" s="1"/>
  <c r="CS393" i="1"/>
  <c r="AD226" i="44"/>
  <c r="F226" i="44" s="1"/>
  <c r="CS398" i="1"/>
  <c r="AD230" i="44"/>
  <c r="F230" i="44" s="1"/>
  <c r="CS402" i="1"/>
  <c r="AD234" i="44"/>
  <c r="F234" i="44" s="1"/>
  <c r="CS406" i="1"/>
  <c r="AD238" i="44"/>
  <c r="F238" i="44" s="1"/>
  <c r="CS410" i="1"/>
  <c r="AD242" i="44"/>
  <c r="F242" i="44" s="1"/>
  <c r="CS414" i="1"/>
  <c r="AD246" i="44"/>
  <c r="F246" i="44" s="1"/>
  <c r="CS418" i="1"/>
  <c r="AD250" i="44"/>
  <c r="F250" i="44" s="1"/>
  <c r="CS422" i="1"/>
  <c r="AD254" i="44"/>
  <c r="F254" i="44" s="1"/>
  <c r="CS426" i="1"/>
  <c r="AD258" i="44"/>
  <c r="F258" i="44" s="1"/>
  <c r="CS430" i="1"/>
  <c r="DA430" i="1" s="1"/>
  <c r="EW430" i="1" s="1"/>
  <c r="EY430" i="1" s="1"/>
  <c r="AD262" i="44"/>
  <c r="F262" i="44" s="1"/>
  <c r="CS434" i="1"/>
  <c r="AD266" i="44"/>
  <c r="F266" i="44" s="1"/>
  <c r="CS438" i="1"/>
  <c r="AD270" i="44"/>
  <c r="F270" i="44" s="1"/>
  <c r="CS442" i="1"/>
  <c r="DA442" i="1" s="1"/>
  <c r="EW442" i="1" s="1"/>
  <c r="EY442" i="1" s="1"/>
  <c r="AD274" i="44"/>
  <c r="F274" i="44" s="1"/>
  <c r="CS448" i="1"/>
  <c r="AD375" i="44"/>
  <c r="F375" i="44" s="1"/>
  <c r="CS457" i="1"/>
  <c r="AD379" i="44"/>
  <c r="F379" i="44" s="1"/>
  <c r="CS463" i="1"/>
  <c r="DA463" i="1" s="1"/>
  <c r="EW463" i="1" s="1"/>
  <c r="EY463" i="1" s="1"/>
  <c r="AD383" i="44"/>
  <c r="F383" i="44" s="1"/>
  <c r="CS469" i="1"/>
  <c r="DA469" i="1" s="1"/>
  <c r="EW469" i="1" s="1"/>
  <c r="EY469" i="1" s="1"/>
  <c r="AD387" i="44"/>
  <c r="F387" i="44" s="1"/>
  <c r="CS479" i="1"/>
  <c r="AD391" i="44"/>
  <c r="F391" i="44" s="1"/>
  <c r="CS485" i="1"/>
  <c r="AD395" i="44"/>
  <c r="F395" i="44" s="1"/>
  <c r="CS497" i="1"/>
  <c r="AD399" i="44"/>
  <c r="F399" i="44" s="1"/>
  <c r="CS504" i="1"/>
  <c r="DA504" i="1" s="1"/>
  <c r="AD409" i="44"/>
  <c r="F409" i="44" s="1"/>
  <c r="CS511" i="1"/>
  <c r="AD413" i="44"/>
  <c r="F413" i="44" s="1"/>
  <c r="CS517" i="1"/>
  <c r="AD417" i="44"/>
  <c r="F417" i="44" s="1"/>
  <c r="CS523" i="1"/>
  <c r="AD421" i="44"/>
  <c r="F421" i="44" s="1"/>
  <c r="CS528" i="1"/>
  <c r="AD425" i="44"/>
  <c r="F425" i="44" s="1"/>
  <c r="CS535" i="1"/>
  <c r="AD429" i="44"/>
  <c r="F429" i="44" s="1"/>
  <c r="CS542" i="1"/>
  <c r="DA542" i="1" s="1"/>
  <c r="EW542" i="1" s="1"/>
  <c r="EY542" i="1" s="1"/>
  <c r="AD433" i="44"/>
  <c r="F433" i="44" s="1"/>
  <c r="CS547" i="1"/>
  <c r="AD437" i="44"/>
  <c r="F437" i="44" s="1"/>
  <c r="CS554" i="1"/>
  <c r="AD441" i="44"/>
  <c r="F441" i="44" s="1"/>
  <c r="CS562" i="1"/>
  <c r="DA562" i="1" s="1"/>
  <c r="EW562" i="1" s="1"/>
  <c r="EY562" i="1" s="1"/>
  <c r="AD445" i="44"/>
  <c r="F445" i="44" s="1"/>
  <c r="CS566" i="1"/>
  <c r="AD449" i="44"/>
  <c r="F449" i="44" s="1"/>
  <c r="CS571" i="1"/>
  <c r="AD453" i="44"/>
  <c r="F453" i="44" s="1"/>
  <c r="CS576" i="1"/>
  <c r="AD457" i="44"/>
  <c r="F457" i="44" s="1"/>
  <c r="CS581" i="1"/>
  <c r="AD461" i="44"/>
  <c r="F461" i="44" s="1"/>
  <c r="CS585" i="1"/>
  <c r="AD465" i="44"/>
  <c r="F465" i="44" s="1"/>
  <c r="CS589" i="1"/>
  <c r="AD469" i="44"/>
  <c r="F469" i="44" s="1"/>
  <c r="CS593" i="1"/>
  <c r="DA593" i="1" s="1"/>
  <c r="EW593" i="1" s="1"/>
  <c r="EY593" i="1" s="1"/>
  <c r="AD473" i="44"/>
  <c r="F473" i="44" s="1"/>
  <c r="CS600" i="1"/>
  <c r="AD477" i="44"/>
  <c r="F477" i="44" s="1"/>
  <c r="CS607" i="1"/>
  <c r="AD479" i="44"/>
  <c r="F479" i="44" s="1"/>
  <c r="CS613" i="1"/>
  <c r="DA613" i="1" s="1"/>
  <c r="EW613" i="1" s="1"/>
  <c r="EY613" i="1" s="1"/>
  <c r="AD483" i="44"/>
  <c r="F483" i="44" s="1"/>
  <c r="CS617" i="1"/>
  <c r="DA617" i="1" s="1"/>
  <c r="EW617" i="1" s="1"/>
  <c r="EY617" i="1" s="1"/>
  <c r="AD487" i="44"/>
  <c r="F487" i="44" s="1"/>
  <c r="CS622" i="1"/>
  <c r="AD491" i="44"/>
  <c r="F491" i="44" s="1"/>
  <c r="CS626" i="1"/>
  <c r="AD495" i="44"/>
  <c r="F495" i="44" s="1"/>
  <c r="CS631" i="1"/>
  <c r="DA631" i="1" s="1"/>
  <c r="EW631" i="1" s="1"/>
  <c r="EY631" i="1" s="1"/>
  <c r="AD499" i="44"/>
  <c r="F499" i="44" s="1"/>
  <c r="CS635" i="1"/>
  <c r="DA635" i="1" s="1"/>
  <c r="EW635" i="1" s="1"/>
  <c r="EY635" i="1" s="1"/>
  <c r="AD503" i="44"/>
  <c r="F503" i="44" s="1"/>
  <c r="CS639" i="1"/>
  <c r="AD507" i="44"/>
  <c r="F507" i="44" s="1"/>
  <c r="CS644" i="1"/>
  <c r="AD511" i="44"/>
  <c r="F511" i="44" s="1"/>
  <c r="CS648" i="1"/>
  <c r="AD515" i="44"/>
  <c r="F515" i="44" s="1"/>
  <c r="CS652" i="1"/>
  <c r="AD519" i="44"/>
  <c r="F519" i="44" s="1"/>
  <c r="CS656" i="1"/>
  <c r="AD523" i="44"/>
  <c r="F523" i="44" s="1"/>
  <c r="CS660" i="1"/>
  <c r="AD527" i="44"/>
  <c r="F527" i="44" s="1"/>
  <c r="CS664" i="1"/>
  <c r="DA664" i="1" s="1"/>
  <c r="EW664" i="1" s="1"/>
  <c r="EY664" i="1" s="1"/>
  <c r="AD531" i="44"/>
  <c r="F531" i="44" s="1"/>
  <c r="CS668" i="1"/>
  <c r="DA668" i="1" s="1"/>
  <c r="EW668" i="1" s="1"/>
  <c r="EY668" i="1" s="1"/>
  <c r="AD535" i="44"/>
  <c r="F535" i="44" s="1"/>
  <c r="CS672" i="1"/>
  <c r="AE108" i="44"/>
  <c r="G108" i="44" s="1"/>
  <c r="CT191" i="1"/>
  <c r="AE112" i="44"/>
  <c r="G112" i="44" s="1"/>
  <c r="CT197" i="1"/>
  <c r="AE116" i="44"/>
  <c r="G116" i="44" s="1"/>
  <c r="CT201" i="1"/>
  <c r="DB201" i="1" s="1"/>
  <c r="EX201" i="1" s="1"/>
  <c r="AE120" i="44"/>
  <c r="G120" i="44" s="1"/>
  <c r="CT208" i="1"/>
  <c r="AE124" i="44"/>
  <c r="G124" i="44" s="1"/>
  <c r="CT212" i="1"/>
  <c r="AE128" i="44"/>
  <c r="G128" i="44" s="1"/>
  <c r="CT218" i="1"/>
  <c r="AE132" i="44"/>
  <c r="G132" i="44" s="1"/>
  <c r="CT222" i="1"/>
  <c r="AE136" i="44"/>
  <c r="G136" i="44" s="1"/>
  <c r="CT226" i="1"/>
  <c r="AE140" i="44"/>
  <c r="G140" i="44" s="1"/>
  <c r="CT237" i="1"/>
  <c r="AE146" i="44"/>
  <c r="G146" i="44" s="1"/>
  <c r="CT317" i="1"/>
  <c r="AE150" i="44"/>
  <c r="G150" i="44" s="1"/>
  <c r="CT321" i="1"/>
  <c r="AE154" i="44"/>
  <c r="G154" i="44" s="1"/>
  <c r="CT325" i="1"/>
  <c r="AE158" i="44"/>
  <c r="G158" i="44" s="1"/>
  <c r="CT329" i="1"/>
  <c r="AE162" i="44"/>
  <c r="G162" i="44" s="1"/>
  <c r="CT333" i="1"/>
  <c r="DB333" i="1" s="1"/>
  <c r="EX333" i="1" s="1"/>
  <c r="AE166" i="44"/>
  <c r="G166" i="44" s="1"/>
  <c r="CT337" i="1"/>
  <c r="AE170" i="44"/>
  <c r="G170" i="44" s="1"/>
  <c r="CT341" i="1"/>
  <c r="AE174" i="44"/>
  <c r="G174" i="44" s="1"/>
  <c r="CT345" i="1"/>
  <c r="DB345" i="1" s="1"/>
  <c r="EX345" i="1" s="1"/>
  <c r="AE178" i="44"/>
  <c r="G178" i="44" s="1"/>
  <c r="CT349" i="1"/>
  <c r="AE182" i="44"/>
  <c r="G182" i="44" s="1"/>
  <c r="CT353" i="1"/>
  <c r="DB353" i="1" s="1"/>
  <c r="EX353" i="1" s="1"/>
  <c r="AE186" i="44"/>
  <c r="G186" i="44" s="1"/>
  <c r="CT357" i="1"/>
  <c r="AE190" i="44"/>
  <c r="G190" i="44" s="1"/>
  <c r="CT361" i="1"/>
  <c r="AE194" i="44"/>
  <c r="G194" i="44" s="1"/>
  <c r="CT365" i="1"/>
  <c r="DB365" i="1" s="1"/>
  <c r="EX365" i="1" s="1"/>
  <c r="AE198" i="44"/>
  <c r="G198" i="44" s="1"/>
  <c r="CT369" i="1"/>
  <c r="AE202" i="44"/>
  <c r="G202" i="44" s="1"/>
  <c r="CT373" i="1"/>
  <c r="AE206" i="44"/>
  <c r="G206" i="44" s="1"/>
  <c r="CT377" i="1"/>
  <c r="AE210" i="44"/>
  <c r="G210" i="44" s="1"/>
  <c r="CT381" i="1"/>
  <c r="DB381" i="1" s="1"/>
  <c r="EX381" i="1" s="1"/>
  <c r="AE214" i="44"/>
  <c r="G214" i="44" s="1"/>
  <c r="CT385" i="1"/>
  <c r="DB385" i="1" s="1"/>
  <c r="EX385" i="1" s="1"/>
  <c r="AE218" i="44"/>
  <c r="G218" i="44" s="1"/>
  <c r="CT389" i="1"/>
  <c r="AE222" i="44"/>
  <c r="G222" i="44" s="1"/>
  <c r="CT393" i="1"/>
  <c r="AE226" i="44"/>
  <c r="G226" i="44" s="1"/>
  <c r="CT398" i="1"/>
  <c r="DB398" i="1" s="1"/>
  <c r="EX398" i="1" s="1"/>
  <c r="AE230" i="44"/>
  <c r="G230" i="44" s="1"/>
  <c r="CT402" i="1"/>
  <c r="DB402" i="1" s="1"/>
  <c r="EX402" i="1" s="1"/>
  <c r="AE234" i="44"/>
  <c r="G234" i="44" s="1"/>
  <c r="CT406" i="1"/>
  <c r="AE238" i="44"/>
  <c r="G238" i="44" s="1"/>
  <c r="CT410" i="1"/>
  <c r="AE242" i="44"/>
  <c r="G242" i="44" s="1"/>
  <c r="CT414" i="1"/>
  <c r="AE246" i="44"/>
  <c r="G246" i="44" s="1"/>
  <c r="CT418" i="1"/>
  <c r="AE250" i="44"/>
  <c r="G250" i="44" s="1"/>
  <c r="CT422" i="1"/>
  <c r="AE254" i="44"/>
  <c r="G254" i="44" s="1"/>
  <c r="CT426" i="1"/>
  <c r="DB426" i="1" s="1"/>
  <c r="EX426" i="1" s="1"/>
  <c r="AE258" i="44"/>
  <c r="G258" i="44" s="1"/>
  <c r="CT430" i="1"/>
  <c r="AE262" i="44"/>
  <c r="G262" i="44" s="1"/>
  <c r="CT434" i="1"/>
  <c r="AE266" i="44"/>
  <c r="G266" i="44" s="1"/>
  <c r="CT438" i="1"/>
  <c r="DB438" i="1" s="1"/>
  <c r="EX438" i="1" s="1"/>
  <c r="AE270" i="44"/>
  <c r="G270" i="44" s="1"/>
  <c r="CT442" i="1"/>
  <c r="DB442" i="1" s="1"/>
  <c r="EX442" i="1" s="1"/>
  <c r="AE274" i="44"/>
  <c r="G274" i="44" s="1"/>
  <c r="CT448" i="1"/>
  <c r="AE375" i="44"/>
  <c r="G375" i="44" s="1"/>
  <c r="CT457" i="1"/>
  <c r="DB457" i="1" s="1"/>
  <c r="EX457" i="1" s="1"/>
  <c r="AE379" i="44"/>
  <c r="G379" i="44" s="1"/>
  <c r="CT463" i="1"/>
  <c r="AE383" i="44"/>
  <c r="G383" i="44" s="1"/>
  <c r="CT469" i="1"/>
  <c r="AE387" i="44"/>
  <c r="G387" i="44" s="1"/>
  <c r="CT479" i="1"/>
  <c r="AE391" i="44"/>
  <c r="G391" i="44" s="1"/>
  <c r="CT485" i="1"/>
  <c r="DB485" i="1" s="1"/>
  <c r="EX485" i="1" s="1"/>
  <c r="AE395" i="44"/>
  <c r="G395" i="44" s="1"/>
  <c r="CT497" i="1"/>
  <c r="AE399" i="44"/>
  <c r="G399" i="44" s="1"/>
  <c r="CT504" i="1"/>
  <c r="AE409" i="44"/>
  <c r="G409" i="44" s="1"/>
  <c r="CT511" i="1"/>
  <c r="AE413" i="44"/>
  <c r="G413" i="44" s="1"/>
  <c r="CT517" i="1"/>
  <c r="AE417" i="44"/>
  <c r="G417" i="44" s="1"/>
  <c r="CT523" i="1"/>
  <c r="DB523" i="1" s="1"/>
  <c r="EX523" i="1" s="1"/>
  <c r="AE421" i="44"/>
  <c r="G421" i="44" s="1"/>
  <c r="CT528" i="1"/>
  <c r="AE425" i="44"/>
  <c r="G425" i="44" s="1"/>
  <c r="CT535" i="1"/>
  <c r="DB535" i="1" s="1"/>
  <c r="EX535" i="1" s="1"/>
  <c r="AE429" i="44"/>
  <c r="G429" i="44" s="1"/>
  <c r="CT542" i="1"/>
  <c r="DB542" i="1" s="1"/>
  <c r="EX542" i="1" s="1"/>
  <c r="AE433" i="44"/>
  <c r="G433" i="44" s="1"/>
  <c r="CT547" i="1"/>
  <c r="AE437" i="44"/>
  <c r="G437" i="44" s="1"/>
  <c r="CT554" i="1"/>
  <c r="AE441" i="44"/>
  <c r="G441" i="44" s="1"/>
  <c r="CT562" i="1"/>
  <c r="DB562" i="1" s="1"/>
  <c r="EX562" i="1" s="1"/>
  <c r="AE445" i="44"/>
  <c r="G445" i="44" s="1"/>
  <c r="CT566" i="1"/>
  <c r="DB566" i="1" s="1"/>
  <c r="EX566" i="1" s="1"/>
  <c r="AE449" i="44"/>
  <c r="G449" i="44" s="1"/>
  <c r="CT571" i="1"/>
  <c r="AE453" i="44"/>
  <c r="G453" i="44" s="1"/>
  <c r="CT576" i="1"/>
  <c r="AE457" i="44"/>
  <c r="G457" i="44" s="1"/>
  <c r="CT581" i="1"/>
  <c r="AE461" i="44"/>
  <c r="G461" i="44" s="1"/>
  <c r="CT585" i="1"/>
  <c r="AE465" i="44"/>
  <c r="G465" i="44" s="1"/>
  <c r="CT589" i="1"/>
  <c r="DB589" i="1" s="1"/>
  <c r="EX589" i="1" s="1"/>
  <c r="AE469" i="44"/>
  <c r="G469" i="44" s="1"/>
  <c r="CT593" i="1"/>
  <c r="AE473" i="44"/>
  <c r="G473" i="44" s="1"/>
  <c r="CT600" i="1"/>
  <c r="AE477" i="44"/>
  <c r="G477" i="44" s="1"/>
  <c r="CT607" i="1"/>
  <c r="DB607" i="1" s="1"/>
  <c r="EX607" i="1" s="1"/>
  <c r="AE479" i="44"/>
  <c r="G479" i="44" s="1"/>
  <c r="CT613" i="1"/>
  <c r="AE483" i="44"/>
  <c r="G483" i="44" s="1"/>
  <c r="CT617" i="1"/>
  <c r="AE487" i="44"/>
  <c r="G487" i="44" s="1"/>
  <c r="CT622" i="1"/>
  <c r="DB622" i="1" s="1"/>
  <c r="EX622" i="1" s="1"/>
  <c r="AE491" i="44"/>
  <c r="G491" i="44" s="1"/>
  <c r="CT626" i="1"/>
  <c r="AE495" i="44"/>
  <c r="G495" i="44" s="1"/>
  <c r="CT631" i="1"/>
  <c r="AE499" i="44"/>
  <c r="G499" i="44" s="1"/>
  <c r="CT635" i="1"/>
  <c r="AE503" i="44"/>
  <c r="G503" i="44" s="1"/>
  <c r="CT639" i="1"/>
  <c r="DB639" i="1" s="1"/>
  <c r="EX639" i="1" s="1"/>
  <c r="AE507" i="44"/>
  <c r="G507" i="44" s="1"/>
  <c r="CT644" i="1"/>
  <c r="DB644" i="1" s="1"/>
  <c r="EX644" i="1" s="1"/>
  <c r="AE511" i="44"/>
  <c r="G511" i="44" s="1"/>
  <c r="CT648" i="1"/>
  <c r="AE515" i="44"/>
  <c r="G515" i="44" s="1"/>
  <c r="CT652" i="1"/>
  <c r="DB652" i="1" s="1"/>
  <c r="EX652" i="1" s="1"/>
  <c r="AE519" i="44"/>
  <c r="G519" i="44" s="1"/>
  <c r="CT656" i="1"/>
  <c r="DB656" i="1" s="1"/>
  <c r="EX656" i="1" s="1"/>
  <c r="AE523" i="44"/>
  <c r="G523" i="44" s="1"/>
  <c r="CT660" i="1"/>
  <c r="AE527" i="44"/>
  <c r="G527" i="44" s="1"/>
  <c r="CT664" i="1"/>
  <c r="AE531" i="44"/>
  <c r="G531" i="44" s="1"/>
  <c r="CT668" i="1"/>
  <c r="AE535" i="44"/>
  <c r="G535" i="44" s="1"/>
  <c r="CT672" i="1"/>
  <c r="DA197" i="1"/>
  <c r="EW197" i="1" s="1"/>
  <c r="EY197" i="1" s="1"/>
  <c r="DB321" i="1"/>
  <c r="EX321" i="1" s="1"/>
  <c r="DA193" i="1"/>
  <c r="EW193" i="1" s="1"/>
  <c r="EY193" i="1" s="1"/>
  <c r="DA198" i="1"/>
  <c r="DA203" i="1"/>
  <c r="EW203" i="1" s="1"/>
  <c r="EY203" i="1" s="1"/>
  <c r="DA214" i="1"/>
  <c r="EW214" i="1" s="1"/>
  <c r="EY214" i="1" s="1"/>
  <c r="DA219" i="1"/>
  <c r="DA223" i="1"/>
  <c r="EW223" i="1" s="1"/>
  <c r="EY223" i="1" s="1"/>
  <c r="DA227" i="1"/>
  <c r="DA238" i="1"/>
  <c r="EW238" i="1" s="1"/>
  <c r="EY238" i="1" s="1"/>
  <c r="DA318" i="1"/>
  <c r="EW318" i="1" s="1"/>
  <c r="EY318" i="1" s="1"/>
  <c r="DA322" i="1"/>
  <c r="EW322" i="1" s="1"/>
  <c r="EY322" i="1" s="1"/>
  <c r="DA330" i="1"/>
  <c r="EW330" i="1" s="1"/>
  <c r="EY330" i="1" s="1"/>
  <c r="DA334" i="1"/>
  <c r="EW334" i="1" s="1"/>
  <c r="EY334" i="1" s="1"/>
  <c r="DA338" i="1"/>
  <c r="EW338" i="1" s="1"/>
  <c r="EY338" i="1" s="1"/>
  <c r="DA342" i="1"/>
  <c r="EW342" i="1" s="1"/>
  <c r="EY342" i="1" s="1"/>
  <c r="DA346" i="1"/>
  <c r="EW346" i="1" s="1"/>
  <c r="EY346" i="1" s="1"/>
  <c r="DA350" i="1"/>
  <c r="EW350" i="1" s="1"/>
  <c r="EY350" i="1" s="1"/>
  <c r="DA358" i="1"/>
  <c r="EW358" i="1" s="1"/>
  <c r="EY358" i="1" s="1"/>
  <c r="DA362" i="1"/>
  <c r="EW362" i="1" s="1"/>
  <c r="EY362" i="1" s="1"/>
  <c r="DA366" i="1"/>
  <c r="EW366" i="1" s="1"/>
  <c r="EY366" i="1" s="1"/>
  <c r="DA370" i="1"/>
  <c r="EW370" i="1" s="1"/>
  <c r="EY370" i="1" s="1"/>
  <c r="DA374" i="1"/>
  <c r="EW374" i="1" s="1"/>
  <c r="EY374" i="1" s="1"/>
  <c r="DA378" i="1"/>
  <c r="EW378" i="1" s="1"/>
  <c r="EY378" i="1" s="1"/>
  <c r="DA382" i="1"/>
  <c r="EW382" i="1" s="1"/>
  <c r="EY382" i="1" s="1"/>
  <c r="DA390" i="1"/>
  <c r="EW390" i="1" s="1"/>
  <c r="EY390" i="1" s="1"/>
  <c r="DA394" i="1"/>
  <c r="EW394" i="1" s="1"/>
  <c r="EY394" i="1" s="1"/>
  <c r="DA403" i="1"/>
  <c r="EW403" i="1" s="1"/>
  <c r="EY403" i="1" s="1"/>
  <c r="DA407" i="1"/>
  <c r="EW407" i="1" s="1"/>
  <c r="EY407" i="1" s="1"/>
  <c r="DA411" i="1"/>
  <c r="EW411" i="1" s="1"/>
  <c r="EY411" i="1" s="1"/>
  <c r="DA419" i="1"/>
  <c r="EW419" i="1" s="1"/>
  <c r="EY419" i="1" s="1"/>
  <c r="DA423" i="1"/>
  <c r="EW423" i="1" s="1"/>
  <c r="EY423" i="1" s="1"/>
  <c r="DA427" i="1"/>
  <c r="EW427" i="1" s="1"/>
  <c r="EY427" i="1" s="1"/>
  <c r="DA431" i="1"/>
  <c r="EW431" i="1" s="1"/>
  <c r="EY431" i="1" s="1"/>
  <c r="DA435" i="1"/>
  <c r="EW435" i="1" s="1"/>
  <c r="EY435" i="1" s="1"/>
  <c r="DA439" i="1"/>
  <c r="EW439" i="1" s="1"/>
  <c r="EY439" i="1" s="1"/>
  <c r="DA443" i="1"/>
  <c r="EW443" i="1" s="1"/>
  <c r="EY443" i="1" s="1"/>
  <c r="DA458" i="1"/>
  <c r="EW458" i="1" s="1"/>
  <c r="EY458" i="1" s="1"/>
  <c r="DA470" i="1"/>
  <c r="EW470" i="1" s="1"/>
  <c r="EY470" i="1" s="1"/>
  <c r="DA481" i="1"/>
  <c r="EW481" i="1" s="1"/>
  <c r="EY481" i="1" s="1"/>
  <c r="DA488" i="1"/>
  <c r="EW488" i="1" s="1"/>
  <c r="EY488" i="1" s="1"/>
  <c r="DA498" i="1"/>
  <c r="EW498" i="1" s="1"/>
  <c r="EY498" i="1" s="1"/>
  <c r="DA505" i="1"/>
  <c r="EW505" i="1" s="1"/>
  <c r="EY505" i="1" s="1"/>
  <c r="DA512" i="1"/>
  <c r="EW512" i="1" s="1"/>
  <c r="EY512" i="1" s="1"/>
  <c r="DA518" i="1"/>
  <c r="EW518" i="1" s="1"/>
  <c r="EY518" i="1" s="1"/>
  <c r="DA524" i="1"/>
  <c r="EW524" i="1" s="1"/>
  <c r="EY524" i="1" s="1"/>
  <c r="DA529" i="1"/>
  <c r="EW529" i="1" s="1"/>
  <c r="EY529" i="1" s="1"/>
  <c r="DA536" i="1"/>
  <c r="EW536" i="1" s="1"/>
  <c r="EY536" i="1" s="1"/>
  <c r="DA543" i="1"/>
  <c r="EW543" i="1" s="1"/>
  <c r="EY543" i="1" s="1"/>
  <c r="DA548" i="1"/>
  <c r="EW548" i="1" s="1"/>
  <c r="EY548" i="1" s="1"/>
  <c r="DA563" i="1"/>
  <c r="EW563" i="1" s="1"/>
  <c r="EY563" i="1" s="1"/>
  <c r="DA567" i="1"/>
  <c r="EW567" i="1" s="1"/>
  <c r="EY567" i="1" s="1"/>
  <c r="DA572" i="1"/>
  <c r="EW572" i="1" s="1"/>
  <c r="EY572" i="1" s="1"/>
  <c r="DA577" i="1"/>
  <c r="EW577" i="1" s="1"/>
  <c r="EY577" i="1" s="1"/>
  <c r="DA582" i="1"/>
  <c r="EW582" i="1" s="1"/>
  <c r="EY582" i="1" s="1"/>
  <c r="DA586" i="1"/>
  <c r="EW586" i="1" s="1"/>
  <c r="EY586" i="1" s="1"/>
  <c r="DA590" i="1"/>
  <c r="EW590" i="1" s="1"/>
  <c r="EY590" i="1" s="1"/>
  <c r="DA594" i="1"/>
  <c r="EW594" i="1" s="1"/>
  <c r="EY594" i="1" s="1"/>
  <c r="DA601" i="1"/>
  <c r="DA614" i="1"/>
  <c r="EW614" i="1" s="1"/>
  <c r="EY614" i="1" s="1"/>
  <c r="DA619" i="1"/>
  <c r="EW619" i="1" s="1"/>
  <c r="EY619" i="1" s="1"/>
  <c r="DA627" i="1"/>
  <c r="EW627" i="1" s="1"/>
  <c r="EY627" i="1" s="1"/>
  <c r="DA636" i="1"/>
  <c r="EW636" i="1" s="1"/>
  <c r="EY636" i="1" s="1"/>
  <c r="DA649" i="1"/>
  <c r="EW649" i="1" s="1"/>
  <c r="EY649" i="1" s="1"/>
  <c r="DA653" i="1"/>
  <c r="EW653" i="1" s="1"/>
  <c r="EY653" i="1" s="1"/>
  <c r="DA657" i="1"/>
  <c r="EW657" i="1" s="1"/>
  <c r="EY657" i="1" s="1"/>
  <c r="DA661" i="1"/>
  <c r="EW661" i="1" s="1"/>
  <c r="EY661" i="1" s="1"/>
  <c r="DA669" i="1"/>
  <c r="EW669" i="1" s="1"/>
  <c r="EY669" i="1" s="1"/>
  <c r="DA673" i="1"/>
  <c r="EW673" i="1" s="1"/>
  <c r="EY673" i="1" s="1"/>
  <c r="DA191" i="1"/>
  <c r="EW191" i="1" s="1"/>
  <c r="EY191" i="1" s="1"/>
  <c r="DB193" i="1"/>
  <c r="EX193" i="1" s="1"/>
  <c r="DB198" i="1"/>
  <c r="EX198" i="1" s="1"/>
  <c r="DB203" i="1"/>
  <c r="EX203" i="1" s="1"/>
  <c r="DB209" i="1"/>
  <c r="EX209" i="1" s="1"/>
  <c r="DB214" i="1"/>
  <c r="EX214" i="1" s="1"/>
  <c r="DB219" i="1"/>
  <c r="EX219" i="1" s="1"/>
  <c r="DB223" i="1"/>
  <c r="EX223" i="1" s="1"/>
  <c r="DB227" i="1"/>
  <c r="EX227" i="1" s="1"/>
  <c r="DB238" i="1"/>
  <c r="EX238" i="1" s="1"/>
  <c r="DB318" i="1"/>
  <c r="EX318" i="1" s="1"/>
  <c r="DB322" i="1"/>
  <c r="EX322" i="1" s="1"/>
  <c r="DB326" i="1"/>
  <c r="EX326" i="1" s="1"/>
  <c r="DB330" i="1"/>
  <c r="EX330" i="1" s="1"/>
  <c r="DB334" i="1"/>
  <c r="EX334" i="1" s="1"/>
  <c r="DB338" i="1"/>
  <c r="EX338" i="1" s="1"/>
  <c r="DB342" i="1"/>
  <c r="EX342" i="1" s="1"/>
  <c r="DB346" i="1"/>
  <c r="EX346" i="1" s="1"/>
  <c r="DB350" i="1"/>
  <c r="EX350" i="1" s="1"/>
  <c r="DB354" i="1"/>
  <c r="EX354" i="1" s="1"/>
  <c r="DB358" i="1"/>
  <c r="EX358" i="1" s="1"/>
  <c r="DB366" i="1"/>
  <c r="EX366" i="1" s="1"/>
  <c r="DB370" i="1"/>
  <c r="EX370" i="1" s="1"/>
  <c r="DB374" i="1"/>
  <c r="EX374" i="1" s="1"/>
  <c r="DB378" i="1"/>
  <c r="EX378" i="1" s="1"/>
  <c r="DB382" i="1"/>
  <c r="EX382" i="1" s="1"/>
  <c r="DB386" i="1"/>
  <c r="EX386" i="1" s="1"/>
  <c r="DB390" i="1"/>
  <c r="EX390" i="1" s="1"/>
  <c r="DB394" i="1"/>
  <c r="EX394" i="1" s="1"/>
  <c r="DB399" i="1"/>
  <c r="EX399" i="1" s="1"/>
  <c r="DB403" i="1"/>
  <c r="EX403" i="1" s="1"/>
  <c r="DB407" i="1"/>
  <c r="EX407" i="1" s="1"/>
  <c r="DB411" i="1"/>
  <c r="EX411" i="1" s="1"/>
  <c r="DB415" i="1"/>
  <c r="EX415" i="1" s="1"/>
  <c r="DB423" i="1"/>
  <c r="EX423" i="1" s="1"/>
  <c r="DB427" i="1"/>
  <c r="EX427" i="1" s="1"/>
  <c r="DB431" i="1"/>
  <c r="EX431" i="1" s="1"/>
  <c r="DB435" i="1"/>
  <c r="EX435" i="1" s="1"/>
  <c r="DB439" i="1"/>
  <c r="EX439" i="1" s="1"/>
  <c r="DB443" i="1"/>
  <c r="EX443" i="1" s="1"/>
  <c r="DB449" i="1"/>
  <c r="EX449" i="1" s="1"/>
  <c r="DB458" i="1"/>
  <c r="EX458" i="1" s="1"/>
  <c r="DB465" i="1"/>
  <c r="EX465" i="1" s="1"/>
  <c r="DB498" i="1"/>
  <c r="EX498" i="1" s="1"/>
  <c r="DB505" i="1"/>
  <c r="EX505" i="1" s="1"/>
  <c r="DB512" i="1"/>
  <c r="EX512" i="1" s="1"/>
  <c r="DB518" i="1"/>
  <c r="EX518" i="1" s="1"/>
  <c r="DB524" i="1"/>
  <c r="EX524" i="1" s="1"/>
  <c r="DB536" i="1"/>
  <c r="EX536" i="1" s="1"/>
  <c r="DB543" i="1"/>
  <c r="EX543" i="1" s="1"/>
  <c r="DB548" i="1"/>
  <c r="EX548" i="1" s="1"/>
  <c r="DB556" i="1"/>
  <c r="EX556" i="1" s="1"/>
  <c r="DB563" i="1"/>
  <c r="EX563" i="1" s="1"/>
  <c r="DB567" i="1"/>
  <c r="EX567" i="1" s="1"/>
  <c r="DB572" i="1"/>
  <c r="EX572" i="1" s="1"/>
  <c r="DB582" i="1"/>
  <c r="EX582" i="1" s="1"/>
  <c r="DB586" i="1"/>
  <c r="EX586" i="1" s="1"/>
  <c r="DB590" i="1"/>
  <c r="EX590" i="1" s="1"/>
  <c r="DB594" i="1"/>
  <c r="EX594" i="1" s="1"/>
  <c r="DB601" i="1"/>
  <c r="EX601" i="1" s="1"/>
  <c r="DB614" i="1"/>
  <c r="EX614" i="1" s="1"/>
  <c r="DB619" i="1"/>
  <c r="EX619" i="1" s="1"/>
  <c r="DB627" i="1"/>
  <c r="EX627" i="1" s="1"/>
  <c r="DB632" i="1"/>
  <c r="EX632" i="1" s="1"/>
  <c r="DB645" i="1"/>
  <c r="EX645" i="1" s="1"/>
  <c r="DB649" i="1"/>
  <c r="EX649" i="1" s="1"/>
  <c r="DB653" i="1"/>
  <c r="EX653" i="1" s="1"/>
  <c r="DB661" i="1"/>
  <c r="EX661" i="1" s="1"/>
  <c r="DB665" i="1"/>
  <c r="EX665" i="1" s="1"/>
  <c r="DA195" i="1"/>
  <c r="EW195" i="1" s="1"/>
  <c r="EY195" i="1" s="1"/>
  <c r="DA199" i="1"/>
  <c r="EW199" i="1" s="1"/>
  <c r="EY199" i="1" s="1"/>
  <c r="DA205" i="1"/>
  <c r="EW205" i="1" s="1"/>
  <c r="EY205" i="1" s="1"/>
  <c r="DA220" i="1"/>
  <c r="EW220" i="1" s="1"/>
  <c r="EY220" i="1" s="1"/>
  <c r="DA224" i="1"/>
  <c r="DA312" i="1"/>
  <c r="EW312" i="1" s="1"/>
  <c r="EY312" i="1" s="1"/>
  <c r="DA319" i="1"/>
  <c r="EW319" i="1" s="1"/>
  <c r="EY319" i="1" s="1"/>
  <c r="DA331" i="1"/>
  <c r="EW331" i="1" s="1"/>
  <c r="EY331" i="1" s="1"/>
  <c r="DA335" i="1"/>
  <c r="EW335" i="1" s="1"/>
  <c r="EY335" i="1" s="1"/>
  <c r="DA339" i="1"/>
  <c r="EW339" i="1" s="1"/>
  <c r="EY339" i="1" s="1"/>
  <c r="DA347" i="1"/>
  <c r="EW347" i="1" s="1"/>
  <c r="EY347" i="1" s="1"/>
  <c r="DA351" i="1"/>
  <c r="EW351" i="1" s="1"/>
  <c r="EY351" i="1" s="1"/>
  <c r="DA363" i="1"/>
  <c r="EW363" i="1" s="1"/>
  <c r="EY363" i="1" s="1"/>
  <c r="DA367" i="1"/>
  <c r="EW367" i="1" s="1"/>
  <c r="EY367" i="1" s="1"/>
  <c r="DA371" i="1"/>
  <c r="EW371" i="1" s="1"/>
  <c r="EY371" i="1" s="1"/>
  <c r="DA379" i="1"/>
  <c r="EW379" i="1" s="1"/>
  <c r="EY379" i="1" s="1"/>
  <c r="DA383" i="1"/>
  <c r="EW383" i="1" s="1"/>
  <c r="EY383" i="1" s="1"/>
  <c r="DA387" i="1"/>
  <c r="EW387" i="1" s="1"/>
  <c r="EY387" i="1" s="1"/>
  <c r="DA395" i="1"/>
  <c r="EW395" i="1" s="1"/>
  <c r="EY395" i="1" s="1"/>
  <c r="DA400" i="1"/>
  <c r="EW400" i="1" s="1"/>
  <c r="EY400" i="1" s="1"/>
  <c r="DA404" i="1"/>
  <c r="EW404" i="1" s="1"/>
  <c r="EY404" i="1" s="1"/>
  <c r="DA412" i="1"/>
  <c r="EW412" i="1" s="1"/>
  <c r="EY412" i="1" s="1"/>
  <c r="DA416" i="1"/>
  <c r="EW416" i="1" s="1"/>
  <c r="EY416" i="1" s="1"/>
  <c r="DA432" i="1"/>
  <c r="EW432" i="1" s="1"/>
  <c r="EY432" i="1" s="1"/>
  <c r="DA436" i="1"/>
  <c r="EW436" i="1" s="1"/>
  <c r="EY436" i="1" s="1"/>
  <c r="DA445" i="1"/>
  <c r="EW445" i="1" s="1"/>
  <c r="EY445" i="1" s="1"/>
  <c r="DA459" i="1"/>
  <c r="EW459" i="1" s="1"/>
  <c r="EY459" i="1" s="1"/>
  <c r="DA467" i="1"/>
  <c r="EW467" i="1" s="1"/>
  <c r="EY467" i="1" s="1"/>
  <c r="DA483" i="1"/>
  <c r="EW483" i="1" s="1"/>
  <c r="EY483" i="1" s="1"/>
  <c r="DA489" i="1"/>
  <c r="DA520" i="1"/>
  <c r="EW520" i="1" s="1"/>
  <c r="EY520" i="1" s="1"/>
  <c r="DA525" i="1"/>
  <c r="EW525" i="1" s="1"/>
  <c r="EY525" i="1" s="1"/>
  <c r="DA532" i="1"/>
  <c r="EW532" i="1" s="1"/>
  <c r="EY532" i="1" s="1"/>
  <c r="DA544" i="1"/>
  <c r="EW544" i="1" s="1"/>
  <c r="EY544" i="1" s="1"/>
  <c r="DA550" i="1"/>
  <c r="EW550" i="1" s="1"/>
  <c r="EY550" i="1" s="1"/>
  <c r="DA569" i="1"/>
  <c r="EW569" i="1" s="1"/>
  <c r="EY569" i="1" s="1"/>
  <c r="DA574" i="1"/>
  <c r="EW574" i="1" s="1"/>
  <c r="EY574" i="1" s="1"/>
  <c r="DA578" i="1"/>
  <c r="EW578" i="1" s="1"/>
  <c r="EY578" i="1" s="1"/>
  <c r="DA587" i="1"/>
  <c r="EW587" i="1" s="1"/>
  <c r="EY587" i="1" s="1"/>
  <c r="DA591" i="1"/>
  <c r="EW591" i="1" s="1"/>
  <c r="EY591" i="1" s="1"/>
  <c r="DA611" i="1"/>
  <c r="EW611" i="1" s="1"/>
  <c r="EY611" i="1" s="1"/>
  <c r="DA615" i="1"/>
  <c r="EW615" i="1" s="1"/>
  <c r="EY615" i="1" s="1"/>
  <c r="DA620" i="1"/>
  <c r="EW620" i="1" s="1"/>
  <c r="EY620" i="1" s="1"/>
  <c r="DA633" i="1"/>
  <c r="EW633" i="1" s="1"/>
  <c r="EY633" i="1" s="1"/>
  <c r="DA637" i="1"/>
  <c r="EW637" i="1" s="1"/>
  <c r="EY637" i="1" s="1"/>
  <c r="DA646" i="1"/>
  <c r="EW646" i="1" s="1"/>
  <c r="EY646" i="1" s="1"/>
  <c r="DA650" i="1"/>
  <c r="EW650" i="1" s="1"/>
  <c r="EY650" i="1" s="1"/>
  <c r="DA662" i="1"/>
  <c r="EW662" i="1" s="1"/>
  <c r="EY662" i="1" s="1"/>
  <c r="DA666" i="1"/>
  <c r="EW666" i="1" s="1"/>
  <c r="EY666" i="1" s="1"/>
  <c r="DA670" i="1"/>
  <c r="EW670" i="1" s="1"/>
  <c r="EY670" i="1" s="1"/>
  <c r="DB195" i="1"/>
  <c r="EX195" i="1" s="1"/>
  <c r="DB205" i="1"/>
  <c r="EX205" i="1" s="1"/>
  <c r="DB216" i="1"/>
  <c r="EX216" i="1" s="1"/>
  <c r="DB220" i="1"/>
  <c r="EX220" i="1" s="1"/>
  <c r="DB228" i="1"/>
  <c r="EX228" i="1" s="1"/>
  <c r="DB312" i="1"/>
  <c r="EX312" i="1" s="1"/>
  <c r="DB319" i="1"/>
  <c r="EX319" i="1" s="1"/>
  <c r="DB327" i="1"/>
  <c r="EX327" i="1" s="1"/>
  <c r="DB331" i="1"/>
  <c r="EX331" i="1" s="1"/>
  <c r="DB335" i="1"/>
  <c r="EX335" i="1" s="1"/>
  <c r="DB343" i="1"/>
  <c r="EX343" i="1" s="1"/>
  <c r="DB347" i="1"/>
  <c r="EX347" i="1" s="1"/>
  <c r="DB351" i="1"/>
  <c r="EX351" i="1" s="1"/>
  <c r="DB359" i="1"/>
  <c r="EX359" i="1" s="1"/>
  <c r="DB363" i="1"/>
  <c r="EX363" i="1" s="1"/>
  <c r="DB367" i="1"/>
  <c r="EX367" i="1" s="1"/>
  <c r="DB375" i="1"/>
  <c r="EX375" i="1" s="1"/>
  <c r="DB379" i="1"/>
  <c r="EX379" i="1" s="1"/>
  <c r="DB383" i="1"/>
  <c r="EX383" i="1" s="1"/>
  <c r="DB391" i="1"/>
  <c r="EX391" i="1" s="1"/>
  <c r="DB395" i="1"/>
  <c r="EX395" i="1" s="1"/>
  <c r="DB400" i="1"/>
  <c r="EX400" i="1" s="1"/>
  <c r="DB408" i="1"/>
  <c r="EX408" i="1" s="1"/>
  <c r="DB412" i="1"/>
  <c r="EX412" i="1" s="1"/>
  <c r="DB416" i="1"/>
  <c r="EX416" i="1" s="1"/>
  <c r="DB424" i="1"/>
  <c r="EX424" i="1" s="1"/>
  <c r="DB428" i="1"/>
  <c r="EX428" i="1" s="1"/>
  <c r="DB432" i="1"/>
  <c r="EX432" i="1" s="1"/>
  <c r="DB440" i="1"/>
  <c r="EX440" i="1" s="1"/>
  <c r="DB445" i="1"/>
  <c r="EX445" i="1" s="1"/>
  <c r="DB459" i="1"/>
  <c r="EX459" i="1" s="1"/>
  <c r="DB483" i="1"/>
  <c r="EX483" i="1" s="1"/>
  <c r="DB489" i="1"/>
  <c r="EX489" i="1" s="1"/>
  <c r="DB520" i="1"/>
  <c r="EX520" i="1" s="1"/>
  <c r="DB525" i="1"/>
  <c r="EX525" i="1" s="1"/>
  <c r="DB532" i="1"/>
  <c r="EX532" i="1" s="1"/>
  <c r="DB538" i="1"/>
  <c r="EX538" i="1" s="1"/>
  <c r="DB550" i="1"/>
  <c r="EX550" i="1" s="1"/>
  <c r="DB569" i="1"/>
  <c r="EX569" i="1" s="1"/>
  <c r="DB574" i="1"/>
  <c r="EX574" i="1" s="1"/>
  <c r="DB578" i="1"/>
  <c r="EX578" i="1" s="1"/>
  <c r="DB583" i="1"/>
  <c r="EX583" i="1" s="1"/>
  <c r="DB587" i="1"/>
  <c r="EX587" i="1" s="1"/>
  <c r="DB591" i="1"/>
  <c r="EX591" i="1" s="1"/>
  <c r="DB595" i="1"/>
  <c r="EX595" i="1" s="1"/>
  <c r="DB611" i="1"/>
  <c r="EX611" i="1" s="1"/>
  <c r="DB615" i="1"/>
  <c r="EX615" i="1" s="1"/>
  <c r="DB624" i="1"/>
  <c r="EX624" i="1" s="1"/>
  <c r="DB629" i="1"/>
  <c r="EX629" i="1" s="1"/>
  <c r="DB633" i="1"/>
  <c r="EX633" i="1" s="1"/>
  <c r="DB646" i="1"/>
  <c r="EX646" i="1" s="1"/>
  <c r="DB650" i="1"/>
  <c r="EX650" i="1" s="1"/>
  <c r="DB658" i="1"/>
  <c r="EX658" i="1" s="1"/>
  <c r="DB662" i="1"/>
  <c r="EX662" i="1" s="1"/>
  <c r="DB197" i="1"/>
  <c r="EX197" i="1" s="1"/>
  <c r="DB199" i="1"/>
  <c r="EX199" i="1" s="1"/>
  <c r="DB210" i="1"/>
  <c r="EX210" i="1" s="1"/>
  <c r="DA196" i="1"/>
  <c r="EW196" i="1" s="1"/>
  <c r="EY196" i="1" s="1"/>
  <c r="DA200" i="1"/>
  <c r="EW200" i="1" s="1"/>
  <c r="EY200" i="1" s="1"/>
  <c r="DA207" i="1"/>
  <c r="DA211" i="1"/>
  <c r="DA221" i="1"/>
  <c r="EW221" i="1" s="1"/>
  <c r="EY221" i="1" s="1"/>
  <c r="DA231" i="1"/>
  <c r="EW231" i="1" s="1"/>
  <c r="EY231" i="1" s="1"/>
  <c r="DA316" i="1"/>
  <c r="EW316" i="1" s="1"/>
  <c r="EY316" i="1" s="1"/>
  <c r="DA320" i="1"/>
  <c r="EW320" i="1" s="1"/>
  <c r="EY320" i="1" s="1"/>
  <c r="DA324" i="1"/>
  <c r="EW324" i="1" s="1"/>
  <c r="EY324" i="1" s="1"/>
  <c r="DA328" i="1"/>
  <c r="EW328" i="1" s="1"/>
  <c r="EY328" i="1" s="1"/>
  <c r="DA332" i="1"/>
  <c r="EW332" i="1" s="1"/>
  <c r="EY332" i="1" s="1"/>
  <c r="DA344" i="1"/>
  <c r="EW344" i="1" s="1"/>
  <c r="EY344" i="1" s="1"/>
  <c r="DA348" i="1"/>
  <c r="EW348" i="1" s="1"/>
  <c r="EY348" i="1" s="1"/>
  <c r="DA352" i="1"/>
  <c r="EW352" i="1" s="1"/>
  <c r="EY352" i="1" s="1"/>
  <c r="DA356" i="1"/>
  <c r="EW356" i="1" s="1"/>
  <c r="EY356" i="1" s="1"/>
  <c r="DA360" i="1"/>
  <c r="EW360" i="1" s="1"/>
  <c r="EY360" i="1" s="1"/>
  <c r="DA364" i="1"/>
  <c r="EW364" i="1" s="1"/>
  <c r="EY364" i="1" s="1"/>
  <c r="DA368" i="1"/>
  <c r="EW368" i="1" s="1"/>
  <c r="EY368" i="1" s="1"/>
  <c r="DA384" i="1"/>
  <c r="EW384" i="1" s="1"/>
  <c r="EY384" i="1" s="1"/>
  <c r="DA388" i="1"/>
  <c r="EW388" i="1" s="1"/>
  <c r="EY388" i="1" s="1"/>
  <c r="DA392" i="1"/>
  <c r="EW392" i="1" s="1"/>
  <c r="EY392" i="1" s="1"/>
  <c r="DA396" i="1"/>
  <c r="EW396" i="1" s="1"/>
  <c r="EY396" i="1" s="1"/>
  <c r="DA401" i="1"/>
  <c r="EW401" i="1" s="1"/>
  <c r="EY401" i="1" s="1"/>
  <c r="DA409" i="1"/>
  <c r="EW409" i="1" s="1"/>
  <c r="EY409" i="1" s="1"/>
  <c r="DA417" i="1"/>
  <c r="EW417" i="1" s="1"/>
  <c r="EY417" i="1" s="1"/>
  <c r="DA429" i="1"/>
  <c r="EW429" i="1" s="1"/>
  <c r="EY429" i="1" s="1"/>
  <c r="DA433" i="1"/>
  <c r="EW433" i="1" s="1"/>
  <c r="EY433" i="1" s="1"/>
  <c r="DA441" i="1"/>
  <c r="EW441" i="1" s="1"/>
  <c r="EY441" i="1" s="1"/>
  <c r="DA447" i="1"/>
  <c r="EW447" i="1" s="1"/>
  <c r="EY447" i="1" s="1"/>
  <c r="DA461" i="1"/>
  <c r="EW461" i="1" s="1"/>
  <c r="EY461" i="1" s="1"/>
  <c r="DA476" i="1"/>
  <c r="EW476" i="1" s="1"/>
  <c r="EY476" i="1" s="1"/>
  <c r="DA484" i="1"/>
  <c r="EW484" i="1" s="1"/>
  <c r="EY484" i="1" s="1"/>
  <c r="DA493" i="1"/>
  <c r="DA509" i="1"/>
  <c r="EW509" i="1" s="1"/>
  <c r="EY509" i="1" s="1"/>
  <c r="DA516" i="1"/>
  <c r="EW516" i="1" s="1"/>
  <c r="EY516" i="1" s="1"/>
  <c r="DA522" i="1"/>
  <c r="EW522" i="1" s="1"/>
  <c r="EY522" i="1" s="1"/>
  <c r="DA526" i="1"/>
  <c r="EW526" i="1" s="1"/>
  <c r="EY526" i="1" s="1"/>
  <c r="DA539" i="1"/>
  <c r="EW539" i="1" s="1"/>
  <c r="EY539" i="1" s="1"/>
  <c r="DA545" i="1"/>
  <c r="EW545" i="1" s="1"/>
  <c r="EY545" i="1" s="1"/>
  <c r="DA561" i="1"/>
  <c r="EW561" i="1" s="1"/>
  <c r="EY561" i="1" s="1"/>
  <c r="DA570" i="1"/>
  <c r="EW570" i="1" s="1"/>
  <c r="EY570" i="1" s="1"/>
  <c r="DA584" i="1"/>
  <c r="EW584" i="1" s="1"/>
  <c r="EY584" i="1" s="1"/>
  <c r="DA588" i="1"/>
  <c r="EW588" i="1" s="1"/>
  <c r="EY588" i="1" s="1"/>
  <c r="DA598" i="1"/>
  <c r="EW598" i="1" s="1"/>
  <c r="EY598" i="1" s="1"/>
  <c r="DA606" i="1"/>
  <c r="EW606" i="1" s="1"/>
  <c r="EY606" i="1" s="1"/>
  <c r="DA612" i="1"/>
  <c r="EW612" i="1" s="1"/>
  <c r="EY612" i="1" s="1"/>
  <c r="DA621" i="1"/>
  <c r="EW621" i="1" s="1"/>
  <c r="EY621" i="1" s="1"/>
  <c r="DA638" i="1"/>
  <c r="EW638" i="1" s="1"/>
  <c r="EY638" i="1" s="1"/>
  <c r="DA643" i="1"/>
  <c r="EW643" i="1" s="1"/>
  <c r="EY643" i="1" s="1"/>
  <c r="DA647" i="1"/>
  <c r="EW647" i="1" s="1"/>
  <c r="EY647" i="1" s="1"/>
  <c r="DA655" i="1"/>
  <c r="EW655" i="1" s="1"/>
  <c r="EY655" i="1" s="1"/>
  <c r="DA659" i="1"/>
  <c r="EW659" i="1" s="1"/>
  <c r="EY659" i="1" s="1"/>
  <c r="DA663" i="1"/>
  <c r="EW663" i="1" s="1"/>
  <c r="EY663" i="1" s="1"/>
  <c r="DA671" i="1"/>
  <c r="EW671" i="1" s="1"/>
  <c r="EY671" i="1" s="1"/>
  <c r="DB200" i="1"/>
  <c r="EX200" i="1" s="1"/>
  <c r="DB211" i="1"/>
  <c r="EX211" i="1" s="1"/>
  <c r="DB217" i="1"/>
  <c r="EX217" i="1" s="1"/>
  <c r="DB221" i="1"/>
  <c r="EX221" i="1" s="1"/>
  <c r="DB231" i="1"/>
  <c r="EX231" i="1" s="1"/>
  <c r="DB316" i="1"/>
  <c r="EX316" i="1" s="1"/>
  <c r="DB320" i="1"/>
  <c r="EX320" i="1" s="1"/>
  <c r="DB332" i="1"/>
  <c r="EX332" i="1" s="1"/>
  <c r="DB336" i="1"/>
  <c r="EX336" i="1" s="1"/>
  <c r="DB344" i="1"/>
  <c r="EX344" i="1" s="1"/>
  <c r="DB348" i="1"/>
  <c r="EX348" i="1" s="1"/>
  <c r="DB352" i="1"/>
  <c r="EX352" i="1" s="1"/>
  <c r="DB360" i="1"/>
  <c r="EX360" i="1" s="1"/>
  <c r="DB364" i="1"/>
  <c r="EX364" i="1" s="1"/>
  <c r="DB376" i="1"/>
  <c r="EX376" i="1" s="1"/>
  <c r="DB384" i="1"/>
  <c r="EX384" i="1" s="1"/>
  <c r="DB396" i="1"/>
  <c r="EX396" i="1" s="1"/>
  <c r="DB401" i="1"/>
  <c r="EX401" i="1" s="1"/>
  <c r="DB413" i="1"/>
  <c r="EX413" i="1" s="1"/>
  <c r="DB429" i="1"/>
  <c r="EX429" i="1" s="1"/>
  <c r="DB433" i="1"/>
  <c r="EX433" i="1" s="1"/>
  <c r="DB441" i="1"/>
  <c r="EX441" i="1" s="1"/>
  <c r="DB461" i="1"/>
  <c r="EX461" i="1" s="1"/>
  <c r="DB526" i="1"/>
  <c r="EX526" i="1" s="1"/>
  <c r="DB545" i="1"/>
  <c r="EX545" i="1" s="1"/>
  <c r="DB561" i="1"/>
  <c r="EX561" i="1" s="1"/>
  <c r="DB565" i="1"/>
  <c r="EX565" i="1" s="1"/>
  <c r="DB570" i="1"/>
  <c r="EX570" i="1" s="1"/>
  <c r="DB580" i="1"/>
  <c r="EX580" i="1" s="1"/>
  <c r="DB588" i="1"/>
  <c r="EX588" i="1" s="1"/>
  <c r="DB606" i="1"/>
  <c r="EX606" i="1" s="1"/>
  <c r="DB612" i="1"/>
  <c r="EX612" i="1" s="1"/>
  <c r="DB616" i="1"/>
  <c r="EX616" i="1" s="1"/>
  <c r="DB621" i="1"/>
  <c r="EX621" i="1" s="1"/>
  <c r="DB625" i="1"/>
  <c r="EX625" i="1" s="1"/>
  <c r="DB638" i="1"/>
  <c r="EX638" i="1" s="1"/>
  <c r="DB647" i="1"/>
  <c r="EX647" i="1" s="1"/>
  <c r="DB663" i="1"/>
  <c r="EX663" i="1" s="1"/>
  <c r="DA212" i="1"/>
  <c r="EW212" i="1" s="1"/>
  <c r="EY212" i="1" s="1"/>
  <c r="DA226" i="1"/>
  <c r="DA237" i="1"/>
  <c r="EW237" i="1" s="1"/>
  <c r="EY237" i="1" s="1"/>
  <c r="DA317" i="1"/>
  <c r="EW317" i="1" s="1"/>
  <c r="EY317" i="1" s="1"/>
  <c r="DA329" i="1"/>
  <c r="EW329" i="1" s="1"/>
  <c r="EY329" i="1" s="1"/>
  <c r="DA333" i="1"/>
  <c r="EW333" i="1" s="1"/>
  <c r="EY333" i="1" s="1"/>
  <c r="DA345" i="1"/>
  <c r="EW345" i="1" s="1"/>
  <c r="EY345" i="1" s="1"/>
  <c r="DA349" i="1"/>
  <c r="EW349" i="1" s="1"/>
  <c r="EY349" i="1" s="1"/>
  <c r="DA357" i="1"/>
  <c r="EW357" i="1" s="1"/>
  <c r="EY357" i="1" s="1"/>
  <c r="DA365" i="1"/>
  <c r="EW365" i="1" s="1"/>
  <c r="EY365" i="1" s="1"/>
  <c r="DA369" i="1"/>
  <c r="EW369" i="1" s="1"/>
  <c r="EY369" i="1" s="1"/>
  <c r="DA381" i="1"/>
  <c r="EW381" i="1" s="1"/>
  <c r="EY381" i="1" s="1"/>
  <c r="DA393" i="1"/>
  <c r="EW393" i="1" s="1"/>
  <c r="EY393" i="1" s="1"/>
  <c r="DA398" i="1"/>
  <c r="EW398" i="1" s="1"/>
  <c r="EY398" i="1" s="1"/>
  <c r="DA406" i="1"/>
  <c r="EW406" i="1" s="1"/>
  <c r="EY406" i="1" s="1"/>
  <c r="DA410" i="1"/>
  <c r="EW410" i="1" s="1"/>
  <c r="EY410" i="1" s="1"/>
  <c r="DA414" i="1"/>
  <c r="EW414" i="1" s="1"/>
  <c r="EY414" i="1" s="1"/>
  <c r="DA422" i="1"/>
  <c r="EW422" i="1" s="1"/>
  <c r="EY422" i="1" s="1"/>
  <c r="DA426" i="1"/>
  <c r="EW426" i="1" s="1"/>
  <c r="EY426" i="1" s="1"/>
  <c r="DA434" i="1"/>
  <c r="EW434" i="1" s="1"/>
  <c r="EY434" i="1" s="1"/>
  <c r="DA438" i="1"/>
  <c r="EW438" i="1" s="1"/>
  <c r="EY438" i="1" s="1"/>
  <c r="DA448" i="1"/>
  <c r="EW448" i="1" s="1"/>
  <c r="EY448" i="1" s="1"/>
  <c r="DA479" i="1"/>
  <c r="EW479" i="1" s="1"/>
  <c r="EY479" i="1" s="1"/>
  <c r="DA497" i="1"/>
  <c r="EW497" i="1" s="1"/>
  <c r="EY497" i="1" s="1"/>
  <c r="DA511" i="1"/>
  <c r="EW511" i="1" s="1"/>
  <c r="EY511" i="1" s="1"/>
  <c r="DA523" i="1"/>
  <c r="EW523" i="1" s="1"/>
  <c r="EY523" i="1" s="1"/>
  <c r="DA528" i="1"/>
  <c r="EW528" i="1" s="1"/>
  <c r="EY528" i="1" s="1"/>
  <c r="DA535" i="1"/>
  <c r="EW535" i="1" s="1"/>
  <c r="EY535" i="1" s="1"/>
  <c r="DA547" i="1"/>
  <c r="EW547" i="1" s="1"/>
  <c r="EY547" i="1" s="1"/>
  <c r="DA554" i="1"/>
  <c r="EW554" i="1" s="1"/>
  <c r="EY554" i="1" s="1"/>
  <c r="DA571" i="1"/>
  <c r="EW571" i="1" s="1"/>
  <c r="EY571" i="1" s="1"/>
  <c r="DA576" i="1"/>
  <c r="EW576" i="1" s="1"/>
  <c r="EY576" i="1" s="1"/>
  <c r="DA581" i="1"/>
  <c r="EW581" i="1" s="1"/>
  <c r="EY581" i="1" s="1"/>
  <c r="DA585" i="1"/>
  <c r="EW585" i="1" s="1"/>
  <c r="EY585" i="1" s="1"/>
  <c r="DA589" i="1"/>
  <c r="EW589" i="1" s="1"/>
  <c r="EY589" i="1" s="1"/>
  <c r="DA600" i="1"/>
  <c r="EW600" i="1" s="1"/>
  <c r="EY600" i="1" s="1"/>
  <c r="DA622" i="1"/>
  <c r="EW622" i="1" s="1"/>
  <c r="EY622" i="1" s="1"/>
  <c r="DA626" i="1"/>
  <c r="EW626" i="1" s="1"/>
  <c r="EY626" i="1" s="1"/>
  <c r="DA639" i="1"/>
  <c r="EW639" i="1" s="1"/>
  <c r="EY639" i="1" s="1"/>
  <c r="DA648" i="1"/>
  <c r="EW648" i="1" s="1"/>
  <c r="EY648" i="1" s="1"/>
  <c r="DA652" i="1"/>
  <c r="EW652" i="1" s="1"/>
  <c r="EY652" i="1" s="1"/>
  <c r="DA656" i="1"/>
  <c r="EW656" i="1" s="1"/>
  <c r="EY656" i="1" s="1"/>
  <c r="DA672" i="1"/>
  <c r="EW672" i="1" s="1"/>
  <c r="EY672" i="1" s="1"/>
  <c r="DB212" i="1"/>
  <c r="EX212" i="1" s="1"/>
  <c r="DB222" i="1"/>
  <c r="EX222" i="1" s="1"/>
  <c r="DB317" i="1"/>
  <c r="EX317" i="1" s="1"/>
  <c r="DB325" i="1"/>
  <c r="EX325" i="1" s="1"/>
  <c r="DB329" i="1"/>
  <c r="EX329" i="1" s="1"/>
  <c r="DB337" i="1"/>
  <c r="EX337" i="1" s="1"/>
  <c r="DB341" i="1"/>
  <c r="EX341" i="1" s="1"/>
  <c r="DB349" i="1"/>
  <c r="EX349" i="1" s="1"/>
  <c r="DB357" i="1"/>
  <c r="EX357" i="1" s="1"/>
  <c r="DB361" i="1"/>
  <c r="EX361" i="1" s="1"/>
  <c r="DB369" i="1"/>
  <c r="EX369" i="1" s="1"/>
  <c r="DB373" i="1"/>
  <c r="EX373" i="1" s="1"/>
  <c r="DB377" i="1"/>
  <c r="EX377" i="1" s="1"/>
  <c r="DB389" i="1"/>
  <c r="EX389" i="1" s="1"/>
  <c r="DB393" i="1"/>
  <c r="EX393" i="1" s="1"/>
  <c r="DB406" i="1"/>
  <c r="EX406" i="1" s="1"/>
  <c r="DB410" i="1"/>
  <c r="EX410" i="1" s="1"/>
  <c r="DB418" i="1"/>
  <c r="EX418" i="1" s="1"/>
  <c r="DB422" i="1"/>
  <c r="EX422" i="1" s="1"/>
  <c r="DB434" i="1"/>
  <c r="EX434" i="1" s="1"/>
  <c r="DB463" i="1"/>
  <c r="EX463" i="1" s="1"/>
  <c r="DB469" i="1"/>
  <c r="EX469" i="1" s="1"/>
  <c r="DB497" i="1"/>
  <c r="EX497" i="1" s="1"/>
  <c r="DB511" i="1"/>
  <c r="EX511" i="1" s="1"/>
  <c r="DB517" i="1"/>
  <c r="EX517" i="1" s="1"/>
  <c r="DB547" i="1"/>
  <c r="EX547" i="1" s="1"/>
  <c r="DB571" i="1"/>
  <c r="EX571" i="1" s="1"/>
  <c r="DB576" i="1"/>
  <c r="EX576" i="1" s="1"/>
  <c r="DB581" i="1"/>
  <c r="EX581" i="1" s="1"/>
  <c r="DB600" i="1"/>
  <c r="EX600" i="1" s="1"/>
  <c r="DB613" i="1"/>
  <c r="EX613" i="1" s="1"/>
  <c r="DB617" i="1"/>
  <c r="EX617" i="1" s="1"/>
  <c r="DB631" i="1"/>
  <c r="EX631" i="1" s="1"/>
  <c r="DB648" i="1"/>
  <c r="EX648" i="1" s="1"/>
  <c r="DB664" i="1"/>
  <c r="EX664" i="1" s="1"/>
  <c r="DB672" i="1"/>
  <c r="EX672" i="1" s="1"/>
  <c r="DN442" i="1"/>
  <c r="DN441" i="1"/>
  <c r="AD456" i="44" l="1"/>
  <c r="F456" i="44" s="1"/>
  <c r="AD424" i="44"/>
  <c r="F424" i="44" s="1"/>
  <c r="AD253" i="44"/>
  <c r="F253" i="44" s="1"/>
  <c r="AD205" i="44"/>
  <c r="F205" i="44" s="1"/>
  <c r="DA336" i="1"/>
  <c r="EW336" i="1" s="1"/>
  <c r="EY336" i="1" s="1"/>
  <c r="DA217" i="1"/>
  <c r="DB620" i="1"/>
  <c r="EX620" i="1" s="1"/>
  <c r="AE431" i="44"/>
  <c r="G431" i="44" s="1"/>
  <c r="AD493" i="44"/>
  <c r="F493" i="44" s="1"/>
  <c r="AD256" i="44"/>
  <c r="F256" i="44" s="1"/>
  <c r="AD126" i="44"/>
  <c r="F126" i="44" s="1"/>
  <c r="AD169" i="44"/>
  <c r="F169" i="44" s="1"/>
  <c r="AD135" i="44"/>
  <c r="F135" i="44" s="1"/>
  <c r="AE381" i="44"/>
  <c r="G381" i="44" s="1"/>
  <c r="AE248" i="44"/>
  <c r="G248" i="44" s="1"/>
  <c r="AE216" i="44"/>
  <c r="G216" i="44" s="1"/>
  <c r="AE184" i="44"/>
  <c r="G184" i="44" s="1"/>
  <c r="AE152" i="44"/>
  <c r="G152" i="44" s="1"/>
  <c r="AD517" i="44"/>
  <c r="F517" i="44" s="1"/>
  <c r="AD248" i="44"/>
  <c r="F248" i="44" s="1"/>
  <c r="AD184" i="44"/>
  <c r="F184" i="44" s="1"/>
  <c r="AE532" i="44"/>
  <c r="G532" i="44" s="1"/>
  <c r="AE500" i="44"/>
  <c r="G500" i="44" s="1"/>
  <c r="AE454" i="44"/>
  <c r="G454" i="44" s="1"/>
  <c r="AE422" i="44"/>
  <c r="G422" i="44" s="1"/>
  <c r="AE384" i="44"/>
  <c r="G384" i="44" s="1"/>
  <c r="AE533" i="44"/>
  <c r="G533" i="44" s="1"/>
  <c r="AE501" i="44"/>
  <c r="G501" i="44" s="1"/>
  <c r="AE439" i="44"/>
  <c r="G439" i="44" s="1"/>
  <c r="AE264" i="44"/>
  <c r="G264" i="44" s="1"/>
  <c r="AE232" i="44"/>
  <c r="G232" i="44" s="1"/>
  <c r="AE200" i="44"/>
  <c r="G200" i="44" s="1"/>
  <c r="AE168" i="44"/>
  <c r="G168" i="44" s="1"/>
  <c r="AE134" i="44"/>
  <c r="G134" i="44" s="1"/>
  <c r="AD471" i="44"/>
  <c r="F471" i="44" s="1"/>
  <c r="AD439" i="44"/>
  <c r="F439" i="44" s="1"/>
  <c r="AD401" i="44"/>
  <c r="F401" i="44" s="1"/>
  <c r="AD152" i="44"/>
  <c r="F152" i="44" s="1"/>
  <c r="DB362" i="1"/>
  <c r="EX362" i="1" s="1"/>
  <c r="DB419" i="1"/>
  <c r="EX419" i="1" s="1"/>
  <c r="DA641" i="1"/>
  <c r="EW641" i="1" s="1"/>
  <c r="EY641" i="1" s="1"/>
  <c r="AD520" i="44"/>
  <c r="F520" i="44" s="1"/>
  <c r="AD484" i="44"/>
  <c r="F484" i="44" s="1"/>
  <c r="DB479" i="1"/>
  <c r="EX479" i="1" s="1"/>
  <c r="DB430" i="1"/>
  <c r="EX430" i="1" s="1"/>
  <c r="AD430" i="44"/>
  <c r="F430" i="44" s="1"/>
  <c r="AE147" i="44"/>
  <c r="G147" i="44" s="1"/>
  <c r="AE129" i="44"/>
  <c r="G129" i="44" s="1"/>
  <c r="AE113" i="44"/>
  <c r="G113" i="44" s="1"/>
  <c r="AD528" i="44"/>
  <c r="F528" i="44" s="1"/>
  <c r="AD512" i="44"/>
  <c r="F512" i="44" s="1"/>
  <c r="AD426" i="44"/>
  <c r="F426" i="44" s="1"/>
  <c r="DB448" i="1"/>
  <c r="EX448" i="1" s="1"/>
  <c r="DB414" i="1"/>
  <c r="EX414" i="1" s="1"/>
  <c r="AD524" i="44"/>
  <c r="F524" i="44" s="1"/>
  <c r="AD488" i="44"/>
  <c r="F488" i="44" s="1"/>
  <c r="AD247" i="44"/>
  <c r="F247" i="44" s="1"/>
  <c r="AD508" i="44"/>
  <c r="F508" i="44" s="1"/>
  <c r="AD492" i="44"/>
  <c r="F492" i="44" s="1"/>
  <c r="AD403" i="44"/>
  <c r="F403" i="44" s="1"/>
  <c r="DB528" i="1"/>
  <c r="EX528" i="1" s="1"/>
  <c r="DA660" i="1"/>
  <c r="EW660" i="1" s="1"/>
  <c r="EY660" i="1" s="1"/>
  <c r="DA337" i="1"/>
  <c r="EW337" i="1" s="1"/>
  <c r="EY337" i="1" s="1"/>
  <c r="DB468" i="1"/>
  <c r="EX468" i="1" s="1"/>
  <c r="DB421" i="1"/>
  <c r="EX421" i="1" s="1"/>
  <c r="DB388" i="1"/>
  <c r="EX388" i="1" s="1"/>
  <c r="DB356" i="1"/>
  <c r="EX356" i="1" s="1"/>
  <c r="DB324" i="1"/>
  <c r="EX324" i="1" s="1"/>
  <c r="DB207" i="1"/>
  <c r="EX207" i="1" s="1"/>
  <c r="DA651" i="1"/>
  <c r="EW651" i="1" s="1"/>
  <c r="EY651" i="1" s="1"/>
  <c r="DA616" i="1"/>
  <c r="EW616" i="1" s="1"/>
  <c r="EY616" i="1" s="1"/>
  <c r="DA402" i="1"/>
  <c r="EW402" i="1" s="1"/>
  <c r="EY402" i="1" s="1"/>
  <c r="DB654" i="1"/>
  <c r="EX654" i="1" s="1"/>
  <c r="DB507" i="1"/>
  <c r="EX507" i="1" s="1"/>
  <c r="DA485" i="1"/>
  <c r="DB575" i="1"/>
  <c r="EX575" i="1" s="1"/>
  <c r="DB437" i="1"/>
  <c r="EX437" i="1" s="1"/>
  <c r="DB405" i="1"/>
  <c r="EX405" i="1" s="1"/>
  <c r="DB372" i="1"/>
  <c r="EX372" i="1" s="1"/>
  <c r="DB340" i="1"/>
  <c r="EX340" i="1" s="1"/>
  <c r="DB225" i="1"/>
  <c r="EX225" i="1" s="1"/>
  <c r="DA667" i="1"/>
  <c r="EW667" i="1" s="1"/>
  <c r="EY667" i="1" s="1"/>
  <c r="DA634" i="1"/>
  <c r="EW634" i="1" s="1"/>
  <c r="EY634" i="1" s="1"/>
  <c r="DA592" i="1"/>
  <c r="EW592" i="1" s="1"/>
  <c r="EY592" i="1" s="1"/>
  <c r="DA551" i="1"/>
  <c r="EW551" i="1" s="1"/>
  <c r="EY551" i="1" s="1"/>
  <c r="DA501" i="1"/>
  <c r="DA437" i="1"/>
  <c r="EW437" i="1" s="1"/>
  <c r="EY437" i="1" s="1"/>
  <c r="DA405" i="1"/>
  <c r="EW405" i="1" s="1"/>
  <c r="EY405" i="1" s="1"/>
  <c r="DA372" i="1"/>
  <c r="EW372" i="1" s="1"/>
  <c r="EY372" i="1" s="1"/>
  <c r="AD414" i="44"/>
  <c r="F414" i="44" s="1"/>
  <c r="AD462" i="44"/>
  <c r="F462" i="44" s="1"/>
  <c r="AD446" i="44"/>
  <c r="F446" i="44" s="1"/>
  <c r="AD243" i="44"/>
  <c r="F243" i="44" s="1"/>
  <c r="AD442" i="44"/>
  <c r="F442" i="44" s="1"/>
  <c r="DB668" i="1"/>
  <c r="EX668" i="1" s="1"/>
  <c r="DB635" i="1"/>
  <c r="EX635" i="1" s="1"/>
  <c r="DB593" i="1"/>
  <c r="EX593" i="1" s="1"/>
  <c r="DB554" i="1"/>
  <c r="EX554" i="1" s="1"/>
  <c r="DB504" i="1"/>
  <c r="EX504" i="1" s="1"/>
  <c r="DB237" i="1"/>
  <c r="EX237" i="1" s="1"/>
  <c r="AD470" i="44"/>
  <c r="F470" i="44" s="1"/>
  <c r="AD454" i="44"/>
  <c r="F454" i="44" s="1"/>
  <c r="AD438" i="44"/>
  <c r="F438" i="44" s="1"/>
  <c r="DB660" i="1"/>
  <c r="EX660" i="1" s="1"/>
  <c r="DB626" i="1"/>
  <c r="EX626" i="1" s="1"/>
  <c r="DB585" i="1"/>
  <c r="EX585" i="1" s="1"/>
  <c r="DA201" i="1"/>
  <c r="EW201" i="1" s="1"/>
  <c r="EY201" i="1" s="1"/>
  <c r="DA644" i="1"/>
  <c r="EW644" i="1" s="1"/>
  <c r="EY644" i="1" s="1"/>
  <c r="DA607" i="1"/>
  <c r="EW607" i="1" s="1"/>
  <c r="EY607" i="1" s="1"/>
  <c r="DA566" i="1"/>
  <c r="EW566" i="1" s="1"/>
  <c r="EY566" i="1" s="1"/>
  <c r="DA517" i="1"/>
  <c r="EW517" i="1" s="1"/>
  <c r="EY517" i="1" s="1"/>
  <c r="DA457" i="1"/>
  <c r="EW457" i="1" s="1"/>
  <c r="EY457" i="1" s="1"/>
  <c r="DA418" i="1"/>
  <c r="EW418" i="1" s="1"/>
  <c r="EY418" i="1" s="1"/>
  <c r="DA385" i="1"/>
  <c r="EW385" i="1" s="1"/>
  <c r="EY385" i="1" s="1"/>
  <c r="DA353" i="1"/>
  <c r="EW353" i="1" s="1"/>
  <c r="EY353" i="1" s="1"/>
  <c r="DA321" i="1"/>
  <c r="EW321" i="1" s="1"/>
  <c r="EY321" i="1" s="1"/>
  <c r="DB667" i="1"/>
  <c r="EX667" i="1" s="1"/>
  <c r="DB634" i="1"/>
  <c r="EX634" i="1" s="1"/>
  <c r="DB592" i="1"/>
  <c r="EX592" i="1" s="1"/>
  <c r="DB551" i="1"/>
  <c r="EX551" i="1" s="1"/>
  <c r="DB493" i="1"/>
  <c r="EX493" i="1" s="1"/>
  <c r="DB191" i="1"/>
  <c r="EX191" i="1" s="1"/>
  <c r="AD466" i="44"/>
  <c r="F466" i="44" s="1"/>
  <c r="AD450" i="44"/>
  <c r="F450" i="44" s="1"/>
  <c r="AD434" i="44"/>
  <c r="F434" i="44" s="1"/>
  <c r="AD418" i="44"/>
  <c r="F418" i="44" s="1"/>
  <c r="AD183" i="44"/>
  <c r="F183" i="44" s="1"/>
  <c r="AD175" i="44"/>
  <c r="F175" i="44" s="1"/>
  <c r="AD422" i="44"/>
  <c r="F422" i="44" s="1"/>
  <c r="AD400" i="44"/>
  <c r="F400" i="44" s="1"/>
  <c r="AD271" i="44"/>
  <c r="F271" i="44" s="1"/>
  <c r="AD151" i="44"/>
  <c r="F151" i="44" s="1"/>
  <c r="AD215" i="44"/>
  <c r="F215" i="44" s="1"/>
  <c r="AD147" i="44"/>
  <c r="F147" i="44" s="1"/>
  <c r="AD376" i="44"/>
  <c r="F376" i="44" s="1"/>
  <c r="AD211" i="44"/>
  <c r="F211" i="44" s="1"/>
  <c r="AD141" i="44"/>
  <c r="F141" i="44" s="1"/>
  <c r="AD275" i="44"/>
  <c r="F275" i="44" s="1"/>
  <c r="AD207" i="44"/>
  <c r="F207" i="44" s="1"/>
  <c r="AD388" i="44"/>
  <c r="F388" i="44" s="1"/>
  <c r="AD255" i="44"/>
  <c r="F255" i="44" s="1"/>
  <c r="AD199" i="44"/>
  <c r="F199" i="44" s="1"/>
  <c r="AD163" i="44"/>
  <c r="F163" i="44" s="1"/>
  <c r="AD125" i="44"/>
  <c r="F125" i="44" s="1"/>
  <c r="DA399" i="1"/>
  <c r="EW399" i="1" s="1"/>
  <c r="EY399" i="1" s="1"/>
  <c r="DB226" i="1"/>
  <c r="EX226" i="1" s="1"/>
  <c r="AD384" i="44"/>
  <c r="F384" i="44" s="1"/>
  <c r="AD231" i="44"/>
  <c r="F231" i="44" s="1"/>
  <c r="AD195" i="44"/>
  <c r="F195" i="44" s="1"/>
  <c r="AD159" i="44"/>
  <c r="F159" i="44" s="1"/>
  <c r="DA465" i="1"/>
  <c r="EW465" i="1" s="1"/>
  <c r="EY465" i="1" s="1"/>
  <c r="DA326" i="1"/>
  <c r="EW326" i="1" s="1"/>
  <c r="EY326" i="1" s="1"/>
  <c r="AD263" i="44"/>
  <c r="F263" i="44" s="1"/>
  <c r="AD227" i="44"/>
  <c r="F227" i="44" s="1"/>
  <c r="AD191" i="44"/>
  <c r="F191" i="44" s="1"/>
  <c r="AD133" i="44"/>
  <c r="F133" i="44" s="1"/>
  <c r="AD392" i="44"/>
  <c r="F392" i="44" s="1"/>
  <c r="AD259" i="44"/>
  <c r="F259" i="44" s="1"/>
  <c r="AD223" i="44"/>
  <c r="F223" i="44" s="1"/>
  <c r="AD167" i="44"/>
  <c r="F167" i="44" s="1"/>
  <c r="AD129" i="44"/>
  <c r="F129" i="44" s="1"/>
  <c r="AD396" i="44"/>
  <c r="F396" i="44" s="1"/>
  <c r="AD380" i="44"/>
  <c r="F380" i="44" s="1"/>
  <c r="AD267" i="44"/>
  <c r="F267" i="44" s="1"/>
  <c r="AD251" i="44"/>
  <c r="F251" i="44" s="1"/>
  <c r="AD235" i="44"/>
  <c r="F235" i="44" s="1"/>
  <c r="AD219" i="44"/>
  <c r="F219" i="44" s="1"/>
  <c r="AD203" i="44"/>
  <c r="F203" i="44" s="1"/>
  <c r="AD187" i="44"/>
  <c r="F187" i="44" s="1"/>
  <c r="AD171" i="44"/>
  <c r="F171" i="44" s="1"/>
  <c r="AD155" i="44"/>
  <c r="F155" i="44" s="1"/>
  <c r="AD137" i="44"/>
  <c r="F137" i="44" s="1"/>
  <c r="AD121" i="44"/>
  <c r="F121" i="44" s="1"/>
  <c r="DA674" i="1"/>
  <c r="EW674" i="1" s="1"/>
  <c r="EY674" i="1" s="1"/>
  <c r="B674" i="1" s="1"/>
  <c r="DA642" i="1"/>
  <c r="EW642" i="1" s="1"/>
  <c r="EY642" i="1" s="1"/>
  <c r="DA602" i="1"/>
  <c r="DA564" i="1"/>
  <c r="EW564" i="1" s="1"/>
  <c r="EY564" i="1" s="1"/>
  <c r="DA514" i="1"/>
  <c r="EW514" i="1" s="1"/>
  <c r="EY514" i="1" s="1"/>
  <c r="DA440" i="1"/>
  <c r="EW440" i="1" s="1"/>
  <c r="EY440" i="1" s="1"/>
  <c r="DA408" i="1"/>
  <c r="EW408" i="1" s="1"/>
  <c r="EY408" i="1" s="1"/>
  <c r="DA375" i="1"/>
  <c r="EW375" i="1" s="1"/>
  <c r="EY375" i="1" s="1"/>
  <c r="DA343" i="1"/>
  <c r="EW343" i="1" s="1"/>
  <c r="EY343" i="1" s="1"/>
  <c r="DA228" i="1"/>
  <c r="DB673" i="1"/>
  <c r="EX673" i="1" s="1"/>
  <c r="DB641" i="1"/>
  <c r="EX641" i="1" s="1"/>
  <c r="DB674" i="1"/>
  <c r="EX674" i="1" s="1"/>
  <c r="DB642" i="1"/>
  <c r="EX642" i="1" s="1"/>
  <c r="DB602" i="1"/>
  <c r="EX602" i="1" s="1"/>
  <c r="DB564" i="1"/>
  <c r="EX564" i="1" s="1"/>
  <c r="DB514" i="1"/>
  <c r="EX514" i="1" s="1"/>
  <c r="DA665" i="1"/>
  <c r="EW665" i="1" s="1"/>
  <c r="EY665" i="1" s="1"/>
  <c r="DA632" i="1"/>
  <c r="EW632" i="1" s="1"/>
  <c r="EY632" i="1" s="1"/>
  <c r="DA658" i="1"/>
  <c r="EW658" i="1" s="1"/>
  <c r="EY658" i="1" s="1"/>
  <c r="DA624" i="1"/>
  <c r="EW624" i="1" s="1"/>
  <c r="EY624" i="1" s="1"/>
  <c r="DA583" i="1"/>
  <c r="EW583" i="1" s="1"/>
  <c r="EY583" i="1" s="1"/>
  <c r="DA538" i="1"/>
  <c r="EW538" i="1" s="1"/>
  <c r="EY538" i="1" s="1"/>
  <c r="DA473" i="1"/>
  <c r="EW473" i="1" s="1"/>
  <c r="EY473" i="1" s="1"/>
  <c r="DA424" i="1"/>
  <c r="EW424" i="1" s="1"/>
  <c r="EY424" i="1" s="1"/>
  <c r="DA391" i="1"/>
  <c r="EW391" i="1" s="1"/>
  <c r="EY391" i="1" s="1"/>
  <c r="DA359" i="1"/>
  <c r="EW359" i="1" s="1"/>
  <c r="EY359" i="1" s="1"/>
  <c r="DA327" i="1"/>
  <c r="EW327" i="1" s="1"/>
  <c r="EY327" i="1" s="1"/>
  <c r="DA210" i="1"/>
  <c r="EW210" i="1" s="1"/>
  <c r="EY210" i="1" s="1"/>
  <c r="DB657" i="1"/>
  <c r="EX657" i="1" s="1"/>
  <c r="DB623" i="1"/>
  <c r="EX623" i="1" s="1"/>
  <c r="DB218" i="1"/>
  <c r="EX218" i="1" s="1"/>
  <c r="B671" i="1"/>
  <c r="C671" i="1"/>
  <c r="B673" i="1"/>
  <c r="C673" i="1"/>
  <c r="B672" i="1"/>
  <c r="C672" i="1"/>
  <c r="C674" i="1" l="1"/>
  <c r="R22" i="24"/>
  <c r="R15" i="24"/>
  <c r="Q15" i="24"/>
  <c r="O15" i="24"/>
  <c r="O22" i="24"/>
  <c r="Q22" i="24"/>
  <c r="AO32" i="41"/>
  <c r="AN32" i="41"/>
  <c r="AA32" i="41"/>
  <c r="S32" i="41"/>
  <c r="R32" i="41"/>
  <c r="Z32" i="41" s="1"/>
  <c r="AO31" i="41"/>
  <c r="AN31" i="41"/>
  <c r="AA31" i="41"/>
  <c r="Z31" i="41"/>
  <c r="S31" i="41"/>
  <c r="R31" i="41"/>
  <c r="AO30" i="41"/>
  <c r="AN30" i="41"/>
  <c r="AA30" i="41"/>
  <c r="Z30" i="41"/>
  <c r="S30" i="41"/>
  <c r="R30" i="41"/>
  <c r="AO29" i="41"/>
  <c r="AN29" i="41"/>
  <c r="S29" i="41"/>
  <c r="AA29" i="41" s="1"/>
  <c r="R29" i="41"/>
  <c r="Z29" i="41" s="1"/>
  <c r="AO28" i="41"/>
  <c r="AN28" i="41"/>
  <c r="AA28" i="41"/>
  <c r="Z28" i="41"/>
  <c r="S28" i="41"/>
  <c r="R28" i="41"/>
  <c r="AO27" i="41"/>
  <c r="AN27" i="41"/>
  <c r="AA27" i="41"/>
  <c r="S27" i="41"/>
  <c r="R27" i="41"/>
  <c r="Z27" i="41" s="1"/>
  <c r="AO26" i="41"/>
  <c r="AN26" i="41"/>
  <c r="AA26" i="41"/>
  <c r="Z26" i="41"/>
  <c r="S26" i="41"/>
  <c r="R26" i="41"/>
  <c r="AO25" i="41"/>
  <c r="AN25" i="41"/>
  <c r="S25" i="41"/>
  <c r="AA25" i="41" s="1"/>
  <c r="R25" i="41"/>
  <c r="Z25" i="41" s="1"/>
  <c r="AO24" i="41"/>
  <c r="AN24" i="41"/>
  <c r="AA24" i="41"/>
  <c r="Z24" i="41"/>
  <c r="S24" i="41"/>
  <c r="R24" i="41"/>
  <c r="AO23" i="41"/>
  <c r="AN23" i="41"/>
  <c r="AA23" i="41"/>
  <c r="S23" i="41"/>
  <c r="R23" i="41"/>
  <c r="Z23" i="41" s="1"/>
  <c r="AO22" i="41"/>
  <c r="AN22" i="41"/>
  <c r="AA22" i="41"/>
  <c r="Z22" i="41"/>
  <c r="S22" i="41"/>
  <c r="R22" i="41"/>
  <c r="AO21" i="41"/>
  <c r="AN21" i="41"/>
  <c r="S21" i="41"/>
  <c r="AA21" i="41" s="1"/>
  <c r="R21" i="41"/>
  <c r="Z21" i="41" s="1"/>
  <c r="AO20" i="41"/>
  <c r="AN20" i="41"/>
  <c r="AL20" i="41"/>
  <c r="AA20" i="41"/>
  <c r="S20" i="41"/>
  <c r="R20" i="41"/>
  <c r="Z20" i="41" s="1"/>
  <c r="AO19" i="41"/>
  <c r="AN19" i="41"/>
  <c r="AL19" i="41"/>
  <c r="AA19" i="41"/>
  <c r="Z19" i="41"/>
  <c r="S19" i="41"/>
  <c r="R19" i="41"/>
  <c r="AO18" i="41"/>
  <c r="AN18" i="41"/>
  <c r="AL18" i="41"/>
  <c r="AI18" i="41"/>
  <c r="AA18" i="41"/>
  <c r="Z18" i="41"/>
  <c r="S18" i="41"/>
  <c r="R18" i="41"/>
  <c r="AO17" i="41"/>
  <c r="AN17" i="41"/>
  <c r="AL17" i="41"/>
  <c r="Z17" i="41"/>
  <c r="S17" i="41"/>
  <c r="AA17" i="41" s="1"/>
  <c r="R17" i="41"/>
  <c r="AO16" i="41"/>
  <c r="AN16" i="41"/>
  <c r="AL16" i="41"/>
  <c r="AA16" i="41"/>
  <c r="S16" i="41"/>
  <c r="R16" i="41"/>
  <c r="Z16" i="41" s="1"/>
  <c r="AO15" i="41"/>
  <c r="AN15" i="41"/>
  <c r="AL15" i="41"/>
  <c r="AA15" i="41"/>
  <c r="Z15" i="41"/>
  <c r="S15" i="41"/>
  <c r="R15" i="41"/>
  <c r="AO14" i="41"/>
  <c r="AN14" i="41"/>
  <c r="AI14" i="41"/>
  <c r="AL14" i="41" s="1"/>
  <c r="AA14" i="41"/>
  <c r="Z14" i="41"/>
  <c r="S14" i="41"/>
  <c r="R14" i="41"/>
  <c r="AO13" i="41"/>
  <c r="AN13" i="41"/>
  <c r="AL13" i="41"/>
  <c r="AA13" i="41"/>
  <c r="Z13" i="41"/>
  <c r="S13" i="41"/>
  <c r="R13" i="41"/>
  <c r="AO12" i="41"/>
  <c r="AN12" i="41"/>
  <c r="AL12" i="41"/>
  <c r="Z12" i="41"/>
  <c r="S12" i="41"/>
  <c r="AA12" i="41" s="1"/>
  <c r="R12" i="41"/>
  <c r="AO11" i="41"/>
  <c r="AN11" i="41"/>
  <c r="AL11" i="41"/>
  <c r="S11" i="41"/>
  <c r="S7" i="41" s="1"/>
  <c r="R11" i="41"/>
  <c r="Z11" i="41" s="1"/>
  <c r="AO10" i="41"/>
  <c r="AN10" i="41"/>
  <c r="AL10" i="41"/>
  <c r="AA10" i="41"/>
  <c r="S10" i="41"/>
  <c r="R10" i="41"/>
  <c r="R7" i="41" s="1"/>
  <c r="AO9" i="41"/>
  <c r="AN9" i="41"/>
  <c r="AL9" i="41"/>
  <c r="AA9" i="41"/>
  <c r="Z9" i="41"/>
  <c r="S9" i="41"/>
  <c r="R9" i="41"/>
  <c r="AO8" i="41"/>
  <c r="AO7" i="41" s="1"/>
  <c r="AN8" i="41"/>
  <c r="AN7" i="41" s="1"/>
  <c r="AL8" i="41"/>
  <c r="AL7" i="41" s="1"/>
  <c r="AG8" i="41"/>
  <c r="AA8" i="41"/>
  <c r="Z8" i="41"/>
  <c r="S8" i="41"/>
  <c r="R8" i="41"/>
  <c r="AT7" i="41"/>
  <c r="AS7" i="41"/>
  <c r="AR7" i="41"/>
  <c r="AQ7" i="41"/>
  <c r="AP7" i="41"/>
  <c r="AJ7" i="41"/>
  <c r="AI7" i="41"/>
  <c r="AG7" i="41"/>
  <c r="AF7" i="41"/>
  <c r="AE7" i="41"/>
  <c r="AD7" i="41"/>
  <c r="AC7" i="41"/>
  <c r="W7" i="41"/>
  <c r="V7" i="41"/>
  <c r="Q7" i="41"/>
  <c r="P7" i="41"/>
  <c r="O7" i="41"/>
  <c r="N7" i="41"/>
  <c r="M7" i="41"/>
  <c r="L7" i="41"/>
  <c r="K7" i="41"/>
  <c r="J7" i="41"/>
  <c r="I7" i="41"/>
  <c r="H7" i="41"/>
  <c r="G7" i="41"/>
  <c r="F7" i="41"/>
  <c r="AR6" i="41"/>
  <c r="AP6" i="41"/>
  <c r="AN6" i="41"/>
  <c r="AL6" i="41"/>
  <c r="AJ6" i="41"/>
  <c r="AH6" i="41"/>
  <c r="AF6" i="41"/>
  <c r="AD6" i="41"/>
  <c r="AB6" i="41"/>
  <c r="Z6" i="41"/>
  <c r="X6" i="41"/>
  <c r="V6" i="41"/>
  <c r="T6" i="41"/>
  <c r="R6" i="41"/>
  <c r="P6" i="41"/>
  <c r="N6" i="41"/>
  <c r="L6" i="41"/>
  <c r="J6" i="41"/>
  <c r="H6" i="41"/>
  <c r="F6" i="41"/>
  <c r="D6" i="41"/>
  <c r="B6" i="41"/>
  <c r="AK33" i="40"/>
  <c r="AJ33" i="40"/>
  <c r="W33" i="40"/>
  <c r="V33" i="40"/>
  <c r="O33" i="40"/>
  <c r="N33" i="40"/>
  <c r="AK32" i="40"/>
  <c r="AJ32" i="40"/>
  <c r="W32" i="40"/>
  <c r="V32" i="40"/>
  <c r="O32" i="40"/>
  <c r="N32" i="40"/>
  <c r="AK31" i="40"/>
  <c r="AJ31" i="40"/>
  <c r="V31" i="40"/>
  <c r="O31" i="40"/>
  <c r="W31" i="40" s="1"/>
  <c r="N31" i="40"/>
  <c r="AK30" i="40"/>
  <c r="AJ30" i="40"/>
  <c r="O30" i="40"/>
  <c r="W30" i="40" s="1"/>
  <c r="N30" i="40"/>
  <c r="V30" i="40" s="1"/>
  <c r="AK29" i="40"/>
  <c r="AJ29" i="40"/>
  <c r="W29" i="40"/>
  <c r="V29" i="40"/>
  <c r="O29" i="40"/>
  <c r="N29" i="40"/>
  <c r="AK28" i="40"/>
  <c r="AJ28" i="40"/>
  <c r="W28" i="40"/>
  <c r="V28" i="40"/>
  <c r="O28" i="40"/>
  <c r="N28" i="40"/>
  <c r="AK27" i="40"/>
  <c r="AJ27" i="40"/>
  <c r="O27" i="40"/>
  <c r="W27" i="40" s="1"/>
  <c r="N27" i="40"/>
  <c r="V27" i="40" s="1"/>
  <c r="AK26" i="40"/>
  <c r="AJ26" i="40"/>
  <c r="O26" i="40"/>
  <c r="W26" i="40" s="1"/>
  <c r="N26" i="40"/>
  <c r="V26" i="40" s="1"/>
  <c r="AK25" i="40"/>
  <c r="AJ25" i="40"/>
  <c r="W25" i="40"/>
  <c r="V25" i="40"/>
  <c r="O25" i="40"/>
  <c r="N25" i="40"/>
  <c r="AK24" i="40"/>
  <c r="AJ24" i="40"/>
  <c r="W24" i="40"/>
  <c r="V24" i="40"/>
  <c r="O24" i="40"/>
  <c r="N24" i="40"/>
  <c r="AK23" i="40"/>
  <c r="AJ23" i="40"/>
  <c r="O23" i="40"/>
  <c r="W23" i="40" s="1"/>
  <c r="N23" i="40"/>
  <c r="V23" i="40" s="1"/>
  <c r="AK22" i="40"/>
  <c r="AJ22" i="40"/>
  <c r="O22" i="40"/>
  <c r="W22" i="40" s="1"/>
  <c r="N22" i="40"/>
  <c r="V22" i="40" s="1"/>
  <c r="AK21" i="40"/>
  <c r="AJ21" i="40"/>
  <c r="AH21" i="40"/>
  <c r="W21" i="40"/>
  <c r="O21" i="40"/>
  <c r="N21" i="40"/>
  <c r="V21" i="40" s="1"/>
  <c r="AK20" i="40"/>
  <c r="AJ20" i="40"/>
  <c r="AH20" i="40"/>
  <c r="AE20" i="40"/>
  <c r="W20" i="40"/>
  <c r="O20" i="40"/>
  <c r="N20" i="40"/>
  <c r="V20" i="40" s="1"/>
  <c r="AK19" i="40"/>
  <c r="AJ19" i="40"/>
  <c r="AH19" i="40"/>
  <c r="AE19" i="40"/>
  <c r="W19" i="40"/>
  <c r="O19" i="40"/>
  <c r="N19" i="40"/>
  <c r="V19" i="40" s="1"/>
  <c r="AK18" i="40"/>
  <c r="AJ18" i="40"/>
  <c r="AH18" i="40"/>
  <c r="AE18" i="40"/>
  <c r="W18" i="40"/>
  <c r="O18" i="40"/>
  <c r="N18" i="40"/>
  <c r="V18" i="40" s="1"/>
  <c r="AH17" i="40"/>
  <c r="N17" i="40"/>
  <c r="V17" i="40" s="1"/>
  <c r="AK16" i="40"/>
  <c r="AJ16" i="40"/>
  <c r="AE16" i="40"/>
  <c r="AH16" i="40" s="1"/>
  <c r="O16" i="40"/>
  <c r="W16" i="40" s="1"/>
  <c r="N16" i="40"/>
  <c r="V16" i="40" s="1"/>
  <c r="AK15" i="40"/>
  <c r="AJ15" i="40"/>
  <c r="AE15" i="40"/>
  <c r="AH15" i="40" s="1"/>
  <c r="O15" i="40"/>
  <c r="W15" i="40" s="1"/>
  <c r="N15" i="40"/>
  <c r="V15" i="40" s="1"/>
  <c r="AK14" i="40"/>
  <c r="AJ14" i="40"/>
  <c r="AE14" i="40"/>
  <c r="AH14" i="40" s="1"/>
  <c r="O14" i="40"/>
  <c r="W14" i="40" s="1"/>
  <c r="N14" i="40"/>
  <c r="V14" i="40" s="1"/>
  <c r="AK13" i="40"/>
  <c r="AJ13" i="40"/>
  <c r="AE13" i="40"/>
  <c r="AH13" i="40" s="1"/>
  <c r="O13" i="40"/>
  <c r="W13" i="40" s="1"/>
  <c r="N13" i="40"/>
  <c r="V13" i="40" s="1"/>
  <c r="AK12" i="40"/>
  <c r="AJ12" i="40"/>
  <c r="AH12" i="40"/>
  <c r="O12" i="40"/>
  <c r="W12" i="40" s="1"/>
  <c r="N12" i="40"/>
  <c r="V12" i="40" s="1"/>
  <c r="AK11" i="40"/>
  <c r="AJ11" i="40"/>
  <c r="AH11" i="40"/>
  <c r="AE11" i="40"/>
  <c r="O11" i="40"/>
  <c r="W11" i="40" s="1"/>
  <c r="N11" i="40"/>
  <c r="V11" i="40" s="1"/>
  <c r="AK10" i="40"/>
  <c r="AJ10" i="40"/>
  <c r="AH10" i="40"/>
  <c r="AE10" i="40"/>
  <c r="O10" i="40"/>
  <c r="W10" i="40" s="1"/>
  <c r="N10" i="40"/>
  <c r="V10" i="40" s="1"/>
  <c r="AK9" i="40"/>
  <c r="AJ9" i="40"/>
  <c r="AH9" i="40"/>
  <c r="AE9" i="40"/>
  <c r="O9" i="40"/>
  <c r="W9" i="40" s="1"/>
  <c r="N9" i="40"/>
  <c r="V9" i="40" s="1"/>
  <c r="AJ8" i="40"/>
  <c r="AJ7" i="40" s="1"/>
  <c r="AH8" i="40"/>
  <c r="AH7" i="40" s="1"/>
  <c r="AE8" i="40"/>
  <c r="O8" i="40"/>
  <c r="O7" i="40" s="1"/>
  <c r="N8" i="40"/>
  <c r="N7" i="40" s="1"/>
  <c r="AP7" i="40"/>
  <c r="AO7" i="40"/>
  <c r="AN7" i="40"/>
  <c r="AM7" i="40"/>
  <c r="AL7" i="40"/>
  <c r="AF7" i="40"/>
  <c r="AE7" i="40"/>
  <c r="AC7" i="40"/>
  <c r="AB7" i="40"/>
  <c r="AA7" i="40"/>
  <c r="Z7" i="40"/>
  <c r="Y7" i="40"/>
  <c r="S7" i="40"/>
  <c r="R7" i="40"/>
  <c r="M7" i="40"/>
  <c r="L7" i="40"/>
  <c r="K7" i="40"/>
  <c r="J7" i="40"/>
  <c r="I7" i="40"/>
  <c r="H7" i="40"/>
  <c r="G7" i="40"/>
  <c r="F7" i="40"/>
  <c r="AN6" i="40"/>
  <c r="AL6" i="40"/>
  <c r="AJ6" i="40"/>
  <c r="AH6" i="40"/>
  <c r="AF6" i="40"/>
  <c r="AK8" i="40" s="1"/>
  <c r="AK7" i="40" s="1"/>
  <c r="AD6" i="40"/>
  <c r="AB6" i="40"/>
  <c r="Z6" i="40"/>
  <c r="X6" i="40"/>
  <c r="V6" i="40"/>
  <c r="T6" i="40"/>
  <c r="R6" i="40"/>
  <c r="P6" i="40"/>
  <c r="N6" i="40"/>
  <c r="L6" i="40"/>
  <c r="J6" i="40"/>
  <c r="H6" i="40"/>
  <c r="F6" i="40"/>
  <c r="D6" i="40"/>
  <c r="B6" i="40"/>
  <c r="Z10" i="41" l="1"/>
  <c r="Z7" i="41" s="1"/>
  <c r="AA11" i="41"/>
  <c r="AA7" i="41" s="1"/>
  <c r="V8" i="40"/>
  <c r="V7" i="40" s="1"/>
  <c r="W8" i="40"/>
  <c r="W7" i="40" s="1"/>
  <c r="A449" i="1" l="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EZ453" i="1"/>
  <c r="EZ315" i="1" s="1"/>
  <c r="ET453" i="1"/>
  <c r="ET315" i="1" s="1"/>
  <c r="ES453" i="1"/>
  <c r="ES315" i="1" s="1"/>
  <c r="ER453" i="1"/>
  <c r="ER315" i="1" s="1"/>
  <c r="EQ453" i="1"/>
  <c r="EQ315" i="1" s="1"/>
  <c r="EN453" i="1"/>
  <c r="EN315" i="1" s="1"/>
  <c r="EM453" i="1"/>
  <c r="EM315" i="1" s="1"/>
  <c r="EL453" i="1"/>
  <c r="EL315" i="1" s="1"/>
  <c r="EK453" i="1"/>
  <c r="EK315" i="1" s="1"/>
  <c r="EJ453" i="1"/>
  <c r="EJ315" i="1" s="1"/>
  <c r="EI453" i="1"/>
  <c r="EI315" i="1" s="1"/>
  <c r="EH453" i="1"/>
  <c r="EH315" i="1" s="1"/>
  <c r="EG453" i="1"/>
  <c r="EG315" i="1" s="1"/>
  <c r="EF453" i="1"/>
  <c r="EF315" i="1" s="1"/>
  <c r="EE453" i="1"/>
  <c r="EE315" i="1" s="1"/>
  <c r="ED453" i="1"/>
  <c r="ED315" i="1" s="1"/>
  <c r="EC453" i="1"/>
  <c r="EC315" i="1" s="1"/>
  <c r="EB453" i="1"/>
  <c r="EB315" i="1" s="1"/>
  <c r="EA453" i="1"/>
  <c r="EA315" i="1" s="1"/>
  <c r="DZ453" i="1"/>
  <c r="DZ315" i="1" s="1"/>
  <c r="DY453" i="1"/>
  <c r="DY315" i="1" s="1"/>
  <c r="DX453" i="1"/>
  <c r="DX315" i="1" s="1"/>
  <c r="DW453" i="1"/>
  <c r="DW315" i="1" s="1"/>
  <c r="DV453" i="1"/>
  <c r="DV315" i="1" s="1"/>
  <c r="DU453" i="1"/>
  <c r="DU315" i="1" s="1"/>
  <c r="DT453" i="1"/>
  <c r="DT315" i="1" s="1"/>
  <c r="DS453" i="1"/>
  <c r="DS315" i="1" s="1"/>
  <c r="DP453" i="1"/>
  <c r="DP315" i="1" s="1"/>
  <c r="DI453" i="1"/>
  <c r="DI315" i="1" s="1"/>
  <c r="DG453" i="1"/>
  <c r="DG315" i="1" s="1"/>
  <c r="DF453" i="1"/>
  <c r="DF315" i="1" s="1"/>
  <c r="DE453" i="1"/>
  <c r="DE315" i="1" s="1"/>
  <c r="DD453" i="1"/>
  <c r="DD315" i="1" s="1"/>
  <c r="DC453" i="1"/>
  <c r="DC315" i="1" s="1"/>
  <c r="CZ453" i="1"/>
  <c r="CZ315" i="1" s="1"/>
  <c r="CY453" i="1"/>
  <c r="CY315" i="1" s="1"/>
  <c r="CV453" i="1"/>
  <c r="CV315" i="1" s="1"/>
  <c r="CU453" i="1"/>
  <c r="CU315" i="1" s="1"/>
  <c r="DO236" i="1"/>
  <c r="DM236" i="1"/>
  <c r="DO235" i="1"/>
  <c r="DM235" i="1"/>
  <c r="DO234" i="1"/>
  <c r="DM234" i="1"/>
  <c r="DO233" i="1"/>
  <c r="DM233" i="1"/>
  <c r="DO232" i="1"/>
  <c r="DM232" i="1"/>
  <c r="DO311" i="1"/>
  <c r="DM311" i="1"/>
  <c r="DO310" i="1"/>
  <c r="DM310" i="1"/>
  <c r="DO309" i="1"/>
  <c r="DM309" i="1"/>
  <c r="DO308" i="1"/>
  <c r="DM308" i="1"/>
  <c r="DO307" i="1"/>
  <c r="DM307" i="1"/>
  <c r="DO306" i="1"/>
  <c r="DM306" i="1"/>
  <c r="DO305" i="1"/>
  <c r="DM305" i="1"/>
  <c r="DO304" i="1"/>
  <c r="DM304" i="1"/>
  <c r="DO303" i="1"/>
  <c r="DM303" i="1"/>
  <c r="DO302" i="1"/>
  <c r="DM302" i="1"/>
  <c r="DO301" i="1"/>
  <c r="DM301" i="1"/>
  <c r="DO300" i="1"/>
  <c r="DM300" i="1"/>
  <c r="DO299" i="1"/>
  <c r="DM299" i="1"/>
  <c r="DO298" i="1"/>
  <c r="DM298" i="1"/>
  <c r="DO297" i="1"/>
  <c r="DM297" i="1"/>
  <c r="DO296" i="1"/>
  <c r="DM296" i="1"/>
  <c r="DO295" i="1"/>
  <c r="DM295" i="1"/>
  <c r="DO294" i="1"/>
  <c r="DM294" i="1"/>
  <c r="DO293" i="1"/>
  <c r="DM293" i="1"/>
  <c r="DO292" i="1"/>
  <c r="DM292" i="1"/>
  <c r="DO291" i="1"/>
  <c r="DM291" i="1"/>
  <c r="DO290" i="1"/>
  <c r="DM290" i="1"/>
  <c r="DO289" i="1"/>
  <c r="DM289" i="1"/>
  <c r="DO288" i="1"/>
  <c r="DM288" i="1"/>
  <c r="DO287" i="1"/>
  <c r="DM287" i="1"/>
  <c r="DO286" i="1"/>
  <c r="DM286" i="1"/>
  <c r="DO285" i="1"/>
  <c r="DM285" i="1"/>
  <c r="DO284" i="1"/>
  <c r="DM284" i="1"/>
  <c r="DO283" i="1"/>
  <c r="DM283" i="1"/>
  <c r="DO282" i="1"/>
  <c r="DM282" i="1"/>
  <c r="DO281" i="1"/>
  <c r="DM281" i="1"/>
  <c r="DO280" i="1"/>
  <c r="DM280" i="1"/>
  <c r="DO279" i="1"/>
  <c r="DM279" i="1"/>
  <c r="DO278" i="1"/>
  <c r="DM278" i="1"/>
  <c r="DO277" i="1"/>
  <c r="DM277" i="1"/>
  <c r="DO276" i="1"/>
  <c r="DM276" i="1"/>
  <c r="DO275" i="1"/>
  <c r="DM275" i="1"/>
  <c r="DO274" i="1"/>
  <c r="DM274" i="1"/>
  <c r="DO273" i="1"/>
  <c r="DM273" i="1"/>
  <c r="DO272" i="1"/>
  <c r="DM272" i="1"/>
  <c r="DO271" i="1"/>
  <c r="DM271" i="1"/>
  <c r="DO270" i="1"/>
  <c r="DM270" i="1"/>
  <c r="DO269" i="1"/>
  <c r="DM269" i="1"/>
  <c r="DO268" i="1"/>
  <c r="DM268" i="1"/>
  <c r="DO267" i="1"/>
  <c r="DM267" i="1"/>
  <c r="DO266" i="1"/>
  <c r="DM266" i="1"/>
  <c r="DO265" i="1"/>
  <c r="DM265" i="1"/>
  <c r="DO264" i="1"/>
  <c r="DM264" i="1"/>
  <c r="DO263" i="1"/>
  <c r="DM263" i="1"/>
  <c r="DO262" i="1"/>
  <c r="DM262" i="1"/>
  <c r="DO261" i="1"/>
  <c r="DM261" i="1"/>
  <c r="DO260" i="1"/>
  <c r="DM260" i="1"/>
  <c r="DO259" i="1"/>
  <c r="DM259" i="1"/>
  <c r="DO258" i="1"/>
  <c r="DM258" i="1"/>
  <c r="DO257" i="1"/>
  <c r="DM257" i="1"/>
  <c r="DO256" i="1"/>
  <c r="DM256" i="1"/>
  <c r="DO255" i="1"/>
  <c r="DM255" i="1"/>
  <c r="DO254" i="1"/>
  <c r="DM254" i="1"/>
  <c r="DO253" i="1"/>
  <c r="DM253" i="1"/>
  <c r="DO252" i="1"/>
  <c r="DM252" i="1"/>
  <c r="DO251" i="1"/>
  <c r="DM251" i="1"/>
  <c r="DO250" i="1"/>
  <c r="DM250" i="1"/>
  <c r="DO249" i="1"/>
  <c r="DM249" i="1"/>
  <c r="DO248" i="1"/>
  <c r="DM248" i="1"/>
  <c r="DO247" i="1"/>
  <c r="DM247" i="1"/>
  <c r="DO246" i="1"/>
  <c r="DM246" i="1"/>
  <c r="DO245" i="1"/>
  <c r="DM245" i="1"/>
  <c r="DO244" i="1"/>
  <c r="DM244" i="1"/>
  <c r="DO243" i="1"/>
  <c r="DM243" i="1"/>
  <c r="DO242" i="1"/>
  <c r="DM242" i="1"/>
  <c r="DO241" i="1"/>
  <c r="DM241" i="1"/>
  <c r="DO240" i="1"/>
  <c r="DM240" i="1"/>
  <c r="DO239" i="1"/>
  <c r="AJ141" i="44" l="1"/>
  <c r="K141" i="44" s="1"/>
  <c r="J141" i="44" s="1"/>
  <c r="AJ139" i="44"/>
  <c r="K139" i="44" s="1"/>
  <c r="J139" i="44" s="1"/>
  <c r="EE188" i="1"/>
  <c r="EE160" i="1"/>
  <c r="EE159" i="1"/>
  <c r="EE158" i="1"/>
  <c r="EE157" i="1"/>
  <c r="EE156" i="1"/>
  <c r="EE155" i="1"/>
  <c r="EE144" i="1"/>
  <c r="EE131" i="1"/>
  <c r="EE128" i="1"/>
  <c r="EE154" i="1"/>
  <c r="EE146" i="1"/>
  <c r="EE145" i="1"/>
  <c r="EE136" i="1"/>
  <c r="EE135" i="1"/>
  <c r="EE133" i="1"/>
  <c r="EE130" i="1"/>
  <c r="EE127" i="1"/>
  <c r="EE97" i="1"/>
  <c r="EE95" i="1"/>
  <c r="EE93" i="1"/>
  <c r="EE91" i="1"/>
  <c r="EE89" i="1"/>
  <c r="EE82" i="1"/>
  <c r="EE80" i="1"/>
  <c r="EE134" i="1"/>
  <c r="EE132" i="1"/>
  <c r="EE129" i="1"/>
  <c r="EE126" i="1"/>
  <c r="EE125" i="1"/>
  <c r="EE112" i="1"/>
  <c r="EE105" i="1"/>
  <c r="EE83" i="1"/>
  <c r="EE104" i="1"/>
  <c r="EE98" i="1"/>
  <c r="EE96" i="1"/>
  <c r="EE94" i="1"/>
  <c r="EE92" i="1"/>
  <c r="EE90" i="1"/>
  <c r="EE88" i="1"/>
  <c r="EE87" i="1"/>
  <c r="EE86" i="1"/>
  <c r="EE85" i="1"/>
  <c r="EE84" i="1"/>
  <c r="EE81" i="1"/>
  <c r="EE79" i="1"/>
  <c r="EE78" i="1"/>
  <c r="DO670" i="1"/>
  <c r="AJ533" i="44" s="1"/>
  <c r="K533" i="44" s="1"/>
  <c r="J533" i="44" s="1"/>
  <c r="DO669" i="1"/>
  <c r="AJ532" i="44" s="1"/>
  <c r="K532" i="44" s="1"/>
  <c r="J532" i="44" s="1"/>
  <c r="DM670" i="1"/>
  <c r="DM669" i="1"/>
  <c r="A611" i="1"/>
  <c r="A610" i="1"/>
  <c r="A609" i="1"/>
  <c r="A608" i="1"/>
  <c r="A607" i="1"/>
  <c r="DJ603" i="1"/>
  <c r="DM603" i="1" s="1"/>
  <c r="A606" i="1"/>
  <c r="A605" i="1"/>
  <c r="A604" i="1"/>
  <c r="A603" i="1"/>
  <c r="EE7" i="1" l="1"/>
  <c r="DO603" i="1"/>
  <c r="DO312" i="1"/>
  <c r="AJ142" i="44" s="1"/>
  <c r="K142" i="44" s="1"/>
  <c r="J142" i="44" s="1"/>
  <c r="DM312" i="1"/>
  <c r="DN312" i="1" l="1"/>
  <c r="DH609" i="1"/>
  <c r="DH453" i="1" s="1"/>
  <c r="DH315" i="1" s="1"/>
  <c r="DK609" i="1"/>
  <c r="DO18" i="1"/>
  <c r="DM18" i="1"/>
  <c r="DL609" i="1"/>
  <c r="DL610" i="1"/>
  <c r="DM610" i="1" s="1"/>
  <c r="A613" i="1"/>
  <c r="A612" i="1"/>
  <c r="P11" i="39"/>
  <c r="P14" i="39"/>
  <c r="P13" i="39" s="1"/>
  <c r="I11" i="39"/>
  <c r="O14" i="39"/>
  <c r="L14" i="39"/>
  <c r="M13" i="39"/>
  <c r="I13" i="39"/>
  <c r="DR608" i="1" l="1"/>
  <c r="EV608" i="1" s="1"/>
  <c r="AI403" i="44"/>
  <c r="I403" i="44" s="1"/>
  <c r="DK453" i="1"/>
  <c r="DK315" i="1" s="1"/>
  <c r="DO610" i="1"/>
  <c r="DN610" i="1" s="1"/>
  <c r="DO609" i="1"/>
  <c r="DM609" i="1"/>
  <c r="DN18" i="1"/>
  <c r="DO666" i="1"/>
  <c r="AJ529" i="44" s="1"/>
  <c r="K529" i="44" s="1"/>
  <c r="J529" i="44" s="1"/>
  <c r="DM666" i="1"/>
  <c r="DJ597" i="1"/>
  <c r="DM597" i="1" s="1"/>
  <c r="A600" i="1"/>
  <c r="A601" i="1"/>
  <c r="A602" i="1"/>
  <c r="DN609" i="1" l="1"/>
  <c r="DO597" i="1"/>
  <c r="DN597" i="1" s="1"/>
  <c r="DN666" i="1"/>
  <c r="DJ605" i="1" l="1"/>
  <c r="DJ604" i="1"/>
  <c r="DM604" i="1" l="1"/>
  <c r="DO604" i="1"/>
  <c r="DO605" i="1"/>
  <c r="DM605" i="1"/>
  <c r="A670" i="1"/>
  <c r="A669" i="1"/>
  <c r="EO453" i="1" l="1"/>
  <c r="EO315" i="1" s="1"/>
  <c r="EP453" i="1"/>
  <c r="EP315" i="1" s="1"/>
  <c r="B237" i="1"/>
  <c r="B312" i="1"/>
  <c r="EV453" i="1" l="1"/>
  <c r="EV315" i="1" s="1"/>
  <c r="C312" i="1"/>
  <c r="E312" i="1" s="1"/>
  <c r="B669" i="1"/>
  <c r="C669" i="1"/>
  <c r="B670" i="1"/>
  <c r="C670" i="1"/>
  <c r="M11" i="38" l="1"/>
  <c r="J11" i="37"/>
  <c r="L11" i="37" s="1"/>
  <c r="O11" i="38" l="1"/>
  <c r="P74" i="28"/>
  <c r="P73" i="28"/>
  <c r="P72" i="28"/>
  <c r="P71" i="28"/>
  <c r="P70" i="28"/>
  <c r="P69" i="28"/>
  <c r="P68" i="28"/>
  <c r="P67" i="28"/>
  <c r="P66" i="28"/>
  <c r="P65" i="28"/>
  <c r="P64" i="28"/>
  <c r="P63" i="28"/>
  <c r="P62" i="28"/>
  <c r="P61" i="28"/>
  <c r="P60" i="28"/>
  <c r="P59" i="28"/>
  <c r="P58" i="28"/>
  <c r="P57" i="28"/>
  <c r="P56" i="28"/>
  <c r="P55" i="28"/>
  <c r="P54" i="28"/>
  <c r="P53" i="28"/>
  <c r="P52" i="28"/>
  <c r="P51" i="28"/>
  <c r="P50" i="28"/>
  <c r="P49" i="28"/>
  <c r="P48" i="28"/>
  <c r="P47" i="28"/>
  <c r="P46" i="28"/>
  <c r="P45" i="28"/>
  <c r="P44" i="28"/>
  <c r="P43" i="28"/>
  <c r="P42" i="28"/>
  <c r="P41" i="28"/>
  <c r="P40" i="28"/>
  <c r="P39" i="28"/>
  <c r="P38" i="28"/>
  <c r="P37" i="28"/>
  <c r="P36" i="28"/>
  <c r="P35" i="28"/>
  <c r="P34" i="28"/>
  <c r="P33" i="28"/>
  <c r="P32" i="28"/>
  <c r="P31" i="28"/>
  <c r="P30" i="28"/>
  <c r="P29" i="28"/>
  <c r="P28" i="28"/>
  <c r="P27" i="28"/>
  <c r="P26" i="28"/>
  <c r="P25" i="28"/>
  <c r="P24" i="28"/>
  <c r="P23" i="28"/>
  <c r="P22" i="28"/>
  <c r="P21" i="28"/>
  <c r="P20" i="28"/>
  <c r="A632" i="1"/>
  <c r="A631" i="1"/>
  <c r="A630" i="1"/>
  <c r="A629" i="1"/>
  <c r="A627" i="1"/>
  <c r="A626" i="1"/>
  <c r="A625" i="1"/>
  <c r="A624" i="1"/>
  <c r="A623" i="1"/>
  <c r="A622" i="1"/>
  <c r="A621" i="1"/>
  <c r="A620" i="1"/>
  <c r="A617" i="1"/>
  <c r="A616" i="1"/>
  <c r="A615" i="1"/>
  <c r="A614" i="1"/>
  <c r="A595" i="1"/>
  <c r="A594" i="1"/>
  <c r="A593" i="1"/>
  <c r="A592" i="1"/>
  <c r="A591" i="1"/>
  <c r="A590" i="1"/>
  <c r="A589" i="1"/>
  <c r="A588" i="1"/>
  <c r="A587" i="1"/>
  <c r="A586" i="1"/>
  <c r="A585" i="1"/>
  <c r="A584" i="1"/>
  <c r="A583" i="1"/>
  <c r="A582" i="1"/>
  <c r="A581" i="1"/>
  <c r="A580" i="1"/>
  <c r="A579" i="1"/>
  <c r="A578" i="1"/>
  <c r="A577" i="1"/>
  <c r="A576" i="1"/>
  <c r="A575" i="1"/>
  <c r="A572" i="1"/>
  <c r="A571" i="1"/>
  <c r="A570" i="1"/>
  <c r="A569" i="1"/>
  <c r="A568" i="1"/>
  <c r="A567" i="1"/>
  <c r="A566" i="1"/>
  <c r="A565" i="1"/>
  <c r="A564" i="1"/>
  <c r="A563" i="1"/>
  <c r="A562" i="1"/>
  <c r="A561" i="1"/>
  <c r="A556" i="1"/>
  <c r="A555" i="1"/>
  <c r="A554" i="1"/>
  <c r="A553" i="1"/>
  <c r="A552" i="1"/>
  <c r="A551" i="1"/>
  <c r="A550" i="1"/>
  <c r="A549" i="1"/>
  <c r="A548" i="1"/>
  <c r="A547" i="1"/>
  <c r="A546" i="1"/>
  <c r="A545" i="1"/>
  <c r="A544"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DO652" i="1"/>
  <c r="AJ515" i="44" s="1"/>
  <c r="K515" i="44" s="1"/>
  <c r="J515" i="44" s="1"/>
  <c r="DO651" i="1"/>
  <c r="AJ514" i="44" s="1"/>
  <c r="K514" i="44" s="1"/>
  <c r="J514" i="44" s="1"/>
  <c r="DO650" i="1"/>
  <c r="AJ513" i="44" s="1"/>
  <c r="K513" i="44" s="1"/>
  <c r="J513" i="44" s="1"/>
  <c r="DO649" i="1"/>
  <c r="AJ512" i="44" s="1"/>
  <c r="K512" i="44" s="1"/>
  <c r="J512" i="44" s="1"/>
  <c r="DO648" i="1"/>
  <c r="AJ511" i="44" s="1"/>
  <c r="K511" i="44" s="1"/>
  <c r="J511" i="44" s="1"/>
  <c r="DO647" i="1"/>
  <c r="AJ510" i="44" s="1"/>
  <c r="K510" i="44" s="1"/>
  <c r="J510" i="44" s="1"/>
  <c r="DO646" i="1"/>
  <c r="AJ509" i="44" s="1"/>
  <c r="K509" i="44" s="1"/>
  <c r="J509" i="44" s="1"/>
  <c r="DO645" i="1"/>
  <c r="AJ508" i="44" s="1"/>
  <c r="K508" i="44" s="1"/>
  <c r="J508" i="44" s="1"/>
  <c r="DO644" i="1"/>
  <c r="AJ507" i="44" s="1"/>
  <c r="K507" i="44" s="1"/>
  <c r="J507" i="44" s="1"/>
  <c r="DO643" i="1"/>
  <c r="AJ506" i="44" s="1"/>
  <c r="K506" i="44" s="1"/>
  <c r="J506" i="44" s="1"/>
  <c r="DO642" i="1"/>
  <c r="AJ505" i="44" s="1"/>
  <c r="K505" i="44" s="1"/>
  <c r="J505" i="44" s="1"/>
  <c r="DO641" i="1"/>
  <c r="AJ504" i="44" s="1"/>
  <c r="K504" i="44" s="1"/>
  <c r="J504" i="44" s="1"/>
  <c r="DO639" i="1"/>
  <c r="AJ503" i="44" s="1"/>
  <c r="K503" i="44" s="1"/>
  <c r="J503" i="44" s="1"/>
  <c r="DO638" i="1"/>
  <c r="AJ502" i="44" s="1"/>
  <c r="K502" i="44" s="1"/>
  <c r="J502" i="44" s="1"/>
  <c r="DO637" i="1"/>
  <c r="AJ501" i="44" s="1"/>
  <c r="K501" i="44" s="1"/>
  <c r="J501" i="44" s="1"/>
  <c r="DO636" i="1"/>
  <c r="AJ500" i="44" s="1"/>
  <c r="K500" i="44" s="1"/>
  <c r="J500" i="44" s="1"/>
  <c r="DO635" i="1"/>
  <c r="AJ499" i="44" s="1"/>
  <c r="K499" i="44" s="1"/>
  <c r="J499" i="44" s="1"/>
  <c r="DO634" i="1"/>
  <c r="AJ498" i="44" s="1"/>
  <c r="K498" i="44" s="1"/>
  <c r="J498" i="44" s="1"/>
  <c r="DO633" i="1"/>
  <c r="AJ497" i="44" s="1"/>
  <c r="K497" i="44" s="1"/>
  <c r="J497" i="44" s="1"/>
  <c r="DO632" i="1"/>
  <c r="AJ496" i="44" s="1"/>
  <c r="K496" i="44" s="1"/>
  <c r="J496" i="44" s="1"/>
  <c r="DO631" i="1"/>
  <c r="AJ495" i="44" s="1"/>
  <c r="K495" i="44" s="1"/>
  <c r="J495" i="44" s="1"/>
  <c r="DO630" i="1"/>
  <c r="AJ494" i="44" s="1"/>
  <c r="K494" i="44" s="1"/>
  <c r="J494" i="44" s="1"/>
  <c r="DO629" i="1"/>
  <c r="AJ493" i="44" s="1"/>
  <c r="K493" i="44" s="1"/>
  <c r="J493" i="44" s="1"/>
  <c r="DO627" i="1"/>
  <c r="AJ492" i="44" s="1"/>
  <c r="K492" i="44" s="1"/>
  <c r="J492" i="44" s="1"/>
  <c r="DO626" i="1"/>
  <c r="AJ491" i="44" s="1"/>
  <c r="K491" i="44" s="1"/>
  <c r="J491" i="44" s="1"/>
  <c r="DO625" i="1"/>
  <c r="AJ490" i="44" s="1"/>
  <c r="K490" i="44" s="1"/>
  <c r="J490" i="44" s="1"/>
  <c r="DO624" i="1"/>
  <c r="AJ489" i="44" s="1"/>
  <c r="K489" i="44" s="1"/>
  <c r="J489" i="44" s="1"/>
  <c r="DO623" i="1"/>
  <c r="AJ488" i="44" s="1"/>
  <c r="K488" i="44" s="1"/>
  <c r="J488" i="44" s="1"/>
  <c r="DO622" i="1"/>
  <c r="AJ487" i="44" s="1"/>
  <c r="K487" i="44" s="1"/>
  <c r="J487" i="44" s="1"/>
  <c r="DO621" i="1"/>
  <c r="AJ486" i="44" s="1"/>
  <c r="K486" i="44" s="1"/>
  <c r="J486" i="44" s="1"/>
  <c r="DO620" i="1"/>
  <c r="AJ485" i="44" s="1"/>
  <c r="K485" i="44" s="1"/>
  <c r="J485" i="44" s="1"/>
  <c r="DO619" i="1"/>
  <c r="AJ484" i="44" s="1"/>
  <c r="K484" i="44" s="1"/>
  <c r="J484" i="44" s="1"/>
  <c r="DO617" i="1"/>
  <c r="AJ483" i="44" s="1"/>
  <c r="K483" i="44" s="1"/>
  <c r="J483" i="44" s="1"/>
  <c r="DO616" i="1"/>
  <c r="AJ482" i="44" s="1"/>
  <c r="K482" i="44" s="1"/>
  <c r="J482" i="44" s="1"/>
  <c r="DO615" i="1"/>
  <c r="AJ481" i="44" s="1"/>
  <c r="K481" i="44" s="1"/>
  <c r="J481" i="44" s="1"/>
  <c r="DO614" i="1"/>
  <c r="AJ480" i="44" s="1"/>
  <c r="K480" i="44" s="1"/>
  <c r="J480" i="44" s="1"/>
  <c r="DO613" i="1"/>
  <c r="AJ479" i="44" s="1"/>
  <c r="K479" i="44" s="1"/>
  <c r="J479" i="44" s="1"/>
  <c r="DO612" i="1"/>
  <c r="AJ478" i="44" s="1"/>
  <c r="K478" i="44" s="1"/>
  <c r="J478" i="44" s="1"/>
  <c r="DO564" i="1"/>
  <c r="AJ443" i="44" s="1"/>
  <c r="K443" i="44" s="1"/>
  <c r="J443" i="44" s="1"/>
  <c r="DO558" i="1"/>
  <c r="DO552" i="1"/>
  <c r="DO549" i="1"/>
  <c r="DO546" i="1"/>
  <c r="DO543" i="1"/>
  <c r="AJ430" i="44" s="1"/>
  <c r="K430" i="44" s="1"/>
  <c r="J430" i="44" s="1"/>
  <c r="DO541" i="1"/>
  <c r="DO537" i="1"/>
  <c r="DO534" i="1"/>
  <c r="DO530" i="1"/>
  <c r="DO527" i="1"/>
  <c r="DO525" i="1"/>
  <c r="AJ419" i="44" s="1"/>
  <c r="K419" i="44" s="1"/>
  <c r="J419" i="44" s="1"/>
  <c r="DO521" i="1"/>
  <c r="DO519" i="1"/>
  <c r="DO517" i="1"/>
  <c r="AJ413" i="44" s="1"/>
  <c r="K413" i="44" s="1"/>
  <c r="J413" i="44" s="1"/>
  <c r="DO515" i="1"/>
  <c r="DO513" i="1"/>
  <c r="DM652" i="1"/>
  <c r="DM651" i="1"/>
  <c r="DM650" i="1"/>
  <c r="DM649" i="1"/>
  <c r="DM648" i="1"/>
  <c r="DM647" i="1"/>
  <c r="DM646" i="1"/>
  <c r="DM645" i="1"/>
  <c r="DM644" i="1"/>
  <c r="DM643" i="1"/>
  <c r="DM642" i="1"/>
  <c r="DM641" i="1"/>
  <c r="DM639" i="1"/>
  <c r="DM638" i="1"/>
  <c r="DM637" i="1"/>
  <c r="DM636" i="1"/>
  <c r="DM635" i="1"/>
  <c r="DM634" i="1"/>
  <c r="DM633" i="1"/>
  <c r="DM632" i="1"/>
  <c r="DM631" i="1"/>
  <c r="DM630" i="1"/>
  <c r="DM629" i="1"/>
  <c r="DM627" i="1"/>
  <c r="DM626" i="1"/>
  <c r="DM625" i="1"/>
  <c r="DM624" i="1"/>
  <c r="DM623" i="1"/>
  <c r="DM622" i="1"/>
  <c r="DM621" i="1"/>
  <c r="DM620" i="1"/>
  <c r="DM619" i="1"/>
  <c r="DM617" i="1"/>
  <c r="DM616" i="1"/>
  <c r="DM615" i="1"/>
  <c r="DM614" i="1"/>
  <c r="DM613" i="1"/>
  <c r="DM612" i="1"/>
  <c r="DM564" i="1"/>
  <c r="DM558" i="1"/>
  <c r="DM552" i="1"/>
  <c r="DM549" i="1"/>
  <c r="DM546" i="1"/>
  <c r="DM543" i="1"/>
  <c r="DM541" i="1"/>
  <c r="DM537" i="1"/>
  <c r="DM534" i="1"/>
  <c r="DM530" i="1"/>
  <c r="DM527" i="1"/>
  <c r="DM525" i="1"/>
  <c r="DM521" i="1"/>
  <c r="DM519" i="1"/>
  <c r="DM517" i="1"/>
  <c r="DM515" i="1"/>
  <c r="DM513" i="1"/>
  <c r="DO435" i="1"/>
  <c r="AJ263" i="44" s="1"/>
  <c r="K263" i="44" s="1"/>
  <c r="J263" i="44" s="1"/>
  <c r="DM435" i="1"/>
  <c r="DN435" i="1" l="1"/>
  <c r="C238" i="1" l="1"/>
  <c r="B238" i="1"/>
  <c r="L12" i="36"/>
  <c r="L11" i="36" s="1"/>
  <c r="N11" i="36" s="1"/>
  <c r="L12" i="35"/>
  <c r="L11" i="35" s="1"/>
  <c r="DO206" i="1"/>
  <c r="DM206" i="1"/>
  <c r="DN206" i="1" l="1"/>
  <c r="N11" i="35"/>
  <c r="N12" i="34"/>
  <c r="N11" i="34" s="1"/>
  <c r="K12" i="34"/>
  <c r="DJ494" i="1"/>
  <c r="DQ493" i="1" l="1"/>
  <c r="EU493" i="1" s="1"/>
  <c r="EW493" i="1" s="1"/>
  <c r="EY493" i="1" s="1"/>
  <c r="AH394" i="44"/>
  <c r="C598" i="1"/>
  <c r="K16" i="19"/>
  <c r="K15" i="19"/>
  <c r="K14" i="19"/>
  <c r="DM449" i="1"/>
  <c r="DO449" i="1"/>
  <c r="AJ275" i="44" s="1"/>
  <c r="K275" i="44" s="1"/>
  <c r="J275" i="44" s="1"/>
  <c r="DO667" i="1"/>
  <c r="AJ530" i="44" s="1"/>
  <c r="K530" i="44" s="1"/>
  <c r="J530" i="44" s="1"/>
  <c r="DM667" i="1"/>
  <c r="DO665" i="1"/>
  <c r="AJ528" i="44" s="1"/>
  <c r="K528" i="44" s="1"/>
  <c r="J528" i="44" s="1"/>
  <c r="DO664" i="1"/>
  <c r="AJ527" i="44" s="1"/>
  <c r="K527" i="44" s="1"/>
  <c r="J527" i="44" s="1"/>
  <c r="DO663" i="1"/>
  <c r="AJ526" i="44" s="1"/>
  <c r="K526" i="44" s="1"/>
  <c r="J526" i="44" s="1"/>
  <c r="DO662" i="1"/>
  <c r="AJ525" i="44" s="1"/>
  <c r="K525" i="44" s="1"/>
  <c r="J525" i="44" s="1"/>
  <c r="DO661" i="1"/>
  <c r="AJ524" i="44" s="1"/>
  <c r="K524" i="44" s="1"/>
  <c r="J524" i="44" s="1"/>
  <c r="DO660" i="1"/>
  <c r="AJ523" i="44" s="1"/>
  <c r="K523" i="44" s="1"/>
  <c r="J523" i="44" s="1"/>
  <c r="DO659" i="1"/>
  <c r="AJ522" i="44" s="1"/>
  <c r="K522" i="44" s="1"/>
  <c r="J522" i="44" s="1"/>
  <c r="DO658" i="1"/>
  <c r="AJ521" i="44" s="1"/>
  <c r="K521" i="44" s="1"/>
  <c r="J521" i="44" s="1"/>
  <c r="DO657" i="1"/>
  <c r="AJ520" i="44" s="1"/>
  <c r="K520" i="44" s="1"/>
  <c r="J520" i="44" s="1"/>
  <c r="DO656" i="1"/>
  <c r="AJ519" i="44" s="1"/>
  <c r="K519" i="44" s="1"/>
  <c r="J519" i="44" s="1"/>
  <c r="DO655" i="1"/>
  <c r="AJ518" i="44" s="1"/>
  <c r="K518" i="44" s="1"/>
  <c r="J518" i="44" s="1"/>
  <c r="DO654" i="1"/>
  <c r="AJ517" i="44" s="1"/>
  <c r="K517" i="44" s="1"/>
  <c r="J517" i="44" s="1"/>
  <c r="DO653" i="1"/>
  <c r="AJ516" i="44" s="1"/>
  <c r="K516" i="44" s="1"/>
  <c r="J516" i="44" s="1"/>
  <c r="DM665" i="1"/>
  <c r="DM664" i="1"/>
  <c r="DM663" i="1"/>
  <c r="DM662" i="1"/>
  <c r="DM661" i="1"/>
  <c r="DM660" i="1"/>
  <c r="DM659" i="1"/>
  <c r="DM658" i="1"/>
  <c r="DM657" i="1"/>
  <c r="DM656" i="1"/>
  <c r="DM655" i="1"/>
  <c r="DM654" i="1"/>
  <c r="DM653" i="1"/>
  <c r="DN449" i="1" l="1"/>
  <c r="DO508" i="1" l="1"/>
  <c r="DM508" i="1"/>
  <c r="DO510" i="1"/>
  <c r="DM510" i="1"/>
  <c r="DM466" i="1"/>
  <c r="DO462" i="1"/>
  <c r="DO505" i="1"/>
  <c r="AJ400" i="44" s="1"/>
  <c r="K400" i="44" s="1"/>
  <c r="J400" i="44" s="1"/>
  <c r="DO502" i="1"/>
  <c r="DO499" i="1"/>
  <c r="DO494" i="1"/>
  <c r="DO490" i="1"/>
  <c r="DO482" i="1"/>
  <c r="DO480" i="1"/>
  <c r="DO474" i="1"/>
  <c r="DO471" i="1"/>
  <c r="DO466" i="1"/>
  <c r="DO464" i="1"/>
  <c r="DO460" i="1"/>
  <c r="DM505" i="1"/>
  <c r="DM502" i="1"/>
  <c r="DM499" i="1"/>
  <c r="DM494" i="1"/>
  <c r="DM490" i="1"/>
  <c r="DM482" i="1"/>
  <c r="DM480" i="1"/>
  <c r="DM474" i="1"/>
  <c r="DM471" i="1"/>
  <c r="DM464" i="1"/>
  <c r="DM462" i="1"/>
  <c r="DM460" i="1"/>
  <c r="F19" i="30"/>
  <c r="F18" i="30"/>
  <c r="F17" i="30"/>
  <c r="A474" i="1"/>
  <c r="A473" i="1"/>
  <c r="A472" i="1"/>
  <c r="A471" i="1"/>
  <c r="A470" i="1"/>
  <c r="A467" i="1"/>
  <c r="A466" i="1"/>
  <c r="A465" i="1"/>
  <c r="A464" i="1"/>
  <c r="A463" i="1"/>
  <c r="A462" i="1"/>
  <c r="A461" i="1"/>
  <c r="A460" i="1"/>
  <c r="A459" i="1"/>
  <c r="DO611" i="1"/>
  <c r="AJ404" i="44" s="1"/>
  <c r="K404" i="44" s="1"/>
  <c r="J404" i="44" s="1"/>
  <c r="DO608" i="1"/>
  <c r="AJ403" i="44" s="1"/>
  <c r="K403" i="44" s="1"/>
  <c r="J403" i="44" s="1"/>
  <c r="DO477" i="1"/>
  <c r="DO215" i="1"/>
  <c r="DO213" i="1"/>
  <c r="DO12" i="1"/>
  <c r="DM611" i="1"/>
  <c r="DM608" i="1"/>
  <c r="DM477" i="1"/>
  <c r="DM215" i="1"/>
  <c r="DM213" i="1"/>
  <c r="DM12" i="1"/>
  <c r="C237" i="1" l="1"/>
  <c r="K11" i="34" l="1"/>
  <c r="P11" i="34" s="1"/>
  <c r="E15" i="33" l="1"/>
  <c r="M15" i="33" s="1"/>
  <c r="M25" i="33"/>
  <c r="M24" i="33"/>
  <c r="M23" i="33"/>
  <c r="M22" i="33"/>
  <c r="M21" i="33"/>
  <c r="M20" i="33"/>
  <c r="M19" i="33"/>
  <c r="M18" i="33"/>
  <c r="M17" i="33"/>
  <c r="M16" i="33"/>
  <c r="M14" i="33"/>
  <c r="M13" i="33"/>
  <c r="M12" i="33"/>
  <c r="M11" i="33" l="1"/>
  <c r="Q11" i="30" l="1"/>
  <c r="I26" i="31"/>
  <c r="I25" i="31"/>
  <c r="F25" i="31"/>
  <c r="E25" i="31"/>
  <c r="D25" i="31"/>
  <c r="I24" i="31"/>
  <c r="E24" i="31"/>
  <c r="F24" i="31" s="1"/>
  <c r="D24" i="31"/>
  <c r="I23" i="31"/>
  <c r="F23" i="31"/>
  <c r="E23" i="31"/>
  <c r="D23" i="31"/>
  <c r="I22" i="31"/>
  <c r="E22" i="31"/>
  <c r="F22" i="31" s="1"/>
  <c r="D22" i="31"/>
  <c r="I21" i="31"/>
  <c r="F21" i="31"/>
  <c r="E21" i="31"/>
  <c r="D21" i="31"/>
  <c r="I20" i="31"/>
  <c r="E20" i="31"/>
  <c r="F20" i="31" s="1"/>
  <c r="D20" i="31"/>
  <c r="I19" i="31"/>
  <c r="F19" i="31"/>
  <c r="E19" i="31"/>
  <c r="D19" i="31"/>
  <c r="I18" i="31"/>
  <c r="E18" i="31"/>
  <c r="F18" i="31" s="1"/>
  <c r="D18" i="31"/>
  <c r="I17" i="31"/>
  <c r="F17" i="31"/>
  <c r="E17" i="31"/>
  <c r="D17" i="31"/>
  <c r="I16" i="31"/>
  <c r="E16" i="31"/>
  <c r="F16" i="31" s="1"/>
  <c r="D16" i="31"/>
  <c r="I15" i="31"/>
  <c r="F15" i="31"/>
  <c r="E15" i="31"/>
  <c r="D15" i="31"/>
  <c r="E14" i="31"/>
  <c r="D14" i="31"/>
  <c r="E13" i="31"/>
  <c r="D13" i="31"/>
  <c r="F12" i="31"/>
  <c r="E12" i="31"/>
  <c r="D12" i="31"/>
  <c r="E11" i="31"/>
  <c r="D11" i="31"/>
  <c r="L8" i="31"/>
  <c r="F14" i="31" l="1"/>
  <c r="F13" i="31"/>
  <c r="D29" i="31"/>
  <c r="F11" i="31"/>
  <c r="N11" i="30"/>
  <c r="F26" i="31" l="1"/>
  <c r="F27" i="31" s="1"/>
  <c r="F29" i="31" s="1"/>
  <c r="N66" i="29" l="1"/>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8" i="29"/>
  <c r="N27" i="29"/>
  <c r="N26" i="29"/>
  <c r="N25" i="29"/>
  <c r="N24" i="29"/>
  <c r="N23" i="29"/>
  <c r="N22" i="29"/>
  <c r="N21" i="29"/>
  <c r="N20" i="29"/>
  <c r="N19" i="29"/>
  <c r="N18" i="29"/>
  <c r="N17" i="29"/>
  <c r="N16" i="29"/>
  <c r="N15" i="29"/>
  <c r="N14" i="29"/>
  <c r="N13" i="29"/>
  <c r="N12" i="29"/>
  <c r="I76"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M36" i="28"/>
  <c r="M47" i="28"/>
  <c r="N47" i="28" s="1"/>
  <c r="M48" i="28"/>
  <c r="N48" i="28" s="1"/>
  <c r="M50" i="28"/>
  <c r="N50" i="28" s="1"/>
  <c r="M57" i="28"/>
  <c r="N57" i="28" s="1"/>
  <c r="M58" i="28"/>
  <c r="M59" i="28"/>
  <c r="N59" i="28" s="1"/>
  <c r="M62" i="28"/>
  <c r="N62" i="28" s="1"/>
  <c r="M67" i="28"/>
  <c r="N67" i="28" s="1"/>
  <c r="M68" i="28"/>
  <c r="M72" i="28"/>
  <c r="M74" i="28"/>
  <c r="N74" i="28" s="1"/>
  <c r="M73" i="28"/>
  <c r="N73" i="28" s="1"/>
  <c r="N72" i="28"/>
  <c r="M71" i="28"/>
  <c r="N71" i="28" s="1"/>
  <c r="M70" i="28"/>
  <c r="N70" i="28" s="1"/>
  <c r="M69" i="28"/>
  <c r="N69" i="28" s="1"/>
  <c r="N68" i="28"/>
  <c r="M66" i="28"/>
  <c r="N66" i="28" s="1"/>
  <c r="M65" i="28"/>
  <c r="N65" i="28" s="1"/>
  <c r="M64" i="28"/>
  <c r="N64" i="28" s="1"/>
  <c r="M63" i="28"/>
  <c r="N63" i="28" s="1"/>
  <c r="M61" i="28"/>
  <c r="N61" i="28" s="1"/>
  <c r="M60" i="28"/>
  <c r="N60" i="28" s="1"/>
  <c r="N58" i="28"/>
  <c r="M56" i="28"/>
  <c r="N56" i="28" s="1"/>
  <c r="M55" i="28"/>
  <c r="N55" i="28" s="1"/>
  <c r="M54" i="28"/>
  <c r="N54" i="28" s="1"/>
  <c r="M53" i="28"/>
  <c r="N53" i="28" s="1"/>
  <c r="M52" i="28"/>
  <c r="N52" i="28" s="1"/>
  <c r="M51" i="28"/>
  <c r="N51" i="28" s="1"/>
  <c r="M49" i="28"/>
  <c r="N49" i="28" s="1"/>
  <c r="M46" i="28"/>
  <c r="N46" i="28" s="1"/>
  <c r="M45" i="28"/>
  <c r="N45" i="28" s="1"/>
  <c r="M44" i="28"/>
  <c r="N44" i="28" s="1"/>
  <c r="M43" i="28"/>
  <c r="N43" i="28" s="1"/>
  <c r="M42" i="28"/>
  <c r="N42" i="28" s="1"/>
  <c r="M41" i="28"/>
  <c r="N41" i="28" s="1"/>
  <c r="M40" i="28"/>
  <c r="N40" i="28" s="1"/>
  <c r="M39" i="28"/>
  <c r="N39" i="28" s="1"/>
  <c r="M38" i="28"/>
  <c r="N38" i="28" s="1"/>
  <c r="M37" i="28"/>
  <c r="N37" i="28" s="1"/>
  <c r="N36" i="28"/>
  <c r="M35" i="28"/>
  <c r="N35" i="28" s="1"/>
  <c r="M34" i="28"/>
  <c r="N34" i="28" s="1"/>
  <c r="M33" i="28"/>
  <c r="N33" i="28" s="1"/>
  <c r="M32" i="28"/>
  <c r="N32" i="28" s="1"/>
  <c r="M31" i="28"/>
  <c r="N31" i="28" s="1"/>
  <c r="M30" i="28"/>
  <c r="N30" i="28" s="1"/>
  <c r="M29" i="28"/>
  <c r="N29" i="28" s="1"/>
  <c r="M28" i="28"/>
  <c r="N28" i="28" s="1"/>
  <c r="M27" i="28"/>
  <c r="N27" i="28" s="1"/>
  <c r="M26" i="28"/>
  <c r="N26" i="28" s="1"/>
  <c r="M25" i="28"/>
  <c r="N25" i="28" s="1"/>
  <c r="M24" i="28"/>
  <c r="N24" i="28" s="1"/>
  <c r="M23" i="28"/>
  <c r="N23" i="28" s="1"/>
  <c r="M22" i="28"/>
  <c r="N22" i="28" s="1"/>
  <c r="M21" i="28"/>
  <c r="N21" i="28" s="1"/>
  <c r="M20" i="28"/>
  <c r="N20" i="28" s="1"/>
  <c r="H76" i="28" l="1"/>
  <c r="N11" i="29"/>
  <c r="CW608" i="1" l="1"/>
  <c r="B668" i="1"/>
  <c r="B493" i="1"/>
  <c r="B476" i="1"/>
  <c r="B470" i="1"/>
  <c r="A668" i="1"/>
  <c r="C667" i="1"/>
  <c r="B667" i="1"/>
  <c r="A667" i="1"/>
  <c r="DA608" i="1" l="1"/>
  <c r="EW608" i="1" s="1"/>
  <c r="EY608" i="1" s="1"/>
  <c r="AF403" i="44"/>
  <c r="CW453" i="1"/>
  <c r="CW315" i="1" s="1"/>
  <c r="CX608" i="1"/>
  <c r="AG403" i="44" s="1"/>
  <c r="H403" i="44" s="1"/>
  <c r="C668" i="1"/>
  <c r="DB608" i="1" l="1"/>
  <c r="EX608" i="1" s="1"/>
  <c r="DO607" i="1"/>
  <c r="AJ477" i="44" s="1"/>
  <c r="K477" i="44" s="1"/>
  <c r="J477" i="44" s="1"/>
  <c r="DO606" i="1"/>
  <c r="AJ476" i="44" s="1"/>
  <c r="K476" i="44" s="1"/>
  <c r="J476" i="44" s="1"/>
  <c r="DO600" i="1"/>
  <c r="AJ473" i="44" s="1"/>
  <c r="K473" i="44" s="1"/>
  <c r="J473" i="44" s="1"/>
  <c r="DO598" i="1"/>
  <c r="AJ472" i="44" s="1"/>
  <c r="K472" i="44" s="1"/>
  <c r="J472" i="44" s="1"/>
  <c r="DO594" i="1"/>
  <c r="AJ470" i="44" s="1"/>
  <c r="K470" i="44" s="1"/>
  <c r="J470" i="44" s="1"/>
  <c r="DO592" i="1"/>
  <c r="AJ468" i="44" s="1"/>
  <c r="K468" i="44" s="1"/>
  <c r="J468" i="44" s="1"/>
  <c r="DO591" i="1"/>
  <c r="AJ467" i="44" s="1"/>
  <c r="K467" i="44" s="1"/>
  <c r="J467" i="44" s="1"/>
  <c r="DO590" i="1"/>
  <c r="AJ466" i="44" s="1"/>
  <c r="K466" i="44" s="1"/>
  <c r="J466" i="44" s="1"/>
  <c r="DO589" i="1"/>
  <c r="AJ465" i="44" s="1"/>
  <c r="K465" i="44" s="1"/>
  <c r="J465" i="44" s="1"/>
  <c r="DO588" i="1"/>
  <c r="AJ464" i="44" s="1"/>
  <c r="K464" i="44" s="1"/>
  <c r="J464" i="44" s="1"/>
  <c r="DO587" i="1"/>
  <c r="AJ463" i="44" s="1"/>
  <c r="K463" i="44" s="1"/>
  <c r="J463" i="44" s="1"/>
  <c r="DO586" i="1"/>
  <c r="AJ462" i="44" s="1"/>
  <c r="K462" i="44" s="1"/>
  <c r="J462" i="44" s="1"/>
  <c r="DO585" i="1"/>
  <c r="AJ461" i="44" s="1"/>
  <c r="K461" i="44" s="1"/>
  <c r="J461" i="44" s="1"/>
  <c r="DO584" i="1"/>
  <c r="AJ460" i="44" s="1"/>
  <c r="K460" i="44" s="1"/>
  <c r="J460" i="44" s="1"/>
  <c r="DO583" i="1"/>
  <c r="AJ459" i="44" s="1"/>
  <c r="K459" i="44" s="1"/>
  <c r="J459" i="44" s="1"/>
  <c r="DO582" i="1"/>
  <c r="AJ458" i="44" s="1"/>
  <c r="K458" i="44" s="1"/>
  <c r="J458" i="44" s="1"/>
  <c r="DO581" i="1"/>
  <c r="AJ457" i="44" s="1"/>
  <c r="K457" i="44" s="1"/>
  <c r="J457" i="44" s="1"/>
  <c r="DO580" i="1"/>
  <c r="AJ456" i="44" s="1"/>
  <c r="K456" i="44" s="1"/>
  <c r="J456" i="44" s="1"/>
  <c r="DO579" i="1"/>
  <c r="DO578" i="1"/>
  <c r="AJ455" i="44" s="1"/>
  <c r="K455" i="44" s="1"/>
  <c r="J455" i="44" s="1"/>
  <c r="DO577" i="1"/>
  <c r="AJ454" i="44" s="1"/>
  <c r="K454" i="44" s="1"/>
  <c r="J454" i="44" s="1"/>
  <c r="DO576" i="1"/>
  <c r="AJ453" i="44" s="1"/>
  <c r="K453" i="44" s="1"/>
  <c r="J453" i="44" s="1"/>
  <c r="DO575" i="1"/>
  <c r="AJ452" i="44" s="1"/>
  <c r="K452" i="44" s="1"/>
  <c r="J452" i="44" s="1"/>
  <c r="DO574" i="1"/>
  <c r="AJ451" i="44" s="1"/>
  <c r="K451" i="44" s="1"/>
  <c r="J451" i="44" s="1"/>
  <c r="DO572" i="1"/>
  <c r="AJ450" i="44" s="1"/>
  <c r="K450" i="44" s="1"/>
  <c r="J450" i="44" s="1"/>
  <c r="DO571" i="1"/>
  <c r="AJ449" i="44" s="1"/>
  <c r="K449" i="44" s="1"/>
  <c r="J449" i="44" s="1"/>
  <c r="DO570" i="1"/>
  <c r="AJ448" i="44" s="1"/>
  <c r="K448" i="44" s="1"/>
  <c r="J448" i="44" s="1"/>
  <c r="DO569" i="1"/>
  <c r="AJ447" i="44" s="1"/>
  <c r="K447" i="44" s="1"/>
  <c r="J447" i="44" s="1"/>
  <c r="DO568" i="1"/>
  <c r="DO567" i="1"/>
  <c r="AJ446" i="44" s="1"/>
  <c r="K446" i="44" s="1"/>
  <c r="J446" i="44" s="1"/>
  <c r="DO566" i="1"/>
  <c r="AJ445" i="44" s="1"/>
  <c r="K445" i="44" s="1"/>
  <c r="J445" i="44" s="1"/>
  <c r="DO562" i="1"/>
  <c r="AJ441" i="44" s="1"/>
  <c r="K441" i="44" s="1"/>
  <c r="J441" i="44" s="1"/>
  <c r="DO561" i="1"/>
  <c r="AJ440" i="44" s="1"/>
  <c r="K440" i="44" s="1"/>
  <c r="J440" i="44" s="1"/>
  <c r="DO560" i="1"/>
  <c r="AJ439" i="44" s="1"/>
  <c r="K439" i="44" s="1"/>
  <c r="J439" i="44" s="1"/>
  <c r="DO559" i="1"/>
  <c r="DO556" i="1"/>
  <c r="AJ438" i="44" s="1"/>
  <c r="K438" i="44" s="1"/>
  <c r="J438" i="44" s="1"/>
  <c r="DO555" i="1"/>
  <c r="DO554" i="1"/>
  <c r="AJ437" i="44" s="1"/>
  <c r="K437" i="44" s="1"/>
  <c r="J437" i="44" s="1"/>
  <c r="DO553" i="1"/>
  <c r="DO551" i="1"/>
  <c r="DO548" i="1"/>
  <c r="AJ434" i="44" s="1"/>
  <c r="K434" i="44" s="1"/>
  <c r="J434" i="44" s="1"/>
  <c r="DO547" i="1"/>
  <c r="AJ433" i="44" s="1"/>
  <c r="K433" i="44" s="1"/>
  <c r="J433" i="44" s="1"/>
  <c r="DO545" i="1"/>
  <c r="AJ432" i="44" s="1"/>
  <c r="K432" i="44" s="1"/>
  <c r="J432" i="44" s="1"/>
  <c r="DO542" i="1"/>
  <c r="AJ429" i="44" s="1"/>
  <c r="K429" i="44" s="1"/>
  <c r="J429" i="44" s="1"/>
  <c r="DO539" i="1"/>
  <c r="AJ428" i="44" s="1"/>
  <c r="K428" i="44" s="1"/>
  <c r="J428" i="44" s="1"/>
  <c r="DO538" i="1"/>
  <c r="AJ427" i="44" s="1"/>
  <c r="K427" i="44" s="1"/>
  <c r="J427" i="44" s="1"/>
  <c r="DO536" i="1"/>
  <c r="AJ426" i="44" s="1"/>
  <c r="K426" i="44" s="1"/>
  <c r="J426" i="44" s="1"/>
  <c r="DO535" i="1"/>
  <c r="AJ425" i="44" s="1"/>
  <c r="K425" i="44" s="1"/>
  <c r="J425" i="44" s="1"/>
  <c r="DO533" i="1"/>
  <c r="AJ424" i="44" s="1"/>
  <c r="K424" i="44" s="1"/>
  <c r="J424" i="44" s="1"/>
  <c r="DO531" i="1"/>
  <c r="DO529" i="1"/>
  <c r="DO528" i="1"/>
  <c r="AJ421" i="44" s="1"/>
  <c r="K421" i="44" s="1"/>
  <c r="J421" i="44" s="1"/>
  <c r="DO526" i="1"/>
  <c r="AJ420" i="44" s="1"/>
  <c r="K420" i="44" s="1"/>
  <c r="J420" i="44" s="1"/>
  <c r="DO524" i="1"/>
  <c r="AJ418" i="44" s="1"/>
  <c r="K418" i="44" s="1"/>
  <c r="J418" i="44" s="1"/>
  <c r="DO523" i="1"/>
  <c r="AJ417" i="44" s="1"/>
  <c r="K417" i="44" s="1"/>
  <c r="J417" i="44" s="1"/>
  <c r="DO522" i="1"/>
  <c r="AJ416" i="44" s="1"/>
  <c r="K416" i="44" s="1"/>
  <c r="J416" i="44" s="1"/>
  <c r="DO520" i="1"/>
  <c r="AJ415" i="44" s="1"/>
  <c r="K415" i="44" s="1"/>
  <c r="J415" i="44" s="1"/>
  <c r="DO518" i="1"/>
  <c r="AJ414" i="44" s="1"/>
  <c r="K414" i="44" s="1"/>
  <c r="J414" i="44" s="1"/>
  <c r="DO516" i="1"/>
  <c r="AJ412" i="44" s="1"/>
  <c r="K412" i="44" s="1"/>
  <c r="J412" i="44" s="1"/>
  <c r="DO514" i="1"/>
  <c r="AJ411" i="44" s="1"/>
  <c r="K411" i="44" s="1"/>
  <c r="J411" i="44" s="1"/>
  <c r="DO512" i="1"/>
  <c r="AJ410" i="44" s="1"/>
  <c r="K410" i="44" s="1"/>
  <c r="J410" i="44" s="1"/>
  <c r="DO509" i="1"/>
  <c r="AJ402" i="44" s="1"/>
  <c r="K402" i="44" s="1"/>
  <c r="J402" i="44" s="1"/>
  <c r="DO507" i="1"/>
  <c r="AJ401" i="44" s="1"/>
  <c r="K401" i="44" s="1"/>
  <c r="J401" i="44" s="1"/>
  <c r="DO504" i="1"/>
  <c r="AJ399" i="44" s="1"/>
  <c r="K399" i="44" s="1"/>
  <c r="J399" i="44" s="1"/>
  <c r="DO503" i="1"/>
  <c r="DO501" i="1"/>
  <c r="DO498" i="1"/>
  <c r="AJ396" i="44" s="1"/>
  <c r="K396" i="44" s="1"/>
  <c r="J396" i="44" s="1"/>
  <c r="DO497" i="1"/>
  <c r="AJ395" i="44" s="1"/>
  <c r="K395" i="44" s="1"/>
  <c r="J395" i="44" s="1"/>
  <c r="DO496" i="1"/>
  <c r="DO495" i="1"/>
  <c r="DO493" i="1"/>
  <c r="DO492" i="1"/>
  <c r="DO491" i="1"/>
  <c r="DO489" i="1"/>
  <c r="DO488" i="1"/>
  <c r="AJ392" i="44" s="1"/>
  <c r="K392" i="44" s="1"/>
  <c r="J392" i="44" s="1"/>
  <c r="DO487" i="1"/>
  <c r="DO486" i="1"/>
  <c r="DO485" i="1"/>
  <c r="DO484" i="1"/>
  <c r="AJ390" i="44" s="1"/>
  <c r="K390" i="44" s="1"/>
  <c r="J390" i="44" s="1"/>
  <c r="DO483" i="1"/>
  <c r="AJ389" i="44" s="1"/>
  <c r="K389" i="44" s="1"/>
  <c r="J389" i="44" s="1"/>
  <c r="DO481" i="1"/>
  <c r="AJ388" i="44" s="1"/>
  <c r="K388" i="44" s="1"/>
  <c r="J388" i="44" s="1"/>
  <c r="DO479" i="1"/>
  <c r="AJ387" i="44" s="1"/>
  <c r="K387" i="44" s="1"/>
  <c r="J387" i="44" s="1"/>
  <c r="DO478" i="1"/>
  <c r="DO476" i="1"/>
  <c r="DO475" i="1"/>
  <c r="DO473" i="1"/>
  <c r="AJ385" i="44" s="1"/>
  <c r="K385" i="44" s="1"/>
  <c r="J385" i="44" s="1"/>
  <c r="DO470" i="1"/>
  <c r="DO465" i="1"/>
  <c r="AJ380" i="44" s="1"/>
  <c r="K380" i="44" s="1"/>
  <c r="J380" i="44" s="1"/>
  <c r="DO463" i="1"/>
  <c r="AJ379" i="44" s="1"/>
  <c r="K379" i="44" s="1"/>
  <c r="J379" i="44" s="1"/>
  <c r="DO461" i="1"/>
  <c r="AJ378" i="44" s="1"/>
  <c r="K378" i="44" s="1"/>
  <c r="J378" i="44" s="1"/>
  <c r="DO459" i="1"/>
  <c r="AJ377" i="44" s="1"/>
  <c r="K377" i="44" s="1"/>
  <c r="DO455" i="1"/>
  <c r="DO454" i="1"/>
  <c r="DO448" i="1"/>
  <c r="AJ274" i="44" s="1"/>
  <c r="K274" i="44" s="1"/>
  <c r="J274" i="44" s="1"/>
  <c r="DO440" i="1"/>
  <c r="AJ268" i="44" s="1"/>
  <c r="K268" i="44" s="1"/>
  <c r="J268" i="44" s="1"/>
  <c r="DO437" i="1"/>
  <c r="AJ265" i="44" s="1"/>
  <c r="K265" i="44" s="1"/>
  <c r="J265" i="44" s="1"/>
  <c r="DO428" i="1"/>
  <c r="AJ256" i="44" s="1"/>
  <c r="K256" i="44" s="1"/>
  <c r="J256" i="44" s="1"/>
  <c r="DO427" i="1"/>
  <c r="AJ255" i="44" s="1"/>
  <c r="K255" i="44" s="1"/>
  <c r="J255" i="44" s="1"/>
  <c r="DO426" i="1"/>
  <c r="AJ254" i="44" s="1"/>
  <c r="K254" i="44" s="1"/>
  <c r="J254" i="44" s="1"/>
  <c r="DO425" i="1"/>
  <c r="AJ253" i="44" s="1"/>
  <c r="K253" i="44" s="1"/>
  <c r="J253" i="44" s="1"/>
  <c r="DO424" i="1"/>
  <c r="AJ252" i="44" s="1"/>
  <c r="K252" i="44" s="1"/>
  <c r="J252" i="44" s="1"/>
  <c r="DO423" i="1"/>
  <c r="AJ251" i="44" s="1"/>
  <c r="K251" i="44" s="1"/>
  <c r="J251" i="44" s="1"/>
  <c r="DO422" i="1"/>
  <c r="AJ250" i="44" s="1"/>
  <c r="K250" i="44" s="1"/>
  <c r="J250" i="44" s="1"/>
  <c r="DO421" i="1"/>
  <c r="AJ249" i="44" s="1"/>
  <c r="K249" i="44" s="1"/>
  <c r="J249" i="44" s="1"/>
  <c r="DO420" i="1"/>
  <c r="AJ248" i="44" s="1"/>
  <c r="K248" i="44" s="1"/>
  <c r="J248" i="44" s="1"/>
  <c r="DO419" i="1"/>
  <c r="AJ247" i="44" s="1"/>
  <c r="K247" i="44" s="1"/>
  <c r="J247" i="44" s="1"/>
  <c r="DO418" i="1"/>
  <c r="AJ246" i="44" s="1"/>
  <c r="K246" i="44" s="1"/>
  <c r="J246" i="44" s="1"/>
  <c r="DO417" i="1"/>
  <c r="AJ245" i="44" s="1"/>
  <c r="K245" i="44" s="1"/>
  <c r="J245" i="44" s="1"/>
  <c r="DO416" i="1"/>
  <c r="AJ244" i="44" s="1"/>
  <c r="K244" i="44" s="1"/>
  <c r="J244" i="44" s="1"/>
  <c r="DO415" i="1"/>
  <c r="AJ243" i="44" s="1"/>
  <c r="K243" i="44" s="1"/>
  <c r="J243" i="44" s="1"/>
  <c r="DO414" i="1"/>
  <c r="AJ242" i="44" s="1"/>
  <c r="K242" i="44" s="1"/>
  <c r="J242" i="44" s="1"/>
  <c r="DO413" i="1"/>
  <c r="AJ241" i="44" s="1"/>
  <c r="K241" i="44" s="1"/>
  <c r="J241" i="44" s="1"/>
  <c r="DO412" i="1"/>
  <c r="AJ240" i="44" s="1"/>
  <c r="K240" i="44" s="1"/>
  <c r="J240" i="44" s="1"/>
  <c r="DO411" i="1"/>
  <c r="AJ239" i="44" s="1"/>
  <c r="K239" i="44" s="1"/>
  <c r="J239" i="44" s="1"/>
  <c r="DO410" i="1"/>
  <c r="AJ238" i="44" s="1"/>
  <c r="K238" i="44" s="1"/>
  <c r="J238" i="44" s="1"/>
  <c r="DO409" i="1"/>
  <c r="AJ237" i="44" s="1"/>
  <c r="K237" i="44" s="1"/>
  <c r="J237" i="44" s="1"/>
  <c r="DO408" i="1"/>
  <c r="AJ236" i="44" s="1"/>
  <c r="K236" i="44" s="1"/>
  <c r="J236" i="44" s="1"/>
  <c r="DO407" i="1"/>
  <c r="AJ235" i="44" s="1"/>
  <c r="K235" i="44" s="1"/>
  <c r="J235" i="44" s="1"/>
  <c r="DO406" i="1"/>
  <c r="AJ234" i="44" s="1"/>
  <c r="K234" i="44" s="1"/>
  <c r="J234" i="44" s="1"/>
  <c r="DO405" i="1"/>
  <c r="AJ233" i="44" s="1"/>
  <c r="K233" i="44" s="1"/>
  <c r="J233" i="44" s="1"/>
  <c r="DO404" i="1"/>
  <c r="AJ232" i="44" s="1"/>
  <c r="K232" i="44" s="1"/>
  <c r="J232" i="44" s="1"/>
  <c r="DO403" i="1"/>
  <c r="AJ231" i="44" s="1"/>
  <c r="K231" i="44" s="1"/>
  <c r="J231" i="44" s="1"/>
  <c r="DO402" i="1"/>
  <c r="AJ230" i="44" s="1"/>
  <c r="K230" i="44" s="1"/>
  <c r="J230" i="44" s="1"/>
  <c r="DO401" i="1"/>
  <c r="AJ229" i="44" s="1"/>
  <c r="K229" i="44" s="1"/>
  <c r="J229" i="44" s="1"/>
  <c r="DO400" i="1"/>
  <c r="AJ228" i="44" s="1"/>
  <c r="K228" i="44" s="1"/>
  <c r="J228" i="44" s="1"/>
  <c r="DO399" i="1"/>
  <c r="AJ227" i="44" s="1"/>
  <c r="K227" i="44" s="1"/>
  <c r="J227" i="44" s="1"/>
  <c r="DO398" i="1"/>
  <c r="AJ226" i="44" s="1"/>
  <c r="K226" i="44" s="1"/>
  <c r="J226" i="44" s="1"/>
  <c r="DO397" i="1"/>
  <c r="DO396" i="1"/>
  <c r="DO395" i="1"/>
  <c r="AJ224" i="44" s="1"/>
  <c r="K224" i="44" s="1"/>
  <c r="J224" i="44" s="1"/>
  <c r="DO394" i="1"/>
  <c r="AJ223" i="44" s="1"/>
  <c r="K223" i="44" s="1"/>
  <c r="J223" i="44" s="1"/>
  <c r="DO393" i="1"/>
  <c r="AJ222" i="44" s="1"/>
  <c r="K222" i="44" s="1"/>
  <c r="J222" i="44" s="1"/>
  <c r="DO392" i="1"/>
  <c r="AJ221" i="44" s="1"/>
  <c r="K221" i="44" s="1"/>
  <c r="J221" i="44" s="1"/>
  <c r="DO391" i="1"/>
  <c r="AJ220" i="44" s="1"/>
  <c r="K220" i="44" s="1"/>
  <c r="J220" i="44" s="1"/>
  <c r="DO390" i="1"/>
  <c r="AJ219" i="44" s="1"/>
  <c r="K219" i="44" s="1"/>
  <c r="J219" i="44" s="1"/>
  <c r="DO389" i="1"/>
  <c r="AJ218" i="44" s="1"/>
  <c r="K218" i="44" s="1"/>
  <c r="J218" i="44" s="1"/>
  <c r="DO388" i="1"/>
  <c r="AJ217" i="44" s="1"/>
  <c r="K217" i="44" s="1"/>
  <c r="J217" i="44" s="1"/>
  <c r="DO387" i="1"/>
  <c r="AJ216" i="44" s="1"/>
  <c r="K216" i="44" s="1"/>
  <c r="J216" i="44" s="1"/>
  <c r="DO386" i="1"/>
  <c r="AJ215" i="44" s="1"/>
  <c r="K215" i="44" s="1"/>
  <c r="J215" i="44" s="1"/>
  <c r="DO385" i="1"/>
  <c r="AJ214" i="44" s="1"/>
  <c r="K214" i="44" s="1"/>
  <c r="J214" i="44" s="1"/>
  <c r="DO384" i="1"/>
  <c r="AJ213" i="44" s="1"/>
  <c r="K213" i="44" s="1"/>
  <c r="J213" i="44" s="1"/>
  <c r="DO383" i="1"/>
  <c r="AJ212" i="44" s="1"/>
  <c r="K212" i="44" s="1"/>
  <c r="J212" i="44" s="1"/>
  <c r="DO382" i="1"/>
  <c r="AJ211" i="44" s="1"/>
  <c r="K211" i="44" s="1"/>
  <c r="J211" i="44" s="1"/>
  <c r="DO381" i="1"/>
  <c r="AJ210" i="44" s="1"/>
  <c r="K210" i="44" s="1"/>
  <c r="J210" i="44" s="1"/>
  <c r="DO380" i="1"/>
  <c r="AJ209" i="44" s="1"/>
  <c r="K209" i="44" s="1"/>
  <c r="J209" i="44" s="1"/>
  <c r="DO379" i="1"/>
  <c r="AJ208" i="44" s="1"/>
  <c r="K208" i="44" s="1"/>
  <c r="J208" i="44" s="1"/>
  <c r="DO378" i="1"/>
  <c r="AJ207" i="44" s="1"/>
  <c r="K207" i="44" s="1"/>
  <c r="J207" i="44" s="1"/>
  <c r="DO377" i="1"/>
  <c r="AJ206" i="44" s="1"/>
  <c r="K206" i="44" s="1"/>
  <c r="J206" i="44" s="1"/>
  <c r="DO376" i="1"/>
  <c r="AJ205" i="44" s="1"/>
  <c r="K205" i="44" s="1"/>
  <c r="J205" i="44" s="1"/>
  <c r="DO375" i="1"/>
  <c r="AJ204" i="44" s="1"/>
  <c r="K204" i="44" s="1"/>
  <c r="J204" i="44" s="1"/>
  <c r="DO374" i="1"/>
  <c r="AJ203" i="44" s="1"/>
  <c r="K203" i="44" s="1"/>
  <c r="J203" i="44" s="1"/>
  <c r="DO373" i="1"/>
  <c r="AJ202" i="44" s="1"/>
  <c r="K202" i="44" s="1"/>
  <c r="J202" i="44" s="1"/>
  <c r="DO372" i="1"/>
  <c r="AJ201" i="44" s="1"/>
  <c r="K201" i="44" s="1"/>
  <c r="J201" i="44" s="1"/>
  <c r="DO371" i="1"/>
  <c r="AJ200" i="44" s="1"/>
  <c r="K200" i="44" s="1"/>
  <c r="J200" i="44" s="1"/>
  <c r="DO370" i="1"/>
  <c r="AJ199" i="44" s="1"/>
  <c r="K199" i="44" s="1"/>
  <c r="J199" i="44" s="1"/>
  <c r="DO369" i="1"/>
  <c r="AJ198" i="44" s="1"/>
  <c r="K198" i="44" s="1"/>
  <c r="J198" i="44" s="1"/>
  <c r="DO368" i="1"/>
  <c r="AJ197" i="44" s="1"/>
  <c r="K197" i="44" s="1"/>
  <c r="J197" i="44" s="1"/>
  <c r="DO367" i="1"/>
  <c r="AJ196" i="44" s="1"/>
  <c r="K196" i="44" s="1"/>
  <c r="J196" i="44" s="1"/>
  <c r="DO366" i="1"/>
  <c r="AJ195" i="44" s="1"/>
  <c r="K195" i="44" s="1"/>
  <c r="J195" i="44" s="1"/>
  <c r="DO365" i="1"/>
  <c r="AJ194" i="44" s="1"/>
  <c r="K194" i="44" s="1"/>
  <c r="J194" i="44" s="1"/>
  <c r="DO364" i="1"/>
  <c r="AJ193" i="44" s="1"/>
  <c r="K193" i="44" s="1"/>
  <c r="J193" i="44" s="1"/>
  <c r="DO363" i="1"/>
  <c r="AJ192" i="44" s="1"/>
  <c r="K192" i="44" s="1"/>
  <c r="J192" i="44" s="1"/>
  <c r="DO362" i="1"/>
  <c r="AJ191" i="44" s="1"/>
  <c r="K191" i="44" s="1"/>
  <c r="J191" i="44" s="1"/>
  <c r="DO361" i="1"/>
  <c r="AJ190" i="44" s="1"/>
  <c r="K190" i="44" s="1"/>
  <c r="J190" i="44" s="1"/>
  <c r="DO360" i="1"/>
  <c r="AJ189" i="44" s="1"/>
  <c r="K189" i="44" s="1"/>
  <c r="J189" i="44" s="1"/>
  <c r="DO359" i="1"/>
  <c r="AJ188" i="44" s="1"/>
  <c r="K188" i="44" s="1"/>
  <c r="J188" i="44" s="1"/>
  <c r="DO358" i="1"/>
  <c r="AJ187" i="44" s="1"/>
  <c r="K187" i="44" s="1"/>
  <c r="J187" i="44" s="1"/>
  <c r="DO357" i="1"/>
  <c r="AJ186" i="44" s="1"/>
  <c r="K186" i="44" s="1"/>
  <c r="J186" i="44" s="1"/>
  <c r="DO356" i="1"/>
  <c r="AJ185" i="44" s="1"/>
  <c r="K185" i="44" s="1"/>
  <c r="J185" i="44" s="1"/>
  <c r="DO355" i="1"/>
  <c r="AJ184" i="44" s="1"/>
  <c r="K184" i="44" s="1"/>
  <c r="J184" i="44" s="1"/>
  <c r="DO354" i="1"/>
  <c r="AJ183" i="44" s="1"/>
  <c r="K183" i="44" s="1"/>
  <c r="J183" i="44" s="1"/>
  <c r="DO353" i="1"/>
  <c r="AJ182" i="44" s="1"/>
  <c r="K182" i="44" s="1"/>
  <c r="J182" i="44" s="1"/>
  <c r="DO352" i="1"/>
  <c r="AJ181" i="44" s="1"/>
  <c r="K181" i="44" s="1"/>
  <c r="J181" i="44" s="1"/>
  <c r="DO351" i="1"/>
  <c r="AJ180" i="44" s="1"/>
  <c r="K180" i="44" s="1"/>
  <c r="J180" i="44" s="1"/>
  <c r="DO350" i="1"/>
  <c r="AJ179" i="44" s="1"/>
  <c r="K179" i="44" s="1"/>
  <c r="J179" i="44" s="1"/>
  <c r="DO349" i="1"/>
  <c r="AJ178" i="44" s="1"/>
  <c r="K178" i="44" s="1"/>
  <c r="J178" i="44" s="1"/>
  <c r="DO348" i="1"/>
  <c r="AJ177" i="44" s="1"/>
  <c r="K177" i="44" s="1"/>
  <c r="J177" i="44" s="1"/>
  <c r="DO347" i="1"/>
  <c r="AJ176" i="44" s="1"/>
  <c r="K176" i="44" s="1"/>
  <c r="J176" i="44" s="1"/>
  <c r="DO346" i="1"/>
  <c r="AJ175" i="44" s="1"/>
  <c r="K175" i="44" s="1"/>
  <c r="J175" i="44" s="1"/>
  <c r="DO345" i="1"/>
  <c r="AJ174" i="44" s="1"/>
  <c r="K174" i="44" s="1"/>
  <c r="J174" i="44" s="1"/>
  <c r="DO344" i="1"/>
  <c r="AJ173" i="44" s="1"/>
  <c r="K173" i="44" s="1"/>
  <c r="J173" i="44" s="1"/>
  <c r="DO343" i="1"/>
  <c r="AJ172" i="44" s="1"/>
  <c r="K172" i="44" s="1"/>
  <c r="J172" i="44" s="1"/>
  <c r="DO342" i="1"/>
  <c r="AJ171" i="44" s="1"/>
  <c r="K171" i="44" s="1"/>
  <c r="J171" i="44" s="1"/>
  <c r="DO341" i="1"/>
  <c r="AJ170" i="44" s="1"/>
  <c r="K170" i="44" s="1"/>
  <c r="J170" i="44" s="1"/>
  <c r="DO340" i="1"/>
  <c r="AJ169" i="44" s="1"/>
  <c r="K169" i="44" s="1"/>
  <c r="J169" i="44" s="1"/>
  <c r="DO339" i="1"/>
  <c r="AJ168" i="44" s="1"/>
  <c r="K168" i="44" s="1"/>
  <c r="J168" i="44" s="1"/>
  <c r="DO338" i="1"/>
  <c r="AJ167" i="44" s="1"/>
  <c r="K167" i="44" s="1"/>
  <c r="J167" i="44" s="1"/>
  <c r="DO337" i="1"/>
  <c r="AJ166" i="44" s="1"/>
  <c r="K166" i="44" s="1"/>
  <c r="J166" i="44" s="1"/>
  <c r="DO336" i="1"/>
  <c r="AJ165" i="44" s="1"/>
  <c r="K165" i="44" s="1"/>
  <c r="J165" i="44" s="1"/>
  <c r="DO335" i="1"/>
  <c r="AJ164" i="44" s="1"/>
  <c r="K164" i="44" s="1"/>
  <c r="J164" i="44" s="1"/>
  <c r="DO334" i="1"/>
  <c r="AJ163" i="44" s="1"/>
  <c r="K163" i="44" s="1"/>
  <c r="J163" i="44" s="1"/>
  <c r="DO333" i="1"/>
  <c r="AJ162" i="44" s="1"/>
  <c r="K162" i="44" s="1"/>
  <c r="J162" i="44" s="1"/>
  <c r="DO332" i="1"/>
  <c r="AJ161" i="44" s="1"/>
  <c r="K161" i="44" s="1"/>
  <c r="J161" i="44" s="1"/>
  <c r="DO331" i="1"/>
  <c r="AJ160" i="44" s="1"/>
  <c r="K160" i="44" s="1"/>
  <c r="J160" i="44" s="1"/>
  <c r="DO330" i="1"/>
  <c r="AJ159" i="44" s="1"/>
  <c r="K159" i="44" s="1"/>
  <c r="J159" i="44" s="1"/>
  <c r="DO329" i="1"/>
  <c r="AJ158" i="44" s="1"/>
  <c r="K158" i="44" s="1"/>
  <c r="J158" i="44" s="1"/>
  <c r="DO328" i="1"/>
  <c r="AJ157" i="44" s="1"/>
  <c r="K157" i="44" s="1"/>
  <c r="J157" i="44" s="1"/>
  <c r="DO327" i="1"/>
  <c r="AJ156" i="44" s="1"/>
  <c r="K156" i="44" s="1"/>
  <c r="J156" i="44" s="1"/>
  <c r="DO326" i="1"/>
  <c r="AJ155" i="44" s="1"/>
  <c r="K155" i="44" s="1"/>
  <c r="J155" i="44" s="1"/>
  <c r="DO325" i="1"/>
  <c r="AJ154" i="44" s="1"/>
  <c r="K154" i="44" s="1"/>
  <c r="J154" i="44" s="1"/>
  <c r="DO324" i="1"/>
  <c r="AJ153" i="44" s="1"/>
  <c r="K153" i="44" s="1"/>
  <c r="J153" i="44" s="1"/>
  <c r="DO323" i="1"/>
  <c r="AJ152" i="44" s="1"/>
  <c r="K152" i="44" s="1"/>
  <c r="J152" i="44" s="1"/>
  <c r="DO322" i="1"/>
  <c r="AJ151" i="44" s="1"/>
  <c r="K151" i="44" s="1"/>
  <c r="J151" i="44" s="1"/>
  <c r="DO321" i="1"/>
  <c r="AJ150" i="44" s="1"/>
  <c r="K150" i="44" s="1"/>
  <c r="J150" i="44" s="1"/>
  <c r="DO320" i="1"/>
  <c r="AJ149" i="44" s="1"/>
  <c r="K149" i="44" s="1"/>
  <c r="J149" i="44" s="1"/>
  <c r="DO319" i="1"/>
  <c r="AJ148" i="44" s="1"/>
  <c r="K148" i="44" s="1"/>
  <c r="J148" i="44" s="1"/>
  <c r="DO318" i="1"/>
  <c r="AJ147" i="44" s="1"/>
  <c r="K147" i="44" s="1"/>
  <c r="J147" i="44" s="1"/>
  <c r="DO317" i="1"/>
  <c r="AJ146" i="44" s="1"/>
  <c r="K146" i="44" s="1"/>
  <c r="J146" i="44" s="1"/>
  <c r="DO316" i="1"/>
  <c r="AJ145" i="44" s="1"/>
  <c r="K145" i="44" s="1"/>
  <c r="J145" i="44" s="1"/>
  <c r="DO228" i="1"/>
  <c r="DO227" i="1"/>
  <c r="AJ137" i="44" s="1"/>
  <c r="K137" i="44" s="1"/>
  <c r="J137" i="44" s="1"/>
  <c r="DO226" i="1"/>
  <c r="AJ136" i="44" s="1"/>
  <c r="K136" i="44" s="1"/>
  <c r="J136" i="44" s="1"/>
  <c r="DO225" i="1"/>
  <c r="AJ135" i="44" s="1"/>
  <c r="K135" i="44" s="1"/>
  <c r="J135" i="44" s="1"/>
  <c r="DO224" i="1"/>
  <c r="AJ134" i="44" s="1"/>
  <c r="K134" i="44" s="1"/>
  <c r="J134" i="44" s="1"/>
  <c r="DO214" i="1"/>
  <c r="AJ125" i="44" s="1"/>
  <c r="K125" i="44" s="1"/>
  <c r="J125" i="44" s="1"/>
  <c r="DO212" i="1"/>
  <c r="AJ124" i="44" s="1"/>
  <c r="K124" i="44" s="1"/>
  <c r="J124" i="44" s="1"/>
  <c r="DO208" i="1"/>
  <c r="AJ120" i="44" s="1"/>
  <c r="K120" i="44" s="1"/>
  <c r="J120" i="44" s="1"/>
  <c r="DO205" i="1"/>
  <c r="AJ118" i="44" s="1"/>
  <c r="K118" i="44" s="1"/>
  <c r="J118" i="44" s="1"/>
  <c r="DO204" i="1"/>
  <c r="DO203" i="1"/>
  <c r="DO201" i="1"/>
  <c r="DO195" i="1"/>
  <c r="AJ110" i="44" s="1"/>
  <c r="K110" i="44" s="1"/>
  <c r="J110" i="44" s="1"/>
  <c r="DO194" i="1"/>
  <c r="DO193" i="1"/>
  <c r="DO190" i="1"/>
  <c r="AJ107" i="44" s="1"/>
  <c r="K107" i="44" s="1"/>
  <c r="J107" i="44" s="1"/>
  <c r="DO189" i="1"/>
  <c r="AJ106" i="44" s="1"/>
  <c r="K106" i="44" s="1"/>
  <c r="J106" i="44" s="1"/>
  <c r="DO187" i="1"/>
  <c r="AJ104" i="44" s="1"/>
  <c r="K104" i="44" s="1"/>
  <c r="J104" i="44" s="1"/>
  <c r="DO186" i="1"/>
  <c r="AJ103" i="44" s="1"/>
  <c r="K103" i="44" s="1"/>
  <c r="J103" i="44" s="1"/>
  <c r="DO185" i="1"/>
  <c r="AJ102" i="44" s="1"/>
  <c r="K102" i="44" s="1"/>
  <c r="J102" i="44" s="1"/>
  <c r="DO182" i="1"/>
  <c r="AJ99" i="44" s="1"/>
  <c r="K99" i="44" s="1"/>
  <c r="J99" i="44" s="1"/>
  <c r="DO181" i="1"/>
  <c r="DO180" i="1"/>
  <c r="DO179" i="1"/>
  <c r="DO178" i="1"/>
  <c r="DO177" i="1"/>
  <c r="DO176" i="1"/>
  <c r="DO175" i="1"/>
  <c r="DO174" i="1"/>
  <c r="DO173" i="1"/>
  <c r="DO172" i="1"/>
  <c r="DO171" i="1"/>
  <c r="DO170" i="1"/>
  <c r="DO169" i="1"/>
  <c r="DO168" i="1"/>
  <c r="DO167" i="1"/>
  <c r="DO166" i="1"/>
  <c r="DO165" i="1"/>
  <c r="AJ97" i="44" s="1"/>
  <c r="K97" i="44" s="1"/>
  <c r="J97" i="44" s="1"/>
  <c r="DO164" i="1"/>
  <c r="AJ96" i="44" s="1"/>
  <c r="K96" i="44" s="1"/>
  <c r="J96" i="44" s="1"/>
  <c r="DO163" i="1"/>
  <c r="AJ95" i="44" s="1"/>
  <c r="K95" i="44" s="1"/>
  <c r="J95" i="44" s="1"/>
  <c r="DO161" i="1"/>
  <c r="AJ93" i="44" s="1"/>
  <c r="K93" i="44" s="1"/>
  <c r="J93" i="44" s="1"/>
  <c r="DO152" i="1"/>
  <c r="AJ86" i="44" s="1"/>
  <c r="K86" i="44" s="1"/>
  <c r="J86" i="44" s="1"/>
  <c r="DO150" i="1"/>
  <c r="DO149" i="1"/>
  <c r="DO148" i="1"/>
  <c r="DO147" i="1"/>
  <c r="DO143" i="1"/>
  <c r="DO138" i="1"/>
  <c r="DO137" i="1"/>
  <c r="DO124" i="1"/>
  <c r="AJ67" i="44" s="1"/>
  <c r="K67" i="44" s="1"/>
  <c r="J67" i="44" s="1"/>
  <c r="AK67" i="44" s="1"/>
  <c r="DO123" i="1"/>
  <c r="AJ66" i="44" s="1"/>
  <c r="K66" i="44" s="1"/>
  <c r="J66" i="44" s="1"/>
  <c r="AK66" i="44" s="1"/>
  <c r="DO117" i="1"/>
  <c r="DO116" i="1"/>
  <c r="DO114" i="1"/>
  <c r="DO110" i="1"/>
  <c r="DO109" i="1"/>
  <c r="AJ56" i="44" s="1"/>
  <c r="K56" i="44" s="1"/>
  <c r="J56" i="44" s="1"/>
  <c r="AK56" i="44" s="1"/>
  <c r="DO108" i="1"/>
  <c r="AJ55" i="44" s="1"/>
  <c r="K55" i="44" s="1"/>
  <c r="J55" i="44" s="1"/>
  <c r="AK55" i="44" s="1"/>
  <c r="DO107" i="1"/>
  <c r="AJ54" i="44" s="1"/>
  <c r="K54" i="44" s="1"/>
  <c r="J54" i="44" s="1"/>
  <c r="AK54" i="44" s="1"/>
  <c r="DO106" i="1"/>
  <c r="AJ53" i="44" s="1"/>
  <c r="K53" i="44" s="1"/>
  <c r="J53" i="44" s="1"/>
  <c r="AK53" i="44" s="1"/>
  <c r="DO103" i="1"/>
  <c r="AJ51" i="44" s="1"/>
  <c r="K51" i="44" s="1"/>
  <c r="J51" i="44" s="1"/>
  <c r="AK51" i="44" s="1"/>
  <c r="DO101" i="1"/>
  <c r="DO100" i="1"/>
  <c r="DO76" i="1"/>
  <c r="AJ33" i="44" s="1"/>
  <c r="K33" i="44" s="1"/>
  <c r="J33" i="44" s="1"/>
  <c r="AK33" i="44" s="1"/>
  <c r="DO75" i="1"/>
  <c r="AJ32" i="44" s="1"/>
  <c r="K32" i="44" s="1"/>
  <c r="J32" i="44" s="1"/>
  <c r="AK32" i="44" s="1"/>
  <c r="DO74" i="1"/>
  <c r="DO73" i="1"/>
  <c r="DO72" i="1"/>
  <c r="AJ30" i="44" s="1"/>
  <c r="K30" i="44" s="1"/>
  <c r="J30" i="44" s="1"/>
  <c r="AK30" i="44" s="1"/>
  <c r="DO71" i="1"/>
  <c r="DO70" i="1"/>
  <c r="DO69" i="1"/>
  <c r="DO68" i="1"/>
  <c r="DO67" i="1"/>
  <c r="AJ28" i="44" s="1"/>
  <c r="K28" i="44" s="1"/>
  <c r="J28" i="44" s="1"/>
  <c r="AK28" i="44" s="1"/>
  <c r="DO66" i="1"/>
  <c r="DO65" i="1"/>
  <c r="DO64" i="1"/>
  <c r="DO63" i="1"/>
  <c r="DO62" i="1"/>
  <c r="DO61" i="1"/>
  <c r="DO60" i="1"/>
  <c r="DO59" i="1"/>
  <c r="DO58" i="1"/>
  <c r="DO57" i="1"/>
  <c r="DO56" i="1"/>
  <c r="DO55" i="1"/>
  <c r="DO54" i="1"/>
  <c r="AJ24" i="44" s="1"/>
  <c r="K24" i="44" s="1"/>
  <c r="J24" i="44" s="1"/>
  <c r="AK24" i="44" s="1"/>
  <c r="DO53" i="1"/>
  <c r="DO52" i="1"/>
  <c r="DO51" i="1"/>
  <c r="DO50" i="1"/>
  <c r="DO49" i="1"/>
  <c r="DO48" i="1"/>
  <c r="DO47" i="1"/>
  <c r="DO46" i="1"/>
  <c r="DO45" i="1"/>
  <c r="DO44" i="1"/>
  <c r="DO43" i="1"/>
  <c r="DO41" i="1"/>
  <c r="DO40" i="1"/>
  <c r="DO39" i="1"/>
  <c r="DO38" i="1"/>
  <c r="DO37" i="1"/>
  <c r="AJ20" i="44" s="1"/>
  <c r="K20" i="44" s="1"/>
  <c r="J20" i="44" s="1"/>
  <c r="DO36" i="1"/>
  <c r="DO35" i="1"/>
  <c r="DO34" i="1"/>
  <c r="DO33" i="1"/>
  <c r="DO32" i="1"/>
  <c r="DO31" i="1"/>
  <c r="DO30" i="1"/>
  <c r="DO29" i="1"/>
  <c r="DO28" i="1"/>
  <c r="DO27" i="1"/>
  <c r="DO26" i="1"/>
  <c r="AJ15" i="44" s="1"/>
  <c r="K15" i="44" s="1"/>
  <c r="J15" i="44" s="1"/>
  <c r="AK15" i="44" s="1"/>
  <c r="DO25" i="1"/>
  <c r="DO24" i="1"/>
  <c r="DO23" i="1"/>
  <c r="DO22" i="1"/>
  <c r="DO21" i="1"/>
  <c r="AJ13" i="44" s="1"/>
  <c r="K13" i="44" s="1"/>
  <c r="J13" i="44" s="1"/>
  <c r="DO20" i="1"/>
  <c r="DO19" i="1"/>
  <c r="DO17" i="1"/>
  <c r="DO16" i="1"/>
  <c r="DO15" i="1"/>
  <c r="DO14" i="1"/>
  <c r="DO13" i="1"/>
  <c r="DO11" i="1"/>
  <c r="DO9" i="1"/>
  <c r="AJ9" i="44" s="1"/>
  <c r="K9" i="44" s="1"/>
  <c r="J9" i="44" s="1"/>
  <c r="AK9" i="44" s="1"/>
  <c r="DM607" i="1"/>
  <c r="DM606" i="1"/>
  <c r="DM600" i="1"/>
  <c r="DM598" i="1"/>
  <c r="DM594" i="1"/>
  <c r="DM592" i="1"/>
  <c r="DM591" i="1"/>
  <c r="DM590" i="1"/>
  <c r="DM589" i="1"/>
  <c r="DM588" i="1"/>
  <c r="DM587" i="1"/>
  <c r="DM586" i="1"/>
  <c r="DM585" i="1"/>
  <c r="DM584" i="1"/>
  <c r="DM583" i="1"/>
  <c r="DM582" i="1"/>
  <c r="DM581" i="1"/>
  <c r="DM580" i="1"/>
  <c r="DM579" i="1"/>
  <c r="DM578" i="1"/>
  <c r="DM577" i="1"/>
  <c r="DM576" i="1"/>
  <c r="DM575" i="1"/>
  <c r="DM574" i="1"/>
  <c r="DM572" i="1"/>
  <c r="DM571" i="1"/>
  <c r="DM570" i="1"/>
  <c r="DM569" i="1"/>
  <c r="DM568" i="1"/>
  <c r="DM567" i="1"/>
  <c r="DM566" i="1"/>
  <c r="DM562" i="1"/>
  <c r="DM561" i="1"/>
  <c r="DM560" i="1"/>
  <c r="DM559" i="1"/>
  <c r="DM556" i="1"/>
  <c r="DM555" i="1"/>
  <c r="DM554" i="1"/>
  <c r="DM553" i="1"/>
  <c r="DM551" i="1"/>
  <c r="DM548" i="1"/>
  <c r="DM547" i="1"/>
  <c r="DM545" i="1"/>
  <c r="DM542" i="1"/>
  <c r="DM539" i="1"/>
  <c r="DM538" i="1"/>
  <c r="DM536" i="1"/>
  <c r="DM535" i="1"/>
  <c r="DM533" i="1"/>
  <c r="DM531" i="1"/>
  <c r="DM529" i="1"/>
  <c r="DM528" i="1"/>
  <c r="DM526" i="1"/>
  <c r="DM524" i="1"/>
  <c r="DM523" i="1"/>
  <c r="DM522" i="1"/>
  <c r="DM520" i="1"/>
  <c r="DM518" i="1"/>
  <c r="DM516" i="1"/>
  <c r="DM514" i="1"/>
  <c r="DM512" i="1"/>
  <c r="DM509" i="1"/>
  <c r="DM507" i="1"/>
  <c r="DM504" i="1"/>
  <c r="DM503" i="1"/>
  <c r="DM501" i="1"/>
  <c r="DM498" i="1"/>
  <c r="DM497" i="1"/>
  <c r="DM496" i="1"/>
  <c r="DM495" i="1"/>
  <c r="DM493" i="1"/>
  <c r="DM492" i="1"/>
  <c r="DM491" i="1"/>
  <c r="DM489" i="1"/>
  <c r="DM488" i="1"/>
  <c r="DM487" i="1"/>
  <c r="DM486" i="1"/>
  <c r="DM485" i="1"/>
  <c r="DM484" i="1"/>
  <c r="DM483" i="1"/>
  <c r="DM481" i="1"/>
  <c r="DM479" i="1"/>
  <c r="DM478" i="1"/>
  <c r="DM476" i="1"/>
  <c r="DM475" i="1"/>
  <c r="DM473" i="1"/>
  <c r="DM470" i="1"/>
  <c r="DM465" i="1"/>
  <c r="DM463" i="1"/>
  <c r="DM461" i="1"/>
  <c r="DM459" i="1"/>
  <c r="DM455" i="1"/>
  <c r="DM454" i="1"/>
  <c r="DM448" i="1"/>
  <c r="DM440" i="1"/>
  <c r="DM437" i="1"/>
  <c r="DM428" i="1"/>
  <c r="DM427" i="1"/>
  <c r="DM426" i="1"/>
  <c r="DM425" i="1"/>
  <c r="DM424" i="1"/>
  <c r="DM423" i="1"/>
  <c r="DM422" i="1"/>
  <c r="DM421" i="1"/>
  <c r="DM420" i="1"/>
  <c r="DM419" i="1"/>
  <c r="DM418" i="1"/>
  <c r="DM417" i="1"/>
  <c r="DM416" i="1"/>
  <c r="DM415" i="1"/>
  <c r="DM414" i="1"/>
  <c r="DM413" i="1"/>
  <c r="DM412" i="1"/>
  <c r="DM411" i="1"/>
  <c r="DM410" i="1"/>
  <c r="DM409" i="1"/>
  <c r="DM408" i="1"/>
  <c r="DM407" i="1"/>
  <c r="DM406" i="1"/>
  <c r="DM405" i="1"/>
  <c r="DM404" i="1"/>
  <c r="DM403" i="1"/>
  <c r="DM402" i="1"/>
  <c r="DM401" i="1"/>
  <c r="DM400" i="1"/>
  <c r="DM399" i="1"/>
  <c r="DM398" i="1"/>
  <c r="DM397" i="1"/>
  <c r="DM396" i="1"/>
  <c r="DM395" i="1"/>
  <c r="DM394" i="1"/>
  <c r="DM393" i="1"/>
  <c r="DM392" i="1"/>
  <c r="DM391" i="1"/>
  <c r="DM390" i="1"/>
  <c r="DM389" i="1"/>
  <c r="DM388" i="1"/>
  <c r="DM387" i="1"/>
  <c r="DM386" i="1"/>
  <c r="DM385" i="1"/>
  <c r="DM384" i="1"/>
  <c r="DM383" i="1"/>
  <c r="DM382" i="1"/>
  <c r="DM381" i="1"/>
  <c r="DM380" i="1"/>
  <c r="DM379" i="1"/>
  <c r="DM378" i="1"/>
  <c r="DM377" i="1"/>
  <c r="DM376" i="1"/>
  <c r="DM375" i="1"/>
  <c r="DM374" i="1"/>
  <c r="DM373" i="1"/>
  <c r="DM372" i="1"/>
  <c r="DM371" i="1"/>
  <c r="DM370" i="1"/>
  <c r="DM369" i="1"/>
  <c r="DM368" i="1"/>
  <c r="DM367" i="1"/>
  <c r="DM366" i="1"/>
  <c r="DM365" i="1"/>
  <c r="DM364" i="1"/>
  <c r="DM363" i="1"/>
  <c r="DM362" i="1"/>
  <c r="DM361" i="1"/>
  <c r="DM360" i="1"/>
  <c r="DM359" i="1"/>
  <c r="DM358" i="1"/>
  <c r="DM357" i="1"/>
  <c r="DM356" i="1"/>
  <c r="DM355" i="1"/>
  <c r="DM354" i="1"/>
  <c r="DM353" i="1"/>
  <c r="DM352" i="1"/>
  <c r="DM351" i="1"/>
  <c r="DM350" i="1"/>
  <c r="DM349" i="1"/>
  <c r="DM348" i="1"/>
  <c r="DM347" i="1"/>
  <c r="DM346" i="1"/>
  <c r="DM345" i="1"/>
  <c r="DM344" i="1"/>
  <c r="DM343" i="1"/>
  <c r="DM342" i="1"/>
  <c r="DM341" i="1"/>
  <c r="DM340" i="1"/>
  <c r="DM339" i="1"/>
  <c r="DM338" i="1"/>
  <c r="DM337" i="1"/>
  <c r="DM336" i="1"/>
  <c r="DM335" i="1"/>
  <c r="DM334" i="1"/>
  <c r="DM333" i="1"/>
  <c r="DM332" i="1"/>
  <c r="DM331" i="1"/>
  <c r="DM330" i="1"/>
  <c r="DM329" i="1"/>
  <c r="DM328" i="1"/>
  <c r="DM327" i="1"/>
  <c r="DM326" i="1"/>
  <c r="DM325" i="1"/>
  <c r="DM324" i="1"/>
  <c r="DM323" i="1"/>
  <c r="DM322" i="1"/>
  <c r="DM321" i="1"/>
  <c r="DM320" i="1"/>
  <c r="DM319" i="1"/>
  <c r="DM318" i="1"/>
  <c r="DM317" i="1"/>
  <c r="DM316" i="1"/>
  <c r="DM228" i="1"/>
  <c r="DM227" i="1"/>
  <c r="DM226" i="1"/>
  <c r="DM225" i="1"/>
  <c r="DM224" i="1"/>
  <c r="DM214" i="1"/>
  <c r="DM212" i="1"/>
  <c r="DM208" i="1"/>
  <c r="DM205" i="1"/>
  <c r="DM204" i="1"/>
  <c r="DM203" i="1"/>
  <c r="DM201" i="1"/>
  <c r="DM195" i="1"/>
  <c r="DM194" i="1"/>
  <c r="DM193" i="1"/>
  <c r="DM190" i="1"/>
  <c r="DM189" i="1"/>
  <c r="DM187" i="1"/>
  <c r="DM186" i="1"/>
  <c r="DM185" i="1"/>
  <c r="DM182" i="1"/>
  <c r="DM181" i="1"/>
  <c r="DM180" i="1"/>
  <c r="DM179" i="1"/>
  <c r="DM178" i="1"/>
  <c r="DM177" i="1"/>
  <c r="DM176" i="1"/>
  <c r="DM175" i="1"/>
  <c r="DM174" i="1"/>
  <c r="DM173" i="1"/>
  <c r="DM172" i="1"/>
  <c r="DM171" i="1"/>
  <c r="DM170" i="1"/>
  <c r="DM169" i="1"/>
  <c r="DM168" i="1"/>
  <c r="DM167" i="1"/>
  <c r="DM166" i="1"/>
  <c r="DM165" i="1"/>
  <c r="DM164" i="1"/>
  <c r="DM163" i="1"/>
  <c r="DM161" i="1"/>
  <c r="DM152" i="1"/>
  <c r="DM150" i="1"/>
  <c r="DM149" i="1"/>
  <c r="DM148" i="1"/>
  <c r="DM147" i="1"/>
  <c r="DM143" i="1"/>
  <c r="DM138" i="1"/>
  <c r="DM137" i="1"/>
  <c r="DM124" i="1"/>
  <c r="DM123" i="1"/>
  <c r="DM117" i="1"/>
  <c r="DM116" i="1"/>
  <c r="DM114" i="1"/>
  <c r="DM110" i="1"/>
  <c r="DM109" i="1"/>
  <c r="DM108" i="1"/>
  <c r="DM107" i="1"/>
  <c r="DM106" i="1"/>
  <c r="DM103" i="1"/>
  <c r="DM101" i="1"/>
  <c r="DM100" i="1"/>
  <c r="DM76" i="1"/>
  <c r="DM75" i="1"/>
  <c r="DM74" i="1"/>
  <c r="DM73" i="1"/>
  <c r="DM72" i="1"/>
  <c r="DM71" i="1"/>
  <c r="DM70" i="1"/>
  <c r="DM69" i="1"/>
  <c r="DM68" i="1"/>
  <c r="DM67" i="1"/>
  <c r="DM66" i="1"/>
  <c r="DM65" i="1"/>
  <c r="DM64" i="1"/>
  <c r="DM63" i="1"/>
  <c r="DM62" i="1"/>
  <c r="DM61" i="1"/>
  <c r="DM60" i="1"/>
  <c r="DM59" i="1"/>
  <c r="DM58" i="1"/>
  <c r="DM57" i="1"/>
  <c r="DM56" i="1"/>
  <c r="DM55" i="1"/>
  <c r="DM54" i="1"/>
  <c r="DM53" i="1"/>
  <c r="DM52" i="1"/>
  <c r="DM51" i="1"/>
  <c r="DM50" i="1"/>
  <c r="DM49" i="1"/>
  <c r="DM48" i="1"/>
  <c r="DM47" i="1"/>
  <c r="DM46" i="1"/>
  <c r="DM45" i="1"/>
  <c r="DM44" i="1"/>
  <c r="DM43" i="1"/>
  <c r="DM41" i="1"/>
  <c r="DM40" i="1"/>
  <c r="DM39" i="1"/>
  <c r="DM38" i="1"/>
  <c r="DM37" i="1"/>
  <c r="DM36" i="1"/>
  <c r="DM35" i="1"/>
  <c r="DM34" i="1"/>
  <c r="DM33" i="1"/>
  <c r="DM32" i="1"/>
  <c r="DM31" i="1"/>
  <c r="DM30" i="1"/>
  <c r="DM29" i="1"/>
  <c r="DM28" i="1"/>
  <c r="DM27" i="1"/>
  <c r="DM26" i="1"/>
  <c r="DM25" i="1"/>
  <c r="DM24" i="1"/>
  <c r="DM23" i="1"/>
  <c r="DM22" i="1"/>
  <c r="DM21" i="1"/>
  <c r="DM20" i="1"/>
  <c r="DM19" i="1"/>
  <c r="DM17" i="1"/>
  <c r="DM16" i="1"/>
  <c r="DM15" i="1"/>
  <c r="DM14" i="1"/>
  <c r="DM13" i="1"/>
  <c r="DM11" i="1"/>
  <c r="DM9" i="1"/>
  <c r="AJ12" i="44" l="1"/>
  <c r="K12" i="44" s="1"/>
  <c r="J12" i="44" s="1"/>
  <c r="AK12" i="44" s="1"/>
  <c r="AJ19" i="44"/>
  <c r="K19" i="44" s="1"/>
  <c r="J19" i="44" s="1"/>
  <c r="AK19" i="44" s="1"/>
  <c r="AJ436" i="44"/>
  <c r="K436" i="44" s="1"/>
  <c r="J436" i="44" s="1"/>
  <c r="AJ26" i="44"/>
  <c r="K26" i="44" s="1"/>
  <c r="J26" i="44" s="1"/>
  <c r="AK26" i="44" s="1"/>
  <c r="AJ109" i="44"/>
  <c r="K109" i="44" s="1"/>
  <c r="J109" i="44" s="1"/>
  <c r="AJ27" i="44"/>
  <c r="K27" i="44" s="1"/>
  <c r="J27" i="44" s="1"/>
  <c r="AK27" i="44" s="1"/>
  <c r="AJ117" i="44"/>
  <c r="K117" i="44" s="1"/>
  <c r="J117" i="44" s="1"/>
  <c r="AJ386" i="44"/>
  <c r="K386" i="44" s="1"/>
  <c r="J386" i="44" s="1"/>
  <c r="AJ22" i="44"/>
  <c r="K22" i="44" s="1"/>
  <c r="J22" i="44" s="1"/>
  <c r="AK22" i="44" s="1"/>
  <c r="AJ16" i="44"/>
  <c r="K16" i="44" s="1"/>
  <c r="J16" i="44" s="1"/>
  <c r="AK16" i="44" s="1"/>
  <c r="AJ29" i="44"/>
  <c r="K29" i="44" s="1"/>
  <c r="J29" i="44" s="1"/>
  <c r="AK29" i="44" s="1"/>
  <c r="AJ49" i="44"/>
  <c r="K49" i="44" s="1"/>
  <c r="J49" i="44" s="1"/>
  <c r="AK49" i="44" s="1"/>
  <c r="AJ83" i="44"/>
  <c r="K83" i="44" s="1"/>
  <c r="J83" i="44" s="1"/>
  <c r="AJ225" i="44"/>
  <c r="K225" i="44" s="1"/>
  <c r="J225" i="44" s="1"/>
  <c r="AJ394" i="44"/>
  <c r="K394" i="44" s="1"/>
  <c r="J394" i="44" s="1"/>
  <c r="AJ98" i="44"/>
  <c r="K98" i="44" s="1"/>
  <c r="J98" i="44" s="1"/>
  <c r="AJ391" i="44"/>
  <c r="K391" i="44" s="1"/>
  <c r="J391" i="44" s="1"/>
  <c r="AJ11" i="44"/>
  <c r="K11" i="44" s="1"/>
  <c r="J11" i="44" s="1"/>
  <c r="AK11" i="44" s="1"/>
  <c r="AJ14" i="44"/>
  <c r="K14" i="44" s="1"/>
  <c r="J14" i="44" s="1"/>
  <c r="AK14" i="44" s="1"/>
  <c r="AJ17" i="44"/>
  <c r="K17" i="44" s="1"/>
  <c r="J17" i="44" s="1"/>
  <c r="AK17" i="44" s="1"/>
  <c r="AJ25" i="44"/>
  <c r="K25" i="44" s="1"/>
  <c r="J25" i="44" s="1"/>
  <c r="AK25" i="44" s="1"/>
  <c r="AJ84" i="44"/>
  <c r="K84" i="44" s="1"/>
  <c r="J84" i="44" s="1"/>
  <c r="AJ407" i="44"/>
  <c r="K407" i="44" s="1"/>
  <c r="AJ18" i="44"/>
  <c r="K18" i="44" s="1"/>
  <c r="J18" i="44" s="1"/>
  <c r="AK18" i="44" s="1"/>
  <c r="AJ23" i="44"/>
  <c r="K23" i="44" s="1"/>
  <c r="J23" i="44" s="1"/>
  <c r="AK23" i="44" s="1"/>
  <c r="AJ31" i="44"/>
  <c r="K31" i="44" s="1"/>
  <c r="J31" i="44" s="1"/>
  <c r="AK31" i="44" s="1"/>
  <c r="J377" i="44"/>
  <c r="AJ422" i="44"/>
  <c r="K422" i="44" s="1"/>
  <c r="J422" i="44" s="1"/>
  <c r="AJ75" i="44"/>
  <c r="K75" i="44" s="1"/>
  <c r="J75" i="44" s="1"/>
  <c r="AJ393" i="44"/>
  <c r="K393" i="44" s="1"/>
  <c r="J393" i="44" s="1"/>
  <c r="AJ398" i="44"/>
  <c r="K398" i="44" s="1"/>
  <c r="J398" i="44" s="1"/>
  <c r="DN14" i="1"/>
  <c r="DN23" i="1"/>
  <c r="DN19" i="1"/>
  <c r="DN27" i="1"/>
  <c r="DN35" i="1"/>
  <c r="DN44" i="1"/>
  <c r="DN52" i="1"/>
  <c r="DN60" i="1"/>
  <c r="DN68" i="1"/>
  <c r="DN9" i="1"/>
  <c r="DN20" i="1"/>
  <c r="DN28" i="1"/>
  <c r="DN36" i="1"/>
  <c r="DN45" i="1"/>
  <c r="DN53" i="1"/>
  <c r="DN61" i="1"/>
  <c r="DN69" i="1"/>
  <c r="DN100" i="1"/>
  <c r="DN114" i="1"/>
  <c r="DN147" i="1"/>
  <c r="DN165" i="1"/>
  <c r="DN173" i="1"/>
  <c r="DN181" i="1"/>
  <c r="DN194" i="1"/>
  <c r="DN214" i="1"/>
  <c r="DN318" i="1"/>
  <c r="DN326" i="1"/>
  <c r="DN334" i="1"/>
  <c r="DN342" i="1"/>
  <c r="DN350" i="1"/>
  <c r="DN358" i="1"/>
  <c r="DN13" i="1"/>
  <c r="DN22" i="1"/>
  <c r="DN30" i="1"/>
  <c r="DN38" i="1"/>
  <c r="DN47" i="1"/>
  <c r="DN366" i="1"/>
  <c r="DN374" i="1"/>
  <c r="DN382" i="1"/>
  <c r="DN390" i="1"/>
  <c r="DN398" i="1"/>
  <c r="DN406" i="1"/>
  <c r="DN414" i="1"/>
  <c r="DN422" i="1"/>
  <c r="DN440" i="1"/>
  <c r="DN463" i="1"/>
  <c r="DN481" i="1"/>
  <c r="DN491" i="1"/>
  <c r="DN503" i="1"/>
  <c r="DN520" i="1"/>
  <c r="DN533" i="1"/>
  <c r="DN548" i="1"/>
  <c r="DN561" i="1"/>
  <c r="DN572" i="1"/>
  <c r="DN581" i="1"/>
  <c r="DN589" i="1"/>
  <c r="DN607" i="1"/>
  <c r="DN31" i="1"/>
  <c r="DN39" i="1"/>
  <c r="DN48" i="1"/>
  <c r="DN56" i="1"/>
  <c r="DN64" i="1"/>
  <c r="DN72" i="1"/>
  <c r="DN106" i="1"/>
  <c r="DN123" i="1"/>
  <c r="DN150" i="1"/>
  <c r="DN168" i="1"/>
  <c r="DN176" i="1"/>
  <c r="DN186" i="1"/>
  <c r="DN203" i="1"/>
  <c r="DN226" i="1"/>
  <c r="DN321" i="1"/>
  <c r="DN329" i="1"/>
  <c r="DN337" i="1"/>
  <c r="DN345" i="1"/>
  <c r="DN353" i="1"/>
  <c r="DN361" i="1"/>
  <c r="DN369" i="1"/>
  <c r="DN377" i="1"/>
  <c r="DN385" i="1"/>
  <c r="DN393" i="1"/>
  <c r="DN401" i="1"/>
  <c r="DN409" i="1"/>
  <c r="DN417" i="1"/>
  <c r="DN425" i="1"/>
  <c r="DN448" i="1"/>
  <c r="DN55" i="1"/>
  <c r="DN63" i="1"/>
  <c r="DN71" i="1"/>
  <c r="DN103" i="1"/>
  <c r="DN117" i="1"/>
  <c r="DN149" i="1"/>
  <c r="DN167" i="1"/>
  <c r="DN175" i="1"/>
  <c r="DN185" i="1"/>
  <c r="DN201" i="1"/>
  <c r="DN225" i="1"/>
  <c r="DN320" i="1"/>
  <c r="DN328" i="1"/>
  <c r="DN205" i="1"/>
  <c r="DN512" i="1"/>
  <c r="DN76" i="1"/>
  <c r="DN110" i="1"/>
  <c r="DN143" i="1"/>
  <c r="DN164" i="1"/>
  <c r="DN172" i="1"/>
  <c r="DN180" i="1"/>
  <c r="DN193" i="1"/>
  <c r="DN212" i="1"/>
  <c r="DN317" i="1"/>
  <c r="DN325" i="1"/>
  <c r="DN333" i="1"/>
  <c r="DN341" i="1"/>
  <c r="DN349" i="1"/>
  <c r="DN357" i="1"/>
  <c r="DN365" i="1"/>
  <c r="DN373" i="1"/>
  <c r="DN381" i="1"/>
  <c r="DN389" i="1"/>
  <c r="DN397" i="1"/>
  <c r="DN405" i="1"/>
  <c r="DN413" i="1"/>
  <c r="DN421" i="1"/>
  <c r="DN437" i="1"/>
  <c r="DN461" i="1"/>
  <c r="DN479" i="1"/>
  <c r="DN489" i="1"/>
  <c r="DN501" i="1"/>
  <c r="DN518" i="1"/>
  <c r="DN531" i="1"/>
  <c r="DN547" i="1"/>
  <c r="DN560" i="1"/>
  <c r="DN571" i="1"/>
  <c r="DN580" i="1"/>
  <c r="DN588" i="1"/>
  <c r="DN606" i="1"/>
  <c r="DN15" i="1"/>
  <c r="DN24" i="1"/>
  <c r="DN32" i="1"/>
  <c r="DN40" i="1"/>
  <c r="DN49" i="1"/>
  <c r="DN57" i="1"/>
  <c r="DN65" i="1"/>
  <c r="DN73" i="1"/>
  <c r="DN107" i="1"/>
  <c r="DN124" i="1"/>
  <c r="DN152" i="1"/>
  <c r="DN169" i="1"/>
  <c r="DN177" i="1"/>
  <c r="DN187" i="1"/>
  <c r="DN526" i="1"/>
  <c r="DN195" i="1"/>
  <c r="DN224" i="1"/>
  <c r="DN319" i="1"/>
  <c r="DN327" i="1"/>
  <c r="DN335" i="1"/>
  <c r="DN336" i="1"/>
  <c r="DN344" i="1"/>
  <c r="DN352" i="1"/>
  <c r="DN360" i="1"/>
  <c r="DN368" i="1"/>
  <c r="DN376" i="1"/>
  <c r="DN384" i="1"/>
  <c r="DN392" i="1"/>
  <c r="DN400" i="1"/>
  <c r="DN408" i="1"/>
  <c r="DN416" i="1"/>
  <c r="DN424" i="1"/>
  <c r="DN470" i="1"/>
  <c r="DN484" i="1"/>
  <c r="DN493" i="1"/>
  <c r="DN507" i="1"/>
  <c r="DN523" i="1"/>
  <c r="DN536" i="1"/>
  <c r="DN553" i="1"/>
  <c r="DN566" i="1"/>
  <c r="DN575" i="1"/>
  <c r="DN583" i="1"/>
  <c r="DN591" i="1"/>
  <c r="DN204" i="1"/>
  <c r="DN227" i="1"/>
  <c r="DN322" i="1"/>
  <c r="DN330" i="1"/>
  <c r="DN338" i="1"/>
  <c r="DN346" i="1"/>
  <c r="DN354" i="1"/>
  <c r="DN362" i="1"/>
  <c r="DN370" i="1"/>
  <c r="DN378" i="1"/>
  <c r="DN386" i="1"/>
  <c r="DN394" i="1"/>
  <c r="DN402" i="1"/>
  <c r="DN410" i="1"/>
  <c r="DN418" i="1"/>
  <c r="DN426" i="1"/>
  <c r="DN454" i="1"/>
  <c r="DN475" i="1"/>
  <c r="DN486" i="1"/>
  <c r="DN496" i="1"/>
  <c r="DN539" i="1"/>
  <c r="DN555" i="1"/>
  <c r="DN568" i="1"/>
  <c r="DN577" i="1"/>
  <c r="DN585" i="1"/>
  <c r="DN594" i="1"/>
  <c r="DN17" i="1"/>
  <c r="DN26" i="1"/>
  <c r="DN34" i="1"/>
  <c r="DN43" i="1"/>
  <c r="DN51" i="1"/>
  <c r="DN59" i="1"/>
  <c r="DN67" i="1"/>
  <c r="DN75" i="1"/>
  <c r="DN109" i="1"/>
  <c r="DN138" i="1"/>
  <c r="DN163" i="1"/>
  <c r="DN171" i="1"/>
  <c r="DN179" i="1"/>
  <c r="DN190" i="1"/>
  <c r="DN208" i="1"/>
  <c r="DN316" i="1"/>
  <c r="DN324" i="1"/>
  <c r="DN332" i="1"/>
  <c r="DN340" i="1"/>
  <c r="DN348" i="1"/>
  <c r="DN356" i="1"/>
  <c r="DN364" i="1"/>
  <c r="DN372" i="1"/>
  <c r="DN380" i="1"/>
  <c r="DN388" i="1"/>
  <c r="DN396" i="1"/>
  <c r="DN404" i="1"/>
  <c r="DN412" i="1"/>
  <c r="DN420" i="1"/>
  <c r="DN428" i="1"/>
  <c r="DN459" i="1"/>
  <c r="DN478" i="1"/>
  <c r="DN488" i="1"/>
  <c r="DN498" i="1"/>
  <c r="DN516" i="1"/>
  <c r="DN529" i="1"/>
  <c r="DN545" i="1"/>
  <c r="DN559" i="1"/>
  <c r="DN570" i="1"/>
  <c r="DN579" i="1"/>
  <c r="DN587" i="1"/>
  <c r="DN600" i="1"/>
  <c r="DN16" i="1"/>
  <c r="DN25" i="1"/>
  <c r="DN33" i="1"/>
  <c r="DN41" i="1"/>
  <c r="DN50" i="1"/>
  <c r="DN58" i="1"/>
  <c r="DN66" i="1"/>
  <c r="DN74" i="1"/>
  <c r="DN108" i="1"/>
  <c r="DN137" i="1"/>
  <c r="DN161" i="1"/>
  <c r="DN170" i="1"/>
  <c r="DN178" i="1"/>
  <c r="DN189" i="1"/>
  <c r="DN228" i="1"/>
  <c r="DN323" i="1"/>
  <c r="DN331" i="1"/>
  <c r="DN339" i="1"/>
  <c r="DN347" i="1"/>
  <c r="DN355" i="1"/>
  <c r="DN363" i="1"/>
  <c r="DN371" i="1"/>
  <c r="DN379" i="1"/>
  <c r="DN387" i="1"/>
  <c r="DN395" i="1"/>
  <c r="DN403" i="1"/>
  <c r="DN411" i="1"/>
  <c r="DN419" i="1"/>
  <c r="DN427" i="1"/>
  <c r="DN455" i="1"/>
  <c r="DN476" i="1"/>
  <c r="DN487" i="1"/>
  <c r="DN497" i="1"/>
  <c r="DN514" i="1"/>
  <c r="DN528" i="1"/>
  <c r="DN542" i="1"/>
  <c r="DN556" i="1"/>
  <c r="DN569" i="1"/>
  <c r="DN578" i="1"/>
  <c r="DN586" i="1"/>
  <c r="DN598" i="1"/>
  <c r="DN11" i="1"/>
  <c r="DN21" i="1"/>
  <c r="DN29" i="1"/>
  <c r="DN37" i="1"/>
  <c r="DN46" i="1"/>
  <c r="DN54" i="1"/>
  <c r="DN62" i="1"/>
  <c r="DN70" i="1"/>
  <c r="DN101" i="1"/>
  <c r="DN116" i="1"/>
  <c r="DN148" i="1"/>
  <c r="DN166" i="1"/>
  <c r="DN174" i="1"/>
  <c r="DN182" i="1"/>
  <c r="DN343" i="1"/>
  <c r="DN351" i="1"/>
  <c r="DN359" i="1"/>
  <c r="DN367" i="1"/>
  <c r="DN375" i="1"/>
  <c r="DN383" i="1"/>
  <c r="DN391" i="1"/>
  <c r="DN399" i="1"/>
  <c r="DN407" i="1"/>
  <c r="DN415" i="1"/>
  <c r="DN423" i="1"/>
  <c r="DN465" i="1"/>
  <c r="DN483" i="1"/>
  <c r="DN492" i="1"/>
  <c r="DN504" i="1"/>
  <c r="DN522" i="1"/>
  <c r="DN535" i="1"/>
  <c r="DN551" i="1"/>
  <c r="DN562" i="1"/>
  <c r="DN574" i="1"/>
  <c r="DN582" i="1"/>
  <c r="DN590" i="1"/>
  <c r="DN473" i="1"/>
  <c r="DN485" i="1"/>
  <c r="DN495" i="1"/>
  <c r="DN509" i="1"/>
  <c r="DN524" i="1"/>
  <c r="DN538" i="1"/>
  <c r="DN554" i="1"/>
  <c r="DN567" i="1"/>
  <c r="DN576" i="1"/>
  <c r="DN584" i="1"/>
  <c r="DN592" i="1"/>
  <c r="J407" i="44" l="1"/>
  <c r="DQ39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39" i="1"/>
  <c r="A638" i="1"/>
  <c r="A637" i="1"/>
  <c r="A636" i="1"/>
  <c r="A635" i="1"/>
  <c r="A634" i="1"/>
  <c r="A633" i="1"/>
  <c r="B201" i="1" l="1"/>
  <c r="B505" i="1"/>
  <c r="B661" i="1" l="1"/>
  <c r="B637" i="1"/>
  <c r="C637" i="1"/>
  <c r="B629" i="1"/>
  <c r="C629" i="1"/>
  <c r="B646" i="1"/>
  <c r="C646" i="1"/>
  <c r="B654" i="1"/>
  <c r="C654" i="1"/>
  <c r="B638" i="1"/>
  <c r="C638" i="1"/>
  <c r="B656" i="1"/>
  <c r="C656" i="1"/>
  <c r="B619" i="1"/>
  <c r="C619" i="1"/>
  <c r="B614" i="1"/>
  <c r="C614" i="1"/>
  <c r="B620" i="1"/>
  <c r="C620" i="1"/>
  <c r="B616" i="1"/>
  <c r="C616" i="1"/>
  <c r="B626" i="1"/>
  <c r="C626" i="1"/>
  <c r="B666" i="1"/>
  <c r="C666" i="1"/>
  <c r="B653" i="1"/>
  <c r="C653" i="1"/>
  <c r="B631" i="1"/>
  <c r="C631" i="1"/>
  <c r="B611" i="1"/>
  <c r="C611" i="1"/>
  <c r="B617" i="1"/>
  <c r="C617" i="1"/>
  <c r="B650" i="1"/>
  <c r="C650" i="1"/>
  <c r="B627" i="1"/>
  <c r="C627" i="1"/>
  <c r="B649" i="1"/>
  <c r="C649" i="1"/>
  <c r="B639" i="1"/>
  <c r="C639" i="1"/>
  <c r="B658" i="1"/>
  <c r="C658" i="1"/>
  <c r="B660" i="1"/>
  <c r="C660" i="1"/>
  <c r="B663" i="1"/>
  <c r="C663" i="1"/>
  <c r="B647" i="1"/>
  <c r="C647" i="1"/>
  <c r="B641" i="1"/>
  <c r="C641" i="1"/>
  <c r="B659" i="1"/>
  <c r="C659" i="1"/>
  <c r="B652" i="1"/>
  <c r="C652" i="1"/>
  <c r="B657" i="1"/>
  <c r="C657" i="1"/>
  <c r="B613" i="1"/>
  <c r="C613" i="1"/>
  <c r="B648" i="1"/>
  <c r="C648" i="1"/>
  <c r="B651" i="1"/>
  <c r="C651" i="1"/>
  <c r="B644" i="1"/>
  <c r="C644" i="1"/>
  <c r="B636" i="1"/>
  <c r="C636" i="1"/>
  <c r="B642" i="1"/>
  <c r="C642" i="1"/>
  <c r="B655" i="1"/>
  <c r="C655" i="1"/>
  <c r="B643" i="1"/>
  <c r="C643" i="1"/>
  <c r="B630" i="1"/>
  <c r="C630" i="1"/>
  <c r="B635" i="1"/>
  <c r="C635" i="1"/>
  <c r="B645" i="1"/>
  <c r="C645" i="1"/>
  <c r="B632" i="1"/>
  <c r="C632" i="1"/>
  <c r="B615" i="1"/>
  <c r="C615" i="1"/>
  <c r="B624" i="1"/>
  <c r="C624" i="1"/>
  <c r="B633" i="1"/>
  <c r="C633" i="1"/>
  <c r="B634" i="1"/>
  <c r="C634" i="1"/>
  <c r="B662" i="1"/>
  <c r="C662" i="1"/>
  <c r="B622" i="1"/>
  <c r="C622" i="1"/>
  <c r="B665" i="1"/>
  <c r="C665" i="1"/>
  <c r="B612" i="1"/>
  <c r="C612" i="1"/>
  <c r="B664" i="1"/>
  <c r="C664" i="1"/>
  <c r="B621" i="1"/>
  <c r="C621" i="1"/>
  <c r="B623" i="1"/>
  <c r="C623" i="1"/>
  <c r="B625" i="1"/>
  <c r="C625" i="1"/>
  <c r="B231" i="1"/>
  <c r="C231" i="1"/>
  <c r="B449" i="1"/>
  <c r="C449" i="1"/>
  <c r="C661" i="1" l="1"/>
  <c r="L46" i="24"/>
  <c r="L17" i="24"/>
  <c r="J27" i="24"/>
  <c r="L37" i="24"/>
  <c r="L27" i="24"/>
  <c r="DL447" i="1"/>
  <c r="DJ503" i="1"/>
  <c r="DQ501" i="1" l="1"/>
  <c r="EU501" i="1" s="1"/>
  <c r="EW501" i="1" s="1"/>
  <c r="EY501" i="1" s="1"/>
  <c r="AH398" i="44"/>
  <c r="DO447" i="1"/>
  <c r="AJ273" i="44" s="1"/>
  <c r="K273" i="44" s="1"/>
  <c r="J273" i="44" s="1"/>
  <c r="L6" i="24"/>
  <c r="R6" i="24" s="1"/>
  <c r="I11" i="33"/>
  <c r="J11" i="30"/>
  <c r="J11" i="29"/>
  <c r="DM447" i="1"/>
  <c r="R7" i="24"/>
  <c r="DL207" i="1"/>
  <c r="DO207" i="1" s="1"/>
  <c r="AJ119" i="44" s="1"/>
  <c r="K119" i="44" s="1"/>
  <c r="J119" i="44" s="1"/>
  <c r="DJ207" i="1"/>
  <c r="DL202" i="1"/>
  <c r="DO202" i="1" s="1"/>
  <c r="AJ116" i="44" s="1"/>
  <c r="K116" i="44" s="1"/>
  <c r="J116" i="44" s="1"/>
  <c r="DQ207" i="1" l="1"/>
  <c r="EU207" i="1" s="1"/>
  <c r="EW207" i="1" s="1"/>
  <c r="EY207" i="1" s="1"/>
  <c r="AH119" i="44"/>
  <c r="DN447" i="1"/>
  <c r="DM202" i="1"/>
  <c r="DN202" i="1" s="1"/>
  <c r="DM207" i="1"/>
  <c r="DN207" i="1" s="1"/>
  <c r="DJ211" i="1"/>
  <c r="DQ211" i="1" l="1"/>
  <c r="EU211" i="1" s="1"/>
  <c r="EW211" i="1" s="1"/>
  <c r="EY211" i="1" s="1"/>
  <c r="B211" i="1" s="1"/>
  <c r="AH123" i="44"/>
  <c r="I123" i="44" s="1"/>
  <c r="I279" i="44" s="1"/>
  <c r="I7" i="44" s="1"/>
  <c r="DO211" i="1"/>
  <c r="AJ123" i="44" s="1"/>
  <c r="K123" i="44" s="1"/>
  <c r="DM211" i="1"/>
  <c r="DJ117" i="1"/>
  <c r="DL192" i="1"/>
  <c r="DO192" i="1" s="1"/>
  <c r="J123" i="44" l="1"/>
  <c r="DN211" i="1"/>
  <c r="DM192" i="1"/>
  <c r="DN192" i="1" s="1"/>
  <c r="DJ602" i="1"/>
  <c r="DJ601" i="1"/>
  <c r="DL595" i="1"/>
  <c r="DQ601" i="1" l="1"/>
  <c r="EU601" i="1" s="1"/>
  <c r="EW601" i="1" s="1"/>
  <c r="EY601" i="1" s="1"/>
  <c r="AH474" i="44"/>
  <c r="I474" i="44" s="1"/>
  <c r="DQ602" i="1"/>
  <c r="EU602" i="1" s="1"/>
  <c r="EW602" i="1" s="1"/>
  <c r="EY602" i="1" s="1"/>
  <c r="AH475" i="44"/>
  <c r="I475" i="44" s="1"/>
  <c r="DO601" i="1"/>
  <c r="AJ474" i="44" s="1"/>
  <c r="K474" i="44" s="1"/>
  <c r="DM601" i="1"/>
  <c r="DM602" i="1"/>
  <c r="DO602" i="1"/>
  <c r="AJ475" i="44" s="1"/>
  <c r="K475" i="44" s="1"/>
  <c r="DJ595" i="1"/>
  <c r="DL472" i="1"/>
  <c r="DO472" i="1" s="1"/>
  <c r="AJ384" i="44" s="1"/>
  <c r="K384" i="44" s="1"/>
  <c r="J384" i="44" s="1"/>
  <c r="DQ472" i="1"/>
  <c r="J475" i="44" l="1"/>
  <c r="J474" i="44"/>
  <c r="DQ595" i="1"/>
  <c r="EU595" i="1" s="1"/>
  <c r="EW595" i="1" s="1"/>
  <c r="EY595" i="1" s="1"/>
  <c r="AH471" i="44"/>
  <c r="I471" i="44" s="1"/>
  <c r="DO595" i="1"/>
  <c r="AJ471" i="44" s="1"/>
  <c r="K471" i="44" s="1"/>
  <c r="DM472" i="1"/>
  <c r="DN472" i="1" s="1"/>
  <c r="DM595" i="1"/>
  <c r="DJ224" i="1"/>
  <c r="DQ224" i="1" l="1"/>
  <c r="EU224" i="1" s="1"/>
  <c r="EW224" i="1" s="1"/>
  <c r="EY224" i="1" s="1"/>
  <c r="AH134" i="44"/>
  <c r="J471" i="44"/>
  <c r="C595" i="1"/>
  <c r="DN595" i="1"/>
  <c r="DL230" i="1"/>
  <c r="DO230" i="1" s="1"/>
  <c r="AJ138" i="44" s="1"/>
  <c r="K138" i="44" s="1"/>
  <c r="J138" i="44" s="1"/>
  <c r="DJ230" i="1"/>
  <c r="DJ228" i="1"/>
  <c r="DJ227" i="1"/>
  <c r="DJ226" i="1"/>
  <c r="DJ225" i="1"/>
  <c r="DL221" i="1"/>
  <c r="DO221" i="1" s="1"/>
  <c r="AJ131" i="44" s="1"/>
  <c r="K131" i="44" s="1"/>
  <c r="J131" i="44" s="1"/>
  <c r="DL219" i="1"/>
  <c r="DO219" i="1" s="1"/>
  <c r="AJ129" i="44" s="1"/>
  <c r="K129" i="44" s="1"/>
  <c r="J129" i="44" s="1"/>
  <c r="DL217" i="1"/>
  <c r="DO217" i="1" s="1"/>
  <c r="AJ127" i="44" s="1"/>
  <c r="K127" i="44" s="1"/>
  <c r="J127" i="44" s="1"/>
  <c r="DJ219" i="1"/>
  <c r="DJ217" i="1"/>
  <c r="DQ226" i="1" l="1"/>
  <c r="EU226" i="1" s="1"/>
  <c r="EW226" i="1" s="1"/>
  <c r="EY226" i="1" s="1"/>
  <c r="AH136" i="44"/>
  <c r="DQ217" i="1"/>
  <c r="EU217" i="1" s="1"/>
  <c r="EW217" i="1" s="1"/>
  <c r="EY217" i="1" s="1"/>
  <c r="AH127" i="44"/>
  <c r="DQ228" i="1"/>
  <c r="EU228" i="1" s="1"/>
  <c r="EW228" i="1" s="1"/>
  <c r="EY228" i="1" s="1"/>
  <c r="AH138" i="44"/>
  <c r="DQ227" i="1"/>
  <c r="EU227" i="1" s="1"/>
  <c r="EW227" i="1" s="1"/>
  <c r="EY227" i="1" s="1"/>
  <c r="AH137" i="44"/>
  <c r="DQ219" i="1"/>
  <c r="EU219" i="1" s="1"/>
  <c r="EW219" i="1" s="1"/>
  <c r="EY219" i="1" s="1"/>
  <c r="AH129" i="44"/>
  <c r="DQ225" i="1"/>
  <c r="EU225" i="1" s="1"/>
  <c r="EW225" i="1" s="1"/>
  <c r="EY225" i="1" s="1"/>
  <c r="AH135" i="44"/>
  <c r="DM217" i="1"/>
  <c r="DN217" i="1" s="1"/>
  <c r="DM219" i="1"/>
  <c r="DN219" i="1" s="1"/>
  <c r="DM221" i="1"/>
  <c r="DN221" i="1" s="1"/>
  <c r="DM230" i="1"/>
  <c r="DN230" i="1" s="1"/>
  <c r="C448" i="1"/>
  <c r="O228" i="1"/>
  <c r="P228" i="1" s="1"/>
  <c r="C447" i="1" l="1"/>
  <c r="B448" i="1"/>
  <c r="B608" i="1"/>
  <c r="C608" i="1"/>
  <c r="B228" i="1"/>
  <c r="B447" i="1" l="1"/>
  <c r="C228" i="1"/>
  <c r="O445" i="1"/>
  <c r="O443" i="1"/>
  <c r="O224" i="1"/>
  <c r="N224" i="1"/>
  <c r="B438" i="1" l="1"/>
  <c r="B439" i="1"/>
  <c r="P224" i="1"/>
  <c r="P440" i="1"/>
  <c r="DQ579" i="1"/>
  <c r="DJ485" i="1"/>
  <c r="DQ485" i="1" l="1"/>
  <c r="EU485" i="1" s="1"/>
  <c r="EW485" i="1" s="1"/>
  <c r="EY485" i="1" s="1"/>
  <c r="AH391" i="44"/>
  <c r="B227" i="1"/>
  <c r="B594" i="1"/>
  <c r="B440" i="1"/>
  <c r="B607" i="1"/>
  <c r="B600" i="1"/>
  <c r="B443" i="1"/>
  <c r="B606" i="1"/>
  <c r="B442" i="1"/>
  <c r="B441" i="1"/>
  <c r="B224" i="1"/>
  <c r="B598" i="1"/>
  <c r="B602" i="1"/>
  <c r="B225" i="1"/>
  <c r="B595" i="1"/>
  <c r="B601" i="1"/>
  <c r="BB38" i="1"/>
  <c r="AN38" i="1"/>
  <c r="AH38" i="1"/>
  <c r="AB38" i="1"/>
  <c r="T38" i="1"/>
  <c r="N223" i="1"/>
  <c r="N222" i="1"/>
  <c r="N221" i="1"/>
  <c r="P221" i="1" s="1"/>
  <c r="N220" i="1"/>
  <c r="P220" i="1" s="1"/>
  <c r="N219" i="1"/>
  <c r="O219" i="1" s="1"/>
  <c r="N218" i="1"/>
  <c r="O218" i="1" s="1"/>
  <c r="N217" i="1"/>
  <c r="O217" i="1" s="1"/>
  <c r="C607" i="1" l="1"/>
  <c r="C443" i="1"/>
  <c r="C224" i="1"/>
  <c r="C441" i="1"/>
  <c r="C442" i="1"/>
  <c r="C602" i="1"/>
  <c r="C600" i="1"/>
  <c r="C225" i="1"/>
  <c r="C440" i="1"/>
  <c r="C594" i="1"/>
  <c r="B445" i="1"/>
  <c r="C445" i="1"/>
  <c r="C606" i="1"/>
  <c r="C227" i="1"/>
  <c r="C601" i="1"/>
  <c r="C226" i="1"/>
  <c r="B226" i="1"/>
  <c r="B223" i="1"/>
  <c r="C223" i="1"/>
  <c r="B218" i="1"/>
  <c r="C218" i="1"/>
  <c r="B220" i="1"/>
  <c r="C220" i="1"/>
  <c r="B222" i="1"/>
  <c r="C222" i="1"/>
  <c r="B221" i="1"/>
  <c r="C221" i="1"/>
  <c r="B219" i="1"/>
  <c r="C219" i="1"/>
  <c r="B216" i="1"/>
  <c r="C216" i="1"/>
  <c r="B217" i="1"/>
  <c r="C217" i="1"/>
  <c r="AZ500" i="1" l="1"/>
  <c r="AY500" i="1"/>
  <c r="P211" i="1"/>
  <c r="O210" i="1"/>
  <c r="AD397" i="44" l="1"/>
  <c r="F397" i="44" s="1"/>
  <c r="CS500" i="1"/>
  <c r="AE397" i="44"/>
  <c r="G397" i="44" s="1"/>
  <c r="G374" i="44" s="1"/>
  <c r="G373" i="44" s="1"/>
  <c r="CT500" i="1"/>
  <c r="DA500" i="1"/>
  <c r="EW500" i="1" s="1"/>
  <c r="EY500" i="1" s="1"/>
  <c r="DB500" i="1"/>
  <c r="EX500" i="1" s="1"/>
  <c r="B214" i="1"/>
  <c r="B436" i="1"/>
  <c r="B429" i="1"/>
  <c r="B210" i="1"/>
  <c r="C431" i="1"/>
  <c r="B212" i="1"/>
  <c r="C214" i="1"/>
  <c r="T374" i="44" l="1"/>
  <c r="P374" i="44"/>
  <c r="C436" i="1"/>
  <c r="C429" i="1"/>
  <c r="B431" i="1"/>
  <c r="C210" i="1"/>
  <c r="C438" i="1"/>
  <c r="C211" i="1"/>
  <c r="C590" i="1"/>
  <c r="B590" i="1"/>
  <c r="C439" i="1"/>
  <c r="B434" i="1"/>
  <c r="C434" i="1"/>
  <c r="C432" i="1"/>
  <c r="B432" i="1"/>
  <c r="C430" i="1"/>
  <c r="B430" i="1"/>
  <c r="C435" i="1"/>
  <c r="B435" i="1"/>
  <c r="B433" i="1"/>
  <c r="C433" i="1"/>
  <c r="C437" i="1"/>
  <c r="B437" i="1"/>
  <c r="C212" i="1"/>
  <c r="DB491" i="1"/>
  <c r="DA491" i="1"/>
  <c r="DJ491" i="1"/>
  <c r="DR491" i="1"/>
  <c r="DR453" i="1" s="1"/>
  <c r="DR315" i="1" s="1"/>
  <c r="DJ504" i="1"/>
  <c r="DQ504" i="1" l="1"/>
  <c r="EU504" i="1" s="1"/>
  <c r="EW504" i="1" s="1"/>
  <c r="EY504" i="1" s="1"/>
  <c r="AH399" i="44"/>
  <c r="DQ489" i="1"/>
  <c r="EU489" i="1" s="1"/>
  <c r="EW489" i="1" s="1"/>
  <c r="EY489" i="1" s="1"/>
  <c r="AH393" i="44"/>
  <c r="DJ453" i="1"/>
  <c r="DJ315" i="1" s="1"/>
  <c r="DL468" i="1"/>
  <c r="DL593" i="1"/>
  <c r="DO593" i="1" s="1"/>
  <c r="AJ469" i="44" s="1"/>
  <c r="K469" i="44" s="1"/>
  <c r="DL42" i="1"/>
  <c r="DO42" i="1" s="1"/>
  <c r="AJ21" i="44" s="1"/>
  <c r="K21" i="44" s="1"/>
  <c r="J21" i="44" s="1"/>
  <c r="AK21" i="44" s="1"/>
  <c r="DJ42" i="1"/>
  <c r="DQ38" i="1" l="1"/>
  <c r="EU38" i="1" s="1"/>
  <c r="AH21" i="44"/>
  <c r="J469" i="44"/>
  <c r="K406" i="44"/>
  <c r="EU453" i="1"/>
  <c r="EU315" i="1" s="1"/>
  <c r="DO468" i="1"/>
  <c r="AJ382" i="44" s="1"/>
  <c r="K382" i="44" s="1"/>
  <c r="DL453" i="1"/>
  <c r="DL315" i="1" s="1"/>
  <c r="DM42" i="1"/>
  <c r="DN42" i="1" s="1"/>
  <c r="DM593" i="1"/>
  <c r="DN593" i="1" s="1"/>
  <c r="DM468" i="1"/>
  <c r="B489" i="1"/>
  <c r="DL184" i="1"/>
  <c r="DO184" i="1" s="1"/>
  <c r="AJ101" i="44" s="1"/>
  <c r="K101" i="44" s="1"/>
  <c r="J101" i="44" s="1"/>
  <c r="J382" i="44" l="1"/>
  <c r="K374" i="44"/>
  <c r="K373" i="44" s="1"/>
  <c r="K372" i="44" s="1"/>
  <c r="DO453" i="1"/>
  <c r="DO315" i="1" s="1"/>
  <c r="DN468" i="1"/>
  <c r="DN453" i="1" s="1"/>
  <c r="DN315" i="1" s="1"/>
  <c r="DM453" i="1"/>
  <c r="DM315" i="1" s="1"/>
  <c r="DM184" i="1"/>
  <c r="DN184" i="1" s="1"/>
  <c r="CW60" i="1"/>
  <c r="AF26" i="44" s="1"/>
  <c r="G21" i="46" l="1"/>
  <c r="J372" i="44"/>
  <c r="DL153" i="1"/>
  <c r="DO153" i="1" s="1"/>
  <c r="AJ87" i="44" s="1"/>
  <c r="K87" i="44" s="1"/>
  <c r="J87" i="44" s="1"/>
  <c r="DM153" i="1" l="1"/>
  <c r="DN153" i="1" s="1"/>
  <c r="CX501" i="1"/>
  <c r="AG398" i="44" s="1"/>
  <c r="H398" i="44" s="1"/>
  <c r="DQ559" i="1"/>
  <c r="DQ555" i="1"/>
  <c r="CW208" i="1"/>
  <c r="DJ208" i="1"/>
  <c r="DA208" i="1" l="1"/>
  <c r="AF120" i="44"/>
  <c r="DQ208" i="1"/>
  <c r="EU208" i="1" s="1"/>
  <c r="AH120" i="44"/>
  <c r="DB501" i="1"/>
  <c r="EX501" i="1" s="1"/>
  <c r="CW7" i="1"/>
  <c r="DQ453" i="1"/>
  <c r="DQ315" i="1" s="1"/>
  <c r="N593" i="1"/>
  <c r="O209" i="1"/>
  <c r="N208" i="1"/>
  <c r="O208" i="1" s="1"/>
  <c r="EW208" i="1" l="1"/>
  <c r="EY208" i="1" s="1"/>
  <c r="B500" i="1"/>
  <c r="B199" i="1"/>
  <c r="CX208" i="1"/>
  <c r="AG120" i="44" s="1"/>
  <c r="H120" i="44" s="1"/>
  <c r="B208" i="1"/>
  <c r="B195" i="1"/>
  <c r="B200" i="1"/>
  <c r="B484" i="1"/>
  <c r="B581" i="1"/>
  <c r="DB208" i="1" l="1"/>
  <c r="EX208" i="1" s="1"/>
  <c r="B583" i="1"/>
  <c r="C583" i="1"/>
  <c r="B585" i="1"/>
  <c r="C585" i="1"/>
  <c r="B582" i="1"/>
  <c r="C582" i="1"/>
  <c r="B589" i="1"/>
  <c r="C589" i="1"/>
  <c r="B587" i="1"/>
  <c r="C587" i="1"/>
  <c r="B588" i="1"/>
  <c r="C588" i="1"/>
  <c r="B584" i="1"/>
  <c r="C584" i="1"/>
  <c r="B586" i="1"/>
  <c r="C586" i="1"/>
  <c r="B593" i="1"/>
  <c r="C593" i="1"/>
  <c r="B592" i="1"/>
  <c r="C592" i="1"/>
  <c r="C208" i="1"/>
  <c r="C209" i="1"/>
  <c r="B209" i="1"/>
  <c r="DL191" i="1" l="1"/>
  <c r="DO191" i="1" s="1"/>
  <c r="AJ108" i="44" s="1"/>
  <c r="K108" i="44" s="1"/>
  <c r="J108" i="44" s="1"/>
  <c r="A469" i="1"/>
  <c r="DM191" i="1" l="1"/>
  <c r="DN191" i="1" s="1"/>
  <c r="CX481" i="1"/>
  <c r="AG388" i="44" s="1"/>
  <c r="H388" i="44" s="1"/>
  <c r="CX488" i="1"/>
  <c r="AG392" i="44" s="1"/>
  <c r="H392" i="44" s="1"/>
  <c r="DB481" i="1" l="1"/>
  <c r="EX481" i="1" s="1"/>
  <c r="DB488" i="1"/>
  <c r="EX488" i="1" s="1"/>
  <c r="CX476" i="1"/>
  <c r="AG386" i="44" s="1"/>
  <c r="H386" i="44" s="1"/>
  <c r="CX473" i="1"/>
  <c r="AG385" i="44" s="1"/>
  <c r="H385" i="44" s="1"/>
  <c r="DB473" i="1" l="1"/>
  <c r="EX473" i="1" s="1"/>
  <c r="DB476" i="1"/>
  <c r="EX476" i="1" s="1"/>
  <c r="CX453" i="1"/>
  <c r="CX315" i="1" s="1"/>
  <c r="EF188" i="1"/>
  <c r="AJ105" i="44" s="1"/>
  <c r="K105" i="44" s="1"/>
  <c r="J105" i="44" s="1"/>
  <c r="EF160" i="1"/>
  <c r="EF159" i="1"/>
  <c r="AJ91" i="44" s="1"/>
  <c r="K91" i="44" s="1"/>
  <c r="J91" i="44" s="1"/>
  <c r="EF158" i="1"/>
  <c r="EF157" i="1"/>
  <c r="AJ89" i="44" s="1"/>
  <c r="K89" i="44" s="1"/>
  <c r="J89" i="44" s="1"/>
  <c r="EF156" i="1"/>
  <c r="EF155" i="1"/>
  <c r="EF144" i="1"/>
  <c r="AJ80" i="44" s="1"/>
  <c r="K80" i="44" s="1"/>
  <c r="J80" i="44" s="1"/>
  <c r="EF131" i="1"/>
  <c r="EF128" i="1"/>
  <c r="B591" i="1" l="1"/>
  <c r="C591" i="1"/>
  <c r="CX60" i="1" l="1"/>
  <c r="AG26" i="44" s="1"/>
  <c r="H26" i="44" s="1"/>
  <c r="A468" i="1" l="1"/>
  <c r="A458" i="1"/>
  <c r="A457" i="1"/>
  <c r="A456" i="1"/>
  <c r="A455" i="1"/>
  <c r="A454" i="1"/>
  <c r="A316" i="1"/>
  <c r="O207" i="1"/>
  <c r="P205" i="1"/>
  <c r="B203" i="1" l="1"/>
  <c r="C203" i="1" l="1"/>
  <c r="C581" i="1"/>
  <c r="B205" i="1"/>
  <c r="C205" i="1"/>
  <c r="B207" i="1"/>
  <c r="C207" i="1"/>
  <c r="O578" i="1" l="1"/>
  <c r="P201" i="1"/>
  <c r="DL198" i="1" l="1"/>
  <c r="DO198" i="1" s="1"/>
  <c r="AJ113" i="44" s="1"/>
  <c r="K113" i="44" s="1"/>
  <c r="J113" i="44" s="1"/>
  <c r="DL197" i="1"/>
  <c r="DO197" i="1" s="1"/>
  <c r="AJ112" i="44" s="1"/>
  <c r="K112" i="44" s="1"/>
  <c r="J112" i="44" s="1"/>
  <c r="DL196" i="1"/>
  <c r="DO196" i="1" s="1"/>
  <c r="AJ111" i="44" s="1"/>
  <c r="K111" i="44" s="1"/>
  <c r="J111" i="44" s="1"/>
  <c r="DJ198" i="1"/>
  <c r="N198" i="1"/>
  <c r="P198" i="1" s="1"/>
  <c r="N197" i="1"/>
  <c r="P197" i="1" s="1"/>
  <c r="N196" i="1"/>
  <c r="P196" i="1" s="1"/>
  <c r="P195" i="1"/>
  <c r="DQ198" i="1" l="1"/>
  <c r="EU198" i="1" s="1"/>
  <c r="EW198" i="1" s="1"/>
  <c r="EY198" i="1" s="1"/>
  <c r="AH113" i="44"/>
  <c r="DM196" i="1"/>
  <c r="DN196" i="1" s="1"/>
  <c r="DM197" i="1"/>
  <c r="DN197" i="1" s="1"/>
  <c r="DM198" i="1"/>
  <c r="DN198" i="1" s="1"/>
  <c r="B578" i="1"/>
  <c r="C201" i="1"/>
  <c r="B197" i="1"/>
  <c r="C199" i="1"/>
  <c r="C578" i="1" l="1"/>
  <c r="B580" i="1"/>
  <c r="C580" i="1"/>
  <c r="C197" i="1"/>
  <c r="C195" i="1"/>
  <c r="B196" i="1"/>
  <c r="C196" i="1"/>
  <c r="B198" i="1"/>
  <c r="C198" i="1"/>
  <c r="C200" i="1"/>
  <c r="O469" i="1" l="1"/>
  <c r="O468" i="1"/>
  <c r="O467" i="1"/>
  <c r="O465" i="1"/>
  <c r="O463" i="1"/>
  <c r="O461" i="1"/>
  <c r="O459" i="1"/>
  <c r="O458" i="1"/>
  <c r="O457" i="1"/>
  <c r="B544" i="1" l="1"/>
  <c r="B525" i="1"/>
  <c r="B514" i="1"/>
  <c r="C514" i="1"/>
  <c r="B574" i="1"/>
  <c r="C574" i="1"/>
  <c r="B538" i="1"/>
  <c r="C538" i="1"/>
  <c r="B550" i="1"/>
  <c r="C550" i="1"/>
  <c r="B564" i="1"/>
  <c r="C564" i="1"/>
  <c r="C493" i="1"/>
  <c r="C470" i="1"/>
  <c r="B501" i="1"/>
  <c r="C501" i="1"/>
  <c r="B473" i="1"/>
  <c r="C473" i="1"/>
  <c r="B533" i="1"/>
  <c r="C533" i="1"/>
  <c r="B457" i="1"/>
  <c r="C457" i="1"/>
  <c r="B488" i="1"/>
  <c r="C488" i="1"/>
  <c r="B526" i="1"/>
  <c r="C526" i="1"/>
  <c r="C476" i="1"/>
  <c r="B535" i="1"/>
  <c r="C535" i="1"/>
  <c r="B548" i="1"/>
  <c r="C548" i="1"/>
  <c r="B543" i="1"/>
  <c r="C543" i="1"/>
  <c r="B532" i="1"/>
  <c r="C532" i="1"/>
  <c r="B485" i="1"/>
  <c r="C485" i="1"/>
  <c r="B547" i="1"/>
  <c r="C547" i="1"/>
  <c r="B561" i="1"/>
  <c r="C561" i="1"/>
  <c r="B468" i="1"/>
  <c r="C468" i="1"/>
  <c r="B577" i="1"/>
  <c r="C577" i="1"/>
  <c r="B528" i="1"/>
  <c r="C528" i="1"/>
  <c r="B467" i="1"/>
  <c r="C467" i="1"/>
  <c r="B545" i="1"/>
  <c r="C545" i="1"/>
  <c r="B469" i="1"/>
  <c r="C469" i="1"/>
  <c r="B518" i="1"/>
  <c r="C518" i="1"/>
  <c r="B459" i="1"/>
  <c r="C459" i="1"/>
  <c r="B523" i="1"/>
  <c r="C523" i="1"/>
  <c r="B529" i="1"/>
  <c r="C529" i="1"/>
  <c r="B481" i="1"/>
  <c r="C481" i="1"/>
  <c r="B461" i="1"/>
  <c r="C461" i="1"/>
  <c r="B512" i="1"/>
  <c r="C512" i="1"/>
  <c r="B566" i="1"/>
  <c r="C566" i="1"/>
  <c r="B522" i="1"/>
  <c r="C522" i="1"/>
  <c r="B576" i="1"/>
  <c r="C576" i="1"/>
  <c r="B569" i="1"/>
  <c r="C569" i="1"/>
  <c r="C500" i="1"/>
  <c r="B567" i="1"/>
  <c r="C567" i="1"/>
  <c r="B497" i="1"/>
  <c r="C497" i="1"/>
  <c r="B517" i="1"/>
  <c r="C517" i="1"/>
  <c r="B458" i="1"/>
  <c r="C458" i="1"/>
  <c r="B524" i="1"/>
  <c r="C524" i="1"/>
  <c r="B520" i="1"/>
  <c r="C520" i="1"/>
  <c r="B542" i="1"/>
  <c r="C542" i="1"/>
  <c r="B575" i="1"/>
  <c r="C575" i="1"/>
  <c r="B563" i="1"/>
  <c r="C563" i="1"/>
  <c r="B516" i="1"/>
  <c r="C516" i="1"/>
  <c r="B504" i="1"/>
  <c r="C504" i="1"/>
  <c r="B572" i="1"/>
  <c r="C572" i="1"/>
  <c r="B479" i="1"/>
  <c r="C479" i="1"/>
  <c r="B539" i="1"/>
  <c r="C539" i="1"/>
  <c r="B511" i="1"/>
  <c r="C511" i="1"/>
  <c r="B554" i="1"/>
  <c r="C554" i="1"/>
  <c r="B551" i="1"/>
  <c r="C551" i="1"/>
  <c r="B570" i="1"/>
  <c r="C570" i="1"/>
  <c r="C489" i="1"/>
  <c r="B565" i="1"/>
  <c r="C565" i="1"/>
  <c r="B556" i="1"/>
  <c r="C556" i="1"/>
  <c r="B483" i="1"/>
  <c r="C483" i="1"/>
  <c r="B571" i="1"/>
  <c r="C571" i="1"/>
  <c r="B463" i="1"/>
  <c r="C463" i="1"/>
  <c r="B498" i="1"/>
  <c r="C498" i="1"/>
  <c r="C505" i="1"/>
  <c r="C484" i="1"/>
  <c r="B560" i="1"/>
  <c r="C560" i="1"/>
  <c r="B509" i="1"/>
  <c r="C509" i="1"/>
  <c r="B536" i="1"/>
  <c r="C536" i="1"/>
  <c r="B507" i="1"/>
  <c r="C507" i="1"/>
  <c r="B562" i="1"/>
  <c r="C562" i="1"/>
  <c r="B465" i="1"/>
  <c r="C465" i="1"/>
  <c r="C525" i="1" l="1"/>
  <c r="C544" i="1"/>
  <c r="CX102" i="1"/>
  <c r="AG50" i="44" s="1"/>
  <c r="H50" i="44" s="1"/>
  <c r="DJ187" i="1"/>
  <c r="DJ186" i="1"/>
  <c r="DQ186" i="1" l="1"/>
  <c r="EU186" i="1" s="1"/>
  <c r="AH103" i="44"/>
  <c r="DQ187" i="1"/>
  <c r="EU187" i="1" s="1"/>
  <c r="AH104" i="44"/>
  <c r="CX7" i="1"/>
  <c r="J15" i="19"/>
  <c r="M15" i="19" s="1"/>
  <c r="N15" i="19" s="1"/>
  <c r="J6" i="19"/>
  <c r="F15" i="19" s="1"/>
  <c r="M13" i="24" s="1"/>
  <c r="E6" i="19"/>
  <c r="D6" i="19"/>
  <c r="I15" i="19" s="1"/>
  <c r="P13" i="24" s="1"/>
  <c r="AJ8" i="1"/>
  <c r="DR8" i="1"/>
  <c r="DR7" i="1" s="1"/>
  <c r="EP8" i="1"/>
  <c r="EP7" i="1" s="1"/>
  <c r="AJ9" i="1"/>
  <c r="AJ10" i="1"/>
  <c r="AJ11" i="1"/>
  <c r="AJ17" i="1"/>
  <c r="AJ21" i="1"/>
  <c r="AJ22" i="1"/>
  <c r="AJ26" i="1"/>
  <c r="AJ28" i="1"/>
  <c r="AJ30" i="1"/>
  <c r="AJ32" i="1"/>
  <c r="AJ34" i="1"/>
  <c r="AJ37" i="1"/>
  <c r="AJ38" i="1"/>
  <c r="AJ43" i="1"/>
  <c r="AJ49" i="1"/>
  <c r="AJ54" i="1"/>
  <c r="AJ55" i="1"/>
  <c r="AJ60" i="1"/>
  <c r="AJ64" i="1"/>
  <c r="AJ67" i="1"/>
  <c r="AJ69" i="1"/>
  <c r="AJ72" i="1"/>
  <c r="AJ73" i="1"/>
  <c r="AJ75" i="1"/>
  <c r="AJ76" i="1"/>
  <c r="AJ77" i="1"/>
  <c r="AJ78" i="1"/>
  <c r="AJ79" i="1"/>
  <c r="AJ81" i="1"/>
  <c r="AJ84" i="1"/>
  <c r="AJ85" i="1"/>
  <c r="AJ86" i="1"/>
  <c r="AJ87" i="1"/>
  <c r="AJ88" i="1"/>
  <c r="AJ90" i="1"/>
  <c r="AJ92" i="1"/>
  <c r="AJ94" i="1"/>
  <c r="AJ96" i="1"/>
  <c r="AJ98" i="1"/>
  <c r="AJ99" i="1"/>
  <c r="AJ100" i="1"/>
  <c r="AJ102" i="1"/>
  <c r="AJ103" i="1"/>
  <c r="AJ104" i="1"/>
  <c r="AJ106" i="1"/>
  <c r="AJ107" i="1"/>
  <c r="AJ108" i="1"/>
  <c r="AJ109" i="1"/>
  <c r="AJ110" i="1"/>
  <c r="AJ112" i="1"/>
  <c r="AJ113" i="1"/>
  <c r="AJ115" i="1"/>
  <c r="AJ118" i="1"/>
  <c r="AJ119" i="1"/>
  <c r="AJ120" i="1"/>
  <c r="AJ121" i="1"/>
  <c r="AJ122" i="1"/>
  <c r="AJ123" i="1"/>
  <c r="AJ124" i="1"/>
  <c r="AJ125" i="1"/>
  <c r="AJ126" i="1"/>
  <c r="AJ129" i="1"/>
  <c r="AJ132" i="1"/>
  <c r="AJ134" i="1"/>
  <c r="AJ135" i="1"/>
  <c r="AJ136" i="1"/>
  <c r="AJ137" i="1"/>
  <c r="AJ139" i="1"/>
  <c r="AJ140" i="1"/>
  <c r="AJ141" i="1"/>
  <c r="AJ142" i="1"/>
  <c r="AJ143" i="1"/>
  <c r="AJ145" i="1"/>
  <c r="AJ146" i="1"/>
  <c r="AJ147" i="1"/>
  <c r="AJ149" i="1"/>
  <c r="AJ151" i="1"/>
  <c r="AJ152" i="1"/>
  <c r="AJ153" i="1"/>
  <c r="AJ154" i="1"/>
  <c r="AJ157" i="1"/>
  <c r="AJ158" i="1"/>
  <c r="AJ159" i="1"/>
  <c r="AJ160" i="1"/>
  <c r="AJ161" i="1"/>
  <c r="AJ162" i="1"/>
  <c r="AJ163" i="1"/>
  <c r="AJ164" i="1"/>
  <c r="AJ165" i="1"/>
  <c r="AJ166" i="1"/>
  <c r="AJ183" i="1"/>
  <c r="AJ184" i="1"/>
  <c r="AJ185" i="1"/>
  <c r="AJ186" i="1"/>
  <c r="AJ187" i="1"/>
  <c r="AJ188" i="1"/>
  <c r="AJ189" i="1"/>
  <c r="AJ190" i="1"/>
  <c r="AI8" i="1"/>
  <c r="DQ8" i="1"/>
  <c r="EO8" i="1"/>
  <c r="EO7" i="1" s="1"/>
  <c r="AI9" i="1"/>
  <c r="AI10" i="1"/>
  <c r="AI11" i="1"/>
  <c r="AI17" i="1"/>
  <c r="AI21" i="1"/>
  <c r="AI22" i="1"/>
  <c r="AI26" i="1"/>
  <c r="AI28" i="1"/>
  <c r="AI30" i="1"/>
  <c r="AI32" i="1"/>
  <c r="AI34" i="1"/>
  <c r="AI37" i="1"/>
  <c r="AI38" i="1"/>
  <c r="AI43" i="1"/>
  <c r="AI49" i="1"/>
  <c r="AI54" i="1"/>
  <c r="AI55" i="1"/>
  <c r="AI60" i="1"/>
  <c r="AI64" i="1"/>
  <c r="AI67" i="1"/>
  <c r="AI69" i="1"/>
  <c r="AI72" i="1"/>
  <c r="AI73" i="1"/>
  <c r="AI75" i="1"/>
  <c r="AI76" i="1"/>
  <c r="AI77" i="1"/>
  <c r="AI78" i="1"/>
  <c r="AI79" i="1"/>
  <c r="AI81" i="1"/>
  <c r="AI84" i="1"/>
  <c r="AI85" i="1"/>
  <c r="AI86" i="1"/>
  <c r="AI87" i="1"/>
  <c r="AI88" i="1"/>
  <c r="AI90" i="1"/>
  <c r="AI92" i="1"/>
  <c r="AI94" i="1"/>
  <c r="AI96" i="1"/>
  <c r="AI98" i="1"/>
  <c r="AI99" i="1"/>
  <c r="AI100" i="1"/>
  <c r="AI102" i="1"/>
  <c r="AI103" i="1"/>
  <c r="AI104" i="1"/>
  <c r="AI106" i="1"/>
  <c r="AI107" i="1"/>
  <c r="AI108" i="1"/>
  <c r="AI109" i="1"/>
  <c r="AI110" i="1"/>
  <c r="AI112" i="1"/>
  <c r="AI113" i="1"/>
  <c r="AI115" i="1"/>
  <c r="AI118" i="1"/>
  <c r="AI119" i="1"/>
  <c r="AI120" i="1"/>
  <c r="AI121" i="1"/>
  <c r="AI122" i="1"/>
  <c r="AI123" i="1"/>
  <c r="AI124" i="1"/>
  <c r="AI125" i="1"/>
  <c r="AI126" i="1"/>
  <c r="AI129" i="1"/>
  <c r="AI132" i="1"/>
  <c r="AI134" i="1"/>
  <c r="AI135" i="1"/>
  <c r="AI136" i="1"/>
  <c r="AI137" i="1"/>
  <c r="AI139" i="1"/>
  <c r="AI140" i="1"/>
  <c r="AI141" i="1"/>
  <c r="AI142" i="1"/>
  <c r="AI143" i="1"/>
  <c r="AI145" i="1"/>
  <c r="AI146" i="1"/>
  <c r="AI147" i="1"/>
  <c r="AI149" i="1"/>
  <c r="AI151" i="1"/>
  <c r="AI152" i="1"/>
  <c r="AI153" i="1"/>
  <c r="AI154" i="1"/>
  <c r="AI157" i="1"/>
  <c r="AI158" i="1"/>
  <c r="AI159" i="1"/>
  <c r="AI160" i="1"/>
  <c r="AI161" i="1"/>
  <c r="AI162" i="1"/>
  <c r="AI163" i="1"/>
  <c r="AI164" i="1"/>
  <c r="AI165" i="1"/>
  <c r="AI166" i="1"/>
  <c r="AI183" i="1"/>
  <c r="AI184" i="1"/>
  <c r="AI185" i="1"/>
  <c r="AI186" i="1"/>
  <c r="AI187" i="1"/>
  <c r="AI188" i="1"/>
  <c r="AI189" i="1"/>
  <c r="AI190" i="1"/>
  <c r="EF78" i="1"/>
  <c r="AJ35" i="44" s="1"/>
  <c r="K35" i="44" s="1"/>
  <c r="J35" i="44" s="1"/>
  <c r="AK35" i="44" s="1"/>
  <c r="EF79" i="1"/>
  <c r="EF80" i="1"/>
  <c r="EF81" i="1"/>
  <c r="EF82" i="1"/>
  <c r="EF83" i="1"/>
  <c r="EF84" i="1"/>
  <c r="AJ38" i="44" s="1"/>
  <c r="K38" i="44" s="1"/>
  <c r="J38" i="44" s="1"/>
  <c r="AK38" i="44" s="1"/>
  <c r="EF85" i="1"/>
  <c r="AJ39" i="44" s="1"/>
  <c r="K39" i="44" s="1"/>
  <c r="J39" i="44" s="1"/>
  <c r="AK39" i="44" s="1"/>
  <c r="EF86" i="1"/>
  <c r="AJ40" i="44" s="1"/>
  <c r="K40" i="44" s="1"/>
  <c r="J40" i="44" s="1"/>
  <c r="AK40" i="44" s="1"/>
  <c r="EF87" i="1"/>
  <c r="AJ41" i="44" s="1"/>
  <c r="K41" i="44" s="1"/>
  <c r="J41" i="44" s="1"/>
  <c r="AK41" i="44" s="1"/>
  <c r="EF88" i="1"/>
  <c r="EF89" i="1"/>
  <c r="EF90" i="1"/>
  <c r="EF91" i="1"/>
  <c r="EF92" i="1"/>
  <c r="EF93" i="1"/>
  <c r="EF94" i="1"/>
  <c r="AJ45" i="44" s="1"/>
  <c r="K45" i="44" s="1"/>
  <c r="J45" i="44" s="1"/>
  <c r="AK45" i="44" s="1"/>
  <c r="EF95" i="1"/>
  <c r="EF96" i="1"/>
  <c r="EF97" i="1"/>
  <c r="EF98" i="1"/>
  <c r="AJ47" i="44" s="1"/>
  <c r="K47" i="44" s="1"/>
  <c r="J47" i="44" s="1"/>
  <c r="AK47" i="44" s="1"/>
  <c r="EF104" i="1"/>
  <c r="EF105" i="1"/>
  <c r="EF112" i="1"/>
  <c r="AJ58" i="44" s="1"/>
  <c r="K58" i="44" s="1"/>
  <c r="J58" i="44" s="1"/>
  <c r="AK58" i="44" s="1"/>
  <c r="EF125" i="1"/>
  <c r="AJ68" i="44" s="1"/>
  <c r="K68" i="44" s="1"/>
  <c r="J68" i="44" s="1"/>
  <c r="AK68" i="44" s="1"/>
  <c r="EF126" i="1"/>
  <c r="EF127" i="1"/>
  <c r="EF129" i="1"/>
  <c r="EF130" i="1"/>
  <c r="EF132" i="1"/>
  <c r="EF133" i="1"/>
  <c r="EF134" i="1"/>
  <c r="AJ72" i="44" s="1"/>
  <c r="K72" i="44" s="1"/>
  <c r="J72" i="44" s="1"/>
  <c r="AK72" i="44" s="1"/>
  <c r="EF135" i="1"/>
  <c r="AJ73" i="44" s="1"/>
  <c r="K73" i="44" s="1"/>
  <c r="J73" i="44" s="1"/>
  <c r="EF136" i="1"/>
  <c r="AJ74" i="44" s="1"/>
  <c r="K74" i="44" s="1"/>
  <c r="J74" i="44" s="1"/>
  <c r="EF145" i="1"/>
  <c r="AJ81" i="44" s="1"/>
  <c r="K81" i="44" s="1"/>
  <c r="J81" i="44" s="1"/>
  <c r="EF146" i="1"/>
  <c r="AJ82" i="44" s="1"/>
  <c r="K82" i="44" s="1"/>
  <c r="J82" i="44" s="1"/>
  <c r="EF154" i="1"/>
  <c r="AJ88" i="44" s="1"/>
  <c r="K88" i="44" s="1"/>
  <c r="J88" i="44" s="1"/>
  <c r="M4" i="19"/>
  <c r="L4" i="19"/>
  <c r="J4" i="19"/>
  <c r="E4" i="19"/>
  <c r="D4" i="19"/>
  <c r="I14" i="19" s="1"/>
  <c r="P8" i="24" s="1"/>
  <c r="AI456" i="1"/>
  <c r="AJ456" i="1"/>
  <c r="AI454" i="1"/>
  <c r="AJ454" i="1"/>
  <c r="DJ141" i="1"/>
  <c r="DJ140" i="1"/>
  <c r="DJ122" i="1"/>
  <c r="DJ119" i="1"/>
  <c r="DJ115" i="1"/>
  <c r="DJ113" i="1"/>
  <c r="DJ110" i="1"/>
  <c r="DJ111" i="1"/>
  <c r="DJ106" i="1"/>
  <c r="DJ32" i="1"/>
  <c r="DJ30" i="1"/>
  <c r="DJ28" i="1"/>
  <c r="DJ26" i="1"/>
  <c r="N193" i="1"/>
  <c r="N157" i="1"/>
  <c r="O157" i="1" s="1"/>
  <c r="DH34" i="1"/>
  <c r="DH7" i="1" s="1"/>
  <c r="DL160" i="1"/>
  <c r="DO160" i="1" s="1"/>
  <c r="AJ92" i="44" s="1"/>
  <c r="K92" i="44" s="1"/>
  <c r="J92" i="44" s="1"/>
  <c r="DL158" i="1"/>
  <c r="DO158" i="1" s="1"/>
  <c r="AJ90" i="44" s="1"/>
  <c r="K90" i="44" s="1"/>
  <c r="J90" i="44" s="1"/>
  <c r="DL122" i="1"/>
  <c r="DO122" i="1" s="1"/>
  <c r="AJ65" i="44" s="1"/>
  <c r="K65" i="44" s="1"/>
  <c r="J65" i="44" s="1"/>
  <c r="AK65" i="44" s="1"/>
  <c r="DL113" i="1"/>
  <c r="DL115" i="1"/>
  <c r="DL111" i="1"/>
  <c r="DO111" i="1" s="1"/>
  <c r="AJ57" i="44" s="1"/>
  <c r="K57" i="44" s="1"/>
  <c r="J57" i="44" s="1"/>
  <c r="AK57" i="44" s="1"/>
  <c r="DL142" i="1"/>
  <c r="DO142" i="1" s="1"/>
  <c r="AJ79" i="44" s="1"/>
  <c r="K79" i="44" s="1"/>
  <c r="J79" i="44" s="1"/>
  <c r="DL141" i="1"/>
  <c r="DO141" i="1" s="1"/>
  <c r="AJ78" i="44" s="1"/>
  <c r="K78" i="44" s="1"/>
  <c r="J78" i="44" s="1"/>
  <c r="DL140" i="1"/>
  <c r="DO140" i="1" s="1"/>
  <c r="AJ77" i="44" s="1"/>
  <c r="K77" i="44" s="1"/>
  <c r="J77" i="44" s="1"/>
  <c r="DL139" i="1"/>
  <c r="DO139" i="1" s="1"/>
  <c r="AJ76" i="44" s="1"/>
  <c r="K76" i="44" s="1"/>
  <c r="J76" i="44" s="1"/>
  <c r="DL8" i="1"/>
  <c r="DL118" i="1"/>
  <c r="DO118" i="1" s="1"/>
  <c r="AJ61" i="44" s="1"/>
  <c r="K61" i="44" s="1"/>
  <c r="J61" i="44" s="1"/>
  <c r="AK61" i="44" s="1"/>
  <c r="DL119" i="1"/>
  <c r="DO119" i="1" s="1"/>
  <c r="AJ62" i="44" s="1"/>
  <c r="K62" i="44" s="1"/>
  <c r="J62" i="44" s="1"/>
  <c r="AK62" i="44" s="1"/>
  <c r="DL120" i="1"/>
  <c r="DO120" i="1" s="1"/>
  <c r="AJ63" i="44" s="1"/>
  <c r="K63" i="44" s="1"/>
  <c r="J63" i="44" s="1"/>
  <c r="AK63" i="44" s="1"/>
  <c r="P9" i="1"/>
  <c r="N9" i="1"/>
  <c r="N8" i="1"/>
  <c r="P8" i="1" s="1"/>
  <c r="E8" i="19"/>
  <c r="D8" i="19"/>
  <c r="I16" i="19" s="1"/>
  <c r="P17" i="24" s="1"/>
  <c r="K8" i="19"/>
  <c r="J16" i="19"/>
  <c r="K11" i="43" s="1"/>
  <c r="J8" i="19"/>
  <c r="I8" i="19"/>
  <c r="G16" i="19" s="1"/>
  <c r="N17" i="24" s="1"/>
  <c r="K6" i="19"/>
  <c r="I6" i="19"/>
  <c r="G15" i="19" s="1"/>
  <c r="N13" i="24" s="1"/>
  <c r="K4" i="19"/>
  <c r="J6" i="1"/>
  <c r="K6" i="1" s="1"/>
  <c r="L6" i="1" s="1"/>
  <c r="M6" i="1" s="1"/>
  <c r="N6" i="1" s="1"/>
  <c r="O6" i="1" s="1"/>
  <c r="P6" i="1" s="1"/>
  <c r="Q6" i="1" s="1"/>
  <c r="R6" i="1" s="1"/>
  <c r="S6" i="1" s="1"/>
  <c r="T6" i="1" s="1"/>
  <c r="U6" i="1" s="1"/>
  <c r="V6" i="1" s="1"/>
  <c r="W6" i="1" s="1"/>
  <c r="X6" i="1" s="1"/>
  <c r="Y6" i="1" s="1"/>
  <c r="Z6" i="1" s="1"/>
  <c r="AA6" i="1" s="1"/>
  <c r="AB6" i="1" s="1"/>
  <c r="AC6" i="1" s="1"/>
  <c r="AD6" i="1" s="1"/>
  <c r="AE6" i="1" s="1"/>
  <c r="AF6" i="1" s="1"/>
  <c r="AG6" i="1" s="1"/>
  <c r="AH6" i="1" s="1"/>
  <c r="AI6" i="1" s="1"/>
  <c r="AJ6" i="1" s="1"/>
  <c r="AK6" i="1" s="1"/>
  <c r="AL6" i="1" s="1"/>
  <c r="AM6" i="1" s="1"/>
  <c r="AN6" i="1" s="1"/>
  <c r="AO6" i="1" s="1"/>
  <c r="AP6" i="1" s="1"/>
  <c r="AQ6" i="1" s="1"/>
  <c r="AR6" i="1" s="1"/>
  <c r="AS6" i="1" s="1"/>
  <c r="AT6" i="1" s="1"/>
  <c r="AU6" i="1" s="1"/>
  <c r="AV6" i="1" s="1"/>
  <c r="AW6" i="1" s="1"/>
  <c r="AX6" i="1" s="1"/>
  <c r="AY6" i="1" s="1"/>
  <c r="AZ6" i="1" s="1"/>
  <c r="BA6" i="1" s="1"/>
  <c r="BB6" i="1" s="1"/>
  <c r="BC6" i="1" s="1"/>
  <c r="BD6" i="1" s="1"/>
  <c r="BE6" i="1" s="1"/>
  <c r="BF6" i="1" s="1"/>
  <c r="BG6" i="1" s="1"/>
  <c r="BH6" i="1" s="1"/>
  <c r="BI6" i="1" s="1"/>
  <c r="BJ6" i="1" s="1"/>
  <c r="BK6" i="1" s="1"/>
  <c r="BL6" i="1" s="1"/>
  <c r="BM6" i="1" s="1"/>
  <c r="BN6" i="1" s="1"/>
  <c r="BO6" i="1" s="1"/>
  <c r="BP6" i="1" s="1"/>
  <c r="BQ6" i="1" s="1"/>
  <c r="BR6" i="1" s="1"/>
  <c r="BS6" i="1" s="1"/>
  <c r="BT6" i="1" s="1"/>
  <c r="BU6" i="1" s="1"/>
  <c r="BV6" i="1" s="1"/>
  <c r="BW6" i="1" s="1"/>
  <c r="BX6" i="1" s="1"/>
  <c r="BY6" i="1" s="1"/>
  <c r="BZ6" i="1" s="1"/>
  <c r="CA6" i="1" s="1"/>
  <c r="CB6" i="1" s="1"/>
  <c r="CC6" i="1" s="1"/>
  <c r="CD6" i="1" s="1"/>
  <c r="CE6" i="1" s="1"/>
  <c r="CF6" i="1" s="1"/>
  <c r="CG6" i="1" s="1"/>
  <c r="CH6" i="1" s="1"/>
  <c r="CI6" i="1" s="1"/>
  <c r="CJ6" i="1" s="1"/>
  <c r="CK6" i="1" s="1"/>
  <c r="CL6" i="1" s="1"/>
  <c r="CM6" i="1" s="1"/>
  <c r="CN6" i="1" s="1"/>
  <c r="CO6" i="1" s="1"/>
  <c r="CP6" i="1" s="1"/>
  <c r="CS6" i="1" s="1"/>
  <c r="CT6" i="1" s="1"/>
  <c r="CU6" i="1" s="1"/>
  <c r="CV6" i="1" s="1"/>
  <c r="CW6" i="1" s="1"/>
  <c r="CX6" i="1" s="1"/>
  <c r="CY6" i="1" s="1"/>
  <c r="CZ6" i="1" s="1"/>
  <c r="DA6" i="1" s="1"/>
  <c r="DB6" i="1" s="1"/>
  <c r="DC6" i="1" s="1"/>
  <c r="DD6" i="1" s="1"/>
  <c r="DE6" i="1" s="1"/>
  <c r="DF6" i="1" s="1"/>
  <c r="DG6" i="1" s="1"/>
  <c r="DH6" i="1" s="1"/>
  <c r="DI6" i="1" s="1"/>
  <c r="DJ6" i="1" s="1"/>
  <c r="DK6" i="1" s="1"/>
  <c r="DL6" i="1" s="1"/>
  <c r="DM6" i="1" s="1"/>
  <c r="DN6" i="1" s="1"/>
  <c r="DO6" i="1" s="1"/>
  <c r="DP6" i="1" s="1"/>
  <c r="DQ6" i="1" s="1"/>
  <c r="DR6" i="1" s="1"/>
  <c r="DS6" i="1" s="1"/>
  <c r="DT6" i="1" s="1"/>
  <c r="DU6" i="1" s="1"/>
  <c r="DV6" i="1" s="1"/>
  <c r="DW6" i="1" s="1"/>
  <c r="DX6" i="1" s="1"/>
  <c r="DY6" i="1" s="1"/>
  <c r="DZ6" i="1" s="1"/>
  <c r="EA6" i="1" s="1"/>
  <c r="EB6" i="1" s="1"/>
  <c r="EC6" i="1" s="1"/>
  <c r="ED6" i="1" s="1"/>
  <c r="EE6" i="1" s="1"/>
  <c r="EF6" i="1" s="1"/>
  <c r="EG6" i="1" s="1"/>
  <c r="EH6" i="1" s="1"/>
  <c r="EI6" i="1" s="1"/>
  <c r="EJ6" i="1" s="1"/>
  <c r="EK6" i="1" s="1"/>
  <c r="EL6" i="1" s="1"/>
  <c r="EM6" i="1" s="1"/>
  <c r="EN6" i="1" s="1"/>
  <c r="EO6" i="1" s="1"/>
  <c r="EP6" i="1" s="1"/>
  <c r="EQ6" i="1" s="1"/>
  <c r="ER6" i="1" s="1"/>
  <c r="ES6" i="1" s="1"/>
  <c r="ET6" i="1" s="1"/>
  <c r="EU6" i="1" s="1"/>
  <c r="EV6" i="1" s="1"/>
  <c r="EW6" i="1" s="1"/>
  <c r="EX6" i="1" s="1"/>
  <c r="EY6" i="1" s="1"/>
  <c r="EZ6" i="1" s="1"/>
  <c r="E26" i="10"/>
  <c r="E25" i="10"/>
  <c r="E24" i="10"/>
  <c r="E23" i="10"/>
  <c r="E22" i="10"/>
  <c r="E21" i="10"/>
  <c r="E20" i="10"/>
  <c r="E19" i="10"/>
  <c r="E18" i="10"/>
  <c r="E17" i="10"/>
  <c r="E16" i="10"/>
  <c r="E15" i="10"/>
  <c r="E14" i="10"/>
  <c r="E13" i="10"/>
  <c r="E12" i="10"/>
  <c r="E11" i="10"/>
  <c r="E10" i="10"/>
  <c r="E26" i="13"/>
  <c r="E25" i="13"/>
  <c r="E24" i="13"/>
  <c r="E23" i="13"/>
  <c r="E22" i="13"/>
  <c r="E21" i="13"/>
  <c r="E20" i="13"/>
  <c r="E19" i="13"/>
  <c r="E18" i="13"/>
  <c r="E17" i="13"/>
  <c r="E16" i="13"/>
  <c r="E15" i="13"/>
  <c r="E14" i="13"/>
  <c r="E13" i="13"/>
  <c r="E12" i="13"/>
  <c r="E11" i="13"/>
  <c r="E10" i="13"/>
  <c r="G27" i="13"/>
  <c r="H26" i="13"/>
  <c r="J26" i="13"/>
  <c r="J25" i="13"/>
  <c r="H25" i="13"/>
  <c r="H24" i="13"/>
  <c r="J24" i="13"/>
  <c r="H23" i="13"/>
  <c r="J23" i="13"/>
  <c r="H22" i="13"/>
  <c r="J22" i="13"/>
  <c r="J21" i="13"/>
  <c r="H21" i="13"/>
  <c r="H20" i="13"/>
  <c r="J20" i="13"/>
  <c r="H19" i="13"/>
  <c r="J19" i="13"/>
  <c r="H18" i="13"/>
  <c r="J18" i="13"/>
  <c r="H17" i="13"/>
  <c r="J17" i="13"/>
  <c r="H16" i="13"/>
  <c r="J16" i="13"/>
  <c r="H15" i="13"/>
  <c r="J15" i="13"/>
  <c r="H14" i="13"/>
  <c r="F13" i="13"/>
  <c r="H13" i="13"/>
  <c r="J13" i="13"/>
  <c r="H12" i="13"/>
  <c r="J12" i="13"/>
  <c r="H11" i="13"/>
  <c r="J11" i="13"/>
  <c r="H10" i="13"/>
  <c r="H27" i="13"/>
  <c r="J14" i="13"/>
  <c r="J10" i="13"/>
  <c r="J27" i="13"/>
  <c r="G27" i="10"/>
  <c r="H26" i="10"/>
  <c r="J26" i="10"/>
  <c r="H25" i="10"/>
  <c r="J25" i="10"/>
  <c r="H24" i="10"/>
  <c r="J24" i="10"/>
  <c r="H23" i="10"/>
  <c r="J23" i="10"/>
  <c r="H22" i="10"/>
  <c r="J22" i="10"/>
  <c r="F21" i="10"/>
  <c r="H21" i="10"/>
  <c r="J21" i="10"/>
  <c r="F20" i="10"/>
  <c r="H20" i="10"/>
  <c r="J20" i="10"/>
  <c r="H19" i="10"/>
  <c r="J19" i="10"/>
  <c r="H18" i="10"/>
  <c r="J18" i="10"/>
  <c r="H17" i="10"/>
  <c r="J17" i="10"/>
  <c r="H16" i="10"/>
  <c r="J16" i="10"/>
  <c r="H15" i="10"/>
  <c r="J15" i="10"/>
  <c r="H14" i="10"/>
  <c r="J14" i="10"/>
  <c r="H13" i="10"/>
  <c r="J13" i="10"/>
  <c r="H12" i="10"/>
  <c r="J12" i="10"/>
  <c r="H11" i="10"/>
  <c r="J11" i="10"/>
  <c r="H10" i="10"/>
  <c r="J10" i="10"/>
  <c r="J27" i="10"/>
  <c r="H27" i="10"/>
  <c r="A8" i="1"/>
  <c r="K3" i="1"/>
  <c r="AD407" i="44" l="1"/>
  <c r="F407" i="44" s="1"/>
  <c r="CS454" i="1"/>
  <c r="CS187" i="1"/>
  <c r="AD104" i="44" s="1"/>
  <c r="F104" i="44" s="1"/>
  <c r="AD95" i="44"/>
  <c r="F95" i="44" s="1"/>
  <c r="CS163" i="1"/>
  <c r="CS153" i="1"/>
  <c r="CS142" i="1"/>
  <c r="CS132" i="1"/>
  <c r="CS120" i="1"/>
  <c r="CS108" i="1"/>
  <c r="CS98" i="1"/>
  <c r="DA98" i="1" s="1"/>
  <c r="EW98" i="1" s="1"/>
  <c r="EY98" i="1" s="1"/>
  <c r="AD39" i="44"/>
  <c r="F39" i="44" s="1"/>
  <c r="CS85" i="1"/>
  <c r="CS73" i="1"/>
  <c r="AD31" i="44" s="1"/>
  <c r="F31" i="44" s="1"/>
  <c r="CS49" i="1"/>
  <c r="CS26" i="1"/>
  <c r="DA26" i="1" s="1"/>
  <c r="CT184" i="1"/>
  <c r="CT160" i="1"/>
  <c r="CT149" i="1"/>
  <c r="CT139" i="1"/>
  <c r="CT125" i="1"/>
  <c r="CT115" i="1"/>
  <c r="DB115" i="1" s="1"/>
  <c r="EX115" i="1" s="1"/>
  <c r="CT104" i="1"/>
  <c r="CT92" i="1"/>
  <c r="CT79" i="1"/>
  <c r="CT67" i="1"/>
  <c r="CT37" i="1"/>
  <c r="CT17" i="1"/>
  <c r="CS186" i="1"/>
  <c r="CS152" i="1"/>
  <c r="CS129" i="1"/>
  <c r="CS107" i="1"/>
  <c r="CS84" i="1"/>
  <c r="CS72" i="1"/>
  <c r="CS43" i="1"/>
  <c r="CS22" i="1"/>
  <c r="CS8" i="1"/>
  <c r="CT159" i="1"/>
  <c r="CT137" i="1"/>
  <c r="CT124" i="1"/>
  <c r="DB124" i="1" s="1"/>
  <c r="EX124" i="1" s="1"/>
  <c r="CT113" i="1"/>
  <c r="CT103" i="1"/>
  <c r="CT90" i="1"/>
  <c r="CT78" i="1"/>
  <c r="DB78" i="1" s="1"/>
  <c r="EX78" i="1" s="1"/>
  <c r="CT64" i="1"/>
  <c r="CT34" i="1"/>
  <c r="CT11" i="1"/>
  <c r="CS456" i="1"/>
  <c r="CS185" i="1"/>
  <c r="CS161" i="1"/>
  <c r="CS151" i="1"/>
  <c r="CS140" i="1"/>
  <c r="DA140" i="1" s="1"/>
  <c r="CS126" i="1"/>
  <c r="CS118" i="1"/>
  <c r="CS106" i="1"/>
  <c r="CS94" i="1"/>
  <c r="DA94" i="1" s="1"/>
  <c r="EW94" i="1" s="1"/>
  <c r="EY94" i="1" s="1"/>
  <c r="CS81" i="1"/>
  <c r="CS69" i="1"/>
  <c r="CS38" i="1"/>
  <c r="CS21" i="1"/>
  <c r="CT190" i="1"/>
  <c r="CT166" i="1"/>
  <c r="CT158" i="1"/>
  <c r="CT146" i="1"/>
  <c r="DB146" i="1" s="1"/>
  <c r="EX146" i="1" s="1"/>
  <c r="CT136" i="1"/>
  <c r="CT123" i="1"/>
  <c r="CT112" i="1"/>
  <c r="CT102" i="1"/>
  <c r="CT88" i="1"/>
  <c r="CT77" i="1"/>
  <c r="CT60" i="1"/>
  <c r="CT32" i="1"/>
  <c r="CT10" i="1"/>
  <c r="CS162" i="1"/>
  <c r="CS141" i="1"/>
  <c r="CS119" i="1"/>
  <c r="DA119" i="1" s="1"/>
  <c r="CS96" i="1"/>
  <c r="DA96" i="1" s="1"/>
  <c r="EW96" i="1" s="1"/>
  <c r="EY96" i="1" s="1"/>
  <c r="CT183" i="1"/>
  <c r="CT147" i="1"/>
  <c r="CS184" i="1"/>
  <c r="DA184" i="1" s="1"/>
  <c r="EW184" i="1" s="1"/>
  <c r="EY184" i="1" s="1"/>
  <c r="CS160" i="1"/>
  <c r="CS149" i="1"/>
  <c r="CS139" i="1"/>
  <c r="CS125" i="1"/>
  <c r="CS115" i="1"/>
  <c r="CS104" i="1"/>
  <c r="CS92" i="1"/>
  <c r="CS79" i="1"/>
  <c r="CS67" i="1"/>
  <c r="CS37" i="1"/>
  <c r="CS17" i="1"/>
  <c r="DA17" i="1" s="1"/>
  <c r="EW17" i="1" s="1"/>
  <c r="EY17" i="1" s="1"/>
  <c r="CT189" i="1"/>
  <c r="CT165" i="1"/>
  <c r="CT157" i="1"/>
  <c r="CT145" i="1"/>
  <c r="CT135" i="1"/>
  <c r="CT122" i="1"/>
  <c r="CT110" i="1"/>
  <c r="CT100" i="1"/>
  <c r="CT87" i="1"/>
  <c r="CT76" i="1"/>
  <c r="DB76" i="1" s="1"/>
  <c r="EX76" i="1" s="1"/>
  <c r="CT55" i="1"/>
  <c r="CT30" i="1"/>
  <c r="CT9" i="1"/>
  <c r="CT456" i="1"/>
  <c r="CS183" i="1"/>
  <c r="CS159" i="1"/>
  <c r="CS147" i="1"/>
  <c r="DA147" i="1" s="1"/>
  <c r="EW147" i="1" s="1"/>
  <c r="EY147" i="1" s="1"/>
  <c r="CS137" i="1"/>
  <c r="DA137" i="1" s="1"/>
  <c r="EW137" i="1" s="1"/>
  <c r="EY137" i="1" s="1"/>
  <c r="CS124" i="1"/>
  <c r="CS113" i="1"/>
  <c r="CS103" i="1"/>
  <c r="CS90" i="1"/>
  <c r="CS78" i="1"/>
  <c r="CS64" i="1"/>
  <c r="CS34" i="1"/>
  <c r="AD19" i="44" s="1"/>
  <c r="F19" i="44" s="1"/>
  <c r="CS11" i="1"/>
  <c r="AD11" i="44" s="1"/>
  <c r="F11" i="44" s="1"/>
  <c r="CT188" i="1"/>
  <c r="AE105" i="44" s="1"/>
  <c r="G105" i="44" s="1"/>
  <c r="CT164" i="1"/>
  <c r="CT154" i="1"/>
  <c r="DB154" i="1" s="1"/>
  <c r="EX154" i="1" s="1"/>
  <c r="CT143" i="1"/>
  <c r="DB143" i="1" s="1"/>
  <c r="EX143" i="1" s="1"/>
  <c r="CT134" i="1"/>
  <c r="CT121" i="1"/>
  <c r="CT109" i="1"/>
  <c r="AE56" i="44" s="1"/>
  <c r="G56" i="44" s="1"/>
  <c r="CT99" i="1"/>
  <c r="AE48" i="44" s="1"/>
  <c r="G48" i="44" s="1"/>
  <c r="CT86" i="1"/>
  <c r="AE40" i="44" s="1"/>
  <c r="G40" i="44" s="1"/>
  <c r="CT75" i="1"/>
  <c r="CT54" i="1"/>
  <c r="DB54" i="1" s="1"/>
  <c r="EX54" i="1" s="1"/>
  <c r="CT28" i="1"/>
  <c r="CS190" i="1"/>
  <c r="CS166" i="1"/>
  <c r="CS158" i="1"/>
  <c r="DA158" i="1" s="1"/>
  <c r="EW158" i="1" s="1"/>
  <c r="EY158" i="1" s="1"/>
  <c r="CS146" i="1"/>
  <c r="CS136" i="1"/>
  <c r="DA136" i="1" s="1"/>
  <c r="EW136" i="1" s="1"/>
  <c r="EY136" i="1" s="1"/>
  <c r="CS123" i="1"/>
  <c r="CS112" i="1"/>
  <c r="CS102" i="1"/>
  <c r="DA102" i="1" s="1"/>
  <c r="EW102" i="1" s="1"/>
  <c r="EY102" i="1" s="1"/>
  <c r="CS88" i="1"/>
  <c r="CS77" i="1"/>
  <c r="CS60" i="1"/>
  <c r="CS32" i="1"/>
  <c r="DA32" i="1" s="1"/>
  <c r="CS10" i="1"/>
  <c r="CT187" i="1"/>
  <c r="CT163" i="1"/>
  <c r="CT153" i="1"/>
  <c r="CT142" i="1"/>
  <c r="CT132" i="1"/>
  <c r="CT120" i="1"/>
  <c r="DB120" i="1" s="1"/>
  <c r="EX120" i="1" s="1"/>
  <c r="CT108" i="1"/>
  <c r="DB108" i="1" s="1"/>
  <c r="EX108" i="1" s="1"/>
  <c r="CT98" i="1"/>
  <c r="CT85" i="1"/>
  <c r="CT73" i="1"/>
  <c r="CT49" i="1"/>
  <c r="CT26" i="1"/>
  <c r="CS189" i="1"/>
  <c r="CS165" i="1"/>
  <c r="CS157" i="1"/>
  <c r="DA157" i="1" s="1"/>
  <c r="EW157" i="1" s="1"/>
  <c r="EY157" i="1" s="1"/>
  <c r="CS145" i="1"/>
  <c r="CS135" i="1"/>
  <c r="CS122" i="1"/>
  <c r="CS110" i="1"/>
  <c r="CS100" i="1"/>
  <c r="CS87" i="1"/>
  <c r="CS76" i="1"/>
  <c r="DA76" i="1" s="1"/>
  <c r="EW76" i="1" s="1"/>
  <c r="EY76" i="1" s="1"/>
  <c r="CS55" i="1"/>
  <c r="CS30" i="1"/>
  <c r="CS9" i="1"/>
  <c r="CT186" i="1"/>
  <c r="CT162" i="1"/>
  <c r="DB162" i="1" s="1"/>
  <c r="EX162" i="1" s="1"/>
  <c r="CT152" i="1"/>
  <c r="CT141" i="1"/>
  <c r="CT129" i="1"/>
  <c r="CT119" i="1"/>
  <c r="CT107" i="1"/>
  <c r="CT96" i="1"/>
  <c r="CT84" i="1"/>
  <c r="CT72" i="1"/>
  <c r="CT43" i="1"/>
  <c r="CT22" i="1"/>
  <c r="CT8" i="1"/>
  <c r="CT454" i="1"/>
  <c r="CS188" i="1"/>
  <c r="DA188" i="1" s="1"/>
  <c r="EW188" i="1" s="1"/>
  <c r="EY188" i="1" s="1"/>
  <c r="CS164" i="1"/>
  <c r="CS154" i="1"/>
  <c r="CS143" i="1"/>
  <c r="CS134" i="1"/>
  <c r="CS121" i="1"/>
  <c r="CS109" i="1"/>
  <c r="DA109" i="1" s="1"/>
  <c r="EW109" i="1" s="1"/>
  <c r="EY109" i="1" s="1"/>
  <c r="CS99" i="1"/>
  <c r="DA99" i="1" s="1"/>
  <c r="EW99" i="1" s="1"/>
  <c r="EY99" i="1" s="1"/>
  <c r="CS86" i="1"/>
  <c r="DA86" i="1" s="1"/>
  <c r="EW86" i="1" s="1"/>
  <c r="EY86" i="1" s="1"/>
  <c r="CS75" i="1"/>
  <c r="CS54" i="1"/>
  <c r="CS28" i="1"/>
  <c r="CT185" i="1"/>
  <c r="CT161" i="1"/>
  <c r="DB161" i="1" s="1"/>
  <c r="EX161" i="1" s="1"/>
  <c r="CT151" i="1"/>
  <c r="DB151" i="1" s="1"/>
  <c r="EX151" i="1" s="1"/>
  <c r="CT140" i="1"/>
  <c r="DB140" i="1" s="1"/>
  <c r="EX140" i="1" s="1"/>
  <c r="CT126" i="1"/>
  <c r="DB126" i="1" s="1"/>
  <c r="EX126" i="1" s="1"/>
  <c r="CT118" i="1"/>
  <c r="CT106" i="1"/>
  <c r="CT94" i="1"/>
  <c r="CT81" i="1"/>
  <c r="CT69" i="1"/>
  <c r="CT38" i="1"/>
  <c r="CT21" i="1"/>
  <c r="DQ110" i="1"/>
  <c r="EU110" i="1" s="1"/>
  <c r="AH57" i="44"/>
  <c r="DQ113" i="1"/>
  <c r="EU113" i="1" s="1"/>
  <c r="AH59" i="44"/>
  <c r="DQ26" i="1"/>
  <c r="EU26" i="1" s="1"/>
  <c r="AH15" i="44"/>
  <c r="DQ115" i="1"/>
  <c r="EU115" i="1" s="1"/>
  <c r="AH60" i="44"/>
  <c r="DQ28" i="1"/>
  <c r="EU28" i="1" s="1"/>
  <c r="AH16" i="44"/>
  <c r="DQ119" i="1"/>
  <c r="EU119" i="1" s="1"/>
  <c r="AH62" i="44"/>
  <c r="DQ32" i="1"/>
  <c r="EU32" i="1" s="1"/>
  <c r="AH18" i="44"/>
  <c r="DQ140" i="1"/>
  <c r="EU140" i="1" s="1"/>
  <c r="AH77" i="44"/>
  <c r="DQ30" i="1"/>
  <c r="EU30" i="1" s="1"/>
  <c r="AH17" i="44"/>
  <c r="DQ122" i="1"/>
  <c r="EU122" i="1" s="1"/>
  <c r="AH65" i="44"/>
  <c r="DQ106" i="1"/>
  <c r="EU106" i="1" s="1"/>
  <c r="AH53" i="44"/>
  <c r="DQ141" i="1"/>
  <c r="EU141" i="1" s="1"/>
  <c r="AH78" i="44"/>
  <c r="AJ43" i="44"/>
  <c r="K43" i="44" s="1"/>
  <c r="J43" i="44" s="1"/>
  <c r="AK43" i="44" s="1"/>
  <c r="AJ44" i="44"/>
  <c r="K44" i="44" s="1"/>
  <c r="J44" i="44" s="1"/>
  <c r="AK44" i="44" s="1"/>
  <c r="AJ37" i="44"/>
  <c r="K37" i="44" s="1"/>
  <c r="J37" i="44" s="1"/>
  <c r="AK37" i="44" s="1"/>
  <c r="AJ46" i="44"/>
  <c r="K46" i="44" s="1"/>
  <c r="J46" i="44" s="1"/>
  <c r="AK46" i="44" s="1"/>
  <c r="AJ42" i="44"/>
  <c r="K42" i="44" s="1"/>
  <c r="J42" i="44" s="1"/>
  <c r="AK42" i="44" s="1"/>
  <c r="AJ71" i="44"/>
  <c r="K71" i="44" s="1"/>
  <c r="J71" i="44" s="1"/>
  <c r="AK71" i="44" s="1"/>
  <c r="AJ52" i="44"/>
  <c r="K52" i="44" s="1"/>
  <c r="J52" i="44" s="1"/>
  <c r="AK52" i="44" s="1"/>
  <c r="AJ70" i="44"/>
  <c r="K70" i="44" s="1"/>
  <c r="J70" i="44" s="1"/>
  <c r="AK70" i="44" s="1"/>
  <c r="AJ69" i="44"/>
  <c r="K69" i="44" s="1"/>
  <c r="J69" i="44" s="1"/>
  <c r="AK69" i="44" s="1"/>
  <c r="AJ36" i="44"/>
  <c r="K36" i="44" s="1"/>
  <c r="J36" i="44" s="1"/>
  <c r="AK36" i="44" s="1"/>
  <c r="DA166" i="1"/>
  <c r="EW166" i="1" s="1"/>
  <c r="EY166" i="1" s="1"/>
  <c r="B166" i="1" s="1"/>
  <c r="DA88" i="1"/>
  <c r="EW88" i="1" s="1"/>
  <c r="EY88" i="1" s="1"/>
  <c r="DB163" i="1"/>
  <c r="EX163" i="1" s="1"/>
  <c r="DB142" i="1"/>
  <c r="EX142" i="1" s="1"/>
  <c r="DB49" i="1"/>
  <c r="EX49" i="1" s="1"/>
  <c r="DB129" i="1"/>
  <c r="EX129" i="1" s="1"/>
  <c r="DB119" i="1"/>
  <c r="EX119" i="1" s="1"/>
  <c r="DB107" i="1"/>
  <c r="EX107" i="1" s="1"/>
  <c r="DA134" i="1"/>
  <c r="EW134" i="1" s="1"/>
  <c r="EY134" i="1" s="1"/>
  <c r="DB81" i="1"/>
  <c r="EX81" i="1" s="1"/>
  <c r="DB38" i="1"/>
  <c r="EX38" i="1" s="1"/>
  <c r="DA454" i="1"/>
  <c r="EW454" i="1" s="1"/>
  <c r="EY454" i="1" s="1"/>
  <c r="DA187" i="1"/>
  <c r="EW187" i="1" s="1"/>
  <c r="EY187" i="1" s="1"/>
  <c r="DA163" i="1"/>
  <c r="EW163" i="1" s="1"/>
  <c r="EY163" i="1" s="1"/>
  <c r="DA142" i="1"/>
  <c r="EW142" i="1" s="1"/>
  <c r="EY142" i="1" s="1"/>
  <c r="DA132" i="1"/>
  <c r="EW132" i="1" s="1"/>
  <c r="EY132" i="1" s="1"/>
  <c r="DA120" i="1"/>
  <c r="EW120" i="1" s="1"/>
  <c r="EY120" i="1" s="1"/>
  <c r="DA108" i="1"/>
  <c r="EW108" i="1" s="1"/>
  <c r="EY108" i="1" s="1"/>
  <c r="DA85" i="1"/>
  <c r="EW85" i="1" s="1"/>
  <c r="EY85" i="1" s="1"/>
  <c r="DA73" i="1"/>
  <c r="EW73" i="1" s="1"/>
  <c r="EY73" i="1" s="1"/>
  <c r="DB184" i="1"/>
  <c r="EX184" i="1" s="1"/>
  <c r="DB160" i="1"/>
  <c r="EX160" i="1" s="1"/>
  <c r="DB149" i="1"/>
  <c r="EX149" i="1" s="1"/>
  <c r="DB139" i="1"/>
  <c r="EX139" i="1" s="1"/>
  <c r="DB92" i="1"/>
  <c r="EX92" i="1" s="1"/>
  <c r="DB79" i="1"/>
  <c r="EX79" i="1" s="1"/>
  <c r="DB67" i="1"/>
  <c r="EX67" i="1" s="1"/>
  <c r="DB37" i="1"/>
  <c r="EX37" i="1" s="1"/>
  <c r="DA165" i="1"/>
  <c r="EW165" i="1" s="1"/>
  <c r="EY165" i="1" s="1"/>
  <c r="DB456" i="1"/>
  <c r="EX456" i="1" s="1"/>
  <c r="DA152" i="1"/>
  <c r="EW152" i="1" s="1"/>
  <c r="EY152" i="1" s="1"/>
  <c r="DA107" i="1"/>
  <c r="EW107" i="1" s="1"/>
  <c r="EY107" i="1" s="1"/>
  <c r="DA84" i="1"/>
  <c r="EW84" i="1" s="1"/>
  <c r="EY84" i="1" s="1"/>
  <c r="DA72" i="1"/>
  <c r="EW72" i="1" s="1"/>
  <c r="EY72" i="1" s="1"/>
  <c r="DA43" i="1"/>
  <c r="EW43" i="1" s="1"/>
  <c r="EY43" i="1" s="1"/>
  <c r="DA22" i="1"/>
  <c r="EW22" i="1" s="1"/>
  <c r="EY22" i="1" s="1"/>
  <c r="DB183" i="1"/>
  <c r="EX183" i="1" s="1"/>
  <c r="DB147" i="1"/>
  <c r="EX147" i="1" s="1"/>
  <c r="DB113" i="1"/>
  <c r="EX113" i="1" s="1"/>
  <c r="DB103" i="1"/>
  <c r="EX103" i="1" s="1"/>
  <c r="DB34" i="1"/>
  <c r="EX34" i="1" s="1"/>
  <c r="DA456" i="1"/>
  <c r="EW456" i="1" s="1"/>
  <c r="EY456" i="1" s="1"/>
  <c r="DA185" i="1"/>
  <c r="EW185" i="1" s="1"/>
  <c r="EY185" i="1" s="1"/>
  <c r="DA161" i="1"/>
  <c r="EW161" i="1" s="1"/>
  <c r="EY161" i="1" s="1"/>
  <c r="DA118" i="1"/>
  <c r="EW118" i="1" s="1"/>
  <c r="EY118" i="1" s="1"/>
  <c r="DA106" i="1"/>
  <c r="DA81" i="1"/>
  <c r="EW81" i="1" s="1"/>
  <c r="EY81" i="1" s="1"/>
  <c r="DA69" i="1"/>
  <c r="EW69" i="1" s="1"/>
  <c r="EY69" i="1" s="1"/>
  <c r="DA21" i="1"/>
  <c r="EW21" i="1" s="1"/>
  <c r="EY21" i="1" s="1"/>
  <c r="DB158" i="1"/>
  <c r="EX158" i="1" s="1"/>
  <c r="DB136" i="1"/>
  <c r="EX136" i="1" s="1"/>
  <c r="DB123" i="1"/>
  <c r="EX123" i="1" s="1"/>
  <c r="DB88" i="1"/>
  <c r="EX88" i="1" s="1"/>
  <c r="DB77" i="1"/>
  <c r="EX77" i="1" s="1"/>
  <c r="DB60" i="1"/>
  <c r="EX60" i="1" s="1"/>
  <c r="DB32" i="1"/>
  <c r="EX32" i="1" s="1"/>
  <c r="DB10" i="1"/>
  <c r="EX10" i="1" s="1"/>
  <c r="DA160" i="1"/>
  <c r="EW160" i="1" s="1"/>
  <c r="EY160" i="1" s="1"/>
  <c r="DA139" i="1"/>
  <c r="EW139" i="1" s="1"/>
  <c r="EY139" i="1" s="1"/>
  <c r="DA115" i="1"/>
  <c r="EW115" i="1" s="1"/>
  <c r="EY115" i="1" s="1"/>
  <c r="DA104" i="1"/>
  <c r="EW104" i="1" s="1"/>
  <c r="EY104" i="1" s="1"/>
  <c r="DA92" i="1"/>
  <c r="EW92" i="1" s="1"/>
  <c r="EY92" i="1" s="1"/>
  <c r="DA79" i="1"/>
  <c r="EW79" i="1" s="1"/>
  <c r="EY79" i="1" s="1"/>
  <c r="DA67" i="1"/>
  <c r="EW67" i="1" s="1"/>
  <c r="EY67" i="1" s="1"/>
  <c r="DB189" i="1"/>
  <c r="EX189" i="1" s="1"/>
  <c r="DB165" i="1"/>
  <c r="EX165" i="1" s="1"/>
  <c r="DB145" i="1"/>
  <c r="EX145" i="1" s="1"/>
  <c r="DB135" i="1"/>
  <c r="EX135" i="1" s="1"/>
  <c r="DB122" i="1"/>
  <c r="EX122" i="1" s="1"/>
  <c r="DB100" i="1"/>
  <c r="EX100" i="1" s="1"/>
  <c r="DB55" i="1"/>
  <c r="EX55" i="1" s="1"/>
  <c r="DB30" i="1"/>
  <c r="EX30" i="1" s="1"/>
  <c r="DB9" i="1"/>
  <c r="EX9" i="1" s="1"/>
  <c r="DA159" i="1"/>
  <c r="EW159" i="1" s="1"/>
  <c r="EY159" i="1" s="1"/>
  <c r="DA103" i="1"/>
  <c r="EW103" i="1" s="1"/>
  <c r="EY103" i="1" s="1"/>
  <c r="DA90" i="1"/>
  <c r="EW90" i="1" s="1"/>
  <c r="EY90" i="1" s="1"/>
  <c r="DA78" i="1"/>
  <c r="EW78" i="1" s="1"/>
  <c r="EY78" i="1" s="1"/>
  <c r="DA64" i="1"/>
  <c r="EW64" i="1" s="1"/>
  <c r="EY64" i="1" s="1"/>
  <c r="DA11" i="1"/>
  <c r="EW11" i="1" s="1"/>
  <c r="EY11" i="1" s="1"/>
  <c r="B11" i="1" s="1"/>
  <c r="DB188" i="1"/>
  <c r="EX188" i="1" s="1"/>
  <c r="DB121" i="1"/>
  <c r="EX121" i="1" s="1"/>
  <c r="DB109" i="1"/>
  <c r="EX109" i="1" s="1"/>
  <c r="DB99" i="1"/>
  <c r="EX99" i="1" s="1"/>
  <c r="DB86" i="1"/>
  <c r="EX86" i="1" s="1"/>
  <c r="DB28" i="1"/>
  <c r="EX28" i="1" s="1"/>
  <c r="DL7" i="1"/>
  <c r="DJ7" i="1"/>
  <c r="I4" i="19" s="1"/>
  <c r="G14" i="19" s="1"/>
  <c r="N8" i="24" s="1"/>
  <c r="EF7" i="1"/>
  <c r="J13" i="39"/>
  <c r="R13" i="39" s="1"/>
  <c r="P11" i="43"/>
  <c r="M16" i="19"/>
  <c r="N16" i="19" s="1"/>
  <c r="DO8" i="1"/>
  <c r="AJ8" i="44" s="1"/>
  <c r="K8" i="44" s="1"/>
  <c r="K11" i="30"/>
  <c r="K11" i="29"/>
  <c r="P11" i="29" s="1"/>
  <c r="Q17" i="24"/>
  <c r="R17" i="24" s="1"/>
  <c r="Q13" i="24"/>
  <c r="R13" i="24" s="1"/>
  <c r="DO113" i="1"/>
  <c r="AJ59" i="44" s="1"/>
  <c r="K59" i="44" s="1"/>
  <c r="J59" i="44" s="1"/>
  <c r="AK59" i="44" s="1"/>
  <c r="DO115" i="1"/>
  <c r="AJ60" i="44" s="1"/>
  <c r="K60" i="44" s="1"/>
  <c r="J60" i="44" s="1"/>
  <c r="AK60" i="44" s="1"/>
  <c r="DM118" i="1"/>
  <c r="DN118" i="1" s="1"/>
  <c r="DM8" i="1"/>
  <c r="DM122" i="1"/>
  <c r="DN122" i="1" s="1"/>
  <c r="DM158" i="1"/>
  <c r="DN158" i="1" s="1"/>
  <c r="DM139" i="1"/>
  <c r="DN139" i="1" s="1"/>
  <c r="DM142" i="1"/>
  <c r="DN142" i="1" s="1"/>
  <c r="DM141" i="1"/>
  <c r="DN141" i="1" s="1"/>
  <c r="DM140" i="1"/>
  <c r="DN140" i="1" s="1"/>
  <c r="DM160" i="1"/>
  <c r="DN160" i="1" s="1"/>
  <c r="DM120" i="1"/>
  <c r="DN120" i="1" s="1"/>
  <c r="DM111" i="1"/>
  <c r="DN111" i="1" s="1"/>
  <c r="DM119" i="1"/>
  <c r="DN119" i="1" s="1"/>
  <c r="DM113" i="1"/>
  <c r="DM115" i="1"/>
  <c r="B337" i="1"/>
  <c r="C426" i="1"/>
  <c r="E426" i="1" s="1"/>
  <c r="B326" i="1"/>
  <c r="B334" i="1"/>
  <c r="C342" i="1"/>
  <c r="E342" i="1" s="1"/>
  <c r="B350" i="1"/>
  <c r="B354" i="1"/>
  <c r="C358" i="1"/>
  <c r="E358" i="1" s="1"/>
  <c r="C366" i="1"/>
  <c r="E366" i="1" s="1"/>
  <c r="C382" i="1"/>
  <c r="E382" i="1" s="1"/>
  <c r="C390" i="1"/>
  <c r="E390" i="1" s="1"/>
  <c r="C407" i="1"/>
  <c r="E407" i="1" s="1"/>
  <c r="B415" i="1"/>
  <c r="C423" i="1"/>
  <c r="E423" i="1" s="1"/>
  <c r="O9" i="1"/>
  <c r="B336" i="1"/>
  <c r="C328" i="1"/>
  <c r="E328" i="1" s="1"/>
  <c r="B376" i="1"/>
  <c r="B344" i="1"/>
  <c r="C419" i="1"/>
  <c r="E419" i="1" s="1"/>
  <c r="C329" i="1"/>
  <c r="E329" i="1" s="1"/>
  <c r="C345" i="1"/>
  <c r="C361" i="1"/>
  <c r="E361" i="1" s="1"/>
  <c r="C418" i="1"/>
  <c r="E418" i="1" s="1"/>
  <c r="C327" i="1"/>
  <c r="E327" i="1" s="1"/>
  <c r="C335" i="1"/>
  <c r="E335" i="1" s="1"/>
  <c r="C343" i="1"/>
  <c r="E343" i="1" s="1"/>
  <c r="C351" i="1"/>
  <c r="E351" i="1" s="1"/>
  <c r="C400" i="1"/>
  <c r="E400" i="1" s="1"/>
  <c r="C408" i="1"/>
  <c r="E408" i="1" s="1"/>
  <c r="B416" i="1"/>
  <c r="B424" i="1"/>
  <c r="C317" i="1"/>
  <c r="E317" i="1" s="1"/>
  <c r="C341" i="1"/>
  <c r="E341" i="1" s="1"/>
  <c r="C340" i="1"/>
  <c r="E340" i="1" s="1"/>
  <c r="C356" i="1"/>
  <c r="E356" i="1" s="1"/>
  <c r="C364" i="1"/>
  <c r="E364" i="1" s="1"/>
  <c r="B372" i="1"/>
  <c r="C380" i="1"/>
  <c r="E380" i="1" s="1"/>
  <c r="C396" i="1"/>
  <c r="E396" i="1" s="1"/>
  <c r="C332" i="1"/>
  <c r="E332" i="1" s="1"/>
  <c r="C321" i="1"/>
  <c r="E321" i="1" s="1"/>
  <c r="B392" i="1"/>
  <c r="B401" i="1"/>
  <c r="C409" i="1"/>
  <c r="E409" i="1" s="1"/>
  <c r="B349" i="1"/>
  <c r="C357" i="1"/>
  <c r="E357" i="1" s="1"/>
  <c r="B365" i="1"/>
  <c r="C369" i="1"/>
  <c r="E369" i="1" s="1"/>
  <c r="C373" i="1"/>
  <c r="E373" i="1" s="1"/>
  <c r="C377" i="1"/>
  <c r="E377" i="1" s="1"/>
  <c r="B385" i="1"/>
  <c r="C389" i="1"/>
  <c r="E389" i="1" s="1"/>
  <c r="C393" i="1"/>
  <c r="E393" i="1" s="1"/>
  <c r="B398" i="1"/>
  <c r="B402" i="1"/>
  <c r="B406" i="1"/>
  <c r="C410" i="1"/>
  <c r="E410" i="1" s="1"/>
  <c r="B414" i="1"/>
  <c r="C320" i="1"/>
  <c r="E320" i="1" s="1"/>
  <c r="C378" i="1"/>
  <c r="C384" i="1"/>
  <c r="E384" i="1" s="1"/>
  <c r="C412" i="1"/>
  <c r="E412" i="1" s="1"/>
  <c r="C417" i="1"/>
  <c r="E417" i="1" s="1"/>
  <c r="C425" i="1"/>
  <c r="E425" i="1" s="1"/>
  <c r="C359" i="1"/>
  <c r="E359" i="1" s="1"/>
  <c r="C367" i="1"/>
  <c r="E367" i="1" s="1"/>
  <c r="C383" i="1"/>
  <c r="E383" i="1" s="1"/>
  <c r="C391" i="1"/>
  <c r="E391" i="1" s="1"/>
  <c r="C331" i="1"/>
  <c r="E331" i="1" s="1"/>
  <c r="C420" i="1"/>
  <c r="E420" i="1" s="1"/>
  <c r="B347" i="1"/>
  <c r="C355" i="1"/>
  <c r="E355" i="1" s="1"/>
  <c r="C363" i="1"/>
  <c r="E363" i="1" s="1"/>
  <c r="C371" i="1"/>
  <c r="E371" i="1" s="1"/>
  <c r="C379" i="1"/>
  <c r="E379" i="1" s="1"/>
  <c r="B387" i="1"/>
  <c r="B330" i="1"/>
  <c r="C368" i="1"/>
  <c r="E368" i="1" s="1"/>
  <c r="C386" i="1"/>
  <c r="E386" i="1" s="1"/>
  <c r="C362" i="1"/>
  <c r="E362" i="1" s="1"/>
  <c r="C322" i="1"/>
  <c r="E322" i="1" s="1"/>
  <c r="C394" i="1"/>
  <c r="E394" i="1" s="1"/>
  <c r="C403" i="1"/>
  <c r="E403" i="1" s="1"/>
  <c r="C338" i="1"/>
  <c r="E338" i="1" s="1"/>
  <c r="C370" i="1"/>
  <c r="E370" i="1" s="1"/>
  <c r="C360" i="1"/>
  <c r="E360" i="1" s="1"/>
  <c r="B427" i="1"/>
  <c r="C353" i="1"/>
  <c r="E353" i="1" s="1"/>
  <c r="C411" i="1"/>
  <c r="E411" i="1" s="1"/>
  <c r="H14" i="19"/>
  <c r="O8" i="24" s="1"/>
  <c r="F4" i="19"/>
  <c r="EU8" i="1"/>
  <c r="C352" i="1"/>
  <c r="E352" i="1" s="1"/>
  <c r="F6" i="19"/>
  <c r="H15" i="19"/>
  <c r="O13" i="24" s="1"/>
  <c r="F8" i="19"/>
  <c r="H16" i="19"/>
  <c r="O17" i="24" s="1"/>
  <c r="DB8" i="1"/>
  <c r="F14" i="19"/>
  <c r="M8" i="24" s="1"/>
  <c r="C404" i="1"/>
  <c r="E404" i="1" s="1"/>
  <c r="C428" i="1"/>
  <c r="E428" i="1" s="1"/>
  <c r="EV8" i="1"/>
  <c r="EV7" i="1" s="1"/>
  <c r="F16" i="19"/>
  <c r="B328" i="1"/>
  <c r="C336" i="1"/>
  <c r="E336" i="1" s="1"/>
  <c r="DA8" i="1"/>
  <c r="DA34" i="1" l="1"/>
  <c r="EW34" i="1" s="1"/>
  <c r="EY34" i="1" s="1"/>
  <c r="AE80" i="44"/>
  <c r="G80" i="44" s="1"/>
  <c r="AE70" i="44"/>
  <c r="G70" i="44" s="1"/>
  <c r="AE42" i="44"/>
  <c r="G42" i="44" s="1"/>
  <c r="AE50" i="44"/>
  <c r="G50" i="44" s="1"/>
  <c r="DB102" i="1"/>
  <c r="EX102" i="1" s="1"/>
  <c r="DA162" i="1"/>
  <c r="EW162" i="1" s="1"/>
  <c r="EY162" i="1" s="1"/>
  <c r="B162" i="1" s="1"/>
  <c r="DB125" i="1"/>
  <c r="EX125" i="1" s="1"/>
  <c r="DA186" i="1"/>
  <c r="EW186" i="1" s="1"/>
  <c r="EY186" i="1" s="1"/>
  <c r="AE54" i="44"/>
  <c r="G54" i="44" s="1"/>
  <c r="DA37" i="1"/>
  <c r="EW37" i="1" s="1"/>
  <c r="EY37" i="1" s="1"/>
  <c r="DA77" i="1"/>
  <c r="EW77" i="1" s="1"/>
  <c r="EY77" i="1" s="1"/>
  <c r="DB110" i="1"/>
  <c r="EX110" i="1" s="1"/>
  <c r="DA126" i="1"/>
  <c r="EW126" i="1" s="1"/>
  <c r="EY126" i="1" s="1"/>
  <c r="DB106" i="1"/>
  <c r="EX106" i="1" s="1"/>
  <c r="AE62" i="44"/>
  <c r="G62" i="44" s="1"/>
  <c r="AE34" i="44"/>
  <c r="G34" i="44" s="1"/>
  <c r="DA183" i="1"/>
  <c r="EW183" i="1" s="1"/>
  <c r="EY183" i="1" s="1"/>
  <c r="DB190" i="1"/>
  <c r="EX190" i="1" s="1"/>
  <c r="DA154" i="1"/>
  <c r="EW154" i="1" s="1"/>
  <c r="EY154" i="1" s="1"/>
  <c r="AE77" i="44"/>
  <c r="G77" i="44" s="1"/>
  <c r="AE57" i="44"/>
  <c r="G57" i="44" s="1"/>
  <c r="AE85" i="44"/>
  <c r="G85" i="44" s="1"/>
  <c r="AE95" i="44"/>
  <c r="G95" i="44" s="1"/>
  <c r="AE69" i="44"/>
  <c r="G69" i="44" s="1"/>
  <c r="AD408" i="44"/>
  <c r="F408" i="44" s="1"/>
  <c r="AD56" i="44"/>
  <c r="F56" i="44" s="1"/>
  <c r="AD105" i="44"/>
  <c r="F105" i="44" s="1"/>
  <c r="AD74" i="44"/>
  <c r="F74" i="44" s="1"/>
  <c r="AE60" i="44"/>
  <c r="G60" i="44" s="1"/>
  <c r="DB152" i="1"/>
  <c r="EX152" i="1" s="1"/>
  <c r="AE407" i="44"/>
  <c r="G407" i="44" s="1"/>
  <c r="AD49" i="44"/>
  <c r="F49" i="44" s="1"/>
  <c r="AD82" i="44"/>
  <c r="F82" i="44" s="1"/>
  <c r="AD67" i="44"/>
  <c r="F67" i="44" s="1"/>
  <c r="AE98" i="44"/>
  <c r="G98" i="44" s="1"/>
  <c r="AD37" i="44"/>
  <c r="F37" i="44" s="1"/>
  <c r="DB134" i="1"/>
  <c r="EX134" i="1" s="1"/>
  <c r="DB132" i="1"/>
  <c r="EX132" i="1" s="1"/>
  <c r="DA146" i="1"/>
  <c r="EW146" i="1" s="1"/>
  <c r="EY146" i="1" s="1"/>
  <c r="B146" i="1" s="1"/>
  <c r="AD40" i="44"/>
  <c r="F40" i="44" s="1"/>
  <c r="AD80" i="44"/>
  <c r="F80" i="44" s="1"/>
  <c r="AE8" i="44"/>
  <c r="G8" i="44" s="1"/>
  <c r="AD90" i="44"/>
  <c r="F90" i="44" s="1"/>
  <c r="AD75" i="44"/>
  <c r="F75" i="44" s="1"/>
  <c r="AD101" i="44"/>
  <c r="F101" i="44" s="1"/>
  <c r="AE107" i="44"/>
  <c r="G107" i="44" s="1"/>
  <c r="DB166" i="1"/>
  <c r="EX166" i="1" s="1"/>
  <c r="DA100" i="1"/>
  <c r="EW100" i="1" s="1"/>
  <c r="EY100" i="1" s="1"/>
  <c r="DA54" i="1"/>
  <c r="EW54" i="1" s="1"/>
  <c r="EY54" i="1" s="1"/>
  <c r="DB17" i="1"/>
  <c r="EX17" i="1" s="1"/>
  <c r="DB454" i="1"/>
  <c r="EX454" i="1" s="1"/>
  <c r="DA124" i="1"/>
  <c r="EW124" i="1" s="1"/>
  <c r="EY124" i="1" s="1"/>
  <c r="DA149" i="1"/>
  <c r="EW149" i="1" s="1"/>
  <c r="EY149" i="1" s="1"/>
  <c r="AD48" i="44"/>
  <c r="F48" i="44" s="1"/>
  <c r="AD83" i="44"/>
  <c r="F83" i="44" s="1"/>
  <c r="AD13" i="44"/>
  <c r="F13" i="44" s="1"/>
  <c r="AD61" i="44"/>
  <c r="F61" i="44" s="1"/>
  <c r="DA121" i="1"/>
  <c r="EW121" i="1" s="1"/>
  <c r="EY121" i="1" s="1"/>
  <c r="DA189" i="1"/>
  <c r="EW189" i="1" s="1"/>
  <c r="EY189" i="1" s="1"/>
  <c r="DB159" i="1"/>
  <c r="EX159" i="1" s="1"/>
  <c r="DB21" i="1"/>
  <c r="EX21" i="1" s="1"/>
  <c r="DB185" i="1"/>
  <c r="EX185" i="1" s="1"/>
  <c r="DA30" i="1"/>
  <c r="EW30" i="1" s="1"/>
  <c r="EY30" i="1" s="1"/>
  <c r="AE13" i="44"/>
  <c r="G13" i="44" s="1"/>
  <c r="AE102" i="44"/>
  <c r="G102" i="44" s="1"/>
  <c r="AD17" i="44"/>
  <c r="F17" i="44" s="1"/>
  <c r="AD97" i="44"/>
  <c r="F97" i="44" s="1"/>
  <c r="AE47" i="44"/>
  <c r="G47" i="44" s="1"/>
  <c r="AD26" i="44"/>
  <c r="F26" i="44" s="1"/>
  <c r="AD51" i="44"/>
  <c r="F51" i="44" s="1"/>
  <c r="AE33" i="44"/>
  <c r="G33" i="44" s="1"/>
  <c r="AD60" i="44"/>
  <c r="F60" i="44" s="1"/>
  <c r="AD77" i="44"/>
  <c r="F77" i="44" s="1"/>
  <c r="AE19" i="44"/>
  <c r="G19" i="44" s="1"/>
  <c r="AE12" i="44"/>
  <c r="G12" i="44" s="1"/>
  <c r="DB157" i="1"/>
  <c r="EX157" i="1" s="1"/>
  <c r="DB64" i="1"/>
  <c r="EX64" i="1" s="1"/>
  <c r="DB43" i="1"/>
  <c r="EX43" i="1" s="1"/>
  <c r="DA145" i="1"/>
  <c r="EW145" i="1" s="1"/>
  <c r="EY145" i="1" s="1"/>
  <c r="DA10" i="1"/>
  <c r="EW10" i="1" s="1"/>
  <c r="EY10" i="1" s="1"/>
  <c r="AE21" i="44"/>
  <c r="G21" i="44" s="1"/>
  <c r="AE38" i="44"/>
  <c r="G38" i="44" s="1"/>
  <c r="AD25" i="44"/>
  <c r="F25" i="44" s="1"/>
  <c r="AE55" i="44"/>
  <c r="G55" i="44" s="1"/>
  <c r="AE41" i="44"/>
  <c r="G41" i="44" s="1"/>
  <c r="AE89" i="44"/>
  <c r="G89" i="44" s="1"/>
  <c r="AD28" i="44"/>
  <c r="F28" i="44" s="1"/>
  <c r="AD68" i="44"/>
  <c r="F68" i="44" s="1"/>
  <c r="AE100" i="44"/>
  <c r="G100" i="44" s="1"/>
  <c r="AE27" i="44"/>
  <c r="G27" i="44" s="1"/>
  <c r="AE91" i="44"/>
  <c r="G91" i="44" s="1"/>
  <c r="AE76" i="44"/>
  <c r="G76" i="44" s="1"/>
  <c r="DB84" i="1"/>
  <c r="EX84" i="1" s="1"/>
  <c r="DB87" i="1"/>
  <c r="EX87" i="1" s="1"/>
  <c r="DA125" i="1"/>
  <c r="EW125" i="1" s="1"/>
  <c r="EY125" i="1" s="1"/>
  <c r="DB98" i="1"/>
  <c r="EX98" i="1" s="1"/>
  <c r="DA60" i="1"/>
  <c r="EW60" i="1" s="1"/>
  <c r="EY60" i="1" s="1"/>
  <c r="DA190" i="1"/>
  <c r="EW190" i="1" s="1"/>
  <c r="EY190" i="1" s="1"/>
  <c r="AD33" i="44"/>
  <c r="F33" i="44" s="1"/>
  <c r="AD81" i="44"/>
  <c r="F81" i="44" s="1"/>
  <c r="AE23" i="44"/>
  <c r="G23" i="44" s="1"/>
  <c r="AE63" i="44"/>
  <c r="G63" i="44" s="1"/>
  <c r="AD10" i="44"/>
  <c r="F10" i="44" s="1"/>
  <c r="AE97" i="44"/>
  <c r="G97" i="44" s="1"/>
  <c r="AD46" i="44"/>
  <c r="F46" i="44" s="1"/>
  <c r="AE66" i="44"/>
  <c r="G66" i="44" s="1"/>
  <c r="AD8" i="44"/>
  <c r="F8" i="44" s="1"/>
  <c r="DA55" i="1"/>
  <c r="EW55" i="1" s="1"/>
  <c r="EY55" i="1" s="1"/>
  <c r="AD89" i="44"/>
  <c r="F89" i="44" s="1"/>
  <c r="AD18" i="44"/>
  <c r="F18" i="44" s="1"/>
  <c r="AD107" i="44"/>
  <c r="F107" i="44" s="1"/>
  <c r="AE25" i="44"/>
  <c r="G25" i="44" s="1"/>
  <c r="AE106" i="44"/>
  <c r="G106" i="44" s="1"/>
  <c r="AD52" i="44"/>
  <c r="F52" i="44" s="1"/>
  <c r="AD62" i="44"/>
  <c r="F62" i="44" s="1"/>
  <c r="AD14" i="44"/>
  <c r="F14" i="44" s="1"/>
  <c r="AD103" i="44"/>
  <c r="F103" i="44" s="1"/>
  <c r="DA122" i="1"/>
  <c r="EW122" i="1" s="1"/>
  <c r="EY122" i="1" s="1"/>
  <c r="B122" i="1" s="1"/>
  <c r="DB118" i="1"/>
  <c r="EX118" i="1" s="1"/>
  <c r="DA75" i="1"/>
  <c r="EW75" i="1" s="1"/>
  <c r="EY75" i="1" s="1"/>
  <c r="DA164" i="1"/>
  <c r="EW164" i="1" s="1"/>
  <c r="EY164" i="1" s="1"/>
  <c r="DB73" i="1"/>
  <c r="EX73" i="1" s="1"/>
  <c r="AE53" i="44"/>
  <c r="G53" i="44" s="1"/>
  <c r="AD72" i="44"/>
  <c r="F72" i="44" s="1"/>
  <c r="AE30" i="44"/>
  <c r="G30" i="44" s="1"/>
  <c r="AE103" i="44"/>
  <c r="G103" i="44" s="1"/>
  <c r="AE15" i="44"/>
  <c r="G15" i="44" s="1"/>
  <c r="AE87" i="44"/>
  <c r="G87" i="44" s="1"/>
  <c r="AD58" i="44"/>
  <c r="F58" i="44" s="1"/>
  <c r="AE72" i="44"/>
  <c r="G72" i="44" s="1"/>
  <c r="AD43" i="44"/>
  <c r="F43" i="44" s="1"/>
  <c r="AE9" i="44"/>
  <c r="G9" i="44" s="1"/>
  <c r="AD20" i="44"/>
  <c r="F20" i="44" s="1"/>
  <c r="AD92" i="44"/>
  <c r="F92" i="44" s="1"/>
  <c r="AE18" i="44"/>
  <c r="G18" i="44" s="1"/>
  <c r="AD29" i="44"/>
  <c r="F29" i="44" s="1"/>
  <c r="AD102" i="44"/>
  <c r="F102" i="44" s="1"/>
  <c r="AE67" i="44"/>
  <c r="G67" i="44" s="1"/>
  <c r="AE28" i="44"/>
  <c r="G28" i="44" s="1"/>
  <c r="AE101" i="44"/>
  <c r="G101" i="44" s="1"/>
  <c r="AD79" i="44"/>
  <c r="F79" i="44" s="1"/>
  <c r="AD69" i="44"/>
  <c r="F69" i="44" s="1"/>
  <c r="AE35" i="44"/>
  <c r="G35" i="44" s="1"/>
  <c r="AD86" i="44"/>
  <c r="F86" i="44" s="1"/>
  <c r="AE68" i="44"/>
  <c r="G68" i="44" s="1"/>
  <c r="AD47" i="44"/>
  <c r="F47" i="44" s="1"/>
  <c r="AD30" i="44"/>
  <c r="F30" i="44" s="1"/>
  <c r="AE36" i="44"/>
  <c r="G36" i="44" s="1"/>
  <c r="AD15" i="44"/>
  <c r="F15" i="44" s="1"/>
  <c r="DB69" i="1"/>
  <c r="EX69" i="1" s="1"/>
  <c r="DB72" i="1"/>
  <c r="EX72" i="1" s="1"/>
  <c r="DA110" i="1"/>
  <c r="EW110" i="1" s="1"/>
  <c r="EY110" i="1" s="1"/>
  <c r="B110" i="1" s="1"/>
  <c r="AE37" i="44"/>
  <c r="G37" i="44" s="1"/>
  <c r="AD16" i="44"/>
  <c r="F16" i="44" s="1"/>
  <c r="AD88" i="44"/>
  <c r="F88" i="44" s="1"/>
  <c r="AE86" i="44"/>
  <c r="G86" i="44" s="1"/>
  <c r="AD57" i="44"/>
  <c r="F57" i="44" s="1"/>
  <c r="AE31" i="44"/>
  <c r="G31" i="44" s="1"/>
  <c r="AD42" i="44"/>
  <c r="F42" i="44" s="1"/>
  <c r="AE16" i="44"/>
  <c r="G16" i="44" s="1"/>
  <c r="AE88" i="44"/>
  <c r="G88" i="44" s="1"/>
  <c r="AD100" i="44"/>
  <c r="F100" i="44" s="1"/>
  <c r="AE65" i="44"/>
  <c r="G65" i="44" s="1"/>
  <c r="AD36" i="44"/>
  <c r="F36" i="44" s="1"/>
  <c r="AD94" i="44"/>
  <c r="F94" i="44" s="1"/>
  <c r="AE74" i="44"/>
  <c r="G74" i="44" s="1"/>
  <c r="AD45" i="44"/>
  <c r="F45" i="44" s="1"/>
  <c r="AE51" i="44"/>
  <c r="G51" i="44" s="1"/>
  <c r="AD38" i="44"/>
  <c r="F38" i="44" s="1"/>
  <c r="AE44" i="44"/>
  <c r="G44" i="44" s="1"/>
  <c r="AD63" i="44"/>
  <c r="F63" i="44" s="1"/>
  <c r="DB186" i="1"/>
  <c r="EX186" i="1" s="1"/>
  <c r="DB94" i="1"/>
  <c r="EX94" i="1" s="1"/>
  <c r="DA28" i="1"/>
  <c r="EW28" i="1" s="1"/>
  <c r="EY28" i="1" s="1"/>
  <c r="DA143" i="1"/>
  <c r="EW143" i="1" s="1"/>
  <c r="EY143" i="1" s="1"/>
  <c r="B143" i="1" s="1"/>
  <c r="DB26" i="1"/>
  <c r="EX26" i="1" s="1"/>
  <c r="DB153" i="1"/>
  <c r="EX153" i="1" s="1"/>
  <c r="DA112" i="1"/>
  <c r="EW112" i="1" s="1"/>
  <c r="EY112" i="1" s="1"/>
  <c r="AE45" i="44"/>
  <c r="G45" i="44" s="1"/>
  <c r="AD24" i="44"/>
  <c r="F24" i="44" s="1"/>
  <c r="AE22" i="44"/>
  <c r="G22" i="44" s="1"/>
  <c r="AE94" i="44"/>
  <c r="G94" i="44" s="1"/>
  <c r="AD65" i="44"/>
  <c r="F65" i="44" s="1"/>
  <c r="AE79" i="44"/>
  <c r="G79" i="44" s="1"/>
  <c r="AD50" i="44"/>
  <c r="F50" i="44" s="1"/>
  <c r="AE24" i="44"/>
  <c r="G24" i="44" s="1"/>
  <c r="AD35" i="44"/>
  <c r="F35" i="44" s="1"/>
  <c r="AE408" i="44"/>
  <c r="G408" i="44" s="1"/>
  <c r="AE73" i="44"/>
  <c r="G73" i="44" s="1"/>
  <c r="AD84" i="44"/>
  <c r="F84" i="44" s="1"/>
  <c r="AE10" i="44"/>
  <c r="G10" i="44" s="1"/>
  <c r="AE82" i="44"/>
  <c r="G82" i="44" s="1"/>
  <c r="AD93" i="44"/>
  <c r="F93" i="44" s="1"/>
  <c r="AE59" i="44"/>
  <c r="G59" i="44" s="1"/>
  <c r="AD54" i="44"/>
  <c r="F54" i="44" s="1"/>
  <c r="AE92" i="44"/>
  <c r="G92" i="44" s="1"/>
  <c r="AD71" i="44"/>
  <c r="F71" i="44" s="1"/>
  <c r="DB112" i="1"/>
  <c r="EX112" i="1" s="1"/>
  <c r="DA38" i="1"/>
  <c r="EW38" i="1" s="1"/>
  <c r="EY38" i="1" s="1"/>
  <c r="B38" i="1" s="1"/>
  <c r="DA151" i="1"/>
  <c r="EW151" i="1" s="1"/>
  <c r="EY151" i="1" s="1"/>
  <c r="DA129" i="1"/>
  <c r="EW129" i="1" s="1"/>
  <c r="EY129" i="1" s="1"/>
  <c r="DB104" i="1"/>
  <c r="EX104" i="1" s="1"/>
  <c r="DA49" i="1"/>
  <c r="EW49" i="1" s="1"/>
  <c r="EY49" i="1" s="1"/>
  <c r="B49" i="1" s="1"/>
  <c r="DA153" i="1"/>
  <c r="EW153" i="1" s="1"/>
  <c r="EY153" i="1" s="1"/>
  <c r="AE29" i="44"/>
  <c r="G29" i="44" s="1"/>
  <c r="AE61" i="44"/>
  <c r="G61" i="44" s="1"/>
  <c r="AE93" i="44"/>
  <c r="G93" i="44" s="1"/>
  <c r="AD32" i="44"/>
  <c r="F32" i="44" s="1"/>
  <c r="AD64" i="44"/>
  <c r="F64" i="44" s="1"/>
  <c r="AD96" i="44"/>
  <c r="F96" i="44" s="1"/>
  <c r="AE14" i="44"/>
  <c r="G14" i="44" s="1"/>
  <c r="AE46" i="44"/>
  <c r="G46" i="44" s="1"/>
  <c r="AE78" i="44"/>
  <c r="G78" i="44" s="1"/>
  <c r="AD9" i="44"/>
  <c r="F9" i="44" s="1"/>
  <c r="AD41" i="44"/>
  <c r="F41" i="44" s="1"/>
  <c r="AD73" i="44"/>
  <c r="F73" i="44" s="1"/>
  <c r="AD106" i="44"/>
  <c r="F106" i="44" s="1"/>
  <c r="AE39" i="44"/>
  <c r="G39" i="44" s="1"/>
  <c r="AE71" i="44"/>
  <c r="G71" i="44" s="1"/>
  <c r="AE104" i="44"/>
  <c r="G104" i="44" s="1"/>
  <c r="AD34" i="44"/>
  <c r="F34" i="44" s="1"/>
  <c r="AD66" i="44"/>
  <c r="F66" i="44" s="1"/>
  <c r="AD98" i="44"/>
  <c r="F98" i="44" s="1"/>
  <c r="AE32" i="44"/>
  <c r="G32" i="44" s="1"/>
  <c r="AE64" i="44"/>
  <c r="G64" i="44" s="1"/>
  <c r="AE96" i="44"/>
  <c r="G96" i="44" s="1"/>
  <c r="AD27" i="44"/>
  <c r="F27" i="44" s="1"/>
  <c r="AD59" i="44"/>
  <c r="F59" i="44" s="1"/>
  <c r="AD91" i="44"/>
  <c r="F91" i="44" s="1"/>
  <c r="AE17" i="44"/>
  <c r="G17" i="44" s="1"/>
  <c r="AE49" i="44"/>
  <c r="G49" i="44" s="1"/>
  <c r="AE81" i="44"/>
  <c r="G81" i="44" s="1"/>
  <c r="AD12" i="44"/>
  <c r="F12" i="44" s="1"/>
  <c r="AD44" i="44"/>
  <c r="F44" i="44" s="1"/>
  <c r="AD76" i="44"/>
  <c r="F76" i="44" s="1"/>
  <c r="AE83" i="44"/>
  <c r="G83" i="44" s="1"/>
  <c r="AD78" i="44"/>
  <c r="F78" i="44" s="1"/>
  <c r="AE26" i="44"/>
  <c r="G26" i="44" s="1"/>
  <c r="AE58" i="44"/>
  <c r="G58" i="44" s="1"/>
  <c r="AE90" i="44"/>
  <c r="G90" i="44" s="1"/>
  <c r="AD21" i="44"/>
  <c r="F21" i="44" s="1"/>
  <c r="AD53" i="44"/>
  <c r="F53" i="44" s="1"/>
  <c r="AD85" i="44"/>
  <c r="F85" i="44" s="1"/>
  <c r="AE11" i="44"/>
  <c r="G11" i="44" s="1"/>
  <c r="AE43" i="44"/>
  <c r="G43" i="44" s="1"/>
  <c r="AE75" i="44"/>
  <c r="G75" i="44" s="1"/>
  <c r="AD22" i="44"/>
  <c r="F22" i="44" s="1"/>
  <c r="AD70" i="44"/>
  <c r="F70" i="44" s="1"/>
  <c r="AE20" i="44"/>
  <c r="G20" i="44" s="1"/>
  <c r="AE52" i="44"/>
  <c r="G52" i="44" s="1"/>
  <c r="AE84" i="44"/>
  <c r="G84" i="44" s="1"/>
  <c r="AD23" i="44"/>
  <c r="F23" i="44" s="1"/>
  <c r="AD55" i="44"/>
  <c r="F55" i="44" s="1"/>
  <c r="AD87" i="44"/>
  <c r="F87" i="44" s="1"/>
  <c r="DB90" i="1"/>
  <c r="EX90" i="1" s="1"/>
  <c r="DA141" i="1"/>
  <c r="EW141" i="1" s="1"/>
  <c r="EY141" i="1" s="1"/>
  <c r="B141" i="1" s="1"/>
  <c r="DA135" i="1"/>
  <c r="EW135" i="1" s="1"/>
  <c r="EY135" i="1" s="1"/>
  <c r="B135" i="1" s="1"/>
  <c r="DB22" i="1"/>
  <c r="EX22" i="1" s="1"/>
  <c r="DB141" i="1"/>
  <c r="EX141" i="1" s="1"/>
  <c r="DB75" i="1"/>
  <c r="EX75" i="1" s="1"/>
  <c r="DB164" i="1"/>
  <c r="EX164" i="1" s="1"/>
  <c r="DA113" i="1"/>
  <c r="EW113" i="1" s="1"/>
  <c r="EY113" i="1" s="1"/>
  <c r="B113" i="1" s="1"/>
  <c r="DA9" i="1"/>
  <c r="EW9" i="1" s="1"/>
  <c r="EY9" i="1" s="1"/>
  <c r="DB85" i="1"/>
  <c r="EX85" i="1" s="1"/>
  <c r="DB187" i="1"/>
  <c r="EX187" i="1" s="1"/>
  <c r="DA123" i="1"/>
  <c r="EW123" i="1" s="1"/>
  <c r="EY123" i="1" s="1"/>
  <c r="DB11" i="1"/>
  <c r="EX11" i="1" s="1"/>
  <c r="DB137" i="1"/>
  <c r="EX137" i="1" s="1"/>
  <c r="DA87" i="1"/>
  <c r="EW87" i="1" s="1"/>
  <c r="EY87" i="1" s="1"/>
  <c r="DB96" i="1"/>
  <c r="EX96" i="1" s="1"/>
  <c r="EW32" i="1"/>
  <c r="EY32" i="1" s="1"/>
  <c r="EW106" i="1"/>
  <c r="EY106" i="1" s="1"/>
  <c r="EW140" i="1"/>
  <c r="EY140" i="1" s="1"/>
  <c r="B140" i="1" s="1"/>
  <c r="EW119" i="1"/>
  <c r="EY119" i="1" s="1"/>
  <c r="B119" i="1" s="1"/>
  <c r="EW26" i="1"/>
  <c r="EY26" i="1" s="1"/>
  <c r="S280" i="44"/>
  <c r="J8" i="44"/>
  <c r="AK8" i="44" s="1"/>
  <c r="K279" i="44"/>
  <c r="K7" i="44" s="1"/>
  <c r="CS7" i="1"/>
  <c r="B4" i="19" s="1"/>
  <c r="O4" i="19" s="1"/>
  <c r="CT7" i="1"/>
  <c r="C4" i="19" s="1"/>
  <c r="C14" i="19" s="1"/>
  <c r="DO7" i="1"/>
  <c r="J14" i="19" s="1"/>
  <c r="K11" i="42" s="1"/>
  <c r="S11" i="42" s="1"/>
  <c r="EU7" i="1"/>
  <c r="DQ7" i="1"/>
  <c r="EY453" i="1"/>
  <c r="EY315" i="1" s="1"/>
  <c r="DA453" i="1"/>
  <c r="DA315" i="1" s="1"/>
  <c r="G6" i="19" s="1"/>
  <c r="DN115" i="1"/>
  <c r="DN8" i="1"/>
  <c r="S11" i="30"/>
  <c r="J11" i="33"/>
  <c r="DN113" i="1"/>
  <c r="M17" i="24"/>
  <c r="CS453" i="1"/>
  <c r="B72" i="1"/>
  <c r="B153" i="1"/>
  <c r="B104" i="1"/>
  <c r="B73" i="1"/>
  <c r="B54" i="1"/>
  <c r="B154" i="1"/>
  <c r="B10" i="1"/>
  <c r="B136" i="1"/>
  <c r="B124" i="1"/>
  <c r="B115" i="1"/>
  <c r="B187" i="1"/>
  <c r="B75" i="1"/>
  <c r="B55" i="1"/>
  <c r="B107" i="1"/>
  <c r="B98" i="1"/>
  <c r="B86" i="1"/>
  <c r="B76" i="1"/>
  <c r="B165" i="1"/>
  <c r="B60" i="1"/>
  <c r="B158" i="1"/>
  <c r="B147" i="1"/>
  <c r="B126" i="1"/>
  <c r="B64" i="1"/>
  <c r="B159" i="1"/>
  <c r="B37" i="1"/>
  <c r="B21" i="1"/>
  <c r="B129" i="1"/>
  <c r="B109" i="1"/>
  <c r="B100" i="1"/>
  <c r="B67" i="1"/>
  <c r="B151" i="1"/>
  <c r="B152" i="1"/>
  <c r="B142" i="1"/>
  <c r="B134" i="1"/>
  <c r="B103" i="1"/>
  <c r="B92" i="1"/>
  <c r="B456" i="1"/>
  <c r="C354" i="1"/>
  <c r="E354" i="1" s="1"/>
  <c r="C376" i="1"/>
  <c r="E376" i="1" s="1"/>
  <c r="C344" i="1"/>
  <c r="E344" i="1" s="1"/>
  <c r="B329" i="1"/>
  <c r="C337" i="1"/>
  <c r="E337" i="1" s="1"/>
  <c r="B351" i="1"/>
  <c r="B426" i="1"/>
  <c r="B419" i="1"/>
  <c r="B400" i="1"/>
  <c r="B345" i="1"/>
  <c r="B361" i="1"/>
  <c r="B358" i="1"/>
  <c r="B327" i="1"/>
  <c r="C349" i="1"/>
  <c r="E349" i="1" s="1"/>
  <c r="C326" i="1"/>
  <c r="E326" i="1" s="1"/>
  <c r="B423" i="1"/>
  <c r="B353" i="1"/>
  <c r="C401" i="1"/>
  <c r="E401" i="1" s="1"/>
  <c r="C350" i="1"/>
  <c r="E350" i="1" s="1"/>
  <c r="C415" i="1"/>
  <c r="E415" i="1" s="1"/>
  <c r="B320" i="1"/>
  <c r="C365" i="1"/>
  <c r="E365" i="1" s="1"/>
  <c r="C406" i="1"/>
  <c r="E406" i="1" s="1"/>
  <c r="C414" i="1"/>
  <c r="B369" i="1"/>
  <c r="C402" i="1"/>
  <c r="E402" i="1" s="1"/>
  <c r="B418" i="1"/>
  <c r="B391" i="1"/>
  <c r="B343" i="1"/>
  <c r="C334" i="1"/>
  <c r="E334" i="1" s="1"/>
  <c r="B335" i="1"/>
  <c r="C319" i="1"/>
  <c r="E319" i="1" s="1"/>
  <c r="B319" i="1"/>
  <c r="C374" i="1"/>
  <c r="E374" i="1" s="1"/>
  <c r="B374" i="1"/>
  <c r="C416" i="1"/>
  <c r="E416" i="1" s="1"/>
  <c r="B321" i="1"/>
  <c r="C395" i="1"/>
  <c r="E395" i="1" s="1"/>
  <c r="B395" i="1"/>
  <c r="C372" i="1"/>
  <c r="E372" i="1" s="1"/>
  <c r="C381" i="1"/>
  <c r="E381" i="1" s="1"/>
  <c r="B381" i="1"/>
  <c r="C346" i="1"/>
  <c r="E346" i="1" s="1"/>
  <c r="B346" i="1"/>
  <c r="B364" i="1"/>
  <c r="B366" i="1"/>
  <c r="C339" i="1"/>
  <c r="E339" i="1" s="1"/>
  <c r="B339" i="1"/>
  <c r="C375" i="1"/>
  <c r="E375" i="1" s="1"/>
  <c r="B375" i="1"/>
  <c r="B363" i="1"/>
  <c r="B420" i="1"/>
  <c r="C398" i="1"/>
  <c r="E398" i="1" s="1"/>
  <c r="B342" i="1"/>
  <c r="B373" i="1"/>
  <c r="B378" i="1"/>
  <c r="C424" i="1"/>
  <c r="E424" i="1" s="1"/>
  <c r="C385" i="1"/>
  <c r="E385" i="1" s="1"/>
  <c r="B332" i="1"/>
  <c r="B403" i="1"/>
  <c r="C405" i="1"/>
  <c r="E405" i="1" s="1"/>
  <c r="B405" i="1"/>
  <c r="C333" i="1"/>
  <c r="E333" i="1" s="1"/>
  <c r="B333" i="1"/>
  <c r="C388" i="1"/>
  <c r="E388" i="1" s="1"/>
  <c r="B388" i="1"/>
  <c r="B407" i="1"/>
  <c r="C392" i="1"/>
  <c r="E392" i="1" s="1"/>
  <c r="C387" i="1"/>
  <c r="E387" i="1" s="1"/>
  <c r="B396" i="1"/>
  <c r="B370" i="1"/>
  <c r="B393" i="1"/>
  <c r="B382" i="1"/>
  <c r="B357" i="1"/>
  <c r="B359" i="1"/>
  <c r="B355" i="1"/>
  <c r="B411" i="1"/>
  <c r="B408" i="1"/>
  <c r="B317" i="1"/>
  <c r="B316" i="1"/>
  <c r="C316" i="1"/>
  <c r="E316" i="1" s="1"/>
  <c r="C348" i="1"/>
  <c r="E348" i="1" s="1"/>
  <c r="B348" i="1"/>
  <c r="C325" i="1"/>
  <c r="E325" i="1" s="1"/>
  <c r="B325" i="1"/>
  <c r="C422" i="1"/>
  <c r="E422" i="1" s="1"/>
  <c r="B422" i="1"/>
  <c r="B377" i="1"/>
  <c r="B428" i="1"/>
  <c r="B410" i="1"/>
  <c r="C427" i="1"/>
  <c r="E427" i="1" s="1"/>
  <c r="B324" i="1"/>
  <c r="C324" i="1"/>
  <c r="E324" i="1" s="1"/>
  <c r="B412" i="1"/>
  <c r="B409" i="1"/>
  <c r="B362" i="1"/>
  <c r="B341" i="1"/>
  <c r="C421" i="1"/>
  <c r="E421" i="1" s="1"/>
  <c r="B421" i="1"/>
  <c r="B367" i="1"/>
  <c r="B368" i="1"/>
  <c r="C330" i="1"/>
  <c r="E330" i="1" s="1"/>
  <c r="B390" i="1"/>
  <c r="B380" i="1"/>
  <c r="C413" i="1"/>
  <c r="E413" i="1" s="1"/>
  <c r="B413" i="1"/>
  <c r="B417" i="1"/>
  <c r="B384" i="1"/>
  <c r="B371" i="1"/>
  <c r="C323" i="1"/>
  <c r="E323" i="1" s="1"/>
  <c r="B323" i="1"/>
  <c r="B338" i="1"/>
  <c r="B340" i="1"/>
  <c r="B386" i="1"/>
  <c r="B394" i="1"/>
  <c r="B331" i="1"/>
  <c r="B379" i="1"/>
  <c r="B389" i="1"/>
  <c r="C347" i="1"/>
  <c r="E347" i="1" s="1"/>
  <c r="B360" i="1"/>
  <c r="B404" i="1"/>
  <c r="B322" i="1"/>
  <c r="B383" i="1"/>
  <c r="B352" i="1"/>
  <c r="B425" i="1"/>
  <c r="B356" i="1"/>
  <c r="B191" i="1"/>
  <c r="C191" i="1"/>
  <c r="EX8" i="1"/>
  <c r="B193" i="1"/>
  <c r="C193" i="1"/>
  <c r="C399" i="1"/>
  <c r="E399" i="1" s="1"/>
  <c r="B399" i="1"/>
  <c r="C318" i="1"/>
  <c r="E318" i="1" s="1"/>
  <c r="B318" i="1"/>
  <c r="EW8" i="1"/>
  <c r="AM280" i="44" l="1"/>
  <c r="AN280" i="44" s="1"/>
  <c r="AM284" i="44" s="1"/>
  <c r="AN284" i="44" s="1"/>
  <c r="DB7" i="1"/>
  <c r="DA7" i="1"/>
  <c r="EX7" i="1"/>
  <c r="R4" i="19" s="1"/>
  <c r="G279" i="44"/>
  <c r="G280" i="44" s="1"/>
  <c r="K280" i="44" s="1"/>
  <c r="EW7" i="1"/>
  <c r="Q4" i="19" s="1"/>
  <c r="G5" i="46"/>
  <c r="K562" i="44"/>
  <c r="J562" i="44" s="1"/>
  <c r="B8" i="19"/>
  <c r="O8" i="19" s="1"/>
  <c r="CS315" i="1"/>
  <c r="B6" i="19" s="1"/>
  <c r="DN7" i="1"/>
  <c r="G4" i="19"/>
  <c r="EW453" i="1"/>
  <c r="EW315" i="1" s="1"/>
  <c r="Q6" i="19" s="1"/>
  <c r="Q8" i="24"/>
  <c r="M14" i="19"/>
  <c r="N14" i="19" s="1"/>
  <c r="O11" i="33"/>
  <c r="C49" i="1"/>
  <c r="G8" i="19"/>
  <c r="H4" i="19"/>
  <c r="C106" i="1"/>
  <c r="C108" i="1"/>
  <c r="C145" i="1"/>
  <c r="C87" i="1"/>
  <c r="C188" i="1"/>
  <c r="C189" i="1"/>
  <c r="C139" i="1"/>
  <c r="C149" i="1"/>
  <c r="C34" i="1"/>
  <c r="C140" i="1"/>
  <c r="C99" i="1"/>
  <c r="C43" i="1"/>
  <c r="C102" i="1"/>
  <c r="C160" i="1"/>
  <c r="C96" i="1"/>
  <c r="C121" i="1"/>
  <c r="C120" i="1"/>
  <c r="C112" i="1"/>
  <c r="C78" i="1"/>
  <c r="C79" i="1"/>
  <c r="C69" i="1"/>
  <c r="C190" i="1"/>
  <c r="C77" i="1"/>
  <c r="C118" i="1"/>
  <c r="C107" i="1"/>
  <c r="C157" i="1"/>
  <c r="C125" i="1"/>
  <c r="C132" i="1"/>
  <c r="C183" i="1"/>
  <c r="C90" i="1"/>
  <c r="C161" i="1"/>
  <c r="C88" i="1"/>
  <c r="C60" i="1"/>
  <c r="C22" i="1"/>
  <c r="C184" i="1"/>
  <c r="C123" i="1"/>
  <c r="C164" i="1"/>
  <c r="C162" i="1"/>
  <c r="C84" i="1"/>
  <c r="C11" i="1"/>
  <c r="C81" i="1"/>
  <c r="C85" i="1"/>
  <c r="C163" i="1"/>
  <c r="C32" i="1"/>
  <c r="C185" i="1"/>
  <c r="C186" i="1"/>
  <c r="C30" i="1"/>
  <c r="C17" i="1"/>
  <c r="C137" i="1"/>
  <c r="C28" i="1"/>
  <c r="C94" i="1"/>
  <c r="C26" i="1"/>
  <c r="B94" i="1"/>
  <c r="B79" i="1"/>
  <c r="C136" i="1"/>
  <c r="C134" i="1"/>
  <c r="C456" i="1"/>
  <c r="B164" i="1"/>
  <c r="C141" i="1"/>
  <c r="C146" i="1"/>
  <c r="C76" i="1"/>
  <c r="C113" i="1"/>
  <c r="B78" i="1"/>
  <c r="B26" i="1"/>
  <c r="B186" i="1"/>
  <c r="B81" i="1"/>
  <c r="C98" i="1"/>
  <c r="B108" i="1"/>
  <c r="B132" i="1"/>
  <c r="B30" i="1"/>
  <c r="B160" i="1"/>
  <c r="B96" i="1"/>
  <c r="B149" i="1"/>
  <c r="B157" i="1"/>
  <c r="C154" i="1"/>
  <c r="B145" i="1"/>
  <c r="C142" i="1"/>
  <c r="B137" i="1"/>
  <c r="B106" i="1"/>
  <c r="B88" i="1"/>
  <c r="C115" i="1"/>
  <c r="B69" i="1"/>
  <c r="B28" i="1"/>
  <c r="C158" i="1"/>
  <c r="B139" i="1"/>
  <c r="C37" i="1"/>
  <c r="C143" i="1"/>
  <c r="C86" i="1"/>
  <c r="C54" i="1"/>
  <c r="B118" i="1"/>
  <c r="C72" i="1"/>
  <c r="C166" i="1"/>
  <c r="B84" i="1"/>
  <c r="C109" i="1"/>
  <c r="B189" i="1"/>
  <c r="P4" i="19"/>
  <c r="B183" i="1"/>
  <c r="C38" i="1"/>
  <c r="B161" i="1"/>
  <c r="C124" i="1"/>
  <c r="B190" i="1"/>
  <c r="C103" i="1"/>
  <c r="C159" i="1"/>
  <c r="C153" i="1"/>
  <c r="C187" i="1"/>
  <c r="B188" i="1"/>
  <c r="B121" i="1"/>
  <c r="B34" i="1"/>
  <c r="C151" i="1"/>
  <c r="B163" i="1"/>
  <c r="B87" i="1"/>
  <c r="B125" i="1"/>
  <c r="B9" i="1"/>
  <c r="C9" i="1"/>
  <c r="B77" i="1"/>
  <c r="C126" i="1"/>
  <c r="C64" i="1"/>
  <c r="C152" i="1"/>
  <c r="C92" i="1"/>
  <c r="C67" i="1"/>
  <c r="C119" i="1"/>
  <c r="C75" i="1"/>
  <c r="B112" i="1"/>
  <c r="B99" i="1"/>
  <c r="C100" i="1"/>
  <c r="B32" i="1"/>
  <c r="C147" i="1"/>
  <c r="B123" i="1"/>
  <c r="C10" i="1"/>
  <c r="B17" i="1"/>
  <c r="C135" i="1"/>
  <c r="C104" i="1"/>
  <c r="B120" i="1"/>
  <c r="C129" i="1"/>
  <c r="B43" i="1"/>
  <c r="C110" i="1"/>
  <c r="B22" i="1"/>
  <c r="C55" i="1"/>
  <c r="B102" i="1"/>
  <c r="C73" i="1"/>
  <c r="B185" i="1"/>
  <c r="B90" i="1"/>
  <c r="B184" i="1"/>
  <c r="C165" i="1"/>
  <c r="B85" i="1"/>
  <c r="C21" i="1"/>
  <c r="D14" i="19"/>
  <c r="C122" i="1"/>
  <c r="C8" i="1"/>
  <c r="EY8" i="1"/>
  <c r="EY7" i="1" s="1"/>
  <c r="AO284" i="44" l="1"/>
  <c r="G7" i="44"/>
  <c r="S6" i="44" s="1"/>
  <c r="S563" i="44"/>
  <c r="G35" i="46"/>
  <c r="D16" i="19"/>
  <c r="O6" i="19"/>
  <c r="D15" i="19"/>
  <c r="R8" i="24"/>
  <c r="J11" i="39"/>
  <c r="R11" i="39" s="1"/>
  <c r="Q46" i="24"/>
  <c r="R46" i="24" s="1"/>
  <c r="C454" i="1"/>
  <c r="Q8" i="19"/>
  <c r="B8" i="1"/>
  <c r="T280" i="44" l="1"/>
  <c r="H29" i="46"/>
  <c r="H33" i="46"/>
  <c r="H25" i="46"/>
  <c r="H34" i="46"/>
  <c r="H18" i="46"/>
  <c r="H21" i="46"/>
  <c r="H5" i="46"/>
  <c r="B454" i="1"/>
  <c r="CT453" i="1"/>
  <c r="CT315" i="1" s="1"/>
  <c r="C6" i="19" s="1"/>
  <c r="P6" i="19" l="1"/>
  <c r="C15" i="19"/>
  <c r="DB453" i="1"/>
  <c r="DB315" i="1" s="1"/>
  <c r="H6" i="19" s="1"/>
  <c r="C8" i="19"/>
  <c r="C16" i="19" l="1"/>
  <c r="P8" i="19"/>
  <c r="H8" i="19"/>
  <c r="DM239" i="1"/>
  <c r="DM7" i="1" s="1"/>
  <c r="EX453" i="1" l="1"/>
  <c r="R8" i="19" l="1"/>
  <c r="EX315" i="1"/>
  <c r="R6" i="19" s="1"/>
</calcChain>
</file>

<file path=xl/sharedStrings.xml><?xml version="1.0" encoding="utf-8"?>
<sst xmlns="http://schemas.openxmlformats.org/spreadsheetml/2006/main" count="12530" uniqueCount="2874">
  <si>
    <t>THEO DÕI VẬT TƯ DỰ ÁN/ MATERIAL CONTROL LOG</t>
  </si>
  <si>
    <t>Hướng dẫn cập nhật thông tin:</t>
  </si>
  <si>
    <t>Thời gian nộp bảng cập nhật:</t>
  </si>
  <si>
    <t>- Chữ tô màu xanh:</t>
  </si>
  <si>
    <t>Chưa cập nhật</t>
  </si>
  <si>
    <t>- Trong ngày khi có biến động.</t>
  </si>
  <si>
    <t>Cập nhật ngày/ Update to:</t>
  </si>
  <si>
    <t>- Chữ tô màu đỏ:</t>
  </si>
  <si>
    <t>Đã cập nhật mới</t>
  </si>
  <si>
    <t>- Báo cáo hàng tuần vào 16:30 mỗi chiều thứ 2.</t>
  </si>
  <si>
    <t>Item/ 
STT</t>
  </si>
  <si>
    <t>Description/ 
Chi tiết</t>
  </si>
  <si>
    <t>Profile/ Vật tư</t>
  </si>
  <si>
    <t>Grade/ Mác vật liệu</t>
  </si>
  <si>
    <t>Unit/ Đơn vị</t>
  </si>
  <si>
    <t>U.Weight/ Đ.Trọng (Kg/m2,m,pcs)</t>
  </si>
  <si>
    <t>Net Quantity/Số lượng tinh</t>
  </si>
  <si>
    <t>Total Ordered/Tổng dự trù</t>
  </si>
  <si>
    <t>Tận dụng tồn kho/ Remain</t>
  </si>
  <si>
    <t>Khối lượng phải mua sắm/ total order</t>
  </si>
  <si>
    <t>QC Nghiệm thu</t>
  </si>
  <si>
    <t>Mua sắm nước ngoài/ Oversea purchase</t>
  </si>
  <si>
    <t>Remarks/ Ghi chú</t>
  </si>
  <si>
    <t>Weight/ Khối lượng (Kg)</t>
  </si>
  <si>
    <t>Số Hợp đồng / Contract No</t>
  </si>
  <si>
    <t>Số lượng giao hàng thực tế/ Handover Q'ty</t>
  </si>
  <si>
    <t>Nhà cung cấp/ Vendor</t>
  </si>
  <si>
    <t>Ngày ký HD/ Contract date</t>
  </si>
  <si>
    <t>Đơn giá / Unit Price</t>
  </si>
  <si>
    <t>Inspection date</t>
  </si>
  <si>
    <t>Khối lượng nghiệm thu đạt/ Weight Acc. Inspection</t>
  </si>
  <si>
    <t>Results</t>
  </si>
  <si>
    <t>Bàn giao sản xuất/ Handover to Product</t>
  </si>
  <si>
    <t>Thành tiền Hợp đồng/ total</t>
  </si>
  <si>
    <t>Ngày mở L/C/ LC issued date</t>
  </si>
  <si>
    <t>Hàng đi từ cảng nước ngoài/ Export Port</t>
  </si>
  <si>
    <t>Hàng Đến cảng HP (CIF)/ HaiPhong CIF</t>
  </si>
  <si>
    <t>Ngày thanh toán / Payment date</t>
  </si>
  <si>
    <t>Thủ tục hải quan, vận chuyển/ Paper work, local transportaion date</t>
  </si>
  <si>
    <t>Ngày hàng về / Arived</t>
  </si>
  <si>
    <t>Ngày mời nghiệm thu / invice QC date</t>
  </si>
  <si>
    <t>A.</t>
  </si>
  <si>
    <t>Main-Material /  Vật tư chính</t>
  </si>
  <si>
    <t>SS400</t>
  </si>
  <si>
    <t>m2</t>
  </si>
  <si>
    <t>Hùng Nguyên</t>
  </si>
  <si>
    <t>GNEE</t>
  </si>
  <si>
    <t>A-5</t>
  </si>
  <si>
    <t>A-8</t>
  </si>
  <si>
    <t>A-9</t>
  </si>
  <si>
    <t>A-11</t>
  </si>
  <si>
    <t>A-12</t>
  </si>
  <si>
    <t>A-13</t>
  </si>
  <si>
    <t>A-14</t>
  </si>
  <si>
    <t>A-15</t>
  </si>
  <si>
    <t>PL10x2000x12000</t>
  </si>
  <si>
    <t>PL12x2000x12000</t>
  </si>
  <si>
    <t>A-17</t>
  </si>
  <si>
    <t>PL20x2000x12000</t>
  </si>
  <si>
    <t>A-20</t>
  </si>
  <si>
    <t>A-22</t>
  </si>
  <si>
    <t>m</t>
  </si>
  <si>
    <t>A-27</t>
  </si>
  <si>
    <t>A-42</t>
  </si>
  <si>
    <t>A-43</t>
  </si>
  <si>
    <t>A-46</t>
  </si>
  <si>
    <t>A-47</t>
  </si>
  <si>
    <t>A-48</t>
  </si>
  <si>
    <t>A-49</t>
  </si>
  <si>
    <t>A-50</t>
  </si>
  <si>
    <t>A-51</t>
  </si>
  <si>
    <t>A-52</t>
  </si>
  <si>
    <t>A-53</t>
  </si>
  <si>
    <t>A-54</t>
  </si>
  <si>
    <t>SUS304</t>
  </si>
  <si>
    <t>A-55</t>
  </si>
  <si>
    <t>A-57</t>
  </si>
  <si>
    <t>Sets</t>
  </si>
  <si>
    <t>A-64</t>
  </si>
  <si>
    <t>A-73</t>
  </si>
  <si>
    <t>A-74</t>
  </si>
  <si>
    <t>A-75</t>
  </si>
  <si>
    <t>A-76</t>
  </si>
  <si>
    <t>A-77</t>
  </si>
  <si>
    <t>B.</t>
  </si>
  <si>
    <t>STT</t>
  </si>
  <si>
    <t>Nghiệm thu</t>
  </si>
  <si>
    <t>A36/SS400</t>
  </si>
  <si>
    <t>Report No.</t>
  </si>
  <si>
    <t>ĐÃ MUA TRONG NƯỚC</t>
  </si>
  <si>
    <t>ĐÃ MUA NHẬP KHẨU</t>
  </si>
  <si>
    <t>So sánh với số lượng vật tư PR</t>
  </si>
  <si>
    <t>TỔNG ĐÃ MUA TRONG VÀ NGOÀI NƯỚC</t>
  </si>
  <si>
    <t>Ngày bàn giao vật tư/ Material avaiable for hand over date</t>
  </si>
  <si>
    <t>VẬT TƯ TRONG NƯỚC</t>
  </si>
  <si>
    <t>Đánh giá 
(Thiếu/ Đủ/ Thừa)</t>
  </si>
  <si>
    <t>Khối lượng giao hàng thực tế/ Handover Q'ty</t>
  </si>
  <si>
    <t>Weight/
K.Lượng (Kg)</t>
  </si>
  <si>
    <t>Q.Ty/
S.Lượng</t>
  </si>
  <si>
    <t>Contract weight ( K.Lượng theo HĐ)</t>
  </si>
  <si>
    <t>S.Lượng giao hàng thực tế/ Handover Q'ty</t>
  </si>
  <si>
    <t>K.Lượng giao hàng thực tế// Handover weight</t>
  </si>
  <si>
    <t>Đơn giá / Unit Price 
(Not VAT)</t>
  </si>
  <si>
    <t>Accessory-Material / Vật tư phụ</t>
  </si>
  <si>
    <t>kt: 1500X6000-2 tờ; 1500x5400-1 tờ.</t>
  </si>
  <si>
    <t>kt: 1500X6000-1 tờ; 1500x2500-1 tờ.</t>
  </si>
  <si>
    <t>GNEE STEEL CO.,LIMITED</t>
  </si>
  <si>
    <t xml:space="preserve"> FLAT/RM 1512 15/F LUCKY CENTRE NO.165-171 WAN CHAI ROAD WAN CHAI HK</t>
  </si>
  <si>
    <t xml:space="preserve">              TEL: +86 15286968617     E-mail:alice@gescosteel.com                              </t>
  </si>
  <si>
    <t>QUOTATION SHEET</t>
  </si>
  <si>
    <t>QUOTATION NO.: GNEEYPH20240513-1</t>
  </si>
  <si>
    <t>DATE: MAY.13TH,2024</t>
  </si>
  <si>
    <t>TO:IBS</t>
  </si>
  <si>
    <t>SR NO.</t>
  </si>
  <si>
    <t>PRODUCT NAME</t>
  </si>
  <si>
    <t xml:space="preserve">SPECIFICATION
(mm)                                                                                    </t>
  </si>
  <si>
    <t>UNIT WEIGHT
(KG/PCS)</t>
  </si>
  <si>
    <t xml:space="preserve">                          QUANTITY                           </t>
  </si>
  <si>
    <t>CIF HAIPHONG, VIETNAM</t>
  </si>
  <si>
    <t>QTY 
(PCS)</t>
  </si>
  <si>
    <t>WEIGHT   
(KG)</t>
  </si>
  <si>
    <r>
      <t>UNIT PRICE</t>
    </r>
    <r>
      <rPr>
        <sz val="9"/>
        <rFont val="宋体"/>
        <charset val="134"/>
      </rPr>
      <t>（</t>
    </r>
    <r>
      <rPr>
        <sz val="9"/>
        <rFont val="Arial"/>
        <family val="2"/>
      </rPr>
      <t>USD/KG)</t>
    </r>
  </si>
  <si>
    <t>AMOUNT            (USD)</t>
  </si>
  <si>
    <t xml:space="preserve">lead time </t>
  </si>
  <si>
    <t>HARDOX 450 PLATE</t>
  </si>
  <si>
    <t>6*1500*6000</t>
  </si>
  <si>
    <t>20days</t>
  </si>
  <si>
    <t>Q235B PLATE</t>
  </si>
  <si>
    <t>Q355B PLATE</t>
  </si>
  <si>
    <t>8*1500*6000</t>
  </si>
  <si>
    <t>8*2000*12000</t>
  </si>
  <si>
    <t>10*1500*6000</t>
  </si>
  <si>
    <t>10*2000*10000</t>
  </si>
  <si>
    <t>NM400 PLATE</t>
  </si>
  <si>
    <t>12*2000*12000</t>
  </si>
  <si>
    <t>45days</t>
  </si>
  <si>
    <t>HARDOX 500 PLATE</t>
  </si>
  <si>
    <t>16*2000*8000</t>
  </si>
  <si>
    <t>Q355 H BEAM</t>
  </si>
  <si>
    <t>200*200*8*12*12000</t>
  </si>
  <si>
    <t>250*250*9*14*12000</t>
  </si>
  <si>
    <t>Q235B RHS</t>
  </si>
  <si>
    <t>150*100*6*12000</t>
  </si>
  <si>
    <t>200*100*6*6000</t>
  </si>
  <si>
    <t>Q235B SHS</t>
  </si>
  <si>
    <t>200*200*10*6000</t>
  </si>
  <si>
    <t>Q355B SHS</t>
  </si>
  <si>
    <t>200*200*8*12000</t>
  </si>
  <si>
    <t>300*300*6*6000</t>
  </si>
  <si>
    <t>AMOUNT</t>
  </si>
  <si>
    <t>SPECIFICATION:</t>
  </si>
  <si>
    <t>1. SURFACE:</t>
  </si>
  <si>
    <t>SAFETY</t>
  </si>
  <si>
    <t>2. PACKAGE:</t>
  </si>
  <si>
    <t>SEA WORTHY PACKING</t>
  </si>
  <si>
    <t>3. QUALITY STANDARD OF MATERIAL:</t>
  </si>
  <si>
    <t>ACCORDANCE WITH ABOVE SPECIFICATION.</t>
  </si>
  <si>
    <t xml:space="preserve">TERMS: </t>
  </si>
  <si>
    <t>1. INSPECTION:</t>
  </si>
  <si>
    <t>MILL QUALITY TEST.(ORIGINAL MTC WILL BE PROVIDED.)</t>
  </si>
  <si>
    <t>2. TOLERANCE OF AMOUNT:</t>
  </si>
  <si>
    <t>QUANTITY AND AMOUNT ARE ALLOWED MORE OR LESS 10%.</t>
  </si>
  <si>
    <t>3.TERMS OF PAYMENT:</t>
  </si>
  <si>
    <t>100% LC AT SIGHT.</t>
  </si>
  <si>
    <t>4. TIME OF DELIVERY:</t>
  </si>
  <si>
    <t>5. PORT OF LOADING:</t>
  </si>
  <si>
    <t>ANY PORT,CHINA</t>
  </si>
  <si>
    <t xml:space="preserve">6. PORT OF DESTINATION: </t>
  </si>
  <si>
    <t>HAIPHONG,VIETNAM</t>
  </si>
  <si>
    <t xml:space="preserve">7. TRANSPORTATION: </t>
  </si>
  <si>
    <t>CONTAINER</t>
  </si>
  <si>
    <t>8. VALID PERIOD OF PRICE:</t>
  </si>
  <si>
    <t>5DAYS</t>
  </si>
  <si>
    <t>9. ORIGIN OF GOODS:</t>
  </si>
  <si>
    <t>CHINA.</t>
  </si>
  <si>
    <t>10.NOTE</t>
  </si>
  <si>
    <t>1. ABOVE PRICE IS BASED ON FINAL WEIGHT</t>
  </si>
  <si>
    <t>2. ABOVE PRICE DOES NOT CONTAIN THIRD PARTY INSPECTION FEE.</t>
  </si>
  <si>
    <t>BANK INFORMATION:</t>
  </si>
  <si>
    <t>BENIFICIARY COMPANY:</t>
  </si>
  <si>
    <t>COMPANY ADDRESS:</t>
  </si>
  <si>
    <t>BENIFICIARY BANK:</t>
  </si>
  <si>
    <t xml:space="preserve">ZHEJIANG CHOUZHOU COMMERCIAL BANK </t>
  </si>
  <si>
    <t>BANK ADDRESS:</t>
  </si>
  <si>
    <t>YIWU LEYUAN EAST JIANGBIN ROAD YIWU CITY ZHEJIANG PROVINCE CHINA</t>
  </si>
  <si>
    <t>SWIFT NO.:</t>
  </si>
  <si>
    <t>CZCBCN2X</t>
  </si>
  <si>
    <t>ACCOUNT NUMBER:</t>
  </si>
  <si>
    <t>NRA15628142010500008718</t>
  </si>
  <si>
    <t>12*1500*4250</t>
  </si>
  <si>
    <t>6*2000*6000</t>
  </si>
  <si>
    <t>12*1500*3700</t>
  </si>
  <si>
    <t>16*2000*6000</t>
  </si>
  <si>
    <t>20DAYS AFTER ORIGINAL LC</t>
  </si>
  <si>
    <t>GNEEYPH20240513-1</t>
  </si>
  <si>
    <t>QUOTATION NO.: GNEEYPH20240527-1</t>
  </si>
  <si>
    <t>DATE: MAY.27TH,2024</t>
  </si>
  <si>
    <t>FOB CHINA</t>
  </si>
  <si>
    <t>22*2000*6000</t>
  </si>
  <si>
    <t>SA240-304 PLATE</t>
  </si>
  <si>
    <t>2*1219*2438</t>
  </si>
  <si>
    <t>SUS 304 ROUND BAR</t>
  </si>
  <si>
    <t>40*6000</t>
  </si>
  <si>
    <t>Q235B PIPE</t>
  </si>
  <si>
    <t>102*6*6000</t>
  </si>
  <si>
    <t>108*5*6000</t>
  </si>
  <si>
    <t>121*5*6000</t>
  </si>
  <si>
    <t>140*6*6000</t>
  </si>
  <si>
    <t>168*8*6000</t>
  </si>
  <si>
    <t>194*8*6000</t>
  </si>
  <si>
    <t>245*10*12000</t>
  </si>
  <si>
    <t>32*4*6000</t>
  </si>
  <si>
    <t>60*3.5*6000</t>
  </si>
  <si>
    <t>60*6*6000</t>
  </si>
  <si>
    <t>76*5*6000</t>
  </si>
  <si>
    <t>Số lượng (m/m2)</t>
  </si>
  <si>
    <t>Note</t>
  </si>
  <si>
    <t>Số lượng cần
(M/M2)</t>
  </si>
  <si>
    <t>Weight/K.Lượng (Kg)</t>
  </si>
  <si>
    <t>Q.Ty/S.Lượng
(M/M2/Set)</t>
  </si>
  <si>
    <t>Đã nghiệm thu (Kg)</t>
  </si>
  <si>
    <t>Ngày nghiệm thu ACC</t>
  </si>
  <si>
    <t>C.</t>
  </si>
  <si>
    <t>Packing Material / Vật tư kiện</t>
  </si>
  <si>
    <t>Khối lượng phải mua còn lại theo PR/ total order from PR</t>
  </si>
  <si>
    <t>Khối lượng phải mua còn lại/ total order</t>
  </si>
  <si>
    <t>Chi tiết vật liệu</t>
  </si>
  <si>
    <t>ĐVT</t>
  </si>
  <si>
    <t>Định
mức</t>
  </si>
  <si>
    <t>Số lượng</t>
  </si>
  <si>
    <t xml:space="preserve"> Khối
lượng</t>
  </si>
  <si>
    <t xml:space="preserve"> Đơn giá (VNĐ)</t>
  </si>
  <si>
    <t xml:space="preserve">I </t>
  </si>
  <si>
    <t>DỰ TOÁN</t>
  </si>
  <si>
    <t>Xin chuyển đổi</t>
  </si>
  <si>
    <t>Tôn tấm</t>
  </si>
  <si>
    <t>I90-A1</t>
  </si>
  <si>
    <t>Bulong móng</t>
  </si>
  <si>
    <t>ANCHOR BOLT M42</t>
  </si>
  <si>
    <t>sets</t>
  </si>
  <si>
    <t>I90-A2</t>
  </si>
  <si>
    <t>Thông số kỹ thuật theo bản vẽ đặt hàng "I90-13105-ANCHOR BOLT M42"</t>
  </si>
  <si>
    <t>Current Ordered/Dự trù lần 1
(Ngày 24/4/2025)</t>
  </si>
  <si>
    <t>I90-A3</t>
  </si>
  <si>
    <t>I90-A4</t>
  </si>
  <si>
    <t>I90-A5</t>
  </si>
  <si>
    <t>I90-A6</t>
  </si>
  <si>
    <t>I90-A7</t>
  </si>
  <si>
    <t>I90-A8</t>
  </si>
  <si>
    <t>I90-A9</t>
  </si>
  <si>
    <t>I90-A10</t>
  </si>
  <si>
    <t>I90-A11</t>
  </si>
  <si>
    <t>I90-A12</t>
  </si>
  <si>
    <t>I90-A13</t>
  </si>
  <si>
    <t>I90-A14</t>
  </si>
  <si>
    <t>I90-A15</t>
  </si>
  <si>
    <t>I90-A16</t>
  </si>
  <si>
    <t>I90-A17</t>
  </si>
  <si>
    <t>I90-A18</t>
  </si>
  <si>
    <t>I90-A19</t>
  </si>
  <si>
    <t>I90-A20</t>
  </si>
  <si>
    <t>I90-A21</t>
  </si>
  <si>
    <t>I90-A22</t>
  </si>
  <si>
    <t>I90-A23</t>
  </si>
  <si>
    <t>I90-A24</t>
  </si>
  <si>
    <t>I90-A25</t>
  </si>
  <si>
    <t>I90-A26</t>
  </si>
  <si>
    <t>Thép hình-H</t>
  </si>
  <si>
    <t>I90-A27</t>
  </si>
  <si>
    <t>I90-A28</t>
  </si>
  <si>
    <t>I90-A29</t>
  </si>
  <si>
    <t>I90-A30</t>
  </si>
  <si>
    <t>I90-A31</t>
  </si>
  <si>
    <t>I90-A32</t>
  </si>
  <si>
    <t>I90-A33</t>
  </si>
  <si>
    <t>I90-A34</t>
  </si>
  <si>
    <t>I90-A35</t>
  </si>
  <si>
    <t>Thép hình-C</t>
  </si>
  <si>
    <t>I90-A36</t>
  </si>
  <si>
    <t>I90-A37</t>
  </si>
  <si>
    <t>I90-A38</t>
  </si>
  <si>
    <t>I90-A39</t>
  </si>
  <si>
    <t>Thép hình-T</t>
  </si>
  <si>
    <t>I90-A40</t>
  </si>
  <si>
    <t>Thép hình-L</t>
  </si>
  <si>
    <t>I90-A41</t>
  </si>
  <si>
    <t>I90-A42</t>
  </si>
  <si>
    <t>I90-A43</t>
  </si>
  <si>
    <t>PL1.5x800x800</t>
  </si>
  <si>
    <t>ASTM A36</t>
  </si>
  <si>
    <t>PL3x1500x6000</t>
  </si>
  <si>
    <t>PL5x1500x6000</t>
  </si>
  <si>
    <t>PL8x1500x9060</t>
  </si>
  <si>
    <t>PL8x2000x7200</t>
  </si>
  <si>
    <t>PL8x2000x7800</t>
  </si>
  <si>
    <t>PL8x2000x9060</t>
  </si>
  <si>
    <t>PL8x2000x12000</t>
  </si>
  <si>
    <t>PL15x1500x12000</t>
  </si>
  <si>
    <t>PL18x1500x6000</t>
  </si>
  <si>
    <t>PL20x1500x12000</t>
  </si>
  <si>
    <t>PL25x1500x12000</t>
  </si>
  <si>
    <t>PL30x2000x6000</t>
  </si>
  <si>
    <t>PL35x2000x6000</t>
  </si>
  <si>
    <t>PL20x2000x6000</t>
  </si>
  <si>
    <t>ASTM A572-Gr.50</t>
  </si>
  <si>
    <t>PL20x2000x800</t>
  </si>
  <si>
    <t>PL40x2000x2400</t>
  </si>
  <si>
    <t>HEA120(H114x120x5x8)-L12000</t>
  </si>
  <si>
    <t>ASTM A36/ EN-1.0577</t>
  </si>
  <si>
    <t>HEA200(H190x200x6.5x10)-L12000</t>
  </si>
  <si>
    <t>HEA340(H330x300x9.5x16.5)-L12000</t>
  </si>
  <si>
    <t>HEB240(H240x240x10x17)-L3000</t>
  </si>
  <si>
    <t>HEB300(H300x300x11x19)-L12000</t>
  </si>
  <si>
    <t>IPE180(H180x91x5.3x8)-L12000</t>
  </si>
  <si>
    <t>IPE270(H270x135x6.6x10.2)-L12000</t>
  </si>
  <si>
    <t>IPE300(H300x150x7.1x10.7)-L12000</t>
  </si>
  <si>
    <t>IPE330(H330x160x7.5x11.5)-L12000</t>
  </si>
  <si>
    <t>UNP260(C260x90x10x14)-L12000</t>
  </si>
  <si>
    <t>UNP300(C300x100x10x16)-L12000</t>
  </si>
  <si>
    <t>UPN240(C240x85x9.5x13)-L12000</t>
  </si>
  <si>
    <t>UPN80(C80x45x6x8)-L12000</t>
  </si>
  <si>
    <t>T100 (tf=tw=11mm)-DIN 1024-L6000</t>
  </si>
  <si>
    <t>ASTM A36/ EN-1.0038</t>
  </si>
  <si>
    <t>L40x40x5-L6000</t>
  </si>
  <si>
    <t>L150x75x10-L2000</t>
  </si>
  <si>
    <t>L100x50x8-L12000</t>
  </si>
  <si>
    <t>ASTM A572-Gr.50/ EN-1.0577</t>
  </si>
  <si>
    <t>Current Ordered/Dự trù lần 2
(Ngày 5/5/2025)</t>
  </si>
  <si>
    <t>Rev01-đổi khổ như thực tế đã mua PL10x2000x6000-4 tờ</t>
  </si>
  <si>
    <t>Rev01-PL8x1500x9060-12-tờ</t>
  </si>
  <si>
    <t>Rev01-PL8x2000x7200-32-tờ</t>
  </si>
  <si>
    <t>Rev01-PL8x2000x7800-48-tờ</t>
  </si>
  <si>
    <t>Rev01-PL8x2000x9060-44-tờ</t>
  </si>
  <si>
    <t>Rev01-PL18x1500x6000-1-tờ</t>
  </si>
  <si>
    <t>Rev01-PL20x2000x6000-1-tờ</t>
  </si>
  <si>
    <t>Rev01-PL20x2000x800-1-tờ</t>
  </si>
  <si>
    <t>Rev01-PL40x2000x2400-1-tờ</t>
  </si>
  <si>
    <t>Rev01-IBS  bổ sung mới</t>
  </si>
  <si>
    <t>PL10x2000x6000</t>
  </si>
  <si>
    <t>1.0577(S355J2)/ ASTM A36</t>
  </si>
  <si>
    <t>Thép tấm 10x2000x6000 = 4 Tấm/ Cây SS400</t>
  </si>
  <si>
    <t>Tên dự án/ Project no.:25-BRA-I-090</t>
  </si>
  <si>
    <t>020525/HN-IBS</t>
  </si>
  <si>
    <t>I90-C1</t>
  </si>
  <si>
    <t>Thùng gỗ</t>
  </si>
  <si>
    <t>pcs</t>
  </si>
  <si>
    <t>I90-C2</t>
  </si>
  <si>
    <t xml:space="preserve">Mút xốp </t>
  </si>
  <si>
    <t>Mút xốp 5mm</t>
  </si>
  <si>
    <t>mút xốp chèn kiện</t>
  </si>
  <si>
    <t>Current Ordered/Dự trù lần 3
(Ngày 14/5/2025)</t>
  </si>
  <si>
    <t>Rev02-Bổ sung cho phần đóng kiện  anchor bolt. Kích thước theo bản vẽ "I90-Wood box-for 10 Units)</t>
  </si>
  <si>
    <t>Rev02-Bổ sung cho phần đóng kiện  anchor bolt.</t>
  </si>
  <si>
    <t>Thép tấm 3x1500x6000</t>
  </si>
  <si>
    <t>Thép tấm 5x1500x6000</t>
  </si>
  <si>
    <t>Thép tấm 6x1500x12000</t>
  </si>
  <si>
    <t>Thép tấm 8x1500x9060</t>
  </si>
  <si>
    <t>Thép tấm 8x2000x7200</t>
  </si>
  <si>
    <t>Thép tấm 8x2000x7800</t>
  </si>
  <si>
    <t>Thép tấm 8x2000x9060</t>
  </si>
  <si>
    <t>Thép tấm 8x2000x12000</t>
  </si>
  <si>
    <t>Thép tấm 10x1500x12000</t>
  </si>
  <si>
    <t>Thép tấm 16x1500x12000</t>
  </si>
  <si>
    <t>Thép tấm 18x1500x6000</t>
  </si>
  <si>
    <t>Thép tấm 20x1500x12000</t>
  </si>
  <si>
    <t>Thép tấm 30x2000x12000</t>
  </si>
  <si>
    <t>Thép tấm 30x2000x6000</t>
  </si>
  <si>
    <t>Thép tấm 35x2000x6000</t>
  </si>
  <si>
    <t>Thép tấm 50x2000x6000</t>
  </si>
  <si>
    <t>Thép tấm 20x2000x6000 A572</t>
  </si>
  <si>
    <t>SS400 
(Team / chứng chỉ A36)</t>
  </si>
  <si>
    <t>A36</t>
  </si>
  <si>
    <t>A572 Gr.B</t>
  </si>
  <si>
    <t>Đã mời ngày 5/19</t>
  </si>
  <si>
    <t>?</t>
  </si>
  <si>
    <t>VẬT TƯ OVERSEA</t>
  </si>
  <si>
    <t>STT/ No.</t>
  </si>
  <si>
    <t>Dự án/ Hạng mục/ 
Project/ Items</t>
  </si>
  <si>
    <t>Thiết kế, Dự toán/ Design, Estimation</t>
  </si>
  <si>
    <r>
      <rPr>
        <b/>
        <sz val="12"/>
        <color theme="1"/>
        <rFont val="Times New Roman"/>
        <family val="1"/>
      </rPr>
      <t xml:space="preserve">Mua sắm/ Ordered, Puchased
</t>
    </r>
    <r>
      <rPr>
        <b/>
        <sz val="12"/>
        <color rgb="FFFF0000"/>
        <rFont val="Times New Roman"/>
        <family val="1"/>
      </rPr>
      <t>(Đến hiện tại/ Up to now)</t>
    </r>
  </si>
  <si>
    <t>Chênh lệch/ Diff. (VND)</t>
  </si>
  <si>
    <t>Ghi chú/ Remarks</t>
  </si>
  <si>
    <t>Hàng mua thêm</t>
  </si>
  <si>
    <t>Hàng tồn</t>
  </si>
  <si>
    <t>Khối lượng/ Weight (Kg)</t>
  </si>
  <si>
    <r>
      <rPr>
        <b/>
        <sz val="12"/>
        <color theme="1"/>
        <rFont val="Times New Roman"/>
        <family val="1"/>
      </rPr>
      <t xml:space="preserve">Số lượng/ Q'ty
</t>
    </r>
    <r>
      <rPr>
        <b/>
        <sz val="12"/>
        <color rgb="FFFF0000"/>
        <rFont val="Times New Roman"/>
        <family val="1"/>
      </rPr>
      <t>(M/M2//PSC)</t>
    </r>
  </si>
  <si>
    <t>Tổng Giá trị/ Total Cost
(VND)</t>
  </si>
  <si>
    <r>
      <t xml:space="preserve">Khối lượng/ Weight (Kg/N/A)
</t>
    </r>
    <r>
      <rPr>
        <b/>
        <sz val="12"/>
        <color rgb="FFFF0000"/>
        <rFont val="Times New Roman"/>
        <family val="1"/>
      </rPr>
      <t>Materials available at the factory</t>
    </r>
  </si>
  <si>
    <r>
      <rPr>
        <b/>
        <sz val="12"/>
        <color theme="1"/>
        <rFont val="Times New Roman"/>
        <family val="1"/>
      </rPr>
      <t xml:space="preserve">Số lượng/ Q'ty
</t>
    </r>
    <r>
      <rPr>
        <b/>
        <sz val="12"/>
        <color rgb="FFFF0000"/>
        <rFont val="Times New Roman"/>
        <family val="1"/>
      </rPr>
      <t>(M/M2/PSC)
Materials available at the factory</t>
    </r>
  </si>
  <si>
    <t>Tổng Giá trị mua thêm/ Total Cost
(VND)</t>
  </si>
  <si>
    <t>Vật tư chính/ Main-Material</t>
  </si>
  <si>
    <t>Vật tư phụ/ Accessory-Material</t>
  </si>
  <si>
    <t>Vật tư kiện/ Packing Material</t>
  </si>
  <si>
    <t>Tổ hợp từ thép tấm dầy 10 hoặc 12mm</t>
  </si>
  <si>
    <t>Để xuất chuyển đổi</t>
  </si>
  <si>
    <t>Dùng V150x10 cắt cánh (SS400)</t>
  </si>
  <si>
    <t>I90-A44</t>
  </si>
  <si>
    <t>Ống</t>
  </si>
  <si>
    <t>Pipe D60.3x5.4- DIN EN 10220-1-seamless pipe-L6000</t>
  </si>
  <si>
    <t>1.0038/A36</t>
  </si>
  <si>
    <t>I90-A45</t>
  </si>
  <si>
    <t>Pipe D57x3.2-DIN EN 10220-1-seamless pipe-L2600</t>
  </si>
  <si>
    <t>1.0577/A36</t>
  </si>
  <si>
    <t>I90-A46</t>
  </si>
  <si>
    <t>Pipe D88.9x3.6-DIN 2448-seamless pipe-L4000</t>
  </si>
  <si>
    <t>I90-A47</t>
  </si>
  <si>
    <t>Pipe D101.6x6.3-DIN 2448-seamless pipe-L400</t>
  </si>
  <si>
    <t>I90-A48</t>
  </si>
  <si>
    <t>Pipe D127x12.5-DIN 2448-seamless pipe-L12000</t>
  </si>
  <si>
    <t>I90-A49</t>
  </si>
  <si>
    <t>Pipe D193.7x10-EN 10220-3-seamless pipe-L12000</t>
  </si>
  <si>
    <t>I90-A50</t>
  </si>
  <si>
    <t>Thép tròn</t>
  </si>
  <si>
    <t>RB10-L3000</t>
  </si>
  <si>
    <t>I90-A51</t>
  </si>
  <si>
    <t>RB12-L6000</t>
  </si>
  <si>
    <t>I90-A52</t>
  </si>
  <si>
    <t>RB30-L1100</t>
  </si>
  <si>
    <t>I90-A53</t>
  </si>
  <si>
    <t>RB40-L6000</t>
  </si>
  <si>
    <t>I90-A54</t>
  </si>
  <si>
    <t>RB80-L4000</t>
  </si>
  <si>
    <t>I90-A55</t>
  </si>
  <si>
    <t>RB100-L1100</t>
  </si>
  <si>
    <t>I90-A56</t>
  </si>
  <si>
    <t>RB520-L6000</t>
  </si>
  <si>
    <t>1.0570/A36</t>
  </si>
  <si>
    <t>I90-A57</t>
  </si>
  <si>
    <t>Elbow</t>
  </si>
  <si>
    <t>Elbow 90 Deg Type 3 D60.3 - 4.5S -DIN EN 10253</t>
  </si>
  <si>
    <t>1.0255</t>
  </si>
  <si>
    <t>I90-A58</t>
  </si>
  <si>
    <t>Tee thép</t>
  </si>
  <si>
    <t xml:space="preserve"> Tee D60.3 x 4 S-DIN EN 10253</t>
  </si>
  <si>
    <t>Current Ordered/Dự trù lần 4
(Ngày 25/5/2025)</t>
  </si>
  <si>
    <t>VSAN</t>
  </si>
  <si>
    <t>Rev03-IBS  bổ sung mới</t>
  </si>
  <si>
    <t>Rev03-IBS  bổ sung mới. Chú ý loại này. Tổng có 20pcs. Chiều dài mỗi chi tiết sau gia công L600mm.</t>
  </si>
  <si>
    <t>Current Ordered/Dự trù lần 4
(Ngày 2/6/2025)</t>
  </si>
  <si>
    <t>I90-A59</t>
  </si>
  <si>
    <t>HEB200(H200x200x9x15)-L12000</t>
  </si>
  <si>
    <t>I90-A60</t>
  </si>
  <si>
    <t>UNP140(C140x60x7x10)-L12000</t>
  </si>
  <si>
    <t>I90-A61</t>
  </si>
  <si>
    <t>UNP200(C200x75x8.5x11.5)-L12000</t>
  </si>
  <si>
    <t>I90-A62</t>
  </si>
  <si>
    <t>Pipe D127x10-DIN 2448-seamless pipe-L12000</t>
  </si>
  <si>
    <t>1.0577</t>
  </si>
  <si>
    <t>I90-A63</t>
  </si>
  <si>
    <t>Pipe D219.1x10-DIN 2448-seamless pipe-L12000</t>
  </si>
  <si>
    <t>Rev04-IBS  bổ sung mới</t>
  </si>
  <si>
    <t>Đợi QC kiểm tra hàng mẫu/ Q sẽ mua tieps 9 cái sau đó về marking</t>
  </si>
  <si>
    <t>Hoàng Nam</t>
  </si>
  <si>
    <t>S45C</t>
  </si>
  <si>
    <t>Mời nghiệm thu ngày 10/6</t>
  </si>
  <si>
    <t>040625HN-IBS</t>
  </si>
  <si>
    <t>Q235B/A36/SS400</t>
  </si>
  <si>
    <t>Thép tấm 8x1500x9060 = 6 TẤm ASTM A36</t>
  </si>
  <si>
    <t>Thép tấm 8x2000x7200 = 10 TẤm ASTM A36</t>
  </si>
  <si>
    <t>Thép tấm 8x2000x7800 = 20 TẤm ASTM A36</t>
  </si>
  <si>
    <t>Thép tấm 8x2000x9060 = 20 TẤm ASTM A36</t>
  </si>
  <si>
    <t>Thép tấm 8x2000x12000 = 70 TẤm ASTM A36</t>
  </si>
  <si>
    <t>Thép tấm 16x1500x12000 = 26 TẤm ASTM A36</t>
  </si>
  <si>
    <t>Thép tấm 20x1500x12000 = 3 TẤm ASTM A36</t>
  </si>
  <si>
    <t>Thép tấm 30x2000x12000 = 3.5 TẤm ASTM A36</t>
  </si>
  <si>
    <t>Thép công nghiệp Hà Nội</t>
  </si>
  <si>
    <t>City com</t>
  </si>
  <si>
    <t>Tuấn Long</t>
  </si>
  <si>
    <t>Thép ống D60 x 5.5= 15 cây 6m</t>
  </si>
  <si>
    <t>Thép ống D57 x 3.5 = 1 cây 7m</t>
  </si>
  <si>
    <t>Thép ống D89 x 3.5 = 1 cây 6m</t>
  </si>
  <si>
    <t>Thép ống D102 x 6 = 1 cây 8,26m</t>
  </si>
  <si>
    <t>Thép ống D127 x 13.5 = 3 cây 6m</t>
  </si>
  <si>
    <t>070625/ TL-IBS</t>
  </si>
  <si>
    <t>APL5l/A106</t>
  </si>
  <si>
    <t>90.1/HĐKT-2025 IBS-VSAN</t>
  </si>
  <si>
    <t>Thanh ren M42-4.5x675
Ecu M42-4.5
Vòng đẹm phẳng OD75xID43x10mm
Vòng đệm phẳng M42</t>
  </si>
  <si>
    <t>N/A</t>
  </si>
  <si>
    <t>I90-A11A</t>
  </si>
  <si>
    <t>PL8x2000x9650</t>
  </si>
  <si>
    <t>I90-A64</t>
  </si>
  <si>
    <t>IPE200(H200x100x5.6x8.5)-L12000</t>
  </si>
  <si>
    <t>I90-A65</t>
  </si>
  <si>
    <t>IPE240(H240x120x6.2x9.8)-L8000</t>
  </si>
  <si>
    <t>I90-A66</t>
  </si>
  <si>
    <t>L100x100x8-L12000</t>
  </si>
  <si>
    <t>I90-A67</t>
  </si>
  <si>
    <t>Pipe D29.6x2.9-L1000</t>
  </si>
  <si>
    <t>I90-A68</t>
  </si>
  <si>
    <t>Pipe D48.3x3.2-L6000</t>
  </si>
  <si>
    <t>I90-A69</t>
  </si>
  <si>
    <t>I90-A70</t>
  </si>
  <si>
    <t>Pipe D219.1x6.3 -L2400</t>
  </si>
  <si>
    <t>I90-A71</t>
  </si>
  <si>
    <t>Pipe D559x32.54-L6000</t>
  </si>
  <si>
    <t>Current Ordered/Dự trù lần 5
(Ngày 13/6/2025)</t>
  </si>
  <si>
    <t>Rev05-BRADEN-PL8x2000x9650-90tờ</t>
  </si>
  <si>
    <t>Rev05-BRADEN-PL30x2000x6000-4tờ</t>
  </si>
  <si>
    <t>Rev05-BRADEN-PL50x2000x7000-1tờ</t>
  </si>
  <si>
    <t>Rev05-BRADEN-PL50x2000x7000-1tờ: Rev01-PL50x2000x4600-1tờ</t>
  </si>
  <si>
    <t>Rev05-BRADEN-bổ sung 12.0m</t>
  </si>
  <si>
    <t>Rev05-BRADEN-bổ sung 540.0m</t>
  </si>
  <si>
    <t>Rev05-BRADEN-bổ sung 3.5m</t>
  </si>
  <si>
    <t>Rev05-BRADEN-bổ sung 63.75.0m</t>
  </si>
  <si>
    <t>Rev05-BRADEN-bổ sung 102.0m</t>
  </si>
  <si>
    <t>Rev05-BRADEN-bổ sung 288.0m</t>
  </si>
  <si>
    <t>Rev05-BRADEN-bổ sung 384.0m</t>
  </si>
  <si>
    <t>Rev05-BRADEN-bổ sung 480.0m</t>
  </si>
  <si>
    <t>Rev05-BRADEN-bổ sung 222.8.0m</t>
  </si>
  <si>
    <t>Rev05-BRADEN-đã xin thành tổ hợp từ PL12. Khối lượng tinh không chuyển lên mục PL12</t>
  </si>
  <si>
    <t>Rev05-BRADEN-bổ sung 1.0m</t>
  </si>
  <si>
    <t>Rev05-BRADEN-bổ sung 12.8m</t>
  </si>
  <si>
    <t>Rev05-BRADEN-bổ sung 6.0m</t>
  </si>
  <si>
    <t>Rev05-BRADEN-bổ sung 24m. Vì loại này không được nối ống</t>
  </si>
  <si>
    <t>Rev05-BRADEN-bổ sung 8.0m</t>
  </si>
  <si>
    <t>Rev05-BRADEN-bổ sung 48.0m</t>
  </si>
  <si>
    <t>Rev05-BRADEN-bổ sung 2.4m</t>
  </si>
  <si>
    <t>IBSHI-GNEE/2505-07</t>
  </si>
  <si>
    <t>GNEE2</t>
  </si>
  <si>
    <t>SS400 (Team / chứng chỉ A36)</t>
  </si>
  <si>
    <t>I90-A72</t>
  </si>
  <si>
    <t>HEB140(H140x140x7x12)-L12000</t>
  </si>
  <si>
    <t>I90-A73</t>
  </si>
  <si>
    <t>UPN160(C160x65x7.5x10.5)-L12000</t>
  </si>
  <si>
    <t>I90-A74</t>
  </si>
  <si>
    <t>L50x50x5-L6000</t>
  </si>
  <si>
    <t>I90-A75</t>
  </si>
  <si>
    <t>RB20-L6000</t>
  </si>
  <si>
    <t>I90-A76</t>
  </si>
  <si>
    <t>C41.3x25.4x2.7x7-gal'v steel-L9900</t>
  </si>
  <si>
    <t>I90-A77</t>
  </si>
  <si>
    <t>Bậc thang đứng</t>
  </si>
  <si>
    <t>GRIP STRUT LADDER RUNGS ( LG1 ) 457x76.2x28.6-thickness 2mm</t>
  </si>
  <si>
    <t>I90-A78</t>
  </si>
  <si>
    <t>Anchor Bolt - FBN II 16/140-Hot-dip gal'v</t>
  </si>
  <si>
    <t>Steel</t>
  </si>
  <si>
    <t>I90-A79</t>
  </si>
  <si>
    <t>1.5415(16Mo3)</t>
  </si>
  <si>
    <t>Current Ordered/Dự trù lần 6
(Ngày 21/6/2025)</t>
  </si>
  <si>
    <t>Rev06-BRADEN-bổ sung 36.0m</t>
  </si>
  <si>
    <t>Rev06-BRADEN-bổ sung 25.2m</t>
  </si>
  <si>
    <t>Rev06-BRADEN-bổ sung 132.0m</t>
  </si>
  <si>
    <t>Rev06-BRADEN-bổ sung 6.0m. Chi tiết về loại ladder rung sẽ được gửi sau</t>
  </si>
  <si>
    <t>Rev06-BRADEN-bổ sung 6.0m</t>
  </si>
  <si>
    <t>ASTM A36 HEA340</t>
  </si>
  <si>
    <t>ASTM A572-GR50 HEB300</t>
  </si>
  <si>
    <t>A106 GRB SEAMLESS PIPE</t>
  </si>
  <si>
    <t>ASTM A36 UPN140</t>
  </si>
  <si>
    <t>ASTM A36 UPN200</t>
  </si>
  <si>
    <t>Thép tấm 45x2000x12000mm</t>
  </si>
  <si>
    <t>0606.HĐKT/TCN-IBS/2025</t>
  </si>
  <si>
    <t>Dùng cùng I90-A43</t>
  </si>
  <si>
    <t>214/2025/CTC-IBS</t>
  </si>
  <si>
    <t>Thép tấm 6x2000x12000 (2 tờ)</t>
  </si>
  <si>
    <t>Thép tấm 6x2000x3000  (1 tờ)</t>
  </si>
  <si>
    <t>Thép tấm 8x2000x9650</t>
  </si>
  <si>
    <t>Thép tấm 10x2000x12000 (12 tờ)</t>
  </si>
  <si>
    <t>Thép tấm 12x2000x12000 (3 tờ)</t>
  </si>
  <si>
    <t>Thép tấm 12x2000x9000  (1 tờ)</t>
  </si>
  <si>
    <t>Thép tấm 25x2000x12000</t>
  </si>
  <si>
    <t>Thép tấm 35x2000x12000</t>
  </si>
  <si>
    <t>A36/SS400/Q235B</t>
  </si>
  <si>
    <t>I90-A5A</t>
  </si>
  <si>
    <t>PL5x2000X12000</t>
  </si>
  <si>
    <t>Rev06-BRADEN-PL5x2000x12000-8tờ</t>
  </si>
  <si>
    <t>Thép tấm 3x1500x6000 (2 tờ)</t>
  </si>
  <si>
    <t>Thép tấm 5x1500x6000 (1 tờ)</t>
  </si>
  <si>
    <t>Thép tấm 5x2000x12000 (8 tờ)</t>
  </si>
  <si>
    <t>Thép tấm 12x2000x12000 (1 tờ)</t>
  </si>
  <si>
    <t>Thép tấm 25x2000x12000 (1 tờ)</t>
  </si>
  <si>
    <t>Thép tấm 50x2000x6000 (1 tờ)</t>
  </si>
  <si>
    <t>Thép góc L100x100x8x6000 (14 cây)</t>
  </si>
  <si>
    <t>Thép góc L50x50x5x6000 (104 cây)</t>
  </si>
  <si>
    <t>Thép tròn trơn phi 20x6000 (52 cây)</t>
  </si>
  <si>
    <t>Thép tấm 12x1500x12000 (3 tờ)</t>
  </si>
  <si>
    <t>BSHI-GNEE/2506-05</t>
  </si>
  <si>
    <t>ASTM A36 HEA340 (H330x300x9.5x16.5)-L12000</t>
  </si>
  <si>
    <t>A106 GRB SEAMLESS PIPE Pipe D193.7x10-12000</t>
  </si>
  <si>
    <t>ASTM A36 HEB200 (H200x200x9x15)-L12000</t>
  </si>
  <si>
    <t>ASTM A36 UPN140 (C140x60x7x10)-L12000</t>
  </si>
  <si>
    <t>ASTM A36 UPN200 (C200x75x8.5x11.5)-L12000</t>
  </si>
  <si>
    <t>A106 GRB SEAMLESS PIPE Pipe D127x10x12000</t>
  </si>
  <si>
    <t>A106 GRB SEAMLESS PIPE Pipe D219.1x10x12000</t>
  </si>
  <si>
    <t>Pipe D127x13.5-ASTM A106/API 5L</t>
  </si>
  <si>
    <t>Pipe D27x2.9 ASTM A106/API 5L</t>
  </si>
  <si>
    <t>Pipe D48x3.68 ASTM A106/API 5L</t>
  </si>
  <si>
    <t>Pipe D114x6.5 ASTM A106/API 5L</t>
  </si>
  <si>
    <t>Pipe D219x8.2 ASTM A106/API 5L</t>
  </si>
  <si>
    <t>040725/ TL-IBS</t>
  </si>
  <si>
    <r>
      <rPr>
        <sz val="14"/>
        <rFont val="Times New Roman"/>
        <family val="1"/>
      </rPr>
      <t xml:space="preserve">Thép ống </t>
    </r>
    <r>
      <rPr>
        <sz val="14"/>
        <rFont val="Century"/>
        <family val="1"/>
      </rPr>
      <t xml:space="preserve">f127 </t>
    </r>
    <r>
      <rPr>
        <sz val="14"/>
        <rFont val="Times New Roman"/>
        <family val="1"/>
      </rPr>
      <t>x 13,5 = 2 cây</t>
    </r>
  </si>
  <si>
    <r>
      <rPr>
        <sz val="14"/>
        <rFont val="Times New Roman"/>
        <family val="1"/>
      </rPr>
      <t xml:space="preserve">Thép ống </t>
    </r>
    <r>
      <rPr>
        <sz val="14"/>
        <rFont val="Century"/>
        <family val="1"/>
      </rPr>
      <t xml:space="preserve">f27 </t>
    </r>
    <r>
      <rPr>
        <sz val="14"/>
        <rFont val="Times New Roman"/>
        <family val="1"/>
      </rPr>
      <t>x 2,9 = 1 cây</t>
    </r>
  </si>
  <si>
    <r>
      <rPr>
        <sz val="14"/>
        <rFont val="Times New Roman"/>
        <family val="1"/>
      </rPr>
      <t xml:space="preserve">Thép ống </t>
    </r>
    <r>
      <rPr>
        <sz val="14"/>
        <rFont val="Century"/>
        <family val="1"/>
      </rPr>
      <t xml:space="preserve">f48 </t>
    </r>
    <r>
      <rPr>
        <sz val="14"/>
        <rFont val="Times New Roman"/>
        <family val="1"/>
      </rPr>
      <t>x 3,68 = 8 cây</t>
    </r>
  </si>
  <si>
    <r>
      <rPr>
        <sz val="14"/>
        <rFont val="Times New Roman"/>
        <family val="1"/>
      </rPr>
      <t xml:space="preserve">Thép ống </t>
    </r>
    <r>
      <rPr>
        <sz val="14"/>
        <rFont val="Century"/>
        <family val="1"/>
      </rPr>
      <t xml:space="preserve">f114 </t>
    </r>
    <r>
      <rPr>
        <sz val="14"/>
        <rFont val="Times New Roman"/>
        <family val="1"/>
      </rPr>
      <t>x 6,5 = 2 cây</t>
    </r>
  </si>
  <si>
    <r>
      <rPr>
        <sz val="14"/>
        <rFont val="Times New Roman"/>
        <family val="1"/>
      </rPr>
      <t xml:space="preserve">Thép ống </t>
    </r>
    <r>
      <rPr>
        <sz val="14"/>
        <rFont val="Century"/>
        <family val="1"/>
      </rPr>
      <t xml:space="preserve">f219 </t>
    </r>
    <r>
      <rPr>
        <sz val="14"/>
        <rFont val="Times New Roman"/>
        <family val="1"/>
      </rPr>
      <t>x 8,2 = 1 cây</t>
    </r>
  </si>
  <si>
    <t>IBSHI-GNEE/2506-25</t>
  </si>
  <si>
    <t>190*200*6.5*10*12000</t>
  </si>
  <si>
    <t>ASTM A36 HEA200</t>
  </si>
  <si>
    <t>330*300*9.5*16.5*12000</t>
  </si>
  <si>
    <t>300*150*7.1*10.7*12000</t>
  </si>
  <si>
    <t>ASTM A36 IPE300</t>
  </si>
  <si>
    <t>330*160*7.5*11.5*12000</t>
  </si>
  <si>
    <t>ASTM A36 IPE330</t>
  </si>
  <si>
    <t>260*90*10*14*12000</t>
  </si>
  <si>
    <t>ASTM A36 UPN260</t>
  </si>
  <si>
    <t>300*100*10*16*12000</t>
  </si>
  <si>
    <t>ASTM A36 UPN300</t>
  </si>
  <si>
    <t>240*85*9.5*13*12000</t>
  </si>
  <si>
    <t>ASTM A36 UPN240</t>
  </si>
  <si>
    <t>140*60*7*10*12000</t>
  </si>
  <si>
    <t>200*75*8.5*11.5*12000</t>
  </si>
  <si>
    <t>127*10*12000</t>
  </si>
  <si>
    <t>200*100*5.6*8.5*12000</t>
  </si>
  <si>
    <t>ASTM A36 IPE200</t>
  </si>
  <si>
    <t>240*120*6.2*9.8*12000</t>
  </si>
  <si>
    <t>ASTM A36 IPE240</t>
  </si>
  <si>
    <t>140*140*7*12*12000</t>
  </si>
  <si>
    <t>ASTM A36 HEB140</t>
  </si>
  <si>
    <t>160*65*7.5*10.5*12000</t>
  </si>
  <si>
    <t>ASTM A36 UPN160</t>
  </si>
  <si>
    <t>I90-A80</t>
  </si>
  <si>
    <t>Pipe D114.3x10-DIN 2448-seamless pipe-L12000</t>
  </si>
  <si>
    <t>I90-A81</t>
  </si>
  <si>
    <t>Pipe D26.9x2.6-DIN 2448-seamless pipe-L6000</t>
  </si>
  <si>
    <t>I90-A82</t>
  </si>
  <si>
    <t>Pipe D95x14-DIN 10305-seamless pipe-L12000</t>
  </si>
  <si>
    <t>I90-A83</t>
  </si>
  <si>
    <t>RB3</t>
  </si>
  <si>
    <t>I90-A84</t>
  </si>
  <si>
    <t>RB95-L4000</t>
  </si>
  <si>
    <t>I90-A85</t>
  </si>
  <si>
    <t>Van</t>
  </si>
  <si>
    <t>BALL VALVE (Socket Valve 2 inch 1.0460)</t>
  </si>
  <si>
    <t>I90-A86</t>
  </si>
  <si>
    <t>Cap</t>
  </si>
  <si>
    <t>Cap  T1-2" ISO 49</t>
  </si>
  <si>
    <t>Cast iron blank</t>
  </si>
  <si>
    <t>I90-A87</t>
  </si>
  <si>
    <t>Bản lề</t>
  </si>
  <si>
    <t>Hinges GN 136-ST-60-60-A</t>
  </si>
  <si>
    <t>I90-A88</t>
  </si>
  <si>
    <t>Tấm sàn</t>
  </si>
  <si>
    <t>Grating</t>
  </si>
  <si>
    <t>GRP-GRATING</t>
  </si>
  <si>
    <t>Current Ordered/Dự trù lần 7
(Ngày 12/7/2025)</t>
  </si>
  <si>
    <t>Rev07-BRADEN-PL6x2000x12000-1tờ</t>
  </si>
  <si>
    <t>Rev07-BRADEN-PL8x2000x12000-14tờ</t>
  </si>
  <si>
    <t>Rev07-BRADEN-PL30x2000x12000-1tờ</t>
  </si>
  <si>
    <t>Rev05-BRADEN-bổ sung 30.0m</t>
  </si>
  <si>
    <t>Rev07-BRADEN-bổ sung 300.0m</t>
  </si>
  <si>
    <t>Rev07-BRADEN-bổ sung 144.0m</t>
  </si>
  <si>
    <t>Rev07-BRADEN-bổ sung 2.5m</t>
  </si>
  <si>
    <t>Rev07-BRADEN-bổ sung 78.0m</t>
  </si>
  <si>
    <t>Rev07-BRADEN-bổ sung 132.0m</t>
  </si>
  <si>
    <t>Rev07-BRADEN-bỏ đi không dùng đến</t>
  </si>
  <si>
    <t xml:space="preserve">Rev07-BRADEN-bổ sung </t>
  </si>
  <si>
    <t>210625/HN-IBS</t>
  </si>
  <si>
    <t>Hùng Nguyên/Dùng V50x5 cắt cánh  (SS400)</t>
  </si>
  <si>
    <t>Hùng Nguyên/Dùng V100x8 (SS400)</t>
  </si>
  <si>
    <t>Thép D10x3000</t>
  </si>
  <si>
    <t>Báo giá ngày 30/6/2025</t>
  </si>
  <si>
    <t>CK NGUYÊN KHÔI</t>
  </si>
  <si>
    <t>Báo giá ngày 16/6/2025</t>
  </si>
  <si>
    <t>Tê Đề 2 inch</t>
  </si>
  <si>
    <t>SA234</t>
  </si>
  <si>
    <t>TAM ĐA</t>
  </si>
  <si>
    <t>Báo giá ngày 12/6/2025</t>
  </si>
  <si>
    <t>CÔNG NGHIỆP HÀ NỘI</t>
  </si>
  <si>
    <t>140525HN-IBS</t>
  </si>
  <si>
    <t>150725/HN-IBS</t>
  </si>
  <si>
    <t>Thép tấm 3x1500x6000 = 1 Tấm A36</t>
  </si>
  <si>
    <t>Thép tấm 6x2000x12000 = 1 Tấm A36</t>
  </si>
  <si>
    <t>Thép tấm 8x2000x12000 = 14 Tấm A36</t>
  </si>
  <si>
    <t>Thép tấm 12x2000x12000 = 2 Tấm A36</t>
  </si>
  <si>
    <t>Thép tấm 20x2000x12000 = 1 Tấm A36</t>
  </si>
  <si>
    <t>Thép tấm 25x2000x12000 = 1 Tấm A36</t>
  </si>
  <si>
    <t>Thép tấm 30x2000x12000 = 1 Tấm A36</t>
  </si>
  <si>
    <t>Thép tròn trơn phi 10x6000 = 5 Tấm A36</t>
  </si>
  <si>
    <t>Thép tròn trơn phi 20x6000 = 22 Tấm A36</t>
  </si>
  <si>
    <t>SS400/Q235B</t>
  </si>
  <si>
    <t>hàng tồn</t>
  </si>
  <si>
    <t>08062025/IBSHI-KH</t>
  </si>
  <si>
    <t>Khánh Hưng</t>
  </si>
  <si>
    <t>Ống thép Ø520 x Ø320 x L620</t>
  </si>
  <si>
    <t>hàng đã giao</t>
  </si>
  <si>
    <t>Current Ordered/Dự trù lần 8
(Ngày 29/7/2025)</t>
  </si>
  <si>
    <t>I90-A89</t>
  </si>
  <si>
    <t>PL4</t>
  </si>
  <si>
    <t>I90-A90</t>
  </si>
  <si>
    <t>RB16-L6000</t>
  </si>
  <si>
    <t>I90-A91</t>
  </si>
  <si>
    <t>RB5-L1200</t>
  </si>
  <si>
    <t>1.0044/A36</t>
  </si>
  <si>
    <t>I90-A92</t>
  </si>
  <si>
    <t>Hộp</t>
  </si>
  <si>
    <t>SHS31.8x31.8x3-L6000</t>
  </si>
  <si>
    <t>I90-A93</t>
  </si>
  <si>
    <t>Tube DN.350 (Pipe D355.6x4)-L12000</t>
  </si>
  <si>
    <t>I90-A94</t>
  </si>
  <si>
    <t>UPN120(C120x55x7x9)-L12000</t>
  </si>
  <si>
    <t>I90-A95</t>
  </si>
  <si>
    <t>Spring</t>
  </si>
  <si>
    <t>Spring D3</t>
  </si>
  <si>
    <t>I90-A96</t>
  </si>
  <si>
    <t>Then</t>
  </si>
  <si>
    <t>Then 80x340-thk 40</t>
  </si>
  <si>
    <t>Rev08-PL1.5x1200x2500</t>
  </si>
  <si>
    <t>Rev08-BRADEN-PL4x1500x6000-5tờ</t>
  </si>
  <si>
    <t>Rev08-BRADEN-bổ sung mới</t>
  </si>
  <si>
    <t>Rev08-BRADEN-bổ sung mới. Xem bản vẽ " I90-Spring-D3" gửi kèm</t>
  </si>
  <si>
    <t>Rev08-BRADEN-bổ sung mới. Xem bản vẽ " I90-Pin-L340-S45C" gửi kèm</t>
  </si>
  <si>
    <t>Hàng tồn dự án 93</t>
  </si>
  <si>
    <t>Chuyển đổi dùng tôn 5mm</t>
  </si>
  <si>
    <t>PL6x1500x12000; PL6x2000x12000 (2 tờ); PL6x2000x3000(1 tờ)</t>
  </si>
  <si>
    <t>PL10x1500x12000; PL10x2000x12000 (12 tờ)</t>
  </si>
  <si>
    <t>PL12x1500x12000; PL12x2000x12000; PL12x2000x9000.</t>
  </si>
  <si>
    <t>PL30x2000x6000; PL30x2000x12000</t>
  </si>
  <si>
    <t>PL45x2000x4500; PL45x2000x7000</t>
  </si>
  <si>
    <t>PL50x2000x4600; PL50x2000x7000</t>
  </si>
  <si>
    <t>HEB240(H240x240x10x17)-L3000; HEB240(H240x240x10x17)-L3500</t>
  </si>
  <si>
    <t>Pipe D114.3x6.3-L8000;Pipe D114.3x6.3-L2500</t>
  </si>
  <si>
    <t>Gỗ có dấu khử trùng 
( ISPM 15)</t>
  </si>
  <si>
    <t>Thép hộp đen 30 x 30 x 3,0 x 6.000 mm</t>
  </si>
  <si>
    <t>Thép ống đen 355,0 x 5 x 12.000 mm</t>
  </si>
  <si>
    <t>Thép tấm 10x2000x12000 (1 tờ)</t>
  </si>
  <si>
    <t>Thép góc L50x50x5x6000</t>
  </si>
  <si>
    <t>Thép góc L100x100x8x6000</t>
  </si>
  <si>
    <t xml:space="preserve">0907.HĐKT/TCN-IBS/2025 </t>
  </si>
  <si>
    <t>APL5l</t>
  </si>
  <si>
    <t>1Ống hàn F 560 x 40 x 6m</t>
  </si>
  <si>
    <t>01/HĐMB/25/UN–IBS</t>
  </si>
  <si>
    <t>Báo giá ngày 30/7/2025</t>
  </si>
  <si>
    <t>Current Ordered/Dự trù lần 9
(Ngày 2/8/2025)</t>
  </si>
  <si>
    <t>I90-A79A</t>
  </si>
  <si>
    <t>PL10x2000X2450</t>
  </si>
  <si>
    <t>Rev09-BRADEN-bổ sung PL6x2000X9000-1 tờ, PL6x2000X12000-5 tờ</t>
  </si>
  <si>
    <t>Rev09-BRADEN-bổ sung PL10x2000X2450-1 tờ</t>
  </si>
  <si>
    <t xml:space="preserve">ASTM A36 HEA340 (H330x300x9.5x16.5)-L12000 = 6 Cây </t>
  </si>
  <si>
    <t xml:space="preserve">A106 GRB SEAMLESS PIPE Pipe D193.7x10-12000 = 8 Cây </t>
  </si>
  <si>
    <t xml:space="preserve">ASTM A36 HEB200 (H200x200x9x15)-L12000 = 2 Cây </t>
  </si>
  <si>
    <t xml:space="preserve">ASTM A36 UPN140 (C140x60x7x10)-L12000 = 17 Cây </t>
  </si>
  <si>
    <t xml:space="preserve">ASTM A36 UPN200 (C200x75x8.5x11.5)-L12000 = 23 Cây </t>
  </si>
  <si>
    <t xml:space="preserve">A106 GRB SEAMLESS PIPE Pipe D127x10x12000 = 25 Cây </t>
  </si>
  <si>
    <t xml:space="preserve">A106 GRB SEAMLESS PIPE Pipe D219.1x10x12000 = 26 Cây </t>
  </si>
  <si>
    <t>16MO3 STEEL PLATE</t>
  </si>
  <si>
    <t>UNIC</t>
  </si>
  <si>
    <t>Fischer Bulong nở FBN II 16/100 HDG</t>
  </si>
  <si>
    <t>I90-A97</t>
  </si>
  <si>
    <t>Pipe Pipe D60.3x3.91-L6000-seamless pipe-L6000</t>
  </si>
  <si>
    <t>I90-A98</t>
  </si>
  <si>
    <t>RB24-L4600</t>
  </si>
  <si>
    <t>I90-B1</t>
  </si>
  <si>
    <t>Bu lông</t>
  </si>
  <si>
    <t>Bolt-M10x20-ISO4017-8.8-Galv</t>
  </si>
  <si>
    <t>8.8-Galv</t>
  </si>
  <si>
    <t>I90-B2</t>
  </si>
  <si>
    <t>Bolt-M10x30-ISO4017-8.8-Galv</t>
  </si>
  <si>
    <t>I90-B3</t>
  </si>
  <si>
    <t>Bolt-M10x35-ISO4017-8.8-Galv</t>
  </si>
  <si>
    <t>I90-B4</t>
  </si>
  <si>
    <t>Bolt-M10x40-ISO4017-8.8-Galv</t>
  </si>
  <si>
    <t>I90-B5</t>
  </si>
  <si>
    <t>Bolt-M10x45-DIN912-8.8-Galv</t>
  </si>
  <si>
    <t>I90-B6</t>
  </si>
  <si>
    <t>Bolt-M12x35-ISO10642-8.8-Galv</t>
  </si>
  <si>
    <t>I90-B7</t>
  </si>
  <si>
    <t>Bolt-M12x35-ISO4017-8.8-Galv</t>
  </si>
  <si>
    <t>I90-B8</t>
  </si>
  <si>
    <t>Bolt-M12x40-ISO4017-8.8-Galv</t>
  </si>
  <si>
    <t>I90-B9</t>
  </si>
  <si>
    <t>Bolt-M12x45-ISO4017-8.8-Galv</t>
  </si>
  <si>
    <t>I90-B10</t>
  </si>
  <si>
    <t>Bolt-M12x50-ISO4017-8.8-Galv</t>
  </si>
  <si>
    <t>I90-B11</t>
  </si>
  <si>
    <t>Bolt-M16x40-DIN912-8.8-Galv</t>
  </si>
  <si>
    <t>I90-B12</t>
  </si>
  <si>
    <t>Bolt-M16x45-ISO4017-8.8-Galv</t>
  </si>
  <si>
    <t>I90-B13</t>
  </si>
  <si>
    <t>Bolt-M16x50-ISO4017-8.8-Galv</t>
  </si>
  <si>
    <t>I90-B14</t>
  </si>
  <si>
    <t>Bolt-M16x55-ISO4017-8.8-Galv</t>
  </si>
  <si>
    <t>I90-B15</t>
  </si>
  <si>
    <t>Bolt-M16x60-ISO4017-8.8-Galv</t>
  </si>
  <si>
    <t>I90-B16</t>
  </si>
  <si>
    <t>Bolt-M16x65-ISO4014-8.8-Galv</t>
  </si>
  <si>
    <t>I90-B17</t>
  </si>
  <si>
    <t>Bolt-M16x70-DIN186B-8.8-Galv</t>
  </si>
  <si>
    <t>I90-B18</t>
  </si>
  <si>
    <t>Bolt-M16x70-ISO4017-8.8-Galv</t>
  </si>
  <si>
    <t>I90-B19</t>
  </si>
  <si>
    <t>Bolt-M16x80-ISO4014-8.8-Galv</t>
  </si>
  <si>
    <t>I90-B20</t>
  </si>
  <si>
    <t>Bolt-M16x80-ISO4017-8.8-Galv</t>
  </si>
  <si>
    <t>I90-B21</t>
  </si>
  <si>
    <t>Bolt-M20x100-ISO4014-8.8-Galv</t>
  </si>
  <si>
    <t>I90-B22</t>
  </si>
  <si>
    <t>Bolt-M20x100-ISO4017-10.9-Galv</t>
  </si>
  <si>
    <t>10.9-Galv</t>
  </si>
  <si>
    <t>I90-B23</t>
  </si>
  <si>
    <t>Bolt-M20x100-ISO4017-8.8-Galv</t>
  </si>
  <si>
    <t>I90-B24</t>
  </si>
  <si>
    <t>Bolt-M20x110-ISO4017-8.8-Galv</t>
  </si>
  <si>
    <t>I90-B25</t>
  </si>
  <si>
    <t>Bolt-M20x120-ISO4017-8.8-Galv</t>
  </si>
  <si>
    <t>I90-B26</t>
  </si>
  <si>
    <t>Bolt-M20x150-ISO4014-10.9-Galv</t>
  </si>
  <si>
    <t>I90-B27</t>
  </si>
  <si>
    <t>Bolt-M20x160-ISO4014-8.8-Galv</t>
  </si>
  <si>
    <t>I90-B28</t>
  </si>
  <si>
    <t>Bolt-M20x50-ISO4017-8.8-Galv</t>
  </si>
  <si>
    <t>I90-B29</t>
  </si>
  <si>
    <t>Bolt-M20x55-ISO4017-8.8-Galv</t>
  </si>
  <si>
    <t>I90-B30</t>
  </si>
  <si>
    <t>Bolt-M20x65-ISO4017-8.8-Galv</t>
  </si>
  <si>
    <t>I90-B31</t>
  </si>
  <si>
    <t>Bolt-M20x80-ISO4017-8.8-Galv</t>
  </si>
  <si>
    <t>I90-B32</t>
  </si>
  <si>
    <t>Bolt-M24x110-DIN933-10.9-Galv</t>
  </si>
  <si>
    <t>I90-B33</t>
  </si>
  <si>
    <t>Bolt-M24x120-ISO4014-10.9-Galv</t>
  </si>
  <si>
    <t>I90-B34</t>
  </si>
  <si>
    <t>Bolt-M24x120-ISO4014-8.8-Galv</t>
  </si>
  <si>
    <t>I90-B35</t>
  </si>
  <si>
    <t>Bolt-M24x85-EN14399-4-10.9-tZn</t>
  </si>
  <si>
    <t>10.9-tZn</t>
  </si>
  <si>
    <t>I90-B36</t>
  </si>
  <si>
    <t>Bolt-M30x140-ISO4014-8.8-Galv</t>
  </si>
  <si>
    <t>I90-B37</t>
  </si>
  <si>
    <t>Bolt-M30x150-ISO4014-8.8-Galv</t>
  </si>
  <si>
    <t>I90-B38</t>
  </si>
  <si>
    <t>Bolt-M30x80-ISO4017-8.8-Galv</t>
  </si>
  <si>
    <t>I90-B39</t>
  </si>
  <si>
    <t>Bolt-M4x10-ISO4017-8.8-Galv</t>
  </si>
  <si>
    <t>I90-B40</t>
  </si>
  <si>
    <t>Bolt-M5x16-DIN912-8.8-Galv</t>
  </si>
  <si>
    <t>I90-B41</t>
  </si>
  <si>
    <t>Bolt-M5x45-DIN912-8.8-Galv</t>
  </si>
  <si>
    <t>I90-B42</t>
  </si>
  <si>
    <t>Bolt-M6x12-DIN7500-St-Galv</t>
  </si>
  <si>
    <t>St-Galv</t>
  </si>
  <si>
    <t>I90-B43</t>
  </si>
  <si>
    <t>Bolt-M6x12-ISO4017-8.8-Galv</t>
  </si>
  <si>
    <t>I90-B44</t>
  </si>
  <si>
    <t>Bolt-M6x12-ISO7045-4.8-Galv</t>
  </si>
  <si>
    <t>4.8-Galv</t>
  </si>
  <si>
    <t>I90-B45</t>
  </si>
  <si>
    <t>Bolt-M6x12-ISO7045-St-Galv</t>
  </si>
  <si>
    <t>I90-B46</t>
  </si>
  <si>
    <t>Bolt-M6x20-DIN7500-St-Galv</t>
  </si>
  <si>
    <t>I90-B47</t>
  </si>
  <si>
    <t>Bolt-M6x20-DIN933-8.8-Galv</t>
  </si>
  <si>
    <t>I90-B48</t>
  </si>
  <si>
    <t>Bolt-M6x25-ISO4017-8.8-Galv</t>
  </si>
  <si>
    <t>I90-B49</t>
  </si>
  <si>
    <t>BOLT-M8x20-ISO4017-8.8-Galv</t>
  </si>
  <si>
    <t>I90-B50</t>
  </si>
  <si>
    <t>Bolt-M8x25-ISO4017-8.8-Galv</t>
  </si>
  <si>
    <t>I90-B51</t>
  </si>
  <si>
    <t>Bolt-M8x30-ISO4017-8.8-Galv</t>
  </si>
  <si>
    <t>I90-B52</t>
  </si>
  <si>
    <t>Bolt-M8x50-DIN603-8.8-Galv</t>
  </si>
  <si>
    <t>I90-B53</t>
  </si>
  <si>
    <t>Bolt-M8x75-ISO4017-8.8-Galv</t>
  </si>
  <si>
    <t>I90-B54</t>
  </si>
  <si>
    <t>Ốc</t>
  </si>
  <si>
    <t>Nut-M10-ISO4032-8-Galv</t>
  </si>
  <si>
    <t>8-Galv</t>
  </si>
  <si>
    <t>I90-B55</t>
  </si>
  <si>
    <t>Nut-M10-ISO4032-8-tZn</t>
  </si>
  <si>
    <t>8-tZn</t>
  </si>
  <si>
    <t>I90-B56</t>
  </si>
  <si>
    <t>Nut-M12-ISO4032-8-Galv</t>
  </si>
  <si>
    <t>I90-B57</t>
  </si>
  <si>
    <t>Nut-M12-ISO4032-8-tZn</t>
  </si>
  <si>
    <t>I90-B58</t>
  </si>
  <si>
    <t>Nut-M16-DIN929-St-Black</t>
  </si>
  <si>
    <t>St-Black</t>
  </si>
  <si>
    <t>I90-B59</t>
  </si>
  <si>
    <t>Nut-M16-ISO4032-8-Galv</t>
  </si>
  <si>
    <t>I90-B60</t>
  </si>
  <si>
    <t>Nut-M16-ISO4032-8-tZn</t>
  </si>
  <si>
    <t>I90-B61</t>
  </si>
  <si>
    <t>Nut-M20-DIN934-10-Galv</t>
  </si>
  <si>
    <t>10-Galv</t>
  </si>
  <si>
    <t>I90-B62</t>
  </si>
  <si>
    <t>Nut-M20-ISO4032-10.9-tZn</t>
  </si>
  <si>
    <t>I90-B63</t>
  </si>
  <si>
    <t>Nut-M20-ISO4032-8-Galv</t>
  </si>
  <si>
    <t>I90-B64</t>
  </si>
  <si>
    <t>Nut-M20-ISO4032-8-tZn</t>
  </si>
  <si>
    <t>I90-B65</t>
  </si>
  <si>
    <t>Nut-M24-DIN934-10-Galv</t>
  </si>
  <si>
    <t>I90-B66</t>
  </si>
  <si>
    <t>Nut-M24-EN14399-4-10-tZn</t>
  </si>
  <si>
    <t>10-tZn</t>
  </si>
  <si>
    <t>I90-B67</t>
  </si>
  <si>
    <t>Nut-M24-ISO4032-8-Galv</t>
  </si>
  <si>
    <t>I90-B68</t>
  </si>
  <si>
    <t>Nut-M24-ISO4032-8-tZn</t>
  </si>
  <si>
    <t>I90-B69</t>
  </si>
  <si>
    <t>Nut-M30-ISO4032-8-Galv</t>
  </si>
  <si>
    <t>I90-B70</t>
  </si>
  <si>
    <t>Nut-M30-ISO4032-8-tZn</t>
  </si>
  <si>
    <t>I90-B71</t>
  </si>
  <si>
    <t>Nut-M4-ISO4032-8-Galv</t>
  </si>
  <si>
    <t>I90-B72</t>
  </si>
  <si>
    <t>Nut-M52-DIN439-8-Galv</t>
  </si>
  <si>
    <t>I90-B73</t>
  </si>
  <si>
    <t>NUT-M5-ISO4032-8-Galv</t>
  </si>
  <si>
    <t>I90-B74</t>
  </si>
  <si>
    <t>Nut-M6-ISO4032-8-Galv</t>
  </si>
  <si>
    <t>I90-B75</t>
  </si>
  <si>
    <t>Nut-M8-Din985-8-Galv</t>
  </si>
  <si>
    <t>I90-B76</t>
  </si>
  <si>
    <t>Nut-M8-ISO4032-8-Galv</t>
  </si>
  <si>
    <t>I90-B77</t>
  </si>
  <si>
    <t>Nut-M8-ISO4032-8-tZn</t>
  </si>
  <si>
    <t>I90-B78</t>
  </si>
  <si>
    <t>Chốt</t>
  </si>
  <si>
    <t>PIN (straight)-D8x70-ISO8752-St-Galv</t>
  </si>
  <si>
    <t>I90-B79</t>
  </si>
  <si>
    <t>PIN (straight)-D8x75-ISO8752-St-Galv</t>
  </si>
  <si>
    <t>I90-B80</t>
  </si>
  <si>
    <t>Đệm</t>
  </si>
  <si>
    <t>Ring-ID80x2.5-DIN471-St-Galv</t>
  </si>
  <si>
    <t>I90-B81</t>
  </si>
  <si>
    <t>Ma ní</t>
  </si>
  <si>
    <t>Threaded Rod-M12x120-DIN976-1-8.8-Galv</t>
  </si>
  <si>
    <t>I90-B82</t>
  </si>
  <si>
    <t>Threaded Rod-M12x140-DIN976-1-8.8-Galv</t>
  </si>
  <si>
    <t>I90-B83</t>
  </si>
  <si>
    <t>Threaded Rod-M12X200-DIN976-1-8.8-Galv</t>
  </si>
  <si>
    <t>I90-B84</t>
  </si>
  <si>
    <t>Washer-M10-DIN434-St-Galv</t>
  </si>
  <si>
    <t>I90-B85</t>
  </si>
  <si>
    <t>Washer-M10-ISO7089-St-200 HV-Galv</t>
  </si>
  <si>
    <t>St-200 HV-Galv</t>
  </si>
  <si>
    <t>I90-B86</t>
  </si>
  <si>
    <t>Washer-M10-ISO7089-St-200 HV-tZn</t>
  </si>
  <si>
    <t>St-200 HV-tZn</t>
  </si>
  <si>
    <t>I90-B87</t>
  </si>
  <si>
    <t>Washer-M12-ISO7089-St-200 HV-tZn</t>
  </si>
  <si>
    <t>I90-B88</t>
  </si>
  <si>
    <t>Washer-M12-ISO7089-St-300 HV-Galv</t>
  </si>
  <si>
    <t>St-300 HV-Galv</t>
  </si>
  <si>
    <t>I90-B89</t>
  </si>
  <si>
    <t>Washer-M12-ISO7089-St-Galv</t>
  </si>
  <si>
    <t>I90-B90</t>
  </si>
  <si>
    <t>Washer-M12-ISO7093-St-300 HV-Galv</t>
  </si>
  <si>
    <t>I90-B91</t>
  </si>
  <si>
    <t>Washer-M16-DIN434-St-tZn</t>
  </si>
  <si>
    <t>St-tZn</t>
  </si>
  <si>
    <t>I90-B92</t>
  </si>
  <si>
    <t>Washer-M16-ISO7089-St-200 HV-tZn</t>
  </si>
  <si>
    <t>I90-B93</t>
  </si>
  <si>
    <t>Washer-M16-ISO7089-St-300 HV-Galv</t>
  </si>
  <si>
    <t>I90-B94</t>
  </si>
  <si>
    <t>Washer-M16-ISO7089-St-Galv</t>
  </si>
  <si>
    <t>I90-B95</t>
  </si>
  <si>
    <t>Washer-M16-ISO7093-St-200 HV-Galv</t>
  </si>
  <si>
    <t>I90-B96</t>
  </si>
  <si>
    <t>Washer-M16-ISO7093-St-200 HV-tZn</t>
  </si>
  <si>
    <t>I90-B97</t>
  </si>
  <si>
    <t>Washer-M20-ISO7089-St-200 HV-tZn</t>
  </si>
  <si>
    <t>I90-B98</t>
  </si>
  <si>
    <t>Washer-M20-ISO7089-St-Galv</t>
  </si>
  <si>
    <t>I90-B99</t>
  </si>
  <si>
    <t>Washer-M20-ISO7090-St-200 HV-tZn</t>
  </si>
  <si>
    <t>I90-B100</t>
  </si>
  <si>
    <t>Washer-M24-DIN125-C45-Galv</t>
  </si>
  <si>
    <t>C45-Galv</t>
  </si>
  <si>
    <t>I90-B101</t>
  </si>
  <si>
    <t>Washer-M24-EN14399-6-St-300 HV-tZn</t>
  </si>
  <si>
    <t>St-300 HV-tZn</t>
  </si>
  <si>
    <t>I90-B102</t>
  </si>
  <si>
    <t>Washer-M24-ISO7089-St-200 HV-tZn</t>
  </si>
  <si>
    <t>I90-B103</t>
  </si>
  <si>
    <t>Washer-M30-ISO7089-St-200 HV-tZn</t>
  </si>
  <si>
    <t>I90-B104</t>
  </si>
  <si>
    <t>Washer-M4-ISO7089-St-200 HV-Galv</t>
  </si>
  <si>
    <t>I90-B105</t>
  </si>
  <si>
    <t>Washer-M5-ISO7089-St-200 HV-tZn</t>
  </si>
  <si>
    <t>I90-B106</t>
  </si>
  <si>
    <t>Washer-M6-DIN127-St-Galv</t>
  </si>
  <si>
    <t>I90-B107</t>
  </si>
  <si>
    <t>Washer-M6-ISO7089-St-200 HV-Galv</t>
  </si>
  <si>
    <t>I90-B108</t>
  </si>
  <si>
    <t>Washer-M6-ISO7089-St-200 HV-tZn</t>
  </si>
  <si>
    <t>I90-B109</t>
  </si>
  <si>
    <t>Washer-M8-DIN125-8-Galv</t>
  </si>
  <si>
    <t>I90-B110</t>
  </si>
  <si>
    <t>Washer-M8-ISO7089-St-200 HV-tZn</t>
  </si>
  <si>
    <t>I90-B111</t>
  </si>
  <si>
    <t>Washer-M8-ISO7089-St-Galv</t>
  </si>
  <si>
    <t>I90-B112</t>
  </si>
  <si>
    <t>Washer-M8-ISO7093-St-Galv</t>
  </si>
  <si>
    <t>Current Ordered/Dự trù lần 10
(Ngày 13/8/2025)</t>
  </si>
  <si>
    <t>Rev10-BRADEN-PL12x2000x12000-2tờ</t>
  </si>
  <si>
    <t>Rev10-BRADEN-PL20x1500x12000-4tờ</t>
  </si>
  <si>
    <t>Rev10-BRADEN-bổ sung 6.0m</t>
  </si>
  <si>
    <t>Rev10-BRADEN-bổ sung 12.0m</t>
  </si>
  <si>
    <t>Rev10</t>
  </si>
  <si>
    <t>Thép hộp đen 30 x 30 x 3.00 x 6000.0 mm</t>
  </si>
  <si>
    <t>Thép ống đen 355.00 x 6.35000 x 12000.0 mm</t>
  </si>
  <si>
    <t>TITAN/190</t>
  </si>
  <si>
    <t>Đơn đặt hàng 28-08-2025</t>
  </si>
  <si>
    <t>Dùng hàng tồn, đã mời nghiệm thu ngày 15/8</t>
  </si>
  <si>
    <t>Current Ordered/Dự trù lần 11
(Ngày 16/8/2025)</t>
  </si>
  <si>
    <t>Rev11-BRADEN-PL15x1500x12000-2tờ</t>
  </si>
  <si>
    <t>THÙNG GỖ KÍCH THƯỚC 1000X1000X1000</t>
  </si>
  <si>
    <t>Thép tấm 10x2000x12000 (5 tờ)</t>
  </si>
  <si>
    <t>Thép tấm 12x2000x12000  (2 tờ)</t>
  </si>
  <si>
    <t>Thép tấm 16x2000x12000  (1 tờ)</t>
  </si>
  <si>
    <t>Thép tấm 20x1500x12000  (4 tờ)</t>
  </si>
  <si>
    <t>Thép tấm 35x2000x6000  (1 tờ)</t>
  </si>
  <si>
    <t>Thép góc V50x50x5x6000 (1 cây)</t>
  </si>
  <si>
    <t>Thép tròn trơn phi 12x6000 (2 cây)</t>
  </si>
  <si>
    <t>SS400/CB240</t>
  </si>
  <si>
    <t>Thép góc V100x100x8x6000 (2 cây)</t>
  </si>
  <si>
    <t>Thép tròn trơn phi 24x6000 (1 cây)</t>
  </si>
  <si>
    <t>Thép D12x6000</t>
  </si>
  <si>
    <t>90.5/HĐKT-2025/IBS-VSAN</t>
  </si>
  <si>
    <t>Thép tròn RB3 (60m)</t>
  </si>
  <si>
    <t>Spring D3 inox 304 =92 cái</t>
  </si>
  <si>
    <t>Then 80hx340-thnk 40 = 40 cái</t>
  </si>
  <si>
    <t>Thép tròn D5x12 m = 1 cấy</t>
  </si>
  <si>
    <t>Thép tròn D16x6000= 1 cây đồng ASTM C38000</t>
  </si>
  <si>
    <t>Current Ordered/Dự trù lần 12
(Ngày 22/8/2025)</t>
  </si>
  <si>
    <t>Current Ordered/Dự trù lần 13
(Ngày 23/8/2025)</t>
  </si>
  <si>
    <t>I90-C3</t>
  </si>
  <si>
    <t>I90-C4</t>
  </si>
  <si>
    <t>I90-C5</t>
  </si>
  <si>
    <t>I90-C6</t>
  </si>
  <si>
    <t>I90-C7</t>
  </si>
  <si>
    <t>PL15x2000x12000</t>
  </si>
  <si>
    <t>I90-C8</t>
  </si>
  <si>
    <t>I90-C9</t>
  </si>
  <si>
    <t>PL25x2000x12000</t>
  </si>
  <si>
    <t>I90-C10</t>
  </si>
  <si>
    <t>PL30x2000x12000</t>
  </si>
  <si>
    <t>I90-C11</t>
  </si>
  <si>
    <t>PL35x2000x3000</t>
  </si>
  <si>
    <t>I90-C12</t>
  </si>
  <si>
    <t>I90-C13</t>
  </si>
  <si>
    <t>HEA180(171x180x6x9.5)-L12000</t>
  </si>
  <si>
    <t>I90-C14</t>
  </si>
  <si>
    <t>HEA220(H210x220x7x11)-L12000</t>
  </si>
  <si>
    <t>I90-C15</t>
  </si>
  <si>
    <t>HEA260(H250x260x7.5x12.5)-L12000</t>
  </si>
  <si>
    <t>I90-C16</t>
  </si>
  <si>
    <t>I90-C17</t>
  </si>
  <si>
    <t>HEB220(H220x220x9.5x16)-L12000</t>
  </si>
  <si>
    <t>I90-C18</t>
  </si>
  <si>
    <t>I90-C19</t>
  </si>
  <si>
    <t>HW350(H350x350x12x19)-L12000</t>
  </si>
  <si>
    <t>I90-C20</t>
  </si>
  <si>
    <t>UNP100(C100x50x6x8.5)-L12000</t>
  </si>
  <si>
    <t>I90-C21</t>
  </si>
  <si>
    <t>I90-C22</t>
  </si>
  <si>
    <t>UNP220(C220x80x9x12.5)-L12000</t>
  </si>
  <si>
    <t>I90-C23</t>
  </si>
  <si>
    <t>UNP240(C240x85x9.5x13)-L12000</t>
  </si>
  <si>
    <t>I90-C24</t>
  </si>
  <si>
    <t>I90-C25</t>
  </si>
  <si>
    <t>UPE360(H360x110x12x17)-L12000</t>
  </si>
  <si>
    <t>I90-C26</t>
  </si>
  <si>
    <t>I90-C27</t>
  </si>
  <si>
    <t>I90-C28</t>
  </si>
  <si>
    <t>L150x150x10-L6000</t>
  </si>
  <si>
    <t>I90-C29</t>
  </si>
  <si>
    <t>L75x75x6-L12000</t>
  </si>
  <si>
    <t>I90-C30</t>
  </si>
  <si>
    <t>L80x80x8-L12000</t>
  </si>
  <si>
    <t>I90-C31</t>
  </si>
  <si>
    <t>Bolt-M16x50-ISO4017-10.9-Galv</t>
  </si>
  <si>
    <t>Pcs</t>
  </si>
  <si>
    <t>I90-C32</t>
  </si>
  <si>
    <t>I90-C33</t>
  </si>
  <si>
    <t>I90-C34</t>
  </si>
  <si>
    <t>Bolt-M16x70-ISO4017-10.9-Galv</t>
  </si>
  <si>
    <t>I90-C35</t>
  </si>
  <si>
    <t>I90-C36</t>
  </si>
  <si>
    <t>I90-C37</t>
  </si>
  <si>
    <t>Bolt-M16x90-ISO4017-8.8-Galv</t>
  </si>
  <si>
    <t>I90-C38</t>
  </si>
  <si>
    <t>I90-C39</t>
  </si>
  <si>
    <t>I90-C40</t>
  </si>
  <si>
    <t>Bolt-M20x130-ISO4017-8.8-Galv</t>
  </si>
  <si>
    <t>I90-C41</t>
  </si>
  <si>
    <t>I90-C42</t>
  </si>
  <si>
    <t>I90-C43</t>
  </si>
  <si>
    <t>Bolt-M20x60-ISO4017-10.9-Galv</t>
  </si>
  <si>
    <t>I90-C44</t>
  </si>
  <si>
    <t>Bolt-M20x60-ISO4017-8.8-Galv</t>
  </si>
  <si>
    <t>I90-C45</t>
  </si>
  <si>
    <t>I90-C46</t>
  </si>
  <si>
    <t>Bolt-M20x70-ISO4017-8.8-Galv</t>
  </si>
  <si>
    <t>I90-C47</t>
  </si>
  <si>
    <t>I90-C48</t>
  </si>
  <si>
    <t>Bolt-M24x100-ISO4017-8.8-Galv</t>
  </si>
  <si>
    <t>I90-C49</t>
  </si>
  <si>
    <t>Bolt-M24x110-ISO4017-10.9-Galv</t>
  </si>
  <si>
    <t>I90-C50</t>
  </si>
  <si>
    <t>Bolt-M24x110-ISO4017-8.8-Galv</t>
  </si>
  <si>
    <t>I90-C51</t>
  </si>
  <si>
    <t>Bolt-M24x120-ISO4017-8.8-Galv</t>
  </si>
  <si>
    <t>I90-C52</t>
  </si>
  <si>
    <t>Bolt-M24x90-ISO4017-8.8-Galv</t>
  </si>
  <si>
    <t>I90-C53</t>
  </si>
  <si>
    <t>Bolt-M30x100-ISO4017-8.8-Galv</t>
  </si>
  <si>
    <t>I90-C54</t>
  </si>
  <si>
    <t>Bolt-M30x120-ISO4017-8.8-Galv</t>
  </si>
  <si>
    <t>I90-C55</t>
  </si>
  <si>
    <t>Bolt-M36x120-ISO4017-8.8-Galv</t>
  </si>
  <si>
    <t>I90-C56</t>
  </si>
  <si>
    <t>Nut-M16-ISO4032-8.0-Galv</t>
  </si>
  <si>
    <t>I90-C57</t>
  </si>
  <si>
    <t>Nut-M16-ISO4032-8.0-tZn</t>
  </si>
  <si>
    <t>I90-C58</t>
  </si>
  <si>
    <t>Nut-M20-ISO4032-8.0-Galv</t>
  </si>
  <si>
    <t>I90-C59</t>
  </si>
  <si>
    <t>Nut-M20-ISO4032-8.0-tZn</t>
  </si>
  <si>
    <t>I90-C60</t>
  </si>
  <si>
    <t>Nut-M24-ISO4032-8.0-Galv</t>
  </si>
  <si>
    <t>I90-C61</t>
  </si>
  <si>
    <t>Nut-M24-ISO4032-8.0-tZn</t>
  </si>
  <si>
    <t>I90-C62</t>
  </si>
  <si>
    <t>Nut-M30-ISO4032-8.0-tZn</t>
  </si>
  <si>
    <t>I90-C63</t>
  </si>
  <si>
    <t>Nut-M36-ISO4032-8.0-tZn</t>
  </si>
  <si>
    <t>I90-C64</t>
  </si>
  <si>
    <t>Washer-M16-DIN434-St-Galv</t>
  </si>
  <si>
    <t>I90-C65</t>
  </si>
  <si>
    <t>Washer-M16-ISO7089-St-200HV-Galv</t>
  </si>
  <si>
    <t>I90-C66</t>
  </si>
  <si>
    <t>Washer-M16-ISO7089-St-200HV-tZn</t>
  </si>
  <si>
    <t>I90-C67</t>
  </si>
  <si>
    <t>Washer-M16-ISO7093A-St-200HV-tZn</t>
  </si>
  <si>
    <t>I90-C68</t>
  </si>
  <si>
    <t>Washer-M20-ISO7089-St-200HV-Galv</t>
  </si>
  <si>
    <t>I90-C69</t>
  </si>
  <si>
    <t>Washer-M20-ISO7089-St-200HV-tZn</t>
  </si>
  <si>
    <t>I90-C70</t>
  </si>
  <si>
    <t>I90-C71</t>
  </si>
  <si>
    <t>Washer-M24-DIN434-St-Galv</t>
  </si>
  <si>
    <t>I90-C72</t>
  </si>
  <si>
    <t>Washer-M24-ISO7089-St-200HV-Galv</t>
  </si>
  <si>
    <t>I90-C73</t>
  </si>
  <si>
    <t>Washer-M24-ISO7089-St-200HV-tZn</t>
  </si>
  <si>
    <t>I90-C74</t>
  </si>
  <si>
    <t>Washer-M30-ISO7089-St-200HV-tZn</t>
  </si>
  <si>
    <t>I90-C75</t>
  </si>
  <si>
    <t>Washer-M36-ISO7089-St-200HV-tZn</t>
  </si>
  <si>
    <t>I90-C76</t>
  </si>
  <si>
    <t xml:space="preserve">Thread rod </t>
  </si>
  <si>
    <t>Thread rod M20x1000-8.8 (tiện ren 2 đầu, mỗi đầu một đoạn ren dài 100mm)-Galv</t>
  </si>
  <si>
    <t>Rev05-BRADEN-PL35x2000x6000-4tờ</t>
  </si>
  <si>
    <t>Rev12-Braden bổ sung. Dùng tôn thừa từ vật tư chính</t>
  </si>
  <si>
    <t>Rev12-Braden bổ sung.</t>
  </si>
  <si>
    <t>Rev12-Braden bổ sung. (có tận dụng 1 cây thừa từ vật tư chính)</t>
  </si>
  <si>
    <t>I90-A99</t>
  </si>
  <si>
    <t>Bạc đồng</t>
  </si>
  <si>
    <t>BRASS BEARING 115 mm x 2.5mm</t>
  </si>
  <si>
    <t>2.0321</t>
  </si>
  <si>
    <t>I90-A100</t>
  </si>
  <si>
    <t>RB90-L4500</t>
  </si>
  <si>
    <t>1.4122/C45</t>
  </si>
  <si>
    <t>I90-A101</t>
  </si>
  <si>
    <t>RB55-L2300</t>
  </si>
  <si>
    <t>1.4057/C45</t>
  </si>
  <si>
    <t>I90-A102</t>
  </si>
  <si>
    <t>I90-A103</t>
  </si>
  <si>
    <t>Bạc trượt hàn</t>
  </si>
  <si>
    <t>Welding rod end SC_50_ES_2RS</t>
  </si>
  <si>
    <t>I90-A104</t>
  </si>
  <si>
    <t>Bạc trượt ren</t>
  </si>
  <si>
    <t>Threaded rod end SI_50_ES_2RS</t>
  </si>
  <si>
    <t>Rev13-BRADEN-bổ sung. Mua theo bản vẽ "I90-80002A-F24-A3-4"</t>
  </si>
  <si>
    <t xml:space="preserve">Rev13-BRADEN-bổ sung </t>
  </si>
  <si>
    <t>PL6x1500X12000; PL6x2000X9000;  PL6x2000X12000</t>
  </si>
  <si>
    <t>ASTM C38000</t>
  </si>
  <si>
    <t>Báo giá ngày 26/8/2025</t>
  </si>
  <si>
    <t>Thép góc V75x75x7x6000</t>
  </si>
  <si>
    <t>Thép góc V80x80x8x6000</t>
  </si>
  <si>
    <t>Bulong M10x20</t>
  </si>
  <si>
    <t>Gr 8.8 ISO 4017 HDG</t>
  </si>
  <si>
    <t>Bulong M10x30</t>
  </si>
  <si>
    <t>Bulong M10x35</t>
  </si>
  <si>
    <t>Bulong M10x40</t>
  </si>
  <si>
    <t>Bulong LGC M10x45</t>
  </si>
  <si>
    <t>Gr 10.9/ Gr 12.9 DIN 912 HDG</t>
  </si>
  <si>
    <t>Bulong LGC ĐB M12x35</t>
  </si>
  <si>
    <t>Gr 8.8/ Gr 10.9 DIN 7991 HDG</t>
  </si>
  <si>
    <t>Bulong M12x40</t>
  </si>
  <si>
    <t>Bulong M12x50</t>
  </si>
  <si>
    <t>Bulong LGC M16x40</t>
  </si>
  <si>
    <t>Bulong M16x50</t>
  </si>
  <si>
    <t>Bulong M16x60</t>
  </si>
  <si>
    <t>Bulong M16x70</t>
  </si>
  <si>
    <t>Gr 8.8 ISO 4014 HDG</t>
  </si>
  <si>
    <t>Bulong đầu búa M16x70</t>
  </si>
  <si>
    <t>DIN186B-8.8-HDG</t>
  </si>
  <si>
    <t>Bulong M16x80</t>
  </si>
  <si>
    <t>Bulong M20x100</t>
  </si>
  <si>
    <t>Bulong M20x100 Gr 10.9</t>
  </si>
  <si>
    <t>Gr 10.9 ISO 4017 HDG</t>
  </si>
  <si>
    <t>Bulong M20x110</t>
  </si>
  <si>
    <t>Bulong M20x120</t>
  </si>
  <si>
    <t>Bulong M20x150</t>
  </si>
  <si>
    <t>Gr 10.9 ISO 4014 HDG</t>
  </si>
  <si>
    <t>Bulong M20x160</t>
  </si>
  <si>
    <t>Bulong M20x50</t>
  </si>
  <si>
    <t>Bulong M20x60</t>
  </si>
  <si>
    <t>Bulong M20x70</t>
  </si>
  <si>
    <t>Bulong M20x80</t>
  </si>
  <si>
    <t>Bulong M24x110 Gr 10.9</t>
  </si>
  <si>
    <t>Bulong M24x120 Gr 10.9</t>
  </si>
  <si>
    <t>Bulong M24x120</t>
  </si>
  <si>
    <t>Bulong M24x85 Gr10.9 HV</t>
  </si>
  <si>
    <t>EN14399-4-GR10.9 HDG</t>
  </si>
  <si>
    <t>Bulong M30x140</t>
  </si>
  <si>
    <t>Bulong M30x150</t>
  </si>
  <si>
    <t>Bulong M30x80</t>
  </si>
  <si>
    <t>Bulong M4x10</t>
  </si>
  <si>
    <t>Gr 8.8 ISO 4017 Geomet</t>
  </si>
  <si>
    <t>Bulong LGC M5x16</t>
  </si>
  <si>
    <t>Gr 10.9/ Gr 12.9 DIN 912 Geomet</t>
  </si>
  <si>
    <t>Bulong LGC M5x45</t>
  </si>
  <si>
    <t>Bulong M6x12</t>
  </si>
  <si>
    <t>DIN7500-St Geomet</t>
  </si>
  <si>
    <t>ISO7045-4.8-Geomet</t>
  </si>
  <si>
    <t>Bulong M6x20</t>
  </si>
  <si>
    <t>Bulong M6x25</t>
  </si>
  <si>
    <t>Bulong M8x20</t>
  </si>
  <si>
    <t>Bulong M8x30</t>
  </si>
  <si>
    <t>Bulong cổ vuông M8x50</t>
  </si>
  <si>
    <t>DIN603-8.8 Geomet</t>
  </si>
  <si>
    <t>Bulong M8x80</t>
  </si>
  <si>
    <t>Ecu M10</t>
  </si>
  <si>
    <t>Gr 8 ISO 4032 HDG</t>
  </si>
  <si>
    <t>Ecu M12</t>
  </si>
  <si>
    <t>Ecu hàn M16</t>
  </si>
  <si>
    <t>DIN 929 - Carbon steel</t>
  </si>
  <si>
    <t>Ecu M16</t>
  </si>
  <si>
    <t>Ecu M20 Gr 10</t>
  </si>
  <si>
    <t>Gr 10 ISO 4032 HDG</t>
  </si>
  <si>
    <t>Ecu M20</t>
  </si>
  <si>
    <t>Ecu M24 Gr 10</t>
  </si>
  <si>
    <t>Ecu M24 Gr 10HV</t>
  </si>
  <si>
    <t>EN14399-5 Gr 10 HDG</t>
  </si>
  <si>
    <t>Ecu M24</t>
  </si>
  <si>
    <t>Ecu M30</t>
  </si>
  <si>
    <t>Ecu M4</t>
  </si>
  <si>
    <t>Gr 8 ISO 4032 Geomet</t>
  </si>
  <si>
    <t>Ecu mỏng M52</t>
  </si>
  <si>
    <t>Gr 8 DIN439 HDG</t>
  </si>
  <si>
    <t>Ecu M5</t>
  </si>
  <si>
    <t>Ecu M6</t>
  </si>
  <si>
    <t>Ecu khóa nhựa M8</t>
  </si>
  <si>
    <t>Gr 8 DIN 985 Geomet</t>
  </si>
  <si>
    <t>Ecu M8</t>
  </si>
  <si>
    <t>Chốt then D8x70</t>
  </si>
  <si>
    <t>ISO8752-St-Geomet</t>
  </si>
  <si>
    <t>Chốt then D8x75</t>
  </si>
  <si>
    <t>Phe gài ID80x2.5</t>
  </si>
  <si>
    <t>DIN471-St-Geomet</t>
  </si>
  <si>
    <t>Thanh ren M12x120</t>
  </si>
  <si>
    <t>DIN976-1-8.8-HDG</t>
  </si>
  <si>
    <t>Thanh ren M12x140</t>
  </si>
  <si>
    <t>Thanh ren M12x200</t>
  </si>
  <si>
    <t>Vòng đệm vuông vát M10</t>
  </si>
  <si>
    <t>140HV DIN 434 HDG</t>
  </si>
  <si>
    <t>Vòng đệm phẳng M10</t>
  </si>
  <si>
    <t>200HV ISO 7089 HDG</t>
  </si>
  <si>
    <t>Vòng đệm phẳng M12</t>
  </si>
  <si>
    <t>Vòng đệm phẳng rộng M12</t>
  </si>
  <si>
    <t>200HV DIN 9021 GEOMET</t>
  </si>
  <si>
    <t>Vòng đệm vuông vát M16</t>
  </si>
  <si>
    <t>Vòng đệm phẳng M16</t>
  </si>
  <si>
    <t>Vòng đệm phẳng rộng M16</t>
  </si>
  <si>
    <t>Vòng đệm phẳng M20</t>
  </si>
  <si>
    <t>Vòng đệm phẳng M24</t>
  </si>
  <si>
    <t>Vòng đệm phẳng M24 300HV</t>
  </si>
  <si>
    <t>EN14399-6-300HV-HDG</t>
  </si>
  <si>
    <t>Vòng đệm phẳng M30</t>
  </si>
  <si>
    <t>Vòng đệm phẳng M4</t>
  </si>
  <si>
    <t>200HV ISO 7089 Geomet</t>
  </si>
  <si>
    <t>Vòng đệm phẳng M5</t>
  </si>
  <si>
    <t>Vòng đệm vênh M6</t>
  </si>
  <si>
    <t>DIN127-St-Geomet</t>
  </si>
  <si>
    <t>Vòng đệm phẳng M6</t>
  </si>
  <si>
    <t>Vòng đệm phẳng M8</t>
  </si>
  <si>
    <t>Vòng đệm phẳng rộng M8</t>
  </si>
  <si>
    <t>I90-C77</t>
  </si>
  <si>
    <t>Tai cẩu hàn</t>
  </si>
  <si>
    <t>Lifting Ring welded-on (5.3T)-Number : YD-085-05</t>
  </si>
  <si>
    <t>Number : YD-085-05</t>
  </si>
  <si>
    <t>I90-C78</t>
  </si>
  <si>
    <t>Lifting Ring welded-on (10T)-Number: YD-085-10</t>
  </si>
  <si>
    <t>Number: YD-085-10</t>
  </si>
  <si>
    <t>I90-A105</t>
  </si>
  <si>
    <t>Pipe D26.7x2.87-seamless pipe-L12000</t>
  </si>
  <si>
    <t>1.4401/SUS316</t>
  </si>
  <si>
    <t>Current Ordered/Dự trù lần 14
(Ngày 28/8/2025)</t>
  </si>
  <si>
    <t>MRO</t>
  </si>
  <si>
    <t>H125x125x6.5x9</t>
  </si>
  <si>
    <t>H200x200x8x12</t>
  </si>
  <si>
    <t>H250x250x9x14</t>
  </si>
  <si>
    <t>H150x150x7x10</t>
  </si>
  <si>
    <t>HW350(H350x350x12x19)</t>
  </si>
  <si>
    <t>U125x65x6x8</t>
  </si>
  <si>
    <t>U200x90x8.5x13.5</t>
  </si>
  <si>
    <t>U250x90x11x14.5</t>
  </si>
  <si>
    <t>U280x100x9x13</t>
  </si>
  <si>
    <t>U360x120x16 (bending PL16-A36)</t>
  </si>
  <si>
    <t>U150x75x9x12.5</t>
  </si>
  <si>
    <t xml:space="preserve">Có hàng tồn </t>
  </si>
  <si>
    <t>BÁO giá ngày 16/8/20254</t>
  </si>
  <si>
    <t>TNHH Điện tử &amp; Viễn Thông ENCOM</t>
  </si>
  <si>
    <t>Bản lề BL5050-V</t>
  </si>
  <si>
    <t>Giá trị</t>
  </si>
  <si>
    <t>Bulong M16x60Mạ điện phân = 104Cái</t>
  </si>
  <si>
    <t>Bulong M16x70 Gr 10.9Mạ điện phân = 32Cái</t>
  </si>
  <si>
    <t>Bulong M16x80Mạ điện phân = 25Cái</t>
  </si>
  <si>
    <t>Bulong M16x90 HDGHDG = 8Cái</t>
  </si>
  <si>
    <t>Bulong M20x100Mạ điện phân = 40Cái</t>
  </si>
  <si>
    <t>Bulong M20x110Mạ điện phân = 256Cái</t>
  </si>
  <si>
    <t>Bulong M20x130Mạ điện phân = 32Cái</t>
  </si>
  <si>
    <t>Bulong M20x60  Gr 10.9Mạ điện phân = 16Cái</t>
  </si>
  <si>
    <t>Bulong M20x60Mạ điện phân = 68Cái</t>
  </si>
  <si>
    <t>Bulong M20x70Mạ điện phân = 272Cái</t>
  </si>
  <si>
    <t>Bulong M20x80Mạ điện phân = 64Cái</t>
  </si>
  <si>
    <t>Bulong M24x100Mạ điện phân = 330Cái</t>
  </si>
  <si>
    <t>Bulong M24x110  Gr 10.9Mạ điện phân = 96Cái</t>
  </si>
  <si>
    <t>Bulong M24x110Mạ điện phân = 128Cái</t>
  </si>
  <si>
    <t>Bulong M24x120Mạ điện phân = 192Cái</t>
  </si>
  <si>
    <t>Bulong M30x120 HDGHDG = 320Cái</t>
  </si>
  <si>
    <t>Bulong M36x120Mạ điện phân = 64Cái</t>
  </si>
  <si>
    <t>Ecu M20Mạ điện phân = 96Cái</t>
  </si>
  <si>
    <t>Ecu M20 HDGHDG = 104Cái</t>
  </si>
  <si>
    <t>Ecu M20Mạ điện phân = 688Cái</t>
  </si>
  <si>
    <t>Ecu M24 HDGHDG = 126Cái</t>
  </si>
  <si>
    <t>Ecu M24Mạ điện phân = 162Cái</t>
  </si>
  <si>
    <t>Ecu M24Mạ điện phân = 664Cái</t>
  </si>
  <si>
    <t>Ecu M30 HDGHDG = 352Cái</t>
  </si>
  <si>
    <t>Ecu M36Mạ điện phân = 64Cái</t>
  </si>
  <si>
    <t>Vòng đệm phẳng M20Mạ điện phân = 2Cái</t>
  </si>
  <si>
    <t>Vòng đệm phẳng M20Mạ điện phân = 1580Cái</t>
  </si>
  <si>
    <t>Vòng đệm phẳng M20Mạ điện phân = 32Cái</t>
  </si>
  <si>
    <t>Vòng đệm vuông vát M24Mạ điện phân = 4Cái</t>
  </si>
  <si>
    <t>Vòng đệm phẳng M24Mạ điện phân = 461Cái</t>
  </si>
  <si>
    <t>Vòng đệm phẳng M24Mạ điện phân = 428Cái</t>
  </si>
  <si>
    <t>Vòng đệm phẳng M30Mạ điện phân = 704Cái</t>
  </si>
  <si>
    <t>Vòng đệm phẳng M36Mạ điện phân = 128Cái</t>
  </si>
  <si>
    <t>Thanh ren M20x1000Mạ điện phân = 16Cái</t>
  </si>
  <si>
    <t>Hàng tồn kho báo có</t>
  </si>
  <si>
    <t>Có hàng tồn 79 mét
HEB300(H300x300x11x19)-L12000</t>
  </si>
  <si>
    <t>I90-A106</t>
  </si>
  <si>
    <t>Pipe D114.3x6.02-seamless pipe-L12000</t>
  </si>
  <si>
    <t>SS304</t>
  </si>
  <si>
    <t>I90-A107</t>
  </si>
  <si>
    <t>Cút</t>
  </si>
  <si>
    <t>Long Elbow90-D114.3x6.02</t>
  </si>
  <si>
    <t>I90-A108</t>
  </si>
  <si>
    <t>PL10x450x850</t>
  </si>
  <si>
    <t>I90-C79</t>
  </si>
  <si>
    <t>Bạt che</t>
  </si>
  <si>
    <t>kích thước bạt: 10x9.5 m</t>
  </si>
  <si>
    <t>Bạt da 2 lớp chống nước. Viền bạt có đính khuy, khoảng cách khuy~1m</t>
  </si>
  <si>
    <t>I90-C80</t>
  </si>
  <si>
    <t>kích thước bạt: 11x7.5 m</t>
  </si>
  <si>
    <t>I90-C81</t>
  </si>
  <si>
    <t>kích thước bạt: 13.5x6 m</t>
  </si>
  <si>
    <t>I90-C82</t>
  </si>
  <si>
    <t>kích thước bạt: 13.5x9.5 m</t>
  </si>
  <si>
    <t>I90-C83</t>
  </si>
  <si>
    <t>kích thước bạt: 13.6x9 m</t>
  </si>
  <si>
    <t>I90-C84</t>
  </si>
  <si>
    <t>kích thước bạt: 15.5x11.5 m</t>
  </si>
  <si>
    <t>I90-C85</t>
  </si>
  <si>
    <t>kích thước bạt: 16.5x10.5 m</t>
  </si>
  <si>
    <t>I90-C86</t>
  </si>
  <si>
    <t>kích thước bạt: 17x12 m</t>
  </si>
  <si>
    <t>I90-C87</t>
  </si>
  <si>
    <t>kích thước bạt: 8x6.5 m</t>
  </si>
  <si>
    <t>Current Ordered/Dự trù lần 15
(Ngày 04/9/2025)</t>
  </si>
  <si>
    <t>Đợi thiết kế chuyển đổi</t>
  </si>
  <si>
    <t>Bạt da DA090 ( 10m x 9,5m  ) x 4 tấm</t>
  </si>
  <si>
    <t>Bạt da DA090 ( 11m x 7,5m  ) x 4 tấm</t>
  </si>
  <si>
    <t>Bạt da DA090 ( 6m x 13,5m ) x 4 tấm</t>
  </si>
  <si>
    <t>Bạt da DA090 ( 9,5m x 13,5m ) x 4 tấm</t>
  </si>
  <si>
    <t>Bạt da DA090 ( 9m x 13,6m ) x 4 tấm</t>
  </si>
  <si>
    <t>Bạt da DA090 ( 15,5m x 11,5m ) x 8 tấm</t>
  </si>
  <si>
    <t>Bạt da DA090 ( 16,5m x 10,5m ) x 4 tấm</t>
  </si>
  <si>
    <t>Bạt da DA090 ( 12mx 17m ) x 4 tấm</t>
  </si>
  <si>
    <t>Bạt da DA090 ( 8m x 6,5m ) x 4 tấm</t>
  </si>
  <si>
    <t>Trần Toàn</t>
  </si>
  <si>
    <t>Tấm sàn grating ô 50*50*50mm1768*546 = 2Tấm</t>
  </si>
  <si>
    <t>Tấm sàn grating ô 50*50*50mm1768*571 = 2Tấm</t>
  </si>
  <si>
    <t>Tấm sàn grating ô 50*50*50mm1750*307 = 8Tấm</t>
  </si>
  <si>
    <t>Tấm sàn grating ô 50*50*50mm1750*590 = 2Tấm</t>
  </si>
  <si>
    <t>Tấm sàn grating ô 50*50*50mm1750*610 = 30Tấm</t>
  </si>
  <si>
    <t>Tấm sàn grating ô 50*50*50mm1750*507 = 2Tấm</t>
  </si>
  <si>
    <t>Tấm sàn grating ô 50*50*50mm1750*692 = 2Tấm</t>
  </si>
  <si>
    <t>Tấm sàn grating ô 50*50*50mm1750*290 = 4Tấm</t>
  </si>
  <si>
    <t>Tấm sàn grating ô 50*50*50mm1750*917 = 8Tấm</t>
  </si>
  <si>
    <t>Tấm sàn grating ô 50*50*50mm732*493 = 2Tấm</t>
  </si>
  <si>
    <t>Tấm sàn grating ô 50*50*50mm1132*541 = 2Tấm</t>
  </si>
  <si>
    <t>Tấm sàn grating ô 50*50*50mm762*373 = 2Tấm</t>
  </si>
  <si>
    <t>Tấm sàn grating ô 50*50*50mm1750*467 = 4Tấm</t>
  </si>
  <si>
    <t>Tấm sàn grating ô 50*50*50mm1270*507 = 6Tấm</t>
  </si>
  <si>
    <t>ĐẠI PHÁT COMPOSITE</t>
  </si>
  <si>
    <t>26.08.2025/HĐMB/ IBS-ĐP</t>
  </si>
  <si>
    <t>Tam Đa</t>
  </si>
  <si>
    <t>Thịnh Phát</t>
  </si>
  <si>
    <t>Dùng cùng tờ dự án 097 (khổ tồn 2mx11m)</t>
  </si>
  <si>
    <t>Thép H125x125x6.5x9x12000  = 3 Cây</t>
  </si>
  <si>
    <t>Thép H200x200x8x12x12000  = 12 Cây</t>
  </si>
  <si>
    <t>Thép H250x250x9x14x12000  = 8 Cây</t>
  </si>
  <si>
    <t>Thép H250x250x9x14x12000  = 3 Cây</t>
  </si>
  <si>
    <t>Thép H150x150x7x10x12000  = 4 Cây</t>
  </si>
  <si>
    <t>Thép H250x250x9x14x12000  = 5 Cây</t>
  </si>
  <si>
    <t>Thép H350x350x12x19x12000 = 2 Cây</t>
  </si>
  <si>
    <t>Thép U125x65x6x8x12000  = 3 Cây</t>
  </si>
  <si>
    <t>Thép U200x90x8x13.5x12000  = 7 Cây</t>
  </si>
  <si>
    <t>Thép U250x90x9x13x120000 = 12 Cây</t>
  </si>
  <si>
    <t>Thép U300x90x9x12 x120000 = 1 Cây</t>
  </si>
  <si>
    <t>Thép U125x65x6x8x12000  = 8 Cây</t>
  </si>
  <si>
    <t>Thép góc V75x75x7x6000 = 7 Cây</t>
  </si>
  <si>
    <t>Thép góc V80x80x8x6000 = 4 Cây</t>
  </si>
  <si>
    <t>Hàng tòn dự án 097</t>
  </si>
  <si>
    <t>WINWIN</t>
  </si>
  <si>
    <t>Báo giá 10/8/2025</t>
  </si>
  <si>
    <t>Bậc thang dập lỗ nổ - Thép đen (LSP 50G)= L=457mm</t>
  </si>
  <si>
    <t>I90-C88</t>
  </si>
  <si>
    <t>Washer-17.5-DIN434-St-Galv</t>
  </si>
  <si>
    <t>Current Ordered/Dự trù lần 16
(Ngày 06/9/2025)</t>
  </si>
  <si>
    <t>Rev15-Braden bổ sung.</t>
  </si>
  <si>
    <t>Rev15-Braden bổ sung 32 sets</t>
  </si>
  <si>
    <t>GNEE3</t>
  </si>
  <si>
    <t>IBSHI-GNEE/2507-18</t>
  </si>
  <si>
    <t>U-A36-140x60x7x10x12000 = 25PCE</t>
  </si>
  <si>
    <t>U-A36-200x75x8.5x11.5x12000 = 12PCE</t>
  </si>
  <si>
    <t>PP-A106 GRB-559x32.54x6000 = 1PCE</t>
  </si>
  <si>
    <t>PL-16MO3-6x1500x12000 = 7PCE</t>
  </si>
  <si>
    <t>PL-16MO3-6x1500x8000 = 1PCE</t>
  </si>
  <si>
    <t>PL-16MO3-10x1500x6000 = 1PCE</t>
  </si>
  <si>
    <t>PP-A106 GRB-114,3x10x12000 = 2PCE</t>
  </si>
  <si>
    <t>PP-A106 GRB-26.9x2.6x6000 = 16PCE</t>
  </si>
  <si>
    <t>PP-A106 GRB-95x14x12000 = 3PCE</t>
  </si>
  <si>
    <t>U-A36-120x55x7x9x12000 = 7PCE</t>
  </si>
  <si>
    <t>A106</t>
  </si>
  <si>
    <t>16M03</t>
  </si>
  <si>
    <t>Thép tấm 3x1500x6000 ( 2 tấm)</t>
  </si>
  <si>
    <t>Thép tấm 10x2000x12000 ( 1 tấm)</t>
  </si>
  <si>
    <t>Thép tấm 12x2000x12000 ( 1 tấm)</t>
  </si>
  <si>
    <t>Thép tấm 16x2000x12000 ( 2 tấm)</t>
  </si>
  <si>
    <t>Thép tấm 20x2000x12000 ( 2 tấm)</t>
  </si>
  <si>
    <t>Pipe D26.7x2.87-seamless pipe-L6000 * 3 cây</t>
  </si>
  <si>
    <t>Pipe D114.3x6.02-seamless pipe-L6000 * 2 cây</t>
  </si>
  <si>
    <t>Thép H200x200x8x12x12000  = 1 Cây</t>
  </si>
  <si>
    <t>Thép H250x250x9x14x12000  = 2 Cây</t>
  </si>
  <si>
    <t>Thép H350x350x12x19x12000 = 2 cây</t>
  </si>
  <si>
    <t>Thép U250x90x9x13x120000 = 20 Cây</t>
  </si>
  <si>
    <t>Báo giá ngày 10/9/2025</t>
  </si>
  <si>
    <t>90.3/HĐKT-2025/IBS-VSAN</t>
  </si>
  <si>
    <t>I90-A109</t>
  </si>
  <si>
    <t>PL2x1250x2500</t>
  </si>
  <si>
    <t>I90-A110</t>
  </si>
  <si>
    <t>PL10x600x1500</t>
  </si>
  <si>
    <t>Current Ordered/Dự trù lần 17
(Ngày 12/9/2025)</t>
  </si>
  <si>
    <t>I90-C89</t>
  </si>
  <si>
    <t>Washer-22-DIN434-8.8-Galv</t>
  </si>
  <si>
    <t>I90-C90</t>
  </si>
  <si>
    <t>PL16x2000x12000</t>
  </si>
  <si>
    <t>Rev17-BRADEN-bổ sung mới PL2x1250x2500-115 tờ</t>
  </si>
  <si>
    <t>Rev17-BRADEN-bổ sung mới PL10x600x1500-1 tờ</t>
  </si>
  <si>
    <t>Rev17-Thay bằng tổ hợp từ PL16</t>
  </si>
  <si>
    <t>Rev17-Braden bổ sung.</t>
  </si>
  <si>
    <t>Rev17-IBS đặt bổ sung sấn cho UPE360(H360x110x12x17), Khối lượng tinh được tính theo UPE360(H360x110x12x17).</t>
  </si>
  <si>
    <t>Rev17-Braden thay đổi từ loại L1000 về loại L900</t>
  </si>
  <si>
    <t>Rev14-Braden bổ sung.</t>
  </si>
  <si>
    <t>Đông Nam</t>
  </si>
  <si>
    <t>12092025/ĐN-IBS</t>
  </si>
  <si>
    <t>107 tấm PL2x1255x2,5m
1 tấm Pl2 x1255x3,55</t>
  </si>
  <si>
    <t>Hàng tồn dự án 094
1 Kiện = 8 Tấm PL2 x 1219 x 2440
1 Kiện = 1 Tấm PL2 x 1219 x 1730
1 Kiện = 1 Tấm PL2 x 1219 x 1455</t>
  </si>
  <si>
    <t>Current Ordered/Dự trù lần 18
(Ngày 13/9/2025)</t>
  </si>
  <si>
    <t>Rev18-BRADEN-bổ sung PL10x2000x12000-3.5 tờ</t>
  </si>
  <si>
    <t>Rev18-IBS bổ sung loại khổ 2x12m</t>
  </si>
  <si>
    <t>Lifting Ring welded-on (5.3T)- 320 cái</t>
  </si>
  <si>
    <t>Lifting Ring welded-on (10T)-200 cái</t>
  </si>
  <si>
    <t>Dùng hàng tồn</t>
  </si>
  <si>
    <t>Đầu bịt ren A182 F316L #3000, 2''</t>
  </si>
  <si>
    <t>Cút 90 độ Inox SUS304 SCH40, 4''</t>
  </si>
  <si>
    <t>Báo giá ngày 11/9/20254</t>
  </si>
  <si>
    <t>Đồng Tấm C2680 , 2,5mmx600x2000m</t>
  </si>
  <si>
    <t>Hàng tồn/ Lấy hàng dự án 097 sáng</t>
  </si>
  <si>
    <t>APEC</t>
  </si>
  <si>
    <t>15.09.2025/APEC-IBS</t>
  </si>
  <si>
    <t>90.A1/HĐKT-2025/IBS-CKTEC</t>
  </si>
  <si>
    <t>Kẹp sàn INOX 304 K50</t>
  </si>
  <si>
    <t>Đa giao</t>
  </si>
  <si>
    <t>VSAN đang thực hiện</t>
  </si>
  <si>
    <t>I90-A88-1</t>
  </si>
  <si>
    <t>Thép tấm 10x2000x12000 (3.5 tờ)</t>
  </si>
  <si>
    <t>Thép tấm 16x2000x12000 (2 tờ)</t>
  </si>
  <si>
    <t>VanbiA105N/316/RTFEnốihànSWCL800FB2"</t>
  </si>
  <si>
    <t>Báo giá ngày 27/8/2025</t>
  </si>
  <si>
    <t>Citicom</t>
  </si>
  <si>
    <t>Thép tấm A36 30x2000x12000mm</t>
  </si>
  <si>
    <t>355/2025/CTC-IBS</t>
  </si>
  <si>
    <r>
      <t>060925/HD/TRANTOAN-IBS</t>
    </r>
    <r>
      <rPr>
        <b/>
        <sz val="14"/>
        <color rgb="FF000000"/>
        <rFont val="Times New Roman"/>
        <family val="1"/>
      </rPr>
      <t xml:space="preserve"> </t>
    </r>
  </si>
  <si>
    <t>Ngọc Hiếu</t>
  </si>
  <si>
    <t>090925/2025/NH-IBS</t>
  </si>
  <si>
    <t>Thép U200x90x8x13.5x12000  = 10 Cây</t>
  </si>
  <si>
    <t>Thép U150*75*9*12.5*1200 (3 cây)</t>
  </si>
  <si>
    <t>Thép H350x350x12x19x12000 = 3 Cây</t>
  </si>
  <si>
    <t xml:space="preserve">Thép H350x350x12x19x12000 </t>
  </si>
  <si>
    <t>Thép U200x90x8x13.5x12000</t>
  </si>
  <si>
    <t>Thép U250x90x9x13x120000</t>
  </si>
  <si>
    <t>Thép U250x90x11x14.5</t>
  </si>
  <si>
    <t>I90-A111</t>
  </si>
  <si>
    <t>Tôn chống trượt</t>
  </si>
  <si>
    <t>CPL4x1500x1000</t>
  </si>
  <si>
    <t>I90-A112</t>
  </si>
  <si>
    <t>C41x41x2-L6000</t>
  </si>
  <si>
    <t>I90-A113</t>
  </si>
  <si>
    <t>HEB200(H200x200x9x15)/JIS H200x200x8x12-L12000</t>
  </si>
  <si>
    <t>ASTM A36/JIS G3101 SS400</t>
  </si>
  <si>
    <t>I90-A114</t>
  </si>
  <si>
    <t>UPN120(C120x55x7x9)/JIS C125x65x6x8-L12000</t>
  </si>
  <si>
    <t>I90-B113</t>
  </si>
  <si>
    <t>Bolt M12x45-8.8-ISO4017-Galv</t>
  </si>
  <si>
    <t>I90-B114</t>
  </si>
  <si>
    <t>Bolt M20x50-8.8-ISO4017-Galv</t>
  </si>
  <si>
    <t>I90-B115</t>
  </si>
  <si>
    <t>Bolt M20x70-8.8-ISO4017-Galv</t>
  </si>
  <si>
    <t>I90-B116</t>
  </si>
  <si>
    <t>Nut M12-8.8-ISO4032-Galv</t>
  </si>
  <si>
    <t>I90-B117</t>
  </si>
  <si>
    <t>Nut M20-8.8-ISO4032-Galv</t>
  </si>
  <si>
    <t>I90-B118</t>
  </si>
  <si>
    <t>Washer M12-St-200 HV-ISO7089-tZn</t>
  </si>
  <si>
    <t>I90-B119</t>
  </si>
  <si>
    <t>Washer M12-St-200 HV-ISO7093A-tZn</t>
  </si>
  <si>
    <t>I90-B120</t>
  </si>
  <si>
    <t>Washer M20-St-200 HV-ISO7089-tZn</t>
  </si>
  <si>
    <t>I90-B121</t>
  </si>
  <si>
    <t>Vít tự khoan</t>
  </si>
  <si>
    <t>Hex washer head self drilling screw M5.5x25-DIN 7504 L-St-Galv.</t>
  </si>
  <si>
    <t>I90-B122</t>
  </si>
  <si>
    <t>Kẹp</t>
  </si>
  <si>
    <t>FL312D</t>
  </si>
  <si>
    <t>I90-B123</t>
  </si>
  <si>
    <t>Kẹp chốt</t>
  </si>
  <si>
    <t>MPR-Girder cleats 41/41/2-M8</t>
  </si>
  <si>
    <t>I90-C87-A</t>
  </si>
  <si>
    <t>Current Ordered/Dự trù lần 19
(Ngày 02/10/2025)</t>
  </si>
  <si>
    <t>Rev19-BRADEN-bổ sung mới.</t>
  </si>
  <si>
    <t>Rev19-BRADEN-bổ sung mới. Mục Protections</t>
  </si>
  <si>
    <t>Rev19-Braden bổ sung</t>
  </si>
  <si>
    <t>I90-0310/HN-IBS</t>
  </si>
  <si>
    <t>Bạt Da I90 - C87-A ( 8m x 6.5m ) x 4 tấm</t>
  </si>
  <si>
    <t>I90-A115</t>
  </si>
  <si>
    <t>Pipe D26.67x2.6</t>
  </si>
  <si>
    <t>I90-A116</t>
  </si>
  <si>
    <t>PL1x350x400</t>
  </si>
  <si>
    <t>I90-A117</t>
  </si>
  <si>
    <t>PL5x500x950</t>
  </si>
  <si>
    <t>I90-A118</t>
  </si>
  <si>
    <t>PL40x750x800</t>
  </si>
  <si>
    <t>I90-A119</t>
  </si>
  <si>
    <t>RB10-L800</t>
  </si>
  <si>
    <t>I90-A120</t>
  </si>
  <si>
    <t>RB12-L4000</t>
  </si>
  <si>
    <t>I90-A121</t>
  </si>
  <si>
    <t>RB15-L4100</t>
  </si>
  <si>
    <t>I90-A122</t>
  </si>
  <si>
    <t>RB20-L500</t>
  </si>
  <si>
    <t>Current Ordered/Dự trù lần 20
(Ngày 04/10/2025)</t>
  </si>
  <si>
    <t>Rev20-Braden bổ sung</t>
  </si>
  <si>
    <t>Rev20-do chủng loại đã mua 10 units ở các mục chính</t>
  </si>
  <si>
    <t>Tân dụng hàng tồn. Mời ngày 6/10</t>
  </si>
  <si>
    <t>Tận dụng hàng dự án 100, đã mời ngày 6/10</t>
  </si>
  <si>
    <t>90.15/HĐKT-2025/IBS-VSAN</t>
  </si>
  <si>
    <t>90.9/HĐKT-2025/IBS-VSAN</t>
  </si>
  <si>
    <t>90.11/HĐKT-2025/IBS-VSAN</t>
  </si>
  <si>
    <t>90.12/HĐKT-2025/IBS-VSAN</t>
  </si>
  <si>
    <t>Lifting Ring welded-on (5.3T)- 32 cái</t>
  </si>
  <si>
    <t>Thép tấm 3x1500x6000 SS400 ( 50 Tấm)</t>
  </si>
  <si>
    <t>Thép H200x200x8x12x12000 A36/SS400 ( 6caay)</t>
  </si>
  <si>
    <t>Thép H350x350x12x19x12000 ( 2 cây)</t>
  </si>
  <si>
    <t>Thép U200x90x8x13.5x12000 ( 7 cây)</t>
  </si>
  <si>
    <t>Thép U250x90x9x13x12000   ( 7 cây)</t>
  </si>
  <si>
    <t>Thép U250x90x9x13x12000   ( 4 cây)</t>
  </si>
  <si>
    <t>Xalaco</t>
  </si>
  <si>
    <t>I90-A123</t>
  </si>
  <si>
    <t>Plate-2.0321</t>
  </si>
  <si>
    <t>PL0.8x300x600</t>
  </si>
  <si>
    <t>I90-B124</t>
  </si>
  <si>
    <t>Thanh ren</t>
  </si>
  <si>
    <t>Threaded Rod-M24x220-DIN976-1-type A-8.8-Galv</t>
  </si>
  <si>
    <t>I90-B125</t>
  </si>
  <si>
    <t>Vòng khóa</t>
  </si>
  <si>
    <t>Ring-80x2.5-DIN471-St-Galv</t>
  </si>
  <si>
    <t>I90-B126</t>
  </si>
  <si>
    <t>Ring-50x2.0-DIN471-St-Galv</t>
  </si>
  <si>
    <t>I90-C92</t>
  </si>
  <si>
    <t>I90-C93</t>
  </si>
  <si>
    <t>Dây chằng kiện</t>
  </si>
  <si>
    <t>Polyme belt 50</t>
  </si>
  <si>
    <t>Polyeste</t>
  </si>
  <si>
    <t>I90-C94</t>
  </si>
  <si>
    <t>Khóa dây Polyme belt 32</t>
  </si>
  <si>
    <t>Khóa Polyme belt 50</t>
  </si>
  <si>
    <t>I90-C95</t>
  </si>
  <si>
    <t>I90-C96</t>
  </si>
  <si>
    <t>Gỗ đóng kiện</t>
  </si>
  <si>
    <t>Wood 50x100-L2000</t>
  </si>
  <si>
    <t>Gỗ  (có dấu khử trùng)</t>
  </si>
  <si>
    <t>I90-C97</t>
  </si>
  <si>
    <t>Wood 100x100-L2000</t>
  </si>
  <si>
    <t>I90-C98</t>
  </si>
  <si>
    <t>Đinh sắt</t>
  </si>
  <si>
    <t>đinh sắt 5 cm</t>
  </si>
  <si>
    <t>I90-C99</t>
  </si>
  <si>
    <t>đinh sắt 15 cm</t>
  </si>
  <si>
    <t>Current Ordered/Dự trù lần 21
(Ngày 10/10/2025)</t>
  </si>
  <si>
    <t>`</t>
  </si>
  <si>
    <t>Rev21-BRADEN-bổ sung</t>
  </si>
  <si>
    <t xml:space="preserve"> FUJIMOTO SANGYO VIỆT NAM</t>
  </si>
  <si>
    <t>Báo giá ngày 08/10/2025</t>
  </si>
  <si>
    <t>Vít tự khoan M5,5x25 = 4000 cái 
Vít khoan kèm đệm cao su 5.5x25 (Kẽm nhúngnóng)</t>
  </si>
  <si>
    <t>I90-A124</t>
  </si>
  <si>
    <t>Thép hộp</t>
  </si>
  <si>
    <t>SHS 80x40x2-L6000</t>
  </si>
  <si>
    <t>I90-A125</t>
  </si>
  <si>
    <t>SHS 50x50x2-L6000</t>
  </si>
  <si>
    <t>I90-A126</t>
  </si>
  <si>
    <t>SHS 120x60x2-L6000</t>
  </si>
  <si>
    <t>I90-B127</t>
  </si>
  <si>
    <t>Cylinder Head Cap Screw-M10x25-8.8-DIN912-Galv.</t>
  </si>
  <si>
    <t>I90-B128</t>
  </si>
  <si>
    <t>Cylinder Head Cap Screw-M10x35-8.8-DIN912-Galv.</t>
  </si>
  <si>
    <t>Current Ordered/Dự trù lần 22
(Ngày 16/10/2025)</t>
  </si>
  <si>
    <t>Rev22-chỉnh lại đơn vị tính từ Pcs về chuẩn là m2</t>
  </si>
  <si>
    <t>Rev22-Braden bổ sung mới</t>
  </si>
  <si>
    <t>Rev22-IBS-bổ sung cho đủ số lượng 80 pcs</t>
  </si>
  <si>
    <t>Rev22-IBS chỉnh lại tổng số lượng đặt mua là 5 thùng (số liệu đúng với bản vẽ đặt mua)</t>
  </si>
  <si>
    <t>Rev21-Đóng kiện</t>
  </si>
  <si>
    <t>I90-A127</t>
  </si>
  <si>
    <t>SHS 40x40x3-L6000</t>
  </si>
  <si>
    <t>Current Ordered/Dự trù lần 23
(Ngày 20/10/2025)</t>
  </si>
  <si>
    <t>PL1x350x1240 = 1 tấm/cây 304</t>
  </si>
  <si>
    <t>PL40x750x1500 = 1 tấm/cây 304</t>
  </si>
  <si>
    <t>RB12-L4000 = 1 tấm/cây 304</t>
  </si>
  <si>
    <t>SHS 80x40x2-L6000 = 17 cây A36</t>
  </si>
  <si>
    <t>SHS 50x50x2-L6000 = 6 cây A36</t>
  </si>
  <si>
    <t>SHS 120x60x2-L6000 = 6 cây A36</t>
  </si>
  <si>
    <t>SHS 40x40x3-L6000 =170 cây A36</t>
  </si>
  <si>
    <t>Bàn giao dự kiến ngày 29/10</t>
  </si>
  <si>
    <t>I90-B129</t>
  </si>
  <si>
    <t>Bảng tên</t>
  </si>
  <si>
    <t>Nam plate</t>
  </si>
  <si>
    <t>I90-B130</t>
  </si>
  <si>
    <t>Tấm dán decal</t>
  </si>
  <si>
    <t>Sticker</t>
  </si>
  <si>
    <t>decal</t>
  </si>
  <si>
    <t>I90-C100</t>
  </si>
  <si>
    <t>Current Ordered/Dự trù lần 24
(Ngày 23/10/2025)</t>
  </si>
  <si>
    <t>Hùng Nguyên  4 cây (U125x65x6x8)</t>
  </si>
  <si>
    <t>Tân Thành</t>
  </si>
  <si>
    <t>SHS 40x40x3-L6000 =493cây A36</t>
  </si>
  <si>
    <t>Phong mua chợ sắt</t>
  </si>
  <si>
    <t>Thép U125*65*6*8*12000 = 2 Cây</t>
  </si>
  <si>
    <t>1510-2025/HĐKT/NH-IBS</t>
  </si>
  <si>
    <t>Thép H125x125x6.5x9x12000  = 4 Cây</t>
  </si>
  <si>
    <t>90.17/HĐKT-2025/IBS-VSAN</t>
  </si>
  <si>
    <t>Anh Hưng đặt</t>
  </si>
  <si>
    <t>Hoàng Anh Minh</t>
  </si>
  <si>
    <t>hàng đã về</t>
  </si>
  <si>
    <t>Thép tròn trơn phi 12x6000 (4 cây)</t>
  </si>
  <si>
    <t>Thép tròn trơn phi 12x6000 (1 cây)</t>
  </si>
  <si>
    <t>Pipe Pipe D60.4.2-L6000-seamless pipe-L6000 = 4 cây</t>
  </si>
  <si>
    <t>25.10/HĐKT/2025</t>
  </si>
  <si>
    <t>XALACO</t>
  </si>
  <si>
    <t>04102025/IBS-XLC</t>
  </si>
  <si>
    <t>Thép C chấn mạ 41x41x2x6000m</t>
  </si>
  <si>
    <t>Pipe D26.7x2.87-seamless pipe-L6000 * 2 cây</t>
  </si>
  <si>
    <t>Pipe D114.3x6.02-seamless pipe-L6000 * 1 cây</t>
  </si>
  <si>
    <t>0509-25/HĐKT?IBSHI-TP</t>
  </si>
  <si>
    <t>1510-25/HĐKT/IBSHI-TP</t>
  </si>
  <si>
    <t>190825/HN-IBS</t>
  </si>
  <si>
    <t>I90-0409/HN-IBS</t>
  </si>
  <si>
    <t>I90-0809/HN-IBS</t>
  </si>
  <si>
    <t>I90-1509/HN-IBS</t>
  </si>
  <si>
    <t>280725/HN-IBS</t>
  </si>
  <si>
    <t>Đơn đặt hàng 17-10</t>
  </si>
  <si>
    <t>PO/2025-06-25-0001</t>
  </si>
  <si>
    <t>PO/2025-06-24-0001</t>
  </si>
  <si>
    <t>Báo giá ngày 17/10/2025</t>
  </si>
  <si>
    <t xml:space="preserve">3110-2025/HĐKT/NH-IBS </t>
  </si>
  <si>
    <t>Thép U125*65*6*8*12000 ( 4 cây)</t>
  </si>
  <si>
    <t>Mr Ngần</t>
  </si>
  <si>
    <t xml:space="preserve">Mr Ngần </t>
  </si>
  <si>
    <r>
      <rPr>
        <b/>
        <sz val="12"/>
        <color theme="1"/>
        <rFont val="Times New Roman"/>
        <family val="1"/>
      </rPr>
      <t xml:space="preserve">CÔNG TY CỔ PHẦN CÔNG NGHIỆP NẶNG IBS </t>
    </r>
    <r>
      <rPr>
        <sz val="12"/>
        <color theme="1"/>
        <rFont val="Times New Roman"/>
        <family val="1"/>
      </rPr>
      <t xml:space="preserve">
IBS HEAVY INDUSTRY JOINT STOCK COMPANY
Add.: KM6, Quốc lộ 5, Phường Hồng Bàng, Thành phố Hải Phòng
</t>
    </r>
  </si>
  <si>
    <t>BẢNG DỰ TOÁN CHI TIẾT VẬT TƯ</t>
  </si>
  <si>
    <t>Mẫu số:  QT30-DT04</t>
  </si>
  <si>
    <r>
      <t xml:space="preserve">Mua sắm/ Ordered, Puchased
</t>
    </r>
    <r>
      <rPr>
        <b/>
        <sz val="12"/>
        <color rgb="FFFF0000"/>
        <rFont val="Times New Roman"/>
        <family val="1"/>
      </rPr>
      <t>(Đến hiện tại/ Up to now)</t>
    </r>
  </si>
  <si>
    <t>Nhóm vật tư</t>
  </si>
  <si>
    <t>Mã vật tư</t>
  </si>
  <si>
    <t>Danh mục vật tư</t>
  </si>
  <si>
    <t>Đơn vị tính</t>
  </si>
  <si>
    <t>Mác vật liệu</t>
  </si>
  <si>
    <t>Quy cách</t>
  </si>
  <si>
    <t>Khối lượng/ Số lượng</t>
  </si>
  <si>
    <t>Đơn giá
(vnd)</t>
  </si>
  <si>
    <t>Thành tiền
(vnd)</t>
  </si>
  <si>
    <t>Tổng Giá trị đã mua/ Total Cost
(VND)</t>
  </si>
  <si>
    <t>Đânh giá</t>
  </si>
  <si>
    <t>Dài</t>
  </si>
  <si>
    <t>Rộng</t>
  </si>
  <si>
    <t>Dày</t>
  </si>
  <si>
    <t>A</t>
  </si>
  <si>
    <t>VTC</t>
  </si>
  <si>
    <t>Vật tư chính</t>
  </si>
  <si>
    <t>kg</t>
  </si>
  <si>
    <t>B</t>
  </si>
  <si>
    <t>C</t>
  </si>
  <si>
    <t>Vật tư đóng kiện</t>
  </si>
  <si>
    <t>Vật tư tiêu hao</t>
  </si>
  <si>
    <t>TỔNG CỘNG (A+B+C+D)</t>
  </si>
  <si>
    <t>Ngày…...tháng…...năm 2025</t>
  </si>
  <si>
    <t>PHỎNG THƯƠNG MẠI</t>
  </si>
  <si>
    <t>Vật tư</t>
  </si>
  <si>
    <t>Thép carbon</t>
  </si>
  <si>
    <t>Thép stainless</t>
  </si>
  <si>
    <t>Tấm gratting nhựa</t>
  </si>
  <si>
    <t>Bảo ôn</t>
  </si>
  <si>
    <t>Các loại vật tư thép khác (cấp công trường</t>
  </si>
  <si>
    <t>Bolt các loại, phụ kiện, gioăng,...</t>
  </si>
  <si>
    <t>Vật tư sơn</t>
  </si>
  <si>
    <t>Vật tư sơn các loại. dung môi</t>
  </si>
  <si>
    <t>Vật tư đóng kiện, biện pháp</t>
  </si>
  <si>
    <t>Vật tư biện pháp</t>
  </si>
  <si>
    <t>Bạt che phủ các loại</t>
  </si>
  <si>
    <t>Vật liệu hàn</t>
  </si>
  <si>
    <t>Vật tư phụ (hàn), khí công nghiệp</t>
  </si>
  <si>
    <t>Đá mài các loại</t>
  </si>
  <si>
    <t>Hạt mài</t>
  </si>
  <si>
    <t>Vật tư khác</t>
  </si>
  <si>
    <t>Nhân công trực tiếp</t>
  </si>
  <si>
    <t>Pha cắt</t>
  </si>
  <si>
    <t>Lốc, sấn</t>
  </si>
  <si>
    <t>Gá hàn hoàn thiện</t>
  </si>
  <si>
    <t>Tổ hợp thử</t>
  </si>
  <si>
    <t>Thử chức năng</t>
  </si>
  <si>
    <t>Làm sạch, sơn, rửa axit</t>
  </si>
  <si>
    <t>Đóng kiện, giao hàng</t>
  </si>
  <si>
    <t>Vận chuyển</t>
  </si>
  <si>
    <t>Nhân công dự phòng</t>
  </si>
  <si>
    <t>Thầu phụ, dịch vụ thuê ngoài</t>
  </si>
  <si>
    <t>Kiểm tra NDT, kiểm tra mẫu, quy trình</t>
  </si>
  <si>
    <t>Mạ kẽm nhúng nóng</t>
  </si>
  <si>
    <t>Gia công cơ khí</t>
  </si>
  <si>
    <t>Chi phí thông quan và vận chuyển container hàng hóa KH cấp</t>
  </si>
  <si>
    <t>Chằng buộc, hun trùng</t>
  </si>
  <si>
    <t>Chi phí khác và dự phòng</t>
  </si>
  <si>
    <t>Engineering</t>
  </si>
  <si>
    <t>Current Ordered/Dự trù lần 25
(Ngày 29/10/2025)</t>
  </si>
  <si>
    <t>I90-A128</t>
  </si>
  <si>
    <t>Grating H30mm</t>
  </si>
  <si>
    <t>I90-B131</t>
  </si>
  <si>
    <t>Tai cẩu hàn 20T</t>
  </si>
  <si>
    <t>VSAN đã về</t>
  </si>
  <si>
    <t>Rev25-BRADEN-bổ sung. Số lượng và quy cách mua theo bản vẽ "I90-Grating-Type H30mm"</t>
  </si>
  <si>
    <t>Rev25-Braden bổ sung mới. Mua cùng loại, cùng đơn vị mà IBS đã đặt mua cho loại 5.3T, 10T</t>
  </si>
  <si>
    <t>I90-C101</t>
  </si>
  <si>
    <t>HEA160(H152x160x6x9)</t>
  </si>
  <si>
    <t>I90-C102</t>
  </si>
  <si>
    <t>I90-C103</t>
  </si>
  <si>
    <t>Bolt-M16x65-ISO4017-8.8-Galv</t>
  </si>
  <si>
    <t>I90-C104</t>
  </si>
  <si>
    <t>Bolt-M16x70-DIN933-8.8-Galv</t>
  </si>
  <si>
    <t>I90-C105</t>
  </si>
  <si>
    <t>Bolt-M20x100-DIN933-8.8-Galv</t>
  </si>
  <si>
    <t>I90-C106</t>
  </si>
  <si>
    <t>Bolt-M20x80-DIN933-8.8-Galv</t>
  </si>
  <si>
    <t>I90-C107</t>
  </si>
  <si>
    <t>Bolt-M20x85-DIN933-8.8-Galv</t>
  </si>
  <si>
    <t>I90-C108</t>
  </si>
  <si>
    <t>Bolt-M24x110-DIN933-8.8-Galv</t>
  </si>
  <si>
    <t>I90-C109</t>
  </si>
  <si>
    <t>Bolt-M24x85-DIN933-8.8-Galv</t>
  </si>
  <si>
    <t>I90-C110</t>
  </si>
  <si>
    <t>Bolt-M24x90-DIN933-8.8-Galv</t>
  </si>
  <si>
    <t>I90-C111</t>
  </si>
  <si>
    <t>Bolt-M30x100-DIN933-8.8-Galv</t>
  </si>
  <si>
    <t>I90-C112</t>
  </si>
  <si>
    <t>Bolt-M36x100-DIN933-8.8-Galv</t>
  </si>
  <si>
    <t>I90-C113</t>
  </si>
  <si>
    <t>Nut-M12-ISO4032-8.0-Galv</t>
  </si>
  <si>
    <t>I90-C114</t>
  </si>
  <si>
    <t>Nut-M16-DIN934-8.0-Galv</t>
  </si>
  <si>
    <t>I90-C115</t>
  </si>
  <si>
    <t>Nut-M16-ISO7089-St-200HV-Galv</t>
  </si>
  <si>
    <t>I90-C116</t>
  </si>
  <si>
    <t>Nut-M20-DIN934-8.0-Galv</t>
  </si>
  <si>
    <t>I90-C117</t>
  </si>
  <si>
    <t>Nut-M20-ISO7089-St-200HV-Galv</t>
  </si>
  <si>
    <t>I90-C118</t>
  </si>
  <si>
    <t>Nut-M24-DIN934-8.0-Galv</t>
  </si>
  <si>
    <t>I90-C119</t>
  </si>
  <si>
    <t>Nut-M30-DIN934-8.0-Galv</t>
  </si>
  <si>
    <t>I90-C120</t>
  </si>
  <si>
    <t>Nut-M30-ISO4032-8.0-Galv</t>
  </si>
  <si>
    <t>I90-C121</t>
  </si>
  <si>
    <t>Nut-M36-DIN934-8.0-Galv</t>
  </si>
  <si>
    <t>I90-C122</t>
  </si>
  <si>
    <t>Washer-12-ISO7089-St-200HV-Galv</t>
  </si>
  <si>
    <t>I90-C123</t>
  </si>
  <si>
    <t>Washer-16-ISO7089-St-200HV-Galv</t>
  </si>
  <si>
    <t>I90-C124</t>
  </si>
  <si>
    <t>Washer-16-ISO7093A-St-200HV-Galv</t>
  </si>
  <si>
    <t>I90-C125</t>
  </si>
  <si>
    <t>I90-C126</t>
  </si>
  <si>
    <t>Washer-17.5-DIN434-St-Galv.-Galv</t>
  </si>
  <si>
    <t>I90-C127</t>
  </si>
  <si>
    <t>Washer-20-ISO7089-St-200HV-Galv</t>
  </si>
  <si>
    <t>I90-C128</t>
  </si>
  <si>
    <t>I90-C129</t>
  </si>
  <si>
    <t>Washer-22-DIN434-St-200HV-Galv</t>
  </si>
  <si>
    <t>I90-C130</t>
  </si>
  <si>
    <t>Washer-24-ISO7089-St-200HV-Galv</t>
  </si>
  <si>
    <t>I90-C131</t>
  </si>
  <si>
    <t>Washer-30-ISO7089-St-200HV-Galv</t>
  </si>
  <si>
    <t>I90-C132</t>
  </si>
  <si>
    <t>Washer-A16-DIN127-St-200HV-Galv</t>
  </si>
  <si>
    <t>I90-C133</t>
  </si>
  <si>
    <t>Washer-A20-DIN127-St-200HV-Galv</t>
  </si>
  <si>
    <t>I90-C134</t>
  </si>
  <si>
    <t>Washer-A24-DIN127-St-200HV-Galv</t>
  </si>
  <si>
    <t>I90-C135</t>
  </si>
  <si>
    <t>Washer-A30-DIN127-St-200HV-Galv</t>
  </si>
  <si>
    <t>I90-C136</t>
  </si>
  <si>
    <t>Washer-A36-DIN127-St-200HV-Galv</t>
  </si>
  <si>
    <t>I90-C137</t>
  </si>
  <si>
    <t>Washer-M12-ISO7089-St-200HV-tZn</t>
  </si>
  <si>
    <t>I90-C138</t>
  </si>
  <si>
    <t>Washer-M16-DIN434-St-200HV-Galv</t>
  </si>
  <si>
    <t>I90-C139</t>
  </si>
  <si>
    <t>Thread rod M20-L1000-8.8 (tiện ren 2 đầu: độ dài ren một đầu 170mm,  một đầu 100mm)-Galv</t>
  </si>
  <si>
    <t>I90-C140</t>
  </si>
  <si>
    <t>kích thước bạt: 10x6 m</t>
  </si>
  <si>
    <t>I90-C141</t>
  </si>
  <si>
    <t>kích thước bạt: 11.5x7.5 m</t>
  </si>
  <si>
    <t>I90-C142</t>
  </si>
  <si>
    <t>kích thước bạt: 11.5x9 m</t>
  </si>
  <si>
    <t>I90-C143</t>
  </si>
  <si>
    <t>kích thước bạt: 13.5x6.5 m</t>
  </si>
  <si>
    <t>I90-C144</t>
  </si>
  <si>
    <t>kích thước bạt: 14.5x10.5 m</t>
  </si>
  <si>
    <t>I90-C145</t>
  </si>
  <si>
    <t>kích thước bạt: 14.5x6.5 m</t>
  </si>
  <si>
    <t>I90-C146</t>
  </si>
  <si>
    <t>kích thước bạt: 15x9 m</t>
  </si>
  <si>
    <t>I90-C147</t>
  </si>
  <si>
    <t>kích thước bạt: 15x9.5 m</t>
  </si>
  <si>
    <t>I90-C148</t>
  </si>
  <si>
    <t>kích thước bạt: 16.5x11.5 m</t>
  </si>
  <si>
    <t>I90-C149</t>
  </si>
  <si>
    <t>kích thước bạt: 16x8.5 m</t>
  </si>
  <si>
    <t>I90-C150</t>
  </si>
  <si>
    <t>kích thước bạt: 16x9.5 m</t>
  </si>
  <si>
    <t>I90-C151</t>
  </si>
  <si>
    <t>kích thước bạt: 17x11 m</t>
  </si>
  <si>
    <t>I90-C152</t>
  </si>
  <si>
    <t>kích thước bạt: 8.5x7 m</t>
  </si>
  <si>
    <t>I90-C153</t>
  </si>
  <si>
    <t>RUD W-ABA - 20T</t>
  </si>
  <si>
    <t>Rev24-BRADEN-bổ sung 18.0m</t>
  </si>
  <si>
    <t>Rev24-BRADEN-bổ sung</t>
  </si>
  <si>
    <t>Rev24-BRADEN-bổ sung mới</t>
  </si>
  <si>
    <t>Rev24-BRADEN-bổ sung mới. PL10x450x850-1 tấm</t>
  </si>
  <si>
    <t>Rev24-Braden bổ sung</t>
  </si>
  <si>
    <t>Rev24-Braden bổ sung mới. Bản vẽ "I90-Name plate" kèm theo</t>
  </si>
  <si>
    <t>Rev26-Braden bổ sung 221kg.</t>
  </si>
  <si>
    <t>Rev26-Braden bổ sung 1732.13kg.</t>
  </si>
  <si>
    <t>Rev26-Braden bổ sung 2275.98kg.</t>
  </si>
  <si>
    <t>Rev26-Braden bổ sung 1352kg. Mua thêm PL15x2000x6000-1  tờ</t>
  </si>
  <si>
    <t>Rev26-Braden bổ sung 2920kg.</t>
  </si>
  <si>
    <t>Rev26-Braden bổ sung 902.43kg.</t>
  </si>
  <si>
    <t>Rev26-Braden bổ sung 633.96kg.</t>
  </si>
  <si>
    <t>Rev26-Braden bổ sung</t>
  </si>
  <si>
    <t>Rev26-Braden bổ sung. Tạm thời dùng VT đã mua cho U6+U7 để làm. Khối lượng tinh có cả U6+U7</t>
  </si>
  <si>
    <t>Rev26-Braden bổ sung.</t>
  </si>
  <si>
    <t>Rev26-IBS chỉnh lại lượng tinh</t>
  </si>
  <si>
    <t>Đã giao hàng</t>
  </si>
  <si>
    <t xml:space="preserve">U300x90x9x12 x120000 </t>
  </si>
  <si>
    <t>U250x90x9x13x120000</t>
  </si>
  <si>
    <t>IN CÔNG NGHIỆP</t>
  </si>
  <si>
    <t>Báo giá ngày 5/11/2025</t>
  </si>
  <si>
    <t>NGỌC HIẾU</t>
  </si>
  <si>
    <t>Đại Việt</t>
  </si>
  <si>
    <t>Vướng mắc đang đợi phản hồi</t>
  </si>
  <si>
    <t>C¤NG TY tnhh tm ngäc hiÕu</t>
  </si>
  <si>
    <t>céng hoµ x· héi chñ nghÜa viÖt nam</t>
  </si>
  <si>
    <t>Sè 8 M¸y T¬ - Ng« QuyÒn - H¶i Phßng</t>
  </si>
  <si>
    <t>§éc LËp - Tù Do - H¹nh Phóc</t>
  </si>
  <si>
    <r>
      <t>-----</t>
    </r>
    <r>
      <rPr>
        <sz val="12"/>
        <color indexed="8"/>
        <rFont val="Wingdings"/>
        <charset val="2"/>
      </rPr>
      <t></t>
    </r>
    <r>
      <rPr>
        <sz val="12"/>
        <color indexed="8"/>
        <rFont val="Monotype Sorts"/>
        <family val="2"/>
      </rPr>
      <t>J</t>
    </r>
    <r>
      <rPr>
        <sz val="12"/>
        <color indexed="8"/>
        <rFont val="Wingdings"/>
        <charset val="2"/>
      </rPr>
      <t></t>
    </r>
    <r>
      <rPr>
        <sz val="12"/>
        <color indexed="8"/>
        <rFont val=".VnBook-Antiqua"/>
        <family val="2"/>
      </rPr>
      <t>-----</t>
    </r>
  </si>
  <si>
    <t>---------o0o--------</t>
  </si>
  <si>
    <t>H¶i Phßng, Ngµy  05 th¸ng 11 n¨m  2025</t>
  </si>
  <si>
    <t>b¸o gi¸</t>
  </si>
  <si>
    <t>Kính gửi: CÔNG TY IBSHI</t>
  </si>
  <si>
    <t>Theo yªu cÇu cña Quý C«ng ty. Chóng t«i cã thÓ cung cÊp cho C«ng ty c¸c mÆt hµng sau:</t>
  </si>
  <si>
    <t>Số lượng (cây)</t>
  </si>
  <si>
    <t>Trọng lượng</t>
  </si>
  <si>
    <t xml:space="preserve">Đơn Giá </t>
  </si>
  <si>
    <t>Thành tiền</t>
  </si>
  <si>
    <t>bazem</t>
  </si>
  <si>
    <t>Thép tấm 10*2000*12000</t>
  </si>
  <si>
    <t>oke</t>
  </si>
  <si>
    <t>Thép tấm 12*2000*12000</t>
  </si>
  <si>
    <t>Thép tấm 16*2000*6000</t>
  </si>
  <si>
    <t>Thép tấm 20*2000*12000</t>
  </si>
  <si>
    <t>Thép H125*125*6,5*9*12000</t>
  </si>
  <si>
    <t>Thép H200*200*8*12*12000</t>
  </si>
  <si>
    <t>Thép H250*250*9*14*12000</t>
  </si>
  <si>
    <t>Thép H150*150*7*10*12000</t>
  </si>
  <si>
    <t>Thép U200*90*8*13,5*12000</t>
  </si>
  <si>
    <t>Thép U250*90*9*13*12000</t>
  </si>
  <si>
    <t xml:space="preserve">Thép U300x90x9x13 x120000 </t>
  </si>
  <si>
    <t>Thép U125*65*6*8*12000</t>
  </si>
  <si>
    <t>Thép V150*150*10*6000</t>
  </si>
  <si>
    <t>Thép V80*80*8*6000</t>
  </si>
  <si>
    <t>Thép V75*75*6*12000</t>
  </si>
  <si>
    <t>VAT 10%</t>
  </si>
  <si>
    <t>Tæng Céng</t>
  </si>
  <si>
    <t>- Hiệu lực báo giá: báo giá có giá trị hết ngày 10/11/2025 , giá đã bao gồm VAT 10%</t>
  </si>
  <si>
    <t>hoan</t>
  </si>
  <si>
    <r>
      <t>- Điều kiện giao hàng:  hàng giao theo bazem</t>
    </r>
    <r>
      <rPr>
        <sz val="13"/>
        <rFont val="Cambria"/>
        <family val="1"/>
      </rPr>
      <t xml:space="preserve"> kho bên bán trên phương tiện bên mua.</t>
    </r>
  </si>
  <si>
    <t xml:space="preserve"> </t>
  </si>
  <si>
    <t>- Thời hạn thanh toán: trước khi nhận hàng.</t>
  </si>
  <si>
    <t xml:space="preserve">- Nếu quý công ty chấp nhận xin vui lòng fax lại số: 0313.528921                                                                                     </t>
  </si>
  <si>
    <t>Xin trân trọng cảm ơn.</t>
  </si>
  <si>
    <t>XÁC NHẬN CỦA BÊN MUA</t>
  </si>
  <si>
    <t>CÔNG TY TNHH TM NGỌC HIẾU</t>
  </si>
  <si>
    <t>Tên hàng</t>
  </si>
  <si>
    <t>Đơn giá</t>
  </si>
  <si>
    <t>I90-C140 (10500 x 6500) x 3 tấm</t>
  </si>
  <si>
    <t>I90-C141 (12000 x 8000) x 3 tấm</t>
  </si>
  <si>
    <t>I90-C142 (1200 x 9500) x 1 tấm</t>
  </si>
  <si>
    <t>I90-C143 (14000 x 7000) x 4 tấm</t>
  </si>
  <si>
    <t>I90-C144 (15000 x 11000) x 1 tấm</t>
  </si>
  <si>
    <t>I90-C145 (15000 x 7000) x 3 tấm</t>
  </si>
  <si>
    <t>I90-C146 (15500 x 9500) x 1 tấm</t>
  </si>
  <si>
    <t>I90-C147 (15500 x 10000) x 1 tấm</t>
  </si>
  <si>
    <t>I90-C148 (17000 x 12000) x 4 tấm</t>
  </si>
  <si>
    <t>I90-C149 (16500 x 9000) x 3 tấm</t>
  </si>
  <si>
    <t>I90-C150 (16500 x 10000) x 3 tấm</t>
  </si>
  <si>
    <t>I90-C151 (17500 x 11500) x 3 tấm</t>
  </si>
  <si>
    <t>I90-C152 (9000 x 7500) x 3 tấm</t>
  </si>
  <si>
    <t>Tổng</t>
  </si>
  <si>
    <t>Tổng tiền chưa VAT
(VNĐ)</t>
  </si>
  <si>
    <t>Tổng tiền đã VAT
(VNĐ)</t>
  </si>
  <si>
    <t>% thuế VAT</t>
  </si>
  <si>
    <t>Ghi chú</t>
  </si>
  <si>
    <t xml:space="preserve">BẢNG CHÀO GIÁ </t>
  </si>
  <si>
    <t>Ngày:12/05/2025</t>
  </si>
  <si>
    <t>Bên mua</t>
  </si>
  <si>
    <t>Bên bán</t>
  </si>
  <si>
    <t>CÔNG TY : CÔNG TY CỔ PHẦN CÔNG NGHIỆP NẶNG IBS</t>
  </si>
  <si>
    <t>Công ty: CÔNG TY TNHH SẢN XUẤT VÀ XNK HOÀNG HÀ</t>
  </si>
  <si>
    <t>Địa chỉ:Km 6 Quốc lộ 5, Phường Hồng Bàng, TP Hải Phòng, Việt Nam.</t>
  </si>
  <si>
    <t>Địa chỉ:  Số 2, ngõ 1 tổ 29 A, Láng Hạ, Đống Đa, Hà Nội</t>
  </si>
  <si>
    <t>Người đại diện: Mr Đức</t>
  </si>
  <si>
    <t>Người đại diện: Mr Hiếu</t>
  </si>
  <si>
    <t xml:space="preserve">Số điện thoại: </t>
  </si>
  <si>
    <t>Số điện thoại: 0989619000</t>
  </si>
  <si>
    <t xml:space="preserve">Mail: </t>
  </si>
  <si>
    <t>STK: 193704070013308
Tại: Ngân hàng TMCP phát triển TP Hồ Chí Minh- CN Hồ Gươm
Mail: hieuld@bulonghoangha.com.vn</t>
  </si>
  <si>
    <t>Mã số thuế: 0107923145</t>
  </si>
  <si>
    <t>Mã số thuế: 0109157351</t>
  </si>
  <si>
    <t>Xin chân thành cám ơn Quý khách hàng đã quan tâm đến sản phẩm của chúng tôi. Công ty Hoàng Hà xin gửi báo giá sản phẩm theo yêu cầu của quý khách hàng như sau:</t>
  </si>
  <si>
    <t>Stt</t>
  </si>
  <si>
    <t>Chất liệu</t>
  </si>
  <si>
    <t>Bu lông ren suốt</t>
  </si>
  <si>
    <t>M16*50</t>
  </si>
  <si>
    <t>Mạ kẽm 8.8</t>
  </si>
  <si>
    <t>Cái</t>
  </si>
  <si>
    <t>Din 933</t>
  </si>
  <si>
    <t>M16*60</t>
  </si>
  <si>
    <t>M16*70</t>
  </si>
  <si>
    <t>M16*80</t>
  </si>
  <si>
    <t>M16*90</t>
  </si>
  <si>
    <t>M20*50</t>
  </si>
  <si>
    <t>M20*55</t>
  </si>
  <si>
    <t>M20*60</t>
  </si>
  <si>
    <t>M20*70</t>
  </si>
  <si>
    <t>M24*100</t>
  </si>
  <si>
    <t>M24*110</t>
  </si>
  <si>
    <t>M24*90</t>
  </si>
  <si>
    <t>M30*120</t>
  </si>
  <si>
    <t>Ecu</t>
  </si>
  <si>
    <t>M16</t>
  </si>
  <si>
    <t>Din 934</t>
  </si>
  <si>
    <t>M20</t>
  </si>
  <si>
    <t>M24</t>
  </si>
  <si>
    <t>Long đen phẳng</t>
  </si>
  <si>
    <t>Din 125</t>
  </si>
  <si>
    <t>M12*40</t>
  </si>
  <si>
    <t>M16*65</t>
  </si>
  <si>
    <t>M20*100</t>
  </si>
  <si>
    <t>M20*80</t>
  </si>
  <si>
    <t>M20*85</t>
  </si>
  <si>
    <t>M24*85</t>
  </si>
  <si>
    <t>M30*100</t>
  </si>
  <si>
    <t>M36*100</t>
  </si>
  <si>
    <t>M12</t>
  </si>
  <si>
    <t>M30</t>
  </si>
  <si>
    <t>M36</t>
  </si>
  <si>
    <t>Long đen vuông vát</t>
  </si>
  <si>
    <t>M17.5</t>
  </si>
  <si>
    <t>din 434</t>
  </si>
  <si>
    <t>M22</t>
  </si>
  <si>
    <t>Long đen vênh</t>
  </si>
  <si>
    <t>Din 127</t>
  </si>
  <si>
    <t>M20*1000</t>
  </si>
  <si>
    <t>Điều khoản đi kèm</t>
  </si>
  <si>
    <r>
      <rPr>
        <b/>
        <sz val="10"/>
        <color theme="1"/>
        <rFont val="Times New Roman"/>
        <family val="1"/>
      </rPr>
      <t>Thương hiệu, xuất xứ:</t>
    </r>
    <r>
      <rPr>
        <sz val="10"/>
        <color theme="1"/>
        <rFont val="Times New Roman"/>
        <family val="1"/>
      </rPr>
      <t xml:space="preserve"> Trung Quốc.</t>
    </r>
  </si>
  <si>
    <r>
      <rPr>
        <b/>
        <sz val="10"/>
        <color theme="1"/>
        <rFont val="Times New Roman"/>
        <family val="1"/>
      </rPr>
      <t>Bảo hành sản phẩm:</t>
    </r>
    <r>
      <rPr>
        <sz val="10"/>
        <color theme="1"/>
        <rFont val="Times New Roman"/>
        <family val="1"/>
      </rPr>
      <t xml:space="preserve"> Cam kết hàng mới 100% chưa qua sử dụng, cung cấp CO, CQ cần thiết.</t>
    </r>
  </si>
  <si>
    <r>
      <rPr>
        <b/>
        <sz val="10"/>
        <color theme="1"/>
        <rFont val="Times New Roman"/>
        <family val="1"/>
      </rPr>
      <t>Thời gian giao hàng:</t>
    </r>
    <r>
      <rPr>
        <sz val="10"/>
        <color theme="1"/>
        <rFont val="Times New Roman"/>
        <family val="1"/>
      </rPr>
      <t xml:space="preserve"> 03 đến 05  ngày kể từ ngày nhận được thanh toán tiền đặt cọc
</t>
    </r>
  </si>
  <si>
    <r>
      <rPr>
        <b/>
        <sz val="10"/>
        <color theme="1"/>
        <rFont val="Times New Roman"/>
        <family val="1"/>
      </rPr>
      <t xml:space="preserve">Địa điểm giao hàng: </t>
    </r>
    <r>
      <rPr>
        <sz val="10"/>
        <color theme="1"/>
        <rFont val="Times New Roman"/>
        <family val="1"/>
      </rPr>
      <t>Tại công trình bên mua, khu  vực Hải Dương</t>
    </r>
  </si>
  <si>
    <r>
      <rPr>
        <b/>
        <sz val="10"/>
        <color theme="1"/>
        <rFont val="Times New Roman"/>
        <family val="1"/>
      </rPr>
      <t>Thanh toán:</t>
    </r>
    <r>
      <rPr>
        <sz val="10"/>
        <color theme="1"/>
        <rFont val="Times New Roman"/>
        <family val="1"/>
      </rPr>
      <t xml:space="preserve"> Thanh toán 30% giá trị đơn hàng ngay khi đặt hàng, thanh toán số còn lại khi có thông báo giao hàng</t>
    </r>
  </si>
  <si>
    <r>
      <rPr>
        <b/>
        <sz val="10"/>
        <color theme="1"/>
        <rFont val="Times New Roman"/>
        <family val="1"/>
      </rPr>
      <t>Phương thức thanh toán</t>
    </r>
    <r>
      <rPr>
        <sz val="10"/>
        <color theme="1"/>
        <rFont val="Times New Roman"/>
        <family val="1"/>
      </rPr>
      <t>:   Tiền mặt, chuyển khoản</t>
    </r>
  </si>
  <si>
    <r>
      <rPr>
        <b/>
        <sz val="10"/>
        <color theme="1"/>
        <rFont val="Times New Roman"/>
        <family val="1"/>
      </rPr>
      <t xml:space="preserve">Báo giá có hiệu lực trong vòng: </t>
    </r>
    <r>
      <rPr>
        <sz val="10"/>
        <color theme="1"/>
        <rFont val="Times New Roman"/>
        <family val="1"/>
      </rPr>
      <t xml:space="preserve"> 5 ngày.</t>
    </r>
  </si>
  <si>
    <t>Hai bên cùng nhau thống nhất và ký kết đơn hàng này</t>
  </si>
  <si>
    <r>
      <t xml:space="preserve">Bên Mua </t>
    </r>
    <r>
      <rPr>
        <sz val="12"/>
        <color theme="1"/>
        <rFont val="Times New Roman"/>
        <family val="1"/>
      </rPr>
      <t>( ký tên, đóng dấu )</t>
    </r>
  </si>
  <si>
    <r>
      <t xml:space="preserve">Bên Bán </t>
    </r>
    <r>
      <rPr>
        <sz val="12"/>
        <color theme="1"/>
        <rFont val="Times New Roman"/>
        <family val="1"/>
      </rPr>
      <t>( ký tên, đóng dấu )</t>
    </r>
  </si>
  <si>
    <t>THIẾT KẾ/ MUA SẮM THỰC TẾ</t>
  </si>
  <si>
    <t>Tỷ lệ</t>
  </si>
  <si>
    <t>Khối lượng</t>
  </si>
  <si>
    <t>Chênh lệch</t>
  </si>
  <si>
    <t>Hoàng Hà</t>
  </si>
  <si>
    <t>I90-C154</t>
  </si>
  <si>
    <t>Bạt bảo quản</t>
  </si>
  <si>
    <t>Bạt che kích thước: 15x20 m</t>
  </si>
  <si>
    <t>Bạt xanh chống nước. Có may viền mép và đính khuy. Khoảng cách khuy ~ 2m</t>
  </si>
  <si>
    <t>I90-C155</t>
  </si>
  <si>
    <t>Dây chằng bạt</t>
  </si>
  <si>
    <t>Dây chằng bạt D8</t>
  </si>
  <si>
    <t>Current Ordered/Dự trù lần 27
(Ngày 9/11/2025)</t>
  </si>
  <si>
    <t>Current Ordered/Dự trù lần 26
(Ngày 4/11/2025)</t>
  </si>
  <si>
    <t>Rev27-Braden bổ sung PL3x1500x6000-84 tờ cho mục cover mới (tính cho U3+U4+U5)</t>
  </si>
  <si>
    <t>Rev27-BRADEN-bổ sung mới. Mục Protections 13164</t>
  </si>
  <si>
    <t>Rev27-IBS hủy</t>
  </si>
  <si>
    <t>Rev27-Braden bổ sung</t>
  </si>
  <si>
    <t>Rev27-chỉnh khớp với số liệu đã mua</t>
  </si>
  <si>
    <t>Rev27 Sửa lại từ ốc sang đệm cho chuẩn</t>
  </si>
  <si>
    <t>Rev27-điều chỉnh kích thước bạt che, khớp với kt đã đặt hàng</t>
  </si>
  <si>
    <t>Rev27-IBS-bổ sung</t>
  </si>
  <si>
    <t>Mua thêm</t>
  </si>
  <si>
    <t xml:space="preserve">Thép  H150x150x7x10 </t>
  </si>
  <si>
    <t>JIS H200x200x8x12-L12000</t>
  </si>
  <si>
    <t>JIS C125x65x6x8-L12000</t>
  </si>
  <si>
    <t>63 tờ tôn PL3x 2m x 6m</t>
  </si>
  <si>
    <t>BID ANALYSIS - GIẢI TRÌNH MUA SẮM/ĐẤU THẦU</t>
  </si>
  <si>
    <t>Project</t>
  </si>
  <si>
    <t>Dự án</t>
  </si>
  <si>
    <t>Subject</t>
  </si>
  <si>
    <t>Chủ đề</t>
  </si>
  <si>
    <t>No.</t>
  </si>
  <si>
    <t>CONTENT</t>
  </si>
  <si>
    <t xml:space="preserve">Phạm vi công việc </t>
  </si>
  <si>
    <t>Dự toán</t>
  </si>
  <si>
    <t>Đã mua</t>
  </si>
  <si>
    <t>Đơn vị cung cấp chào giá (vnđ)</t>
  </si>
  <si>
    <t>Lựa chọn</t>
  </si>
  <si>
    <t>Item</t>
  </si>
  <si>
    <t>Description/ Chi tiết</t>
  </si>
  <si>
    <t>Mặt hàng</t>
  </si>
  <si>
    <t>Phạm vi</t>
  </si>
  <si>
    <t>Đơn giá (VND)</t>
  </si>
  <si>
    <t>Thành Tiền
(Không có VAT)</t>
  </si>
  <si>
    <t>PSC</t>
  </si>
  <si>
    <t>V</t>
  </si>
  <si>
    <t>Bulong M8x50</t>
  </si>
  <si>
    <t>Bulong M10x50</t>
  </si>
  <si>
    <t>Bulong M12x70</t>
  </si>
  <si>
    <t>Bulong M12x80</t>
  </si>
  <si>
    <t>Bulong M16x40</t>
  </si>
  <si>
    <t>Bulong M16x90</t>
  </si>
  <si>
    <t>Bulong M20x90</t>
  </si>
  <si>
    <t>Bulong M24x110</t>
  </si>
  <si>
    <t>Bulong LGC ĐB M6x25</t>
  </si>
  <si>
    <t>Bulong LGC ĐB M12x50</t>
  </si>
  <si>
    <t>Bulong LGC ĐB M16x60</t>
  </si>
  <si>
    <t>Bulong LGC ĐB M20x60</t>
  </si>
  <si>
    <t>Bulong LGC ĐB M20x70</t>
  </si>
  <si>
    <t>Bulog mắt M16x80</t>
  </si>
  <si>
    <t>Bulog mắt M16x100</t>
  </si>
  <si>
    <t>Ecu mũ M6</t>
  </si>
  <si>
    <t>Chốt cài M12x30</t>
  </si>
  <si>
    <t>Không rõ kích thước</t>
  </si>
  <si>
    <t>Chốt chẻ 3,2x40</t>
  </si>
  <si>
    <t>Vòng đệm vuông vát M12</t>
  </si>
  <si>
    <t>Thanh ren M8x30</t>
  </si>
  <si>
    <t>Vòng đệm phẳng rộng M20</t>
  </si>
  <si>
    <t>Đơn giá tổng hợp</t>
  </si>
  <si>
    <t>II</t>
  </si>
  <si>
    <r>
      <t xml:space="preserve">Khối lượng dự kiến giao (Kg )/ </t>
    </r>
    <r>
      <rPr>
        <b/>
        <i/>
        <sz val="14"/>
        <color theme="1"/>
        <rFont val="Times New Roman"/>
        <family val="1"/>
      </rPr>
      <t>Estimated weight (Kg):</t>
    </r>
  </si>
  <si>
    <t>…</t>
  </si>
  <si>
    <t>III</t>
  </si>
  <si>
    <r>
      <t xml:space="preserve">Tiến độ/ </t>
    </r>
    <r>
      <rPr>
        <b/>
        <i/>
        <sz val="14"/>
        <color theme="1"/>
        <rFont val="Times New Roman"/>
        <family val="1"/>
      </rPr>
      <t>Schedule</t>
    </r>
  </si>
  <si>
    <t>Bắt đầu/ Start</t>
  </si>
  <si>
    <t>Kết thúc/ Finish</t>
  </si>
  <si>
    <t>….</t>
  </si>
  <si>
    <t>IV</t>
  </si>
  <si>
    <r>
      <t xml:space="preserve">Nhân lực/ </t>
    </r>
    <r>
      <rPr>
        <b/>
        <i/>
        <sz val="14"/>
        <color theme="1"/>
        <rFont val="Times New Roman"/>
        <family val="1"/>
      </rPr>
      <t>ManPower</t>
    </r>
  </si>
  <si>
    <t>Thợ Pha cắt / Thợ sắt / Thợ hàn / …</t>
  </si>
  <si>
    <r>
      <t xml:space="preserve">Yêu cầu kỹ thuật: Tham chiếu các tài liệu đính kèm/ </t>
    </r>
    <r>
      <rPr>
        <b/>
        <i/>
        <sz val="14"/>
        <color theme="1"/>
        <rFont val="Times New Roman"/>
        <family val="1"/>
      </rPr>
      <t>Technical requirement – refer to document attached</t>
    </r>
  </si>
  <si>
    <t>Xếp hạng</t>
  </si>
  <si>
    <t>NGƯỜI ĐỀ NGHỊ/ RECOMMENDATION BY:</t>
  </si>
  <si>
    <t xml:space="preserve">NGƯỜI KIỂM TRA/ DEPARTMENT HEAD CHECK BY:    </t>
  </si>
  <si>
    <t>APPROVED BY:
PHÊ DUYỆT</t>
  </si>
  <si>
    <t xml:space="preserve">Nguyễn Quang Vinh          </t>
  </si>
  <si>
    <t xml:space="preserve"> Hoàng Ngọc Bằng   </t>
  </si>
  <si>
    <t>Đoàn Văn Toàn</t>
  </si>
  <si>
    <t>TÊN HÀNG</t>
  </si>
  <si>
    <t>QUY CÁCH</t>
  </si>
  <si>
    <t>CHẤT LIỆU</t>
  </si>
  <si>
    <t>SỐ LƯỢNG</t>
  </si>
  <si>
    <t>ĐƠN GIÁ</t>
  </si>
  <si>
    <t>THÀNH TIỀN</t>
  </si>
  <si>
    <t>GHI CHÚ</t>
  </si>
  <si>
    <t>3.624.800</t>
  </si>
  <si>
    <t>1.953.000</t>
  </si>
  <si>
    <t>1.917.000</t>
  </si>
  <si>
    <t>2.448.000</t>
  </si>
  <si>
    <t>1.900.800</t>
  </si>
  <si>
    <t>2.328.000</t>
  </si>
  <si>
    <t>2.148.000</t>
  </si>
  <si>
    <t>4.416.000</t>
  </si>
  <si>
    <t>2.108.340</t>
  </si>
  <si>
    <t>2.241.700</t>
  </si>
  <si>
    <t>1.382.400</t>
  </si>
  <si>
    <t>2.112.000</t>
  </si>
  <si>
    <t>1.497.600</t>
  </si>
  <si>
    <t>1.296.000</t>
  </si>
  <si>
    <t>3.182.400</t>
  </si>
  <si>
    <t>2.928.000</t>
  </si>
  <si>
    <t>1.367.460</t>
  </si>
  <si>
    <t>3.553.200</t>
  </si>
  <si>
    <t>1đầu tiện 170mm</t>
  </si>
  <si>
    <t>1 đầu tiện 100mm</t>
  </si>
  <si>
    <t>-Giá trí mua đang vượt dự toán
- PTM không nắm được vật tư phụ kiện còn phát sinh hàng không
- Thông báo tới SALE để khách hàng hỗ trợ thêm chi phí</t>
  </si>
  <si>
    <t>Ghi Chú: Vật tư đóng kiện dự án 090 tính tiền theo khối lượng thực tế, PTM tiến hành mua hàng</t>
  </si>
  <si>
    <t>PROJECT No/ Dự án: 25-BRA-I-090</t>
  </si>
  <si>
    <t>Cung cấp vật tư đóng kiện dự án 090</t>
  </si>
  <si>
    <t>Đã mua/Đã đặt</t>
  </si>
  <si>
    <t>Trọng lượng
(KG)</t>
  </si>
  <si>
    <t>X</t>
  </si>
  <si>
    <t>NGƯỜI ĐỀ NGHỊ/ 
RECOMMENDATION BY:</t>
  </si>
  <si>
    <t xml:space="preserve">NGƯỜI KIỂM TRA/
 DEPARTMENT HEAD CHECK BY:    </t>
  </si>
  <si>
    <t>Bạt dứa I90 - C 154 ( 15000 x 20000 ) x 10 tấm</t>
  </si>
  <si>
    <t>Số lượng (M2)</t>
  </si>
  <si>
    <t>Bạt dứa</t>
  </si>
  <si>
    <t>Bạt da</t>
  </si>
  <si>
    <t>Ghi Chú: Vật tư chính phát sinh không có trong dự toán, PTM tiến hành mua hàng
               Vật tư đóng kiện dự án 090 tính tiền theo khối lượng thực tế, PTM tiến hành mua hàng</t>
  </si>
  <si>
    <r>
      <t xml:space="preserve">Khối lượng dự kiến giao (Kg )/ </t>
    </r>
    <r>
      <rPr>
        <b/>
        <i/>
        <sz val="16"/>
        <color theme="1"/>
        <rFont val="Times New Roman"/>
        <family val="1"/>
      </rPr>
      <t>Estimated weight (Kg):</t>
    </r>
  </si>
  <si>
    <r>
      <t xml:space="preserve">Tiến độ/ </t>
    </r>
    <r>
      <rPr>
        <b/>
        <i/>
        <sz val="16"/>
        <color theme="1"/>
        <rFont val="Times New Roman"/>
        <family val="1"/>
      </rPr>
      <t>Schedule</t>
    </r>
  </si>
  <si>
    <r>
      <t xml:space="preserve">Nhân lực/ </t>
    </r>
    <r>
      <rPr>
        <b/>
        <i/>
        <sz val="16"/>
        <color theme="1"/>
        <rFont val="Times New Roman"/>
        <family val="1"/>
      </rPr>
      <t>ManPower</t>
    </r>
  </si>
  <si>
    <r>
      <t xml:space="preserve">Yêu cầu kỹ thuật: Tham chiếu các tài liệu đính kèm/ </t>
    </r>
    <r>
      <rPr>
        <b/>
        <i/>
        <sz val="16"/>
        <color theme="1"/>
        <rFont val="Times New Roman"/>
        <family val="1"/>
      </rPr>
      <t>Technical requirement – refer to document attached</t>
    </r>
  </si>
  <si>
    <t>I90-A129</t>
  </si>
  <si>
    <t>Grating H50mm</t>
  </si>
  <si>
    <t>Rev27-BRADEN-bổ sung. Số lượng và quy cách mua theo tài liệu "I90-Grating H50mm-BO SUNG (U1+U2)" gửi kèm</t>
  </si>
  <si>
    <t>11.11.2025/APEC</t>
  </si>
  <si>
    <t>Thép tấm 3x2000x6000mm ( 60 Tấm)</t>
  </si>
  <si>
    <t>Thép H200x200x8x12x12000mm (10 cây)</t>
  </si>
  <si>
    <t>Thép U125x65x6x8x12000mm (3 cây)</t>
  </si>
  <si>
    <t>Thép H250x250x9x14x12000mm (10 cây)</t>
  </si>
  <si>
    <t xml:space="preserve"> Thép H150x150x7x10x12000mm (2 cây)</t>
  </si>
  <si>
    <t>SS400/SS400B</t>
  </si>
  <si>
    <t>1111-2025/NH/IBS</t>
  </si>
  <si>
    <t>Thép tấm 10*2000*12000 = 1 Cây</t>
  </si>
  <si>
    <t>Thép tấm 12*2000*12000 = 1 Cây</t>
  </si>
  <si>
    <t>Thép tấm 16*2000*6000 = 1 Cây</t>
  </si>
  <si>
    <t>Thép tấm 20*2000*12000 = 1 Cây</t>
  </si>
  <si>
    <t>Thép H125*125*6,5*9*12000 = 6 Cây</t>
  </si>
  <si>
    <t>Thép H200*200*8*12*12000 = 12 Cây</t>
  </si>
  <si>
    <t>Thép H250*250*9*14*12000 = 3 Cây</t>
  </si>
  <si>
    <t>Thép H150*150*7*10*12000 = 3.5 Cây</t>
  </si>
  <si>
    <t>Thép U200*90*8*13,5*12000 = 8 Cây</t>
  </si>
  <si>
    <t>Thép U250*90*9*13*12000 = 35 Cây</t>
  </si>
  <si>
    <t>Thép U300x90x9x13 x120000  = 1 Cây</t>
  </si>
  <si>
    <t>Thép U125*65*6*8*12000 = 11 Cây</t>
  </si>
  <si>
    <t>Thép V150*150*10*6000 = 1 Cây</t>
  </si>
  <si>
    <t>Thép V80*80*8*6000 = 3 Cây</t>
  </si>
  <si>
    <t>Thép V75*75*6*12000 = 3 Cây</t>
  </si>
  <si>
    <t>I90-C140 (10500 x 6500) x 3 tấm bạt da</t>
  </si>
  <si>
    <t>I90-C141 (12000 x 8000) x 3 tấm bạt da</t>
  </si>
  <si>
    <t>I90-C142 (1200 x 9500) x 1 tấm bạt da</t>
  </si>
  <si>
    <t>I90-C143 (14000 x 7000) x 6 tấm bạt da</t>
  </si>
  <si>
    <t>I90-C144 (15000 x 11000) x 1 tấm bạt da</t>
  </si>
  <si>
    <t>I90-C145 (15000 x 7000) x 3 tấm bạt da</t>
  </si>
  <si>
    <t>I90-C146 (15500 x 9500) x 1 tấm bạt da</t>
  </si>
  <si>
    <t>I90-C147 (15500 x 10000) x 1 tấm bạt da</t>
  </si>
  <si>
    <t>I90-C148 (17000 x 12000) x 4 tấm bạt da</t>
  </si>
  <si>
    <t>I90-C149 (16500 x 9000) x 3 tấm bạt da</t>
  </si>
  <si>
    <t>I90-C150 (16500 x 10000) x 3 tấm bạt da</t>
  </si>
  <si>
    <t>I90-C151 (17500 x 11500) x 3 tấm bạt da</t>
  </si>
  <si>
    <t>I90-C152 (9000 x 7500) x 3 tấm bạt da</t>
  </si>
  <si>
    <t>N/a</t>
  </si>
  <si>
    <t>90.8/HĐKT-2025/IBS-VSAN</t>
  </si>
  <si>
    <t>90.18/HĐKT-2025/IBS-VSAN</t>
  </si>
  <si>
    <t>DỰ TOÁN
(VNĐ)</t>
  </si>
  <si>
    <t>GIÁ TRỊ ĐÃ ĐẶT HÀNG THÊM
(VNĐ)</t>
  </si>
  <si>
    <t>Số lượng PR (PSC)</t>
  </si>
  <si>
    <t>HOÀNG HÀ</t>
  </si>
  <si>
    <t>- Vật tư này chưa được mô tả trong dự toán</t>
  </si>
  <si>
    <t>Lifting ring welded-on(20T)</t>
  </si>
  <si>
    <t>KIM KHÍ HÀ NÔI/ Hủy</t>
  </si>
  <si>
    <t>Báo giá ngày 6/11/2025</t>
  </si>
  <si>
    <t>Báo giá ngày 11/9/2025</t>
  </si>
  <si>
    <t>Vật tư phục vụ sản xuất 090</t>
  </si>
  <si>
    <t>Hạt Garmet 30/60</t>
  </si>
  <si>
    <t>Nguyên Hanh</t>
  </si>
  <si>
    <t>Nguyên hanh</t>
  </si>
  <si>
    <t>Ghi Chú: Vật tư phục vụ sản xuất, PTM tiến hành mua hàng ngay để đảm bảo tiến độ</t>
  </si>
  <si>
    <t>Cung cấp vật tư phục vụ dự án 090</t>
  </si>
  <si>
    <t>VPCI-386 (19L/Thùng)</t>
  </si>
  <si>
    <t>Trọng lượng
(Lít)</t>
  </si>
  <si>
    <t>Đóng gói</t>
  </si>
  <si>
    <t>19L/Thùng</t>
  </si>
  <si>
    <t>Số thùng</t>
  </si>
  <si>
    <t>Phúc Châu</t>
  </si>
  <si>
    <t>Current Ordered/Dự trù lần 28
(Ngày 20/11/2025)</t>
  </si>
  <si>
    <t>Rev28-BRADEN-Chỉnh lại số liệu sau khi BE rev bản vẽ và mua cho 5 units. Ghi rõ lại cột profile.</t>
  </si>
  <si>
    <t>Rev28-BRADEN-điều chỉnh không đặt hàng cho block13164</t>
  </si>
  <si>
    <t>Rev28-Braden-được chuyển sang loại 20T. Cái mà hình dáng giống loại 5.3T, 10T mà IBS đã đặt mua, ở đây chỉ khác là mua loại tải trọng 20T</t>
  </si>
  <si>
    <t>I90-A130</t>
  </si>
  <si>
    <t>Rev28-BRADEN-bổ sung. Quy cách mua theo bản vẽ "I90-Grating-Type H30mm-13164 (3units)"</t>
  </si>
  <si>
    <t>90.21/HĐKT-2025/IBS-VSAN</t>
  </si>
  <si>
    <t>90.16/HĐKT-2025/IBS-VSAN</t>
  </si>
  <si>
    <t>02/HĐMB-2025/IBS-HI</t>
  </si>
  <si>
    <t>Dùng hàng tồn của dự án khác</t>
  </si>
  <si>
    <t>M01M-011437 Máy hàn bán tự động MIG500 N388- Jassic (TP5)
Bảo hành: 18 tháng
(Phụ kiện theo máy bao gồm: Cấp dây 15M cáp 50, súng QTB-500 3M, đồng hồ 36V)</t>
  </si>
  <si>
    <t>Đơn giá chưa VAT (VND)</t>
  </si>
  <si>
    <t>WELDCOM</t>
  </si>
  <si>
    <t>C.Ty C.Phần Công Nghiệp WELDCOM</t>
  </si>
  <si>
    <t>Số lượng (PSC)</t>
  </si>
  <si>
    <t>Ghi Chú: PTM tiến hành ngay công tác mua hàng</t>
  </si>
  <si>
    <t>PROJECT No/ Dự án: Phục Vụ Sản Xuất</t>
  </si>
  <si>
    <t>Cung cấp máy hàn</t>
  </si>
  <si>
    <t>Thành Tiền
( có VAT 8%)</t>
  </si>
  <si>
    <t>Chủng loại</t>
  </si>
  <si>
    <t>Bản vẽ</t>
  </si>
  <si>
    <t>Length</t>
  </si>
  <si>
    <t>Width</t>
  </si>
  <si>
    <t>Thickness</t>
  </si>
  <si>
    <t xml:space="preserve">Số lượng </t>
  </si>
  <si>
    <t>Tấm sàn grating ô 38*38*30mm</t>
  </si>
  <si>
    <t>13105R-R001-Z301-000</t>
  </si>
  <si>
    <t>Tấm</t>
  </si>
  <si>
    <t>13105R-R001-Z302-000</t>
  </si>
  <si>
    <t>13105R-R001-Z305-000</t>
  </si>
  <si>
    <t>13105R-R001-Z306-000</t>
  </si>
  <si>
    <t>13105R-R001-Z307-000</t>
  </si>
  <si>
    <t>GRP-Grating-thk 30mm</t>
  </si>
  <si>
    <t>13164R-R001-Z301-000</t>
  </si>
  <si>
    <t>13164R-R001-Z302-000</t>
  </si>
  <si>
    <t>13164R-R001-Z303-000</t>
  </si>
  <si>
    <t>13164R-R001-Z304-000</t>
  </si>
  <si>
    <t>13164R-R001-Z305-000</t>
  </si>
  <si>
    <t>GRP-Grating-thk 50mm</t>
  </si>
  <si>
    <t>13105R-R001-S116-005A</t>
  </si>
  <si>
    <t>13105R-R001-S117-005A</t>
  </si>
  <si>
    <t>13164R-R001-S108-000</t>
  </si>
  <si>
    <t>13164R-R001-S109-000</t>
  </si>
  <si>
    <t>13164R-R001-S110-000</t>
  </si>
  <si>
    <t>13164R-R001-S112-000</t>
  </si>
  <si>
    <t>13164R-R001-S116-000</t>
  </si>
  <si>
    <t>13164R-R001-S118-000</t>
  </si>
  <si>
    <t>13164R-R001-S118-001</t>
  </si>
  <si>
    <t>13164R-R001-S118-002</t>
  </si>
  <si>
    <t>642,5</t>
  </si>
  <si>
    <t>13164R-R001-S118-003</t>
  </si>
  <si>
    <t>13164R-R001-S119-000</t>
  </si>
  <si>
    <t>13164R-R001-S120-000</t>
  </si>
  <si>
    <t>13164R-R001-S120-005</t>
  </si>
  <si>
    <t>13164R-R001-S127-001</t>
  </si>
  <si>
    <t>13164R-R001-S118-004</t>
  </si>
  <si>
    <t>13164R-R001-S127-000</t>
  </si>
  <si>
    <t>13164R-R001-S127-002</t>
  </si>
  <si>
    <t>13164R-R001-S127-003</t>
  </si>
  <si>
    <t>13164R-R001-S128-000</t>
  </si>
  <si>
    <t>13164R-R001-S128-002</t>
  </si>
  <si>
    <t>13164R-R001-S131-000</t>
  </si>
  <si>
    <t>13164R-R001-S131-002</t>
  </si>
  <si>
    <t>13164R-R001-S132-000</t>
  </si>
  <si>
    <t>CÔNG TY CỔ PHẦN ĐẠI PHÁT COMPOSITE</t>
  </si>
  <si>
    <t>Cung cấp vật tư GRATING dự án 090</t>
  </si>
  <si>
    <t>Đại Phát</t>
  </si>
  <si>
    <t>Ghi Chú: PTM tiến hành mua hàng để đảm bảo tiến độ</t>
  </si>
  <si>
    <t>13105R-R001-Z302-000
Đã giao</t>
  </si>
  <si>
    <t>I90-Grating-Type H30mm-13164 (3units)-Rev00</t>
  </si>
  <si>
    <t>I090-Grating partlist-H50mm-U3</t>
  </si>
  <si>
    <t>I090-Grating partlist-H50mm-U4</t>
  </si>
  <si>
    <t>I090-Grating partlist-H50mm-U5</t>
  </si>
  <si>
    <t>I90-Grating H50mm-BO SUNG (U1+U2)-REV00 
Đã giao</t>
  </si>
  <si>
    <t>Current Ordered/Dự trù lần 29
(Ngày 25/11/2025)</t>
  </si>
  <si>
    <t>I90-A131</t>
  </si>
  <si>
    <t>Spring D2.2</t>
  </si>
  <si>
    <t>I90-C156</t>
  </si>
  <si>
    <t>I90-C157</t>
  </si>
  <si>
    <t>Rev29-BE bổ sung. Kích thước theo bản vẽ "I90-big wood box-U345"</t>
  </si>
  <si>
    <t>Rev29-BE bổ sung. Kích thước theo bản vẽ "I90-small wood box-U345"</t>
  </si>
  <si>
    <t>Current Ordered/Dự trù lần 30
(Ngày 26/11/2025)</t>
  </si>
  <si>
    <t>Thép H244x175x7x11x12000mm (12 cây)</t>
  </si>
  <si>
    <t>Wood 100x100-L2400</t>
  </si>
  <si>
    <t>Wood 100x100-</t>
  </si>
  <si>
    <t>Móc cẩu D-20T</t>
  </si>
  <si>
    <t>Dây chằng hàng vàng 50x1.7m</t>
  </si>
  <si>
    <t>Current Ordered/Dự trù lần 31
(Ngày 04/12/2025)</t>
  </si>
  <si>
    <t>Current Ordered/Dự trù lần 32
(Ngày 05/12/2025)</t>
  </si>
  <si>
    <t>Rev31-IBS-PL5x1500x6000-1tờ cho rev platform</t>
  </si>
  <si>
    <t>Rev31-BE-hủy do BE không đặt hàng, IBS cũng không mua</t>
  </si>
  <si>
    <t>Rev31-IBS-REV</t>
  </si>
  <si>
    <t>Rev31-IBS-Đóng kiện</t>
  </si>
  <si>
    <t>Rev32-IBS-REV. Mua bổ sung 60m về hoàn thiện U3+U4+U5. Phần 12 cây mua bằng I244 sẽ dùng cho U6+U7+U8+U9+U10</t>
  </si>
  <si>
    <t>Thép hình H200x200x6x8x12000</t>
  </si>
  <si>
    <t>PL5x200x6000</t>
  </si>
  <si>
    <t>Số lượng (PR)
(M)</t>
  </si>
  <si>
    <t>Số lượng (mua)
(M)</t>
  </si>
  <si>
    <t>-Giá trí mua đang vượt dự toán</t>
  </si>
  <si>
    <t>Cung cấp vật tư chính và vật tư đóng kiện dự án 090</t>
  </si>
  <si>
    <t>H200x200x6x8x12m =10 cây</t>
  </si>
  <si>
    <t>Thép tấm 5x2000x6000</t>
  </si>
  <si>
    <t>H200x200x6x8x12m =5 cây</t>
  </si>
  <si>
    <t>Lò xo theo bản vẽ, RB3</t>
  </si>
  <si>
    <t>CB 8.8 MDP Bulong LGN ren suốt M16*50</t>
  </si>
  <si>
    <t>8.8MDPBLNS16*50</t>
  </si>
  <si>
    <t>CB 8.8 MDP Bulong LGN ren suốt M16*60</t>
  </si>
  <si>
    <t>8.8MDPBLNS16*60</t>
  </si>
  <si>
    <t>CB 8.8 MDP Bulong LGN ren suốt M16*70</t>
  </si>
  <si>
    <t>8.8MDPBLNS16*70</t>
  </si>
  <si>
    <t>CB 8.8 MDP Bulong LGN ren suốt M16*80</t>
  </si>
  <si>
    <t>8.8MDPBLNS16*80</t>
  </si>
  <si>
    <t>CB 8.8 MDP Bulong LGN ren suốt M16*90</t>
  </si>
  <si>
    <t>8.8MDPBLNS16*90</t>
  </si>
  <si>
    <t>CB 8.8 MDP Bulong LGN ren suốt M20*50</t>
  </si>
  <si>
    <t>8.8MDPBLNS20*50</t>
  </si>
  <si>
    <t>CB 8.8 MDP Bulong LGN ren suốt M20*55</t>
  </si>
  <si>
    <t>8.8MDPBLNS20*55</t>
  </si>
  <si>
    <t>CB 8.8 MDP Bulong LGN ren suốt M20*60</t>
  </si>
  <si>
    <t>8.8MDPBLNS20*60</t>
  </si>
  <si>
    <t>CB 8.8 MDP Bulong LGN ren suốt M20*70</t>
  </si>
  <si>
    <t>8.8MDPBLNS20*70</t>
  </si>
  <si>
    <t>CB 8.8 MDP Bulong LGN ren suốt M24*100</t>
  </si>
  <si>
    <t>8.8MDPBLNS24*100</t>
  </si>
  <si>
    <t>CB 8.8 MDP Bulong LGN ren suốt M24*110</t>
  </si>
  <si>
    <t>8.8MDPBLNS24*110</t>
  </si>
  <si>
    <t>CB 8.8 MDP Bulong LGN ren suốt M24*90</t>
  </si>
  <si>
    <t>8.8MDPBLNS24*90</t>
  </si>
  <si>
    <t>CB 8.8 MDP Bulong LGN ren suốt M30*120</t>
  </si>
  <si>
    <t>8.8MDPBLNS30*120</t>
  </si>
  <si>
    <t>CB 8.8 MDP Ecu M16</t>
  </si>
  <si>
    <t>8.8MDPEC16</t>
  </si>
  <si>
    <t>CB 8.8 MDP Ecu M20</t>
  </si>
  <si>
    <t>8.8MDPEC20</t>
  </si>
  <si>
    <t>CB 8.8 MDP Ecu M24</t>
  </si>
  <si>
    <t>8.8MDPEC24</t>
  </si>
  <si>
    <t>CB 8.8 MDP Long đen phẳng M16</t>
  </si>
  <si>
    <t>8.8MDPLDP16</t>
  </si>
  <si>
    <t>CB 8.8 MDP Bulong LGN ren suốt M12*40</t>
  </si>
  <si>
    <t>8.8MDPBLNS12*40</t>
  </si>
  <si>
    <t>CB 8.8 MDP Bulong LGN ren suốt M16*65</t>
  </si>
  <si>
    <t>8.8MDPBLNS16*65</t>
  </si>
  <si>
    <t>CB 8.8 MDP Bulong LGN ren suốt M20*100</t>
  </si>
  <si>
    <t>8.8MDPBLNS20*100</t>
  </si>
  <si>
    <t>CB 8.8 MDP Bulong LGN ren suốt M20*80</t>
  </si>
  <si>
    <t>8.8MDPBLNS20*80</t>
  </si>
  <si>
    <t>CB 8.8 MDP Bulong LGN ren suốt M20*85</t>
  </si>
  <si>
    <t>8.8MDPBLNS20*85</t>
  </si>
  <si>
    <t>CB 8.8 MDP Bulong LGN ren suốt M24*85</t>
  </si>
  <si>
    <t>8.8MDPBLNS24*85</t>
  </si>
  <si>
    <t>CB 8.8 MDP Bulong LGN ren suốt M30*100</t>
  </si>
  <si>
    <t>8.8MDPBLNS30*100</t>
  </si>
  <si>
    <t>CB 8.8 MDP Bulong LGN ren suốt M36*100</t>
  </si>
  <si>
    <t>8.8MDPBLNS36*100</t>
  </si>
  <si>
    <t>CB 8.8 MDP Ecu M12</t>
  </si>
  <si>
    <t>8.8MDPEC12</t>
  </si>
  <si>
    <t>CB 8.8 MDP Long đen phẳng M20</t>
  </si>
  <si>
    <t>8.8MDPLDP20</t>
  </si>
  <si>
    <t>CB 8.8 MDP Ecu M30</t>
  </si>
  <si>
    <t>8.8MDPEC30</t>
  </si>
  <si>
    <t>CB 8.8 MDP Ecu M36</t>
  </si>
  <si>
    <t>8.8MDPEC36</t>
  </si>
  <si>
    <t>CB 8.8 MDP Long đen phẳng M12</t>
  </si>
  <si>
    <t>8.8MDPLDP12</t>
  </si>
  <si>
    <t>Mạ điện phân Long đen vuông vát M16 Din 434</t>
  </si>
  <si>
    <t>8.8MDPLDVV16DIN434</t>
  </si>
  <si>
    <t>Mạ điện phân Long đen vuông vát M20</t>
  </si>
  <si>
    <t>8.8MDPLDVV20</t>
  </si>
  <si>
    <t>CB 8.8 MDP Long đen phẳng M24</t>
  </si>
  <si>
    <t>8.8MDPLDP24</t>
  </si>
  <si>
    <t>CB 8.8 MDP Long đen phẳng M30</t>
  </si>
  <si>
    <t>8.8MDPLDP30</t>
  </si>
  <si>
    <t>CB 8.8 MDP Long đen vênh M16</t>
  </si>
  <si>
    <t>8.8MDPLDV16</t>
  </si>
  <si>
    <t>CB 8.8 MDP Long đen vênh M20</t>
  </si>
  <si>
    <t>8.8MDPLDV20</t>
  </si>
  <si>
    <t>CB 8.8 MDP Long đen vênh M24</t>
  </si>
  <si>
    <t>8.8MDPLDV24</t>
  </si>
  <si>
    <t>CB 8.8 MDP Long đen vênh M30</t>
  </si>
  <si>
    <t>8.8MDPLDV30</t>
  </si>
  <si>
    <t>CB 8.8 MDP Long đen vênh M36</t>
  </si>
  <si>
    <t>8.8MDPLDV36</t>
  </si>
  <si>
    <t>CB 8.8 Mạ điện phân Long đen vênh M12</t>
  </si>
  <si>
    <t>8.8MDPLDV12</t>
  </si>
  <si>
    <t>CB 8.8 MDP Thanh ren M20*1000</t>
  </si>
  <si>
    <t>8.8MDPTHR20*1000</t>
  </si>
  <si>
    <t>Hộp 1000x800x800</t>
  </si>
  <si>
    <t>Hộp  1000x1250x1200</t>
  </si>
  <si>
    <t>Tấm sàn grating ô 38*38*30mm13105R-R001-Z301-000Length790Width600Thickness30</t>
  </si>
  <si>
    <t>Tấm sàn grating ô 38*38*30mm13105R-R001-Z302-000Length790Width4253030</t>
  </si>
  <si>
    <t>Tấm sàn grating ô 38*38*30mm13105R-R001-Z305-000Length790Width6003030</t>
  </si>
  <si>
    <t>Tấm sàn grating ô 38*38*30mm13105R-R001-Z306-000Length679Width4253030</t>
  </si>
  <si>
    <t>Tấm sàn grating ô 38*38*30mm13105R-R001-Z307-000Length679Width4253030</t>
  </si>
  <si>
    <t>GRP-Grating-thk 30mm13164R-R001-Z301-000Length790Width6003030</t>
  </si>
  <si>
    <t>GRP-Grating-thk 30mm13164R-R001-Z302-000Length790Width4253030</t>
  </si>
  <si>
    <t>GRP-Grating-thk 30mm13164R-R001-Z303-000Length830Width4253030</t>
  </si>
  <si>
    <t>GRP-Grating-thk 30mm13164R-R001-Z304-000Length860Width4253030</t>
  </si>
  <si>
    <t>GRP-Grating-thk 30mm13164R-R001-Z305-000Length790Width6003030</t>
  </si>
  <si>
    <t>GRP-Grating-thk 50mm13105R-R001-S116-005ALength1172Width6103050</t>
  </si>
  <si>
    <t>GRP-Grating-thk 50mm13105R-R001-S117-005ALength568Width6105050</t>
  </si>
  <si>
    <t>GRP-Grating-thk 50mm13164R-R001-S108-000Length1485Width4905050</t>
  </si>
  <si>
    <t>GRP-Grating-thk 50mm13164R-R001-S109-000Length1485Width2995050</t>
  </si>
  <si>
    <t>GRP-Grating-thk 50mm13164R-R001-S110-000Length1485Width2595050</t>
  </si>
  <si>
    <t>GRP-Grating-thk 50mm13164R-R001-S112-000Length1750Width428.55050</t>
  </si>
  <si>
    <t>GRP-Grating-thk 50mm13164R-R001-S116-000Length1290Width6605050</t>
  </si>
  <si>
    <t>GRP-Grating-thk 50mm13164R-R001-S118-000Length1750Width6105050</t>
  </si>
  <si>
    <t>GRP-Grating-thk 50mm13164R-R001-S118-001Length1750Width3965050</t>
  </si>
  <si>
    <t>GRP-Grating-thk 50mm13164R-R001-S118-002Length779Width642,55050</t>
  </si>
  <si>
    <t>GRP-Grating-thk 50mm13164R-R001-S118-003Length961Width6435050</t>
  </si>
  <si>
    <t>GRP-Grating-thk 50mm13164R-R001-S119-000Length1243Width3055050</t>
  </si>
  <si>
    <t>GRP-Grating-thk 50mm13164R-R001-S120-000Length850Width738.55050</t>
  </si>
  <si>
    <t>GRP-Grating-thk 50mm13164R-R001-S120-005Length850Width738.55050</t>
  </si>
  <si>
    <t>GRP-Grating-thk 50mm13164R-R001-S127-001Length1610Width6005050</t>
  </si>
  <si>
    <t>GRP-Grating-thk 50mm13164R-R001-S118-004Length1750Width5655050</t>
  </si>
  <si>
    <t>GRP-Grating-thk 50mm13164R-R001-S127-000Length2695Width12205050</t>
  </si>
  <si>
    <t>GRP-Grating-thk 50mm13164R-R001-S127-002Length600Width5015050</t>
  </si>
  <si>
    <t>GRP-Grating-thk 50mm13164R-R001-S127-003Length1109Width6005050</t>
  </si>
  <si>
    <t>GRP-Grating-thk 50mm13164R-R001-S128-000Length1750Width5175050</t>
  </si>
  <si>
    <t>GRP-Grating-thk 50mm13164R-R001-S128-002Length1750Width6535050</t>
  </si>
  <si>
    <t>GRP-Grating-thk 50mm13164R-R001-S131-000Length1290Width6105050</t>
  </si>
  <si>
    <t>GRP-Grating-thk 50mm13164R-R001-S131-002Length610Width4505050</t>
  </si>
  <si>
    <t>GRP-Grating-thk 50mm13164R-R001-S132-000Length660Width4505050</t>
  </si>
  <si>
    <t>24.112025/HĐMB/ IBS-ĐP</t>
  </si>
  <si>
    <t>ĐẠI PHÁT</t>
  </si>
  <si>
    <t>Tên dự án/ Project no.:25-SHI-I-084</t>
  </si>
  <si>
    <t>Current Ordered/Dự trù lần 1
(Ngày29/7/2025)</t>
  </si>
  <si>
    <t xml:space="preserve">Current Ordered/Dự trù lần 2
(Ngày 16/8/2025  </t>
  </si>
  <si>
    <t>Current Ordered/Dự trù lần 3
(Ngày  8/11/2025)</t>
  </si>
  <si>
    <t>Current Ordered/Dự trù nagyf 15/11/2025</t>
  </si>
  <si>
    <t>Current Ordered/Dự trù lần 4
(Ngày  10/12/2025)</t>
  </si>
  <si>
    <t>Tổng tiền
(VNĐ)</t>
  </si>
  <si>
    <t>RESIST 86,GREY</t>
  </si>
  <si>
    <t>Lít</t>
  </si>
  <si>
    <t>26/08/2025 và 20/9/2025 và 3/10/2025 và 31/10/2025 và 8/11/2025 và 22/11/2025 và 22/11/2025</t>
  </si>
  <si>
    <t>A241/IBS HI-PHUCCHAU</t>
  </si>
  <si>
    <t>Thinner No. 25</t>
  </si>
  <si>
    <t>26/08/2025 và 20/9/2025 và 3/10/2025 và 31/10/2025</t>
  </si>
  <si>
    <t>Solvalitt,GREY (Ral 7035)</t>
  </si>
  <si>
    <t>26/08/2025 và 20/9/2025 và 25/10/2025 và 8/11/2025 và 22/11/2025</t>
  </si>
  <si>
    <t>Thinner No. 10</t>
  </si>
  <si>
    <t>26/08/2025 và 3/9/2025 và 25/10/2025 (Thinner 7)</t>
  </si>
  <si>
    <t>MukiZ Series</t>
  </si>
  <si>
    <t>Barrier80</t>
  </si>
  <si>
    <t>26/08/2025 và 3/9/2025</t>
  </si>
  <si>
    <t>Thinner No. 17</t>
  </si>
  <si>
    <t>26/08/2025 và 3/9/2025 và 11/11/2025</t>
  </si>
  <si>
    <t>Penguard Express</t>
  </si>
  <si>
    <t>HardtopXP,Grey (Ral 7035)</t>
  </si>
  <si>
    <t>26/08/2025 và 20/9/2025</t>
  </si>
  <si>
    <t>Penguard Primer</t>
  </si>
  <si>
    <t>Sơn Vàng không chì</t>
  </si>
  <si>
    <t>26/08/2025 và 3/10/2025 và 11/11/2025</t>
  </si>
  <si>
    <t>Dung môi</t>
  </si>
  <si>
    <t>26/8/2025 và 03/09/2025</t>
  </si>
  <si>
    <t>Hạt mài Garnet (Chưa có PR)</t>
  </si>
  <si>
    <t>tấn</t>
  </si>
  <si>
    <t>HardtopXP, (Ral 1018)</t>
  </si>
  <si>
    <t>A241/IBS HI-PHUCCHAU - Phụ lục 2</t>
  </si>
  <si>
    <t>Vpcl 385</t>
  </si>
  <si>
    <t>Current Ordered/Dự trù lần 1
(Ngà 2/6/2025  )</t>
  </si>
  <si>
    <t>Current Ordered/Dự trù lần 2
(Ngày 11/8/2025 )</t>
  </si>
  <si>
    <t>Current Ordered/Dự trù lần 3
(Ngày 19/8/2025</t>
  </si>
  <si>
    <t>Current Ordered/Dự trù lần 3
(Ngày6/9/2025</t>
  </si>
  <si>
    <t>Current Ordered/Dự trù lần 4
(Ngày 25/9/2025</t>
  </si>
  <si>
    <t>Current Ordered/Dự trù lần 5
(Ngày 26/9/2025</t>
  </si>
  <si>
    <t>Current Ordered/Dự trù lần 6
(Ngày 4/10/2025</t>
  </si>
  <si>
    <t>Dây hàn
 E71T-1C( AWS A5.20) F1~1.2</t>
  </si>
  <si>
    <t>Hyundai/Lincoln</t>
  </si>
  <si>
    <t>17/05/2025, 27/5/20525</t>
  </si>
  <si>
    <t>Po/2025-05-16-0001</t>
  </si>
  <si>
    <t>Hai Tốt</t>
  </si>
  <si>
    <t>COLC71CE21-1: Dây hàn lõi thuốc / Flux Wire
Trade name: Lincoln 71C 
(AWS A5.20 E71T-1C)
Dia: 1.2mm x 15kg/cuộn</t>
  </si>
  <si>
    <t>Dây hàn
E308LT1-1 (AWS A5.22) F1~1.2</t>
  </si>
  <si>
    <t>HĐKT số. 02042025/HĐKT/IBSHI-TMV</t>
  </si>
  <si>
    <t>Thương mại Việt</t>
  </si>
  <si>
    <t>Dây hàn SW-309L Cored</t>
  </si>
  <si>
    <t>Dây hàn
E309LT1-1 (AWS A5.22) F1~1.2</t>
  </si>
  <si>
    <t>Dây hàn SW-308L Cored</t>
  </si>
  <si>
    <t>Dây hàn
E347T1-1/4 (AWS A5.22) F1~1.2</t>
  </si>
  <si>
    <t>HĐKT số. 03042025/HĐKT/IBSHI-NG</t>
  </si>
  <si>
    <t>Nguyễn Gia</t>
  </si>
  <si>
    <t>Que hàn Tig
ER308L (AWS A5.9) F2~2.4</t>
  </si>
  <si>
    <t>Que hàn SMT-308L</t>
  </si>
  <si>
    <t>Que hàn Tig
ER309L (AWS A5.9) F2~2.4</t>
  </si>
  <si>
    <t>Que hàn SMT-309L</t>
  </si>
  <si>
    <t>Que hàn
E7018A1 (AWS A5.5) F3.2 (Que CM78)</t>
  </si>
  <si>
    <t>Que hàn T-347 2.4mm</t>
  </si>
  <si>
    <t>Que hàn KT421 (J), D3.2</t>
  </si>
  <si>
    <t>Que hàn J-421 3.2mm</t>
  </si>
  <si>
    <t>Que hàn Tig Inox Kiswwel T-347T ER (AWS A5.9) F2-2.4</t>
  </si>
  <si>
    <t>Về ngày 21/8/2025 và 12/9/2025</t>
  </si>
  <si>
    <t>Que CM78 (chưa có PR)</t>
  </si>
  <si>
    <t>Về ngày 12/9/2025</t>
  </si>
  <si>
    <t>Dây hàn lõi thuôc SC81B2 F1.2mm (chưa có PR)</t>
  </si>
  <si>
    <t>Về ngày 20/9/2025 và 22/9/2025</t>
  </si>
  <si>
    <t>Thương Mại Việt</t>
  </si>
  <si>
    <t>Dây hàn Mig SM -80G F1.2mm</t>
  </si>
  <si>
    <t>Hyundai</t>
  </si>
  <si>
    <t>Về ngày 20/9/2025</t>
  </si>
  <si>
    <t>Que hàn Tig T-80SB2 F2.4mm</t>
  </si>
  <si>
    <t>lấy giữ liệu của kho xuất cho chính xác</t>
  </si>
  <si>
    <t>I90-C158</t>
  </si>
  <si>
    <t>cáp thép</t>
  </si>
  <si>
    <t>Cáp thép bọc bỏ nhựa D14</t>
  </si>
  <si>
    <t>steel</t>
  </si>
  <si>
    <t>I90-C159</t>
  </si>
  <si>
    <t>cóc cáp</t>
  </si>
  <si>
    <t>Cóc cáp 14mm mạ hợp kim</t>
  </si>
  <si>
    <t>steel-mạ</t>
  </si>
  <si>
    <t>I90-C160</t>
  </si>
  <si>
    <t>tăng đơ</t>
  </si>
  <si>
    <t>Tăng 16 mạ TQ-loại to 1 móc 1 tròn</t>
  </si>
  <si>
    <t>I90-C161</t>
  </si>
  <si>
    <t>củ tăng bạt</t>
  </si>
  <si>
    <t>củ và mỏ tăng bạt 5cm loại dầy</t>
  </si>
  <si>
    <t>Current Ordered/Dự trù lần 33
(Ngày 12/12/2025)</t>
  </si>
  <si>
    <t>Rev33-IBS-bổ sung cho làm hàng cont</t>
  </si>
  <si>
    <t>Dùng hàng tồn của dự án 079</t>
  </si>
  <si>
    <t>I90-A132</t>
  </si>
  <si>
    <t>chốt chẻ</t>
  </si>
  <si>
    <t xml:space="preserve"> chốt chẻ D5x40-ISO 1234</t>
  </si>
  <si>
    <t>Steel-hot dip gal'v or SUS304</t>
  </si>
  <si>
    <t>I90-A133</t>
  </si>
  <si>
    <t xml:space="preserve"> chốt chẻ D8x90-ISO 1234</t>
  </si>
  <si>
    <t>Current Ordered/Dự trù lần 34
(Ngày 17/12/2025)</t>
  </si>
  <si>
    <t>Rev34-IBS</t>
  </si>
  <si>
    <t>Hoàng Hà đã về</t>
  </si>
  <si>
    <t>MR Phong</t>
  </si>
  <si>
    <t>Ngày 17/12/2025</t>
  </si>
  <si>
    <t>Current Ordered/Dự trù lần 35
(Ngày 17/12/2025)</t>
  </si>
  <si>
    <t>Rev35-Braden bổ sung mới</t>
  </si>
  <si>
    <t>Quang Thịnh Phát</t>
  </si>
  <si>
    <t>Thép hộp đen 40 x 40 x 3,0 x 6.000 mm</t>
  </si>
  <si>
    <t>Số lượng mua (M)</t>
  </si>
  <si>
    <t>QUANG THỊNH PHÁT</t>
  </si>
  <si>
    <t>Số lượng PR (M)</t>
  </si>
  <si>
    <t>Cung cấp vật tư hộp A36/SS400</t>
  </si>
  <si>
    <t>Current Ordered/Dự trù lần 36
(Ngày 24/12/2025)</t>
  </si>
  <si>
    <t>I90-C162</t>
  </si>
  <si>
    <t>giấy ép plastic A4</t>
  </si>
  <si>
    <t>plastic</t>
  </si>
  <si>
    <t>I90-C163</t>
  </si>
  <si>
    <t>giấy ép plastic A3</t>
  </si>
  <si>
    <t>Rev36-IBS</t>
  </si>
  <si>
    <t>04/HDMB-2025/IBSHI-HH</t>
  </si>
  <si>
    <t xml:space="preserve">2312-01 2025/QTP-IBS </t>
  </si>
  <si>
    <t>SHS 40x40x3-L6000 =98 cây A36</t>
  </si>
  <si>
    <t>Dây chằng hàng</t>
  </si>
  <si>
    <t>D50</t>
  </si>
  <si>
    <t>Vải</t>
  </si>
  <si>
    <t>Khóa dây chằng hàng</t>
  </si>
  <si>
    <t>Thép mạ</t>
  </si>
  <si>
    <t>cái</t>
  </si>
  <si>
    <t>met</t>
  </si>
  <si>
    <t>Current Ordered/Dự trù lần 37
(Ngày 30/1/2026)</t>
  </si>
  <si>
    <t>Phong đặt VSAN</t>
  </si>
  <si>
    <t>Huy Hoàng Minh</t>
  </si>
  <si>
    <t>Phong đã mua</t>
  </si>
  <si>
    <t>I90-B132</t>
  </si>
  <si>
    <t>I90-B133</t>
  </si>
  <si>
    <t>I90-B134</t>
  </si>
  <si>
    <t>Bolt-M6x25-DIN7500-St-Galv</t>
  </si>
  <si>
    <t>Current Ordered/Dự trù lần 38
(Ngày 25/2/2026)</t>
  </si>
  <si>
    <t>Rev38-IBS. Xem bản vẽ "I90-Spring-D2.2"</t>
  </si>
  <si>
    <t>Rev38-IBS</t>
  </si>
  <si>
    <t>Rev37-BRADEN</t>
  </si>
  <si>
    <t>Rev37-IBS-Đóng kiện</t>
  </si>
  <si>
    <t>Rev37-Đóng kiện</t>
  </si>
  <si>
    <t>Báo giá ngày 23/2/2026</t>
  </si>
  <si>
    <t xml:space="preserve"> BẢNG CHI PHÍ VẬT LIỆU CHÍNH &amp; VẬT LIỆU PHỤ / MATERIAL COST</t>
  </si>
  <si>
    <t>CÔNG TRÌNH/ Project: GIA CÔNG CHẾ TẠO KẾT CẤU THÉP, ỐNG DUCT VÀ PHỤ KIỆN/ Fabrication 10 Diverter</t>
  </si>
  <si>
    <t>HẠNG MỤC: Inlet duct, Diverter, Guillotine, Blanking Plate, EJs and accesses</t>
  </si>
  <si>
    <t>Phiên bản/ Rev.: 02</t>
  </si>
  <si>
    <t>Ngày/ Date: 16/06/2025</t>
  </si>
  <si>
    <t>Chi tiết vật liệu/ Material list</t>
  </si>
  <si>
    <t>Mã vật tư/ Grade</t>
  </si>
  <si>
    <t>ĐVT/ Unit</t>
  </si>
  <si>
    <t>Số lượng
(Set/m2mm/PSC)</t>
  </si>
  <si>
    <t xml:space="preserve"> Khối
lượng/ Q'ty</t>
  </si>
  <si>
    <t>Khối lượng tồn tận dùng chưa tính tiền</t>
  </si>
  <si>
    <t>Khối lượng thực tế đang mua sắm/ Actual Q'ty</t>
  </si>
  <si>
    <t xml:space="preserve"> Đơn giá (VNĐ)
( Chưa VAT)/ Unit price</t>
  </si>
  <si>
    <t xml:space="preserve"> Thành tiền/ Total Amount chưa tính hàng tồn
(VNĐ)</t>
  </si>
  <si>
    <t>Tổng tiền chưa VAT + Giá CIF
(VNĐ)</t>
  </si>
  <si>
    <t>CHI PHÍ VẬT LIỆU CHÍNH/ MAIN MATERIAL</t>
  </si>
  <si>
    <t>Kg</t>
  </si>
  <si>
    <t>PL6x1500x12000</t>
  </si>
  <si>
    <t>PL10x1500x12000</t>
  </si>
  <si>
    <t>PL12x1500x12000</t>
  </si>
  <si>
    <t>PL45x2000x4500</t>
  </si>
  <si>
    <t>PL50x2000x4600</t>
  </si>
  <si>
    <t>Tổ hợp</t>
  </si>
  <si>
    <t>Chị Khánh</t>
  </si>
  <si>
    <t>Sub-Total</t>
  </si>
  <si>
    <t>Thu hồi sắt vụn</t>
  </si>
  <si>
    <t>Thép hình thường</t>
  </si>
  <si>
    <t>CHI PHÍ VẬT LIỆU PHỤ/ CONSUMABLE MATERIAL</t>
  </si>
  <si>
    <t>TẠM TÍNH</t>
  </si>
  <si>
    <t>Thép hình đặc biệt</t>
  </si>
  <si>
    <t>a/</t>
  </si>
  <si>
    <t>Phần vật tư hàn</t>
  </si>
  <si>
    <t>Phần chưa có bản vẽ</t>
  </si>
  <si>
    <t>Dây hàn lõi thuốc E71T-1C Ø1.2mm</t>
  </si>
  <si>
    <t>kg/tấn</t>
  </si>
  <si>
    <t>Thép đen</t>
  </si>
  <si>
    <t>Dây hàn HYUNDAI Supercored71H 1.2mm</t>
  </si>
  <si>
    <t>Que hàn E309L 3.2 mm</t>
  </si>
  <si>
    <t>Trắng Inox 304</t>
  </si>
  <si>
    <t>Dây hàn E309L 1.2 mm</t>
  </si>
  <si>
    <t>Que hàn Kim tiến 2.4mm</t>
  </si>
  <si>
    <t>Que hàn TIG AWS A5.9 ER409 CB or AWS A5.9 ER409 NB 1.6mm</t>
  </si>
  <si>
    <t>Que hàn GMAW AWS A5.9 ER409 CB or  AWS A5.9 ER409 NB 0.9mm</t>
  </si>
  <si>
    <t>b/</t>
  </si>
  <si>
    <t>Phần vật tư hao phí khác</t>
  </si>
  <si>
    <t>Ô xy</t>
  </si>
  <si>
    <t>chai (25kg)</t>
  </si>
  <si>
    <t>Gas</t>
  </si>
  <si>
    <t>2kg/1 chai Oxy</t>
  </si>
  <si>
    <t>CO2</t>
  </si>
  <si>
    <t>15kg dây/1 chai</t>
  </si>
  <si>
    <t>Khí argon</t>
  </si>
  <si>
    <t xml:space="preserve">chai </t>
  </si>
  <si>
    <t xml:space="preserve"> tấn inox</t>
  </si>
  <si>
    <t xml:space="preserve">Đá mài các loại </t>
  </si>
  <si>
    <t xml:space="preserve">viên </t>
  </si>
  <si>
    <t>Đá mài ngón các loại</t>
  </si>
  <si>
    <t xml:space="preserve">Đá cắt các loại </t>
  </si>
  <si>
    <t>Đá cắt các loại inox</t>
  </si>
  <si>
    <t xml:space="preserve">Đá mài ngón hợp kim </t>
  </si>
  <si>
    <t>viên</t>
  </si>
  <si>
    <t>Đá giáp xếp</t>
  </si>
  <si>
    <t xml:space="preserve">Thuốc thẩm </t>
  </si>
  <si>
    <t>lọ</t>
  </si>
  <si>
    <t xml:space="preserve">Thuốc rửa </t>
  </si>
  <si>
    <t xml:space="preserve">Thuốc hiện </t>
  </si>
  <si>
    <t>Que gouse Ф6</t>
  </si>
  <si>
    <t>que</t>
  </si>
  <si>
    <t>Đá mài thép trắng 100</t>
  </si>
  <si>
    <t>Đá mài thép trắng 150</t>
  </si>
  <si>
    <t>Đá ráp xếp trắng 150</t>
  </si>
  <si>
    <t>Bát doa inox</t>
  </si>
  <si>
    <t>Nỉ đánh bóng inox D100</t>
  </si>
  <si>
    <t>Chất làm sạch bề mặt kim loại Etch Klenz</t>
  </si>
  <si>
    <t>lit</t>
  </si>
  <si>
    <t>Chất tẩy mối hàn inox-CT121</t>
  </si>
  <si>
    <t>Mũi khoan từ hợp kim / Manegtic drill bit</t>
  </si>
  <si>
    <t>Dầu cắt gọt EML-30 (thùng 20 L) / Cutting oil</t>
  </si>
  <si>
    <t>Dụng cụ &amp; vật tư phục vụ cưa, gia công cơ khí các loại</t>
  </si>
  <si>
    <t>bộ</t>
  </si>
  <si>
    <t>Mũi khoan thường các loại</t>
  </si>
  <si>
    <t>Mũi khoan inox các loại</t>
  </si>
  <si>
    <t>Mũi taro các loại</t>
  </si>
  <si>
    <t>Sứ lót các loại 6, 8mm</t>
  </si>
  <si>
    <t>Bép cắt laser</t>
  </si>
  <si>
    <t>20 tấn/cái</t>
  </si>
  <si>
    <t>Bép đèn cắt số 0</t>
  </si>
  <si>
    <t>Bép đèn cắt số 1</t>
  </si>
  <si>
    <t>Bép đèn cắt tay số 2</t>
  </si>
  <si>
    <t>Bép cắt plastma các loại</t>
  </si>
  <si>
    <t>10 tấn/cái</t>
  </si>
  <si>
    <t>Bép cắt Inox các loại</t>
  </si>
  <si>
    <t>Bút xóa ghi số và lấy dấu</t>
  </si>
  <si>
    <t>1 tấn/cái</t>
  </si>
  <si>
    <t>Bép đèn hỏa công</t>
  </si>
  <si>
    <t>50 tấn/cái</t>
  </si>
  <si>
    <t>Bép hàn mig 1,2 mm</t>
  </si>
  <si>
    <t>50kg dây hàn/cái</t>
  </si>
  <si>
    <t>Kính hàn đen số 8</t>
  </si>
  <si>
    <t>100kg dây/cái</t>
  </si>
  <si>
    <t xml:space="preserve">Kính hàn trắng </t>
  </si>
  <si>
    <t>50kg dây/cái</t>
  </si>
  <si>
    <t>Đầu chụp mỏ hàn mig</t>
  </si>
  <si>
    <t>150kg dây/cái</t>
  </si>
  <si>
    <t>Khớp nối cách điện mỏ hàn mig</t>
  </si>
  <si>
    <t>Nối bép hàn mig</t>
  </si>
  <si>
    <t>300kg dây/cái</t>
  </si>
  <si>
    <t>20kg 1 cuộn 1 bép</t>
  </si>
  <si>
    <t>Điện cực các loại</t>
  </si>
  <si>
    <t>Điện cực inox các loại</t>
  </si>
  <si>
    <t>Dây ruột gà mỏ hàn mig</t>
  </si>
  <si>
    <t>500kg dây/cái</t>
  </si>
  <si>
    <t>Các loại vật tư khác</t>
  </si>
  <si>
    <t>CHI PHÍ VẬT TƯ LÀM SẠCH, SƠN/ PAINTING MATERIAL</t>
  </si>
  <si>
    <t>m2 Sơn</t>
  </si>
  <si>
    <t>Phần vật tư sơn</t>
  </si>
  <si>
    <t>Tạm tính</t>
  </si>
  <si>
    <t xml:space="preserve">Sigmarine 28 </t>
  </si>
  <si>
    <t>Reddish brown
RAL 8012</t>
  </si>
  <si>
    <t xml:space="preserve">Sigmaprime 200 </t>
  </si>
  <si>
    <t>Grey</t>
  </si>
  <si>
    <t xml:space="preserve">Sigmadur 550 </t>
  </si>
  <si>
    <t>Window Grey
RAL 7040</t>
  </si>
  <si>
    <t>Sigmazinc 158</t>
  </si>
  <si>
    <t>Sigmatherm 540</t>
  </si>
  <si>
    <t xml:space="preserve">White aluminium RAL 9006 </t>
  </si>
  <si>
    <t>Thinner 21-06</t>
  </si>
  <si>
    <t>Thinner 91-92</t>
  </si>
  <si>
    <t>Thinner 90-53</t>
  </si>
  <si>
    <t>Jotun Pilot II</t>
  </si>
  <si>
    <t>Ral 1003</t>
  </si>
  <si>
    <t>Jotun Thinner No. 2</t>
  </si>
  <si>
    <t>Butyl</t>
  </si>
  <si>
    <t>m2 làm sạch</t>
  </si>
  <si>
    <t xml:space="preserve">Bép phun hạt mài số-7 </t>
  </si>
  <si>
    <t xml:space="preserve">Áo bắn hạt mài </t>
  </si>
  <si>
    <t xml:space="preserve">bộ </t>
  </si>
  <si>
    <t>Găng tay phun hạt mài</t>
  </si>
  <si>
    <t>Súng sơn</t>
  </si>
  <si>
    <t xml:space="preserve">Bép sơn </t>
  </si>
  <si>
    <t>Mặt nạ phòng độc thợ sơn</t>
  </si>
  <si>
    <t>Ống phun sơn cao áp</t>
  </si>
  <si>
    <t>Coil</t>
  </si>
  <si>
    <t xml:space="preserve">Ty súng phun sơn </t>
  </si>
  <si>
    <t>Đèn pin đội đầu/ headlamp</t>
  </si>
  <si>
    <t>Phin lọc 3M/6001</t>
  </si>
  <si>
    <t>Brush discs (Bát doa)</t>
  </si>
  <si>
    <t>20m2/cai</t>
  </si>
  <si>
    <t>Flap discs (Đá ráp xếp)</t>
  </si>
  <si>
    <t>Painting brush (chổi sơn)</t>
  </si>
  <si>
    <t>40m2/cai</t>
  </si>
  <si>
    <t>Painting roller (Con lăn )</t>
  </si>
  <si>
    <t>Sanding belts (Giấy ráp)</t>
  </si>
  <si>
    <t>Swab (giẻ lau)</t>
  </si>
  <si>
    <t>Băng dính giấy, băng dính ni lông</t>
  </si>
  <si>
    <t xml:space="preserve"> cuộn</t>
  </si>
  <si>
    <t>Kính bắn cát</t>
  </si>
  <si>
    <t>Bóng đèn đàu vòi bắn H3- 24v- 100W</t>
  </si>
  <si>
    <t>Vật tư khác &amp; phục vụ bảo ôn</t>
  </si>
  <si>
    <t>CHI PHÍ VẬT TƯ ĐÓNG KIỆN, BIỆN PHÁP &amp; GIAO HÀNG/ PACKING MATERIAL</t>
  </si>
  <si>
    <t>Phần VT chính đóng kiện</t>
  </si>
  <si>
    <t>VẬT TƯ THÉP CHẾ TẠO KHUNG KIỆN DỰ KIẾN</t>
  </si>
  <si>
    <t>VẬT TƯ PHỤ KIỆN ĐÓNG KIỆN GIAO HÀNG</t>
  </si>
  <si>
    <t>BỘ</t>
  </si>
  <si>
    <t xml:space="preserve">Vật tư thép biện pháp </t>
  </si>
  <si>
    <t xml:space="preserve">tận dụng </t>
  </si>
  <si>
    <t>Vật tư bulong biện pháp các loại</t>
  </si>
  <si>
    <t>tận dụng</t>
  </si>
  <si>
    <t>Bọt nhôm/ tấm nhựa dày 5 mm</t>
  </si>
  <si>
    <t xml:space="preserve">Vít tự ren </t>
  </si>
  <si>
    <t>Hộp xịt mạ kẽm</t>
  </si>
  <si>
    <t>Đinh  các loại 5cm &amp; 10cm</t>
  </si>
  <si>
    <t>Thanh ren Ø16</t>
  </si>
  <si>
    <t>Đai ốc+vòng đệm M16</t>
  </si>
  <si>
    <t xml:space="preserve">Bình sơn xịt màu trắng </t>
  </si>
  <si>
    <t>bình</t>
  </si>
  <si>
    <t>Nilong bọc bảo ôn</t>
  </si>
  <si>
    <t>Màng PE nilong</t>
  </si>
  <si>
    <t>cuộn</t>
  </si>
  <si>
    <t>Hộp keo con chó 200ml</t>
  </si>
  <si>
    <t>hộp</t>
  </si>
  <si>
    <t>Găng tay cao su</t>
  </si>
  <si>
    <t>đôi</t>
  </si>
  <si>
    <t>Búi giáp sắt inox</t>
  </si>
  <si>
    <t>Đai thép mạ kẽm PL0,5x30</t>
  </si>
  <si>
    <t>Băng dính trắng 2 mặt rộng 50mm</t>
  </si>
  <si>
    <t>Xà phòng</t>
  </si>
  <si>
    <t>Giẻ lau</t>
  </si>
  <si>
    <t>Vật tư chẳng buộc % các vật tư khác</t>
  </si>
  <si>
    <t>VẬT TƯ THỰC HIỆN QUI TRÌNH/ PROCESS MATERIAL</t>
  </si>
  <si>
    <t>QC</t>
  </si>
  <si>
    <t>Vật tư chế tạo mẫu thử qui trình và thợ hàn</t>
  </si>
  <si>
    <t>mẫu</t>
  </si>
  <si>
    <t>VI</t>
  </si>
  <si>
    <t>VẬT LIỆU KHÁC &amp; DỰ PHÒNG/ OTHER</t>
  </si>
  <si>
    <t xml:space="preserve"> BẢNG CHI PHÍ VẬT LIỆU CHÍNH, VẬT LIỆU PHỤ, CHI PHÍ THẦU PHỤ / MATERIAL AND SUBCONTRACTOR COST</t>
  </si>
  <si>
    <t>Phần việc/ Description</t>
  </si>
  <si>
    <t>Giá trị/ Total Amount
(VNĐ)</t>
  </si>
  <si>
    <t>Tổng chi phí vật liệu chính của Kinh doanh</t>
  </si>
  <si>
    <t>Tổng chi phí đã phát hành danh mục mua sắm Đợt 1</t>
  </si>
  <si>
    <t>Tổng chi phí vật tư còn lại</t>
  </si>
  <si>
    <t>lot</t>
  </si>
  <si>
    <t>CHI PHÍ THẦU PHỤ/ SUBCONTRACTOR COST</t>
  </si>
  <si>
    <t>Subcontractor + Transportation</t>
  </si>
  <si>
    <t>DỰ TOÁN CHI PHÍ VẬT TƯ</t>
  </si>
  <si>
    <t>Mẫu số:  QT30-DT03</t>
  </si>
  <si>
    <t>Tỷ lệ (%)</t>
  </si>
  <si>
    <t>VTC01</t>
  </si>
  <si>
    <t>Thép carbon các loại</t>
  </si>
  <si>
    <t>VTC0101</t>
  </si>
  <si>
    <t>Thép tấm carbon</t>
  </si>
  <si>
    <t>VTC0102</t>
  </si>
  <si>
    <t>Thép hình carbon</t>
  </si>
  <si>
    <t>VTC0103</t>
  </si>
  <si>
    <t>Thép ống carbon</t>
  </si>
  <si>
    <t>VTC0104</t>
  </si>
  <si>
    <t>Thép carbon khác</t>
  </si>
  <si>
    <t>VTC02</t>
  </si>
  <si>
    <t>Thép Hợp kim các loại</t>
  </si>
  <si>
    <t>VTC0201</t>
  </si>
  <si>
    <t>Thép tấm Hợp kim</t>
  </si>
  <si>
    <t>VTC0202</t>
  </si>
  <si>
    <t>Thép hình Hợp kim</t>
  </si>
  <si>
    <t>VTC0203</t>
  </si>
  <si>
    <t>Thép ống Hợp kim</t>
  </si>
  <si>
    <t>VTC0204</t>
  </si>
  <si>
    <t>Thép hợp kim khác</t>
  </si>
  <si>
    <t>VTC03</t>
  </si>
  <si>
    <t>Tấm sàn, grating …</t>
  </si>
  <si>
    <t>VTC04</t>
  </si>
  <si>
    <t>Vât tư bảo ôn</t>
  </si>
  <si>
    <t>VPK</t>
  </si>
  <si>
    <t>Vật tư phụ kiện, bu lông…</t>
  </si>
  <si>
    <t>VPK01</t>
  </si>
  <si>
    <t>Phụ kiện</t>
  </si>
  <si>
    <t>VPK02</t>
  </si>
  <si>
    <t>Phụ kiện khác</t>
  </si>
  <si>
    <t>VDK</t>
  </si>
  <si>
    <t>VDK01</t>
  </si>
  <si>
    <t>VDK02</t>
  </si>
  <si>
    <t>VDK03</t>
  </si>
  <si>
    <t>Vật tư phụ các loại khác</t>
  </si>
  <si>
    <t>D</t>
  </si>
  <si>
    <t>VBP</t>
  </si>
  <si>
    <t>Vật tư làm biện pháp</t>
  </si>
  <si>
    <t>VBP01</t>
  </si>
  <si>
    <t>VBP02</t>
  </si>
  <si>
    <t>Vật tư biện pháp khác</t>
  </si>
  <si>
    <t>E</t>
  </si>
  <si>
    <t>VTH</t>
  </si>
  <si>
    <t>VTH01</t>
  </si>
  <si>
    <t>Vật tư hàn</t>
  </si>
  <si>
    <t>VTH02</t>
  </si>
  <si>
    <t>Khí công nghiệp</t>
  </si>
  <si>
    <t>VTH03</t>
  </si>
  <si>
    <t>Vật tư phụ các loại</t>
  </si>
  <si>
    <t>F</t>
  </si>
  <si>
    <t>VTS</t>
  </si>
  <si>
    <t>Vật tư làm sạch và sơn</t>
  </si>
  <si>
    <t>G</t>
  </si>
  <si>
    <t>VTP</t>
  </si>
  <si>
    <t>Vật tư dự phòng</t>
  </si>
  <si>
    <t>Phòng Thương mại</t>
  </si>
  <si>
    <t>Chưa có</t>
  </si>
  <si>
    <t>Chưa có/ Sản xuất</t>
  </si>
  <si>
    <t>Quá ít</t>
  </si>
  <si>
    <t>Vật tư chính đã có tính</t>
  </si>
  <si>
    <t>Current Ordered/Dự trù lần 39
(Ngày 5/3/2026)</t>
  </si>
  <si>
    <t>Rev39-BRADEN-bổ sung mới</t>
  </si>
  <si>
    <t>Rev39-BRADEN-bổ sung mới. Mục Protections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</si>
</sst>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 #,##0.00_);_(* \(#,##0.00\);_(* &quot;-&quot;??.00_);_(@_)"/>
    <numFmt numFmtId="168" formatCode="_(* #.##0.00_);_(* \(#.##0.00\);_(* &quot;-&quot;??_);_(@_)"/>
    <numFmt numFmtId="169" formatCode="[$-409]d\-mmm;@"/>
    <numFmt numFmtId="170" formatCode="0.000_ "/>
    <numFmt numFmtId="171" formatCode="0_);[Red]\(0\)"/>
    <numFmt numFmtId="172" formatCode="0.00_ "/>
    <numFmt numFmtId="173" formatCode="0.0_ "/>
    <numFmt numFmtId="174" formatCode="0_ "/>
    <numFmt numFmtId="175" formatCode="_-* #,##0.00_-;\-* #,##0.00_-;_-* &quot;-&quot;??_-;_-@_-"/>
    <numFmt numFmtId="176" formatCode="_(* #,##0.0_);_(* \(#,##0.0\);_(* &quot;-&quot;?_);_(@_)"/>
    <numFmt numFmtId="177" formatCode="0.0"/>
    <numFmt numFmtId="178" formatCode="_(&quot;$&quot;* #,##0.000_);_(&quot;$&quot;* \(#,##0.000\);_(&quot;$&quot;* &quot;-&quot;??_);_(@_)"/>
    <numFmt numFmtId="179" formatCode="_-* #,##0\ _₫_-;\-* #,##0\ _₫_-;_-* &quot;-&quot;??\ _₫_-;_-@_-"/>
    <numFmt numFmtId="180" formatCode="0.000"/>
    <numFmt numFmtId="181" formatCode="_-* #,##0_-;\-* #,##0_-;_-* &quot;-&quot;??_-;_-@_-"/>
    <numFmt numFmtId="182" formatCode="_([$VND]\ * #,##0.00_);_([$VND]\ * \(#,##0.00\);_([$VND]\ * &quot;-&quot;??_);_(@_)"/>
    <numFmt numFmtId="183" formatCode="_-* #,##0.00\ _₫_-;\-* #,##0.00\ _₫_-;_-* &quot;-&quot;??\ _₫_-;_-@_-"/>
    <numFmt numFmtId="184" formatCode="_(* #,##0.000_);_(* \(#,##0.000\);_(* &quot;-&quot;??_);_(@_)"/>
  </numFmts>
  <fonts count="192">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0000"/>
      <name val="Times New Roman"/>
      <family val="1"/>
    </font>
    <font>
      <b/>
      <sz val="11"/>
      <color rgb="FFFF0000"/>
      <name val="Times New Roman"/>
      <family val="1"/>
    </font>
    <font>
      <sz val="11"/>
      <color theme="1"/>
      <name val="Times New Roman"/>
      <family val="1"/>
    </font>
    <font>
      <b/>
      <sz val="12"/>
      <color theme="1"/>
      <name val="Times New Roman"/>
      <family val="1"/>
    </font>
    <font>
      <sz val="12"/>
      <color theme="1"/>
      <name val="Times New Roman"/>
      <family val="1"/>
    </font>
    <font>
      <sz val="10"/>
      <color theme="1"/>
      <name val="Times New Roman"/>
      <family val="1"/>
    </font>
    <font>
      <b/>
      <sz val="11"/>
      <color rgb="FF000000"/>
      <name val="Times New Roman"/>
      <family val="1"/>
    </font>
    <font>
      <b/>
      <sz val="10"/>
      <color theme="1"/>
      <name val="Times New Roman"/>
      <family val="1"/>
    </font>
    <font>
      <b/>
      <sz val="12"/>
      <color rgb="FFFF0000"/>
      <name val="Times New Roman"/>
      <family val="1"/>
    </font>
    <font>
      <b/>
      <sz val="13"/>
      <color theme="1"/>
      <name val="Times New Roman"/>
      <family val="1"/>
    </font>
    <font>
      <sz val="12"/>
      <color rgb="FFFF0000"/>
      <name val="Times New Roman"/>
      <family val="1"/>
    </font>
    <font>
      <b/>
      <sz val="12"/>
      <color rgb="FF000000"/>
      <name val="Times New Roman"/>
      <family val="1"/>
    </font>
    <font>
      <sz val="10"/>
      <color rgb="FF000000"/>
      <name val="Calibri"/>
      <family val="2"/>
      <scheme val="minor"/>
    </font>
    <font>
      <sz val="11"/>
      <color theme="1"/>
      <name val="Times New Roman"/>
      <family val="2"/>
    </font>
    <font>
      <sz val="11"/>
      <color indexed="8"/>
      <name val="Times New Roman"/>
      <family val="2"/>
    </font>
    <font>
      <sz val="10"/>
      <name val="Arial"/>
      <family val="2"/>
    </font>
    <font>
      <sz val="10"/>
      <name val="Times New Roman"/>
      <family val="1"/>
    </font>
    <font>
      <sz val="10"/>
      <name val="Helv"/>
      <family val="2"/>
    </font>
    <font>
      <sz val="12"/>
      <name val="宋体"/>
      <charset val="134"/>
    </font>
    <font>
      <sz val="10"/>
      <color rgb="FF000000"/>
      <name val="Calibri"/>
      <family val="2"/>
      <scheme val="minor"/>
    </font>
    <font>
      <sz val="10"/>
      <name val="Arial"/>
      <family val="2"/>
    </font>
    <font>
      <b/>
      <sz val="11"/>
      <name val="Times New Roman"/>
      <family val="1"/>
    </font>
    <font>
      <sz val="8"/>
      <name val="Calibri"/>
      <family val="2"/>
      <scheme val="minor"/>
    </font>
    <font>
      <sz val="12"/>
      <name val="Times New Roman"/>
      <family val="1"/>
    </font>
    <font>
      <sz val="8"/>
      <name val="Arial"/>
      <family val="2"/>
    </font>
    <font>
      <b/>
      <sz val="22"/>
      <name val="Arial"/>
      <family val="2"/>
    </font>
    <font>
      <sz val="8"/>
      <name val="Calibri"/>
      <family val="2"/>
    </font>
    <font>
      <sz val="9"/>
      <name val="Arial"/>
      <family val="2"/>
    </font>
    <font>
      <sz val="12"/>
      <name val="Calibri"/>
      <family val="2"/>
    </font>
    <font>
      <b/>
      <sz val="20"/>
      <name val="Arial"/>
      <family val="2"/>
    </font>
    <font>
      <sz val="11"/>
      <color indexed="8"/>
      <name val="Arial"/>
      <family val="2"/>
    </font>
    <font>
      <sz val="11"/>
      <color indexed="8"/>
      <name val="Calibri"/>
      <family val="2"/>
    </font>
    <font>
      <sz val="9"/>
      <name val="宋体"/>
      <charset val="134"/>
    </font>
    <font>
      <sz val="11"/>
      <name val="Calibri"/>
      <family val="2"/>
    </font>
    <font>
      <sz val="9"/>
      <color theme="1"/>
      <name val="Arial"/>
      <family val="2"/>
    </font>
    <font>
      <sz val="11"/>
      <color theme="1"/>
      <name val="Calibri"/>
      <family val="2"/>
    </font>
    <font>
      <sz val="9"/>
      <color indexed="8"/>
      <name val="Arial"/>
      <family val="2"/>
    </font>
    <font>
      <b/>
      <sz val="8"/>
      <name val="Arial"/>
      <family val="2"/>
    </font>
    <font>
      <sz val="11"/>
      <name val="Arial"/>
      <family val="2"/>
    </font>
    <font>
      <u/>
      <sz val="10"/>
      <color indexed="12"/>
      <name val="Arial"/>
      <family val="2"/>
    </font>
    <font>
      <u/>
      <sz val="11"/>
      <color theme="10"/>
      <name val="Calibri"/>
      <family val="2"/>
    </font>
    <font>
      <sz val="13"/>
      <name val="Times New Roman"/>
      <family val="1"/>
    </font>
    <font>
      <b/>
      <sz val="13"/>
      <name val="Times New Roman"/>
      <family val="1"/>
    </font>
    <font>
      <b/>
      <sz val="13"/>
      <color rgb="FFFF0000"/>
      <name val="Times New Roman"/>
      <family val="1"/>
    </font>
    <font>
      <i/>
      <sz val="13"/>
      <name val="Times New Roman"/>
      <family val="1"/>
    </font>
    <font>
      <sz val="13"/>
      <color rgb="FF000000"/>
      <name val="Times New Roman"/>
      <family val="1"/>
    </font>
    <font>
      <sz val="13"/>
      <color rgb="FF0070C0"/>
      <name val="Times New Roman"/>
      <family val="1"/>
    </font>
    <font>
      <sz val="13"/>
      <color rgb="FFFF0000"/>
      <name val="Times New Roman"/>
      <family val="1"/>
    </font>
    <font>
      <sz val="13"/>
      <color theme="1"/>
      <name val="Times New Roman"/>
      <family val="1"/>
    </font>
    <font>
      <i/>
      <sz val="13"/>
      <color rgb="FFFF0000"/>
      <name val="Times New Roman"/>
      <family val="1"/>
    </font>
    <font>
      <sz val="12"/>
      <color rgb="FF000000"/>
      <name val="Times New Roman"/>
      <family val="1"/>
    </font>
    <font>
      <sz val="12"/>
      <name val="Calibri"/>
      <family val="1"/>
      <scheme val="major"/>
    </font>
    <font>
      <i/>
      <sz val="12"/>
      <name val="Calibri"/>
      <family val="1"/>
      <scheme val="major"/>
    </font>
    <font>
      <sz val="11"/>
      <name val="Times New Roman"/>
      <family val="1"/>
    </font>
    <font>
      <sz val="12"/>
      <name val="Calibri"/>
      <family val="2"/>
      <scheme val="minor"/>
    </font>
    <font>
      <sz val="12"/>
      <name val=".VnTime"/>
      <family val="2"/>
    </font>
    <font>
      <sz val="10"/>
      <name val=".VnTime"/>
      <family val="2"/>
    </font>
    <font>
      <b/>
      <sz val="12"/>
      <color rgb="FF0000CC"/>
      <name val="Times New Roman"/>
      <family val="1"/>
    </font>
    <font>
      <sz val="12"/>
      <color rgb="FF0000CC"/>
      <name val="Times New Roman"/>
      <family val="1"/>
    </font>
    <font>
      <sz val="12"/>
      <color theme="1"/>
      <name val="Calibri"/>
      <family val="2"/>
      <scheme val="minor"/>
    </font>
    <font>
      <sz val="12"/>
      <color theme="1"/>
      <name val="Times New Roman"/>
      <family val="2"/>
    </font>
    <font>
      <b/>
      <sz val="12"/>
      <name val="Calibri"/>
      <family val="1"/>
      <scheme val="major"/>
    </font>
    <font>
      <b/>
      <sz val="12"/>
      <color rgb="FFFF0000"/>
      <name val="Calibri"/>
      <family val="1"/>
      <scheme val="major"/>
    </font>
    <font>
      <b/>
      <sz val="12"/>
      <color theme="1"/>
      <name val="Calibri"/>
      <family val="1"/>
      <scheme val="major"/>
    </font>
    <font>
      <b/>
      <sz val="10"/>
      <name val="Arial"/>
      <family val="2"/>
    </font>
    <font>
      <sz val="14"/>
      <color rgb="FF000000"/>
      <name val="Times New Roman"/>
      <family val="1"/>
    </font>
    <font>
      <sz val="14"/>
      <name val="Times New Roman"/>
      <family val="1"/>
    </font>
    <font>
      <sz val="14"/>
      <name val="Century"/>
      <family val="1"/>
    </font>
    <font>
      <sz val="9"/>
      <color rgb="FF000000"/>
      <name val="Times New Roman"/>
      <family val="2"/>
    </font>
    <font>
      <sz val="13"/>
      <color theme="3"/>
      <name val="Times New Roman"/>
      <family val="1"/>
    </font>
    <font>
      <b/>
      <sz val="20"/>
      <color theme="1"/>
      <name val="Times New Roman"/>
      <family val="1"/>
    </font>
    <font>
      <sz val="11"/>
      <color theme="1"/>
      <name val="Calibri"/>
      <family val="2"/>
      <scheme val="minor"/>
    </font>
    <font>
      <b/>
      <sz val="12"/>
      <name val="Calibri"/>
      <family val="2"/>
      <scheme val="major"/>
    </font>
    <font>
      <b/>
      <sz val="12"/>
      <name val="Arial"/>
      <family val="2"/>
    </font>
    <font>
      <sz val="12"/>
      <color theme="1"/>
      <name val="Calibri"/>
      <family val="1"/>
      <scheme val="major"/>
    </font>
    <font>
      <sz val="12"/>
      <color rgb="FFED0000"/>
      <name val="Calibri"/>
      <family val="1"/>
      <scheme val="major"/>
    </font>
    <font>
      <sz val="11"/>
      <color rgb="FF000000"/>
      <name val="Times New Roman"/>
      <family val="1"/>
    </font>
    <font>
      <sz val="12"/>
      <color rgb="FF000000"/>
      <name val="Calibri"/>
      <family val="2"/>
      <scheme val="minor"/>
    </font>
    <font>
      <b/>
      <sz val="12"/>
      <color rgb="FF000000"/>
      <name val="Calibri"/>
      <family val="1"/>
      <scheme val="major"/>
    </font>
    <font>
      <i/>
      <sz val="12"/>
      <color rgb="FF000000"/>
      <name val="Calibri"/>
      <family val="1"/>
      <scheme val="major"/>
    </font>
    <font>
      <sz val="10"/>
      <color rgb="FF000000"/>
      <name val="Arial"/>
      <family val="2"/>
    </font>
    <font>
      <b/>
      <sz val="12"/>
      <color rgb="FF000000"/>
      <name val="Calibri"/>
      <family val="2"/>
      <scheme val="minor"/>
    </font>
    <font>
      <sz val="12"/>
      <color rgb="FF000000"/>
      <name val="Calibri"/>
      <family val="1"/>
      <scheme val="major"/>
    </font>
    <font>
      <b/>
      <sz val="12"/>
      <name val="Calibri"/>
      <family val="2"/>
      <scheme val="minor"/>
    </font>
    <font>
      <b/>
      <sz val="11"/>
      <color rgb="FF000000"/>
      <name val="Calibri"/>
      <family val="2"/>
      <scheme val="minor"/>
    </font>
    <font>
      <sz val="11"/>
      <color rgb="FF000000"/>
      <name val="Calibri"/>
      <family val="2"/>
    </font>
    <font>
      <b/>
      <sz val="14"/>
      <color rgb="FF000000"/>
      <name val="Times New Roman"/>
      <family val="1"/>
    </font>
    <font>
      <b/>
      <sz val="12"/>
      <color theme="1"/>
      <name val="Calibri"/>
      <family val="2"/>
      <scheme val="minor"/>
    </font>
    <font>
      <b/>
      <sz val="11"/>
      <name val="Calibri"/>
      <family val="2"/>
      <scheme val="minor"/>
    </font>
    <font>
      <sz val="14"/>
      <color theme="1"/>
      <name val="Times New Roman"/>
      <family val="1"/>
    </font>
    <font>
      <sz val="10"/>
      <color rgb="FF000000"/>
      <name val="Calibri"/>
      <family val="2"/>
      <scheme val="minor"/>
    </font>
    <font>
      <b/>
      <sz val="11"/>
      <color theme="1"/>
      <name val="Calibri"/>
      <family val="2"/>
      <scheme val="minor"/>
    </font>
    <font>
      <sz val="8.25"/>
      <name val="Microsoft Sans Serif"/>
      <family val="2"/>
    </font>
    <font>
      <b/>
      <sz val="14"/>
      <name val="Times New Roman"/>
      <family val="1"/>
    </font>
    <font>
      <b/>
      <sz val="10"/>
      <color rgb="FFFF0000"/>
      <name val="Times New Roman"/>
      <family val="1"/>
    </font>
    <font>
      <b/>
      <sz val="12"/>
      <name val="Times New Roman"/>
      <family val="1"/>
    </font>
    <font>
      <b/>
      <i/>
      <sz val="12"/>
      <color rgb="FFFF0000"/>
      <name val="Times New Roman"/>
      <family val="1"/>
    </font>
    <font>
      <b/>
      <i/>
      <sz val="12"/>
      <color theme="1"/>
      <name val="Times New Roman"/>
      <family val="1"/>
    </font>
    <font>
      <b/>
      <i/>
      <u/>
      <sz val="12"/>
      <color rgb="FFEE0000"/>
      <name val="Times New Roman"/>
      <family val="1"/>
    </font>
    <font>
      <sz val="10"/>
      <color rgb="FF000000"/>
      <name val="Calibri"/>
      <family val="2"/>
      <scheme val="minor"/>
    </font>
    <font>
      <b/>
      <sz val="11"/>
      <color rgb="FF000000"/>
      <name val=".VnBook-AntiquaH"/>
      <family val="2"/>
    </font>
    <font>
      <sz val="11"/>
      <color rgb="FF000000"/>
      <name val=".VnBook-AntiquaH"/>
      <family val="2"/>
    </font>
    <font>
      <sz val="12"/>
      <color theme="1"/>
      <name val=".VnBook-Antiqua"/>
      <family val="2"/>
    </font>
    <font>
      <b/>
      <i/>
      <sz val="12"/>
      <color rgb="FF000000"/>
      <name val=".VnBook-Antiqua"/>
      <family val="2"/>
    </font>
    <font>
      <sz val="12"/>
      <color rgb="FF000000"/>
      <name val=".VnBook-Antiqua"/>
      <family val="2"/>
    </font>
    <font>
      <sz val="12"/>
      <color indexed="8"/>
      <name val="Wingdings"/>
      <charset val="2"/>
    </font>
    <font>
      <sz val="12"/>
      <color indexed="8"/>
      <name val="Monotype Sorts"/>
      <family val="2"/>
    </font>
    <font>
      <sz val="12"/>
      <color indexed="8"/>
      <name val=".VnBook-Antiqua"/>
      <family val="2"/>
    </font>
    <font>
      <i/>
      <sz val="12"/>
      <color rgb="FF000000"/>
      <name val=".VnBook-Antiqua"/>
      <family val="2"/>
    </font>
    <font>
      <b/>
      <sz val="18"/>
      <color rgb="FF000000"/>
      <name val=".VnBook-AntiquaH"/>
      <family val="2"/>
    </font>
    <font>
      <b/>
      <sz val="12"/>
      <color indexed="8"/>
      <name val="Times New Roman"/>
      <family val="1"/>
    </font>
    <font>
      <b/>
      <i/>
      <sz val="12"/>
      <color rgb="FF000000"/>
      <name val="Times New Roman"/>
      <family val="1"/>
    </font>
    <font>
      <b/>
      <sz val="12"/>
      <color theme="1"/>
      <name val=".VnArial"/>
      <family val="2"/>
    </font>
    <font>
      <b/>
      <sz val="11"/>
      <color theme="1"/>
      <name val="Calibri"/>
      <family val="1"/>
      <scheme val="major"/>
    </font>
    <font>
      <b/>
      <sz val="11"/>
      <color theme="1"/>
      <name val=".VnArial"/>
      <family val="2"/>
    </font>
    <font>
      <sz val="13"/>
      <name val="Calibri"/>
      <family val="1"/>
      <scheme val="major"/>
    </font>
    <font>
      <sz val="11"/>
      <color theme="1"/>
      <name val=".VnArial"/>
      <family val="2"/>
    </font>
    <font>
      <sz val="13"/>
      <color rgb="FF000000"/>
      <name val="Calibri"/>
      <family val="1"/>
      <scheme val="major"/>
    </font>
    <font>
      <sz val="11"/>
      <name val="Calibri"/>
      <family val="2"/>
      <scheme val="minor"/>
    </font>
    <font>
      <sz val="13"/>
      <name val="Cambria"/>
      <family val="1"/>
    </font>
    <font>
      <sz val="13"/>
      <color theme="1"/>
      <name val="Calibri"/>
      <family val="1"/>
      <scheme val="major"/>
    </font>
    <font>
      <sz val="11"/>
      <name val="Calibri"/>
      <family val="1"/>
      <scheme val="major"/>
    </font>
    <font>
      <b/>
      <sz val="13"/>
      <name val="Calibri"/>
      <family val="1"/>
      <scheme val="major"/>
    </font>
    <font>
      <sz val="11"/>
      <color theme="1"/>
      <name val="Calibri"/>
      <family val="2"/>
      <scheme val="minor"/>
    </font>
    <font>
      <b/>
      <sz val="14"/>
      <color theme="1"/>
      <name val="Times New Roman"/>
      <family val="1"/>
    </font>
    <font>
      <sz val="11"/>
      <color theme="1"/>
      <name val="Calibri"/>
      <family val="2"/>
      <scheme val="minor"/>
    </font>
    <font>
      <sz val="10"/>
      <name val=".VnArial"/>
      <family val="2"/>
    </font>
    <font>
      <b/>
      <sz val="11"/>
      <color theme="1"/>
      <name val="Times New Roman"/>
      <family val="1"/>
    </font>
    <font>
      <sz val="11"/>
      <color theme="1"/>
      <name val="Calibri"/>
      <family val="2"/>
      <charset val="163"/>
      <scheme val="minor"/>
    </font>
    <font>
      <sz val="20"/>
      <color theme="1"/>
      <name val="Times New Roman"/>
      <family val="1"/>
    </font>
    <font>
      <i/>
      <sz val="10"/>
      <color theme="1"/>
      <name val="Times New Roman"/>
      <family val="1"/>
    </font>
    <font>
      <i/>
      <sz val="11"/>
      <color theme="1"/>
      <name val="Times New Roman"/>
      <family val="1"/>
    </font>
    <font>
      <sz val="10"/>
      <color theme="1"/>
      <name val="Arial"/>
      <family val="2"/>
    </font>
    <font>
      <sz val="10"/>
      <color rgb="FFFF0000"/>
      <name val="Times New Roman"/>
      <family val="1"/>
    </font>
    <font>
      <b/>
      <u/>
      <sz val="10"/>
      <color theme="1"/>
      <name val="Times New Roman"/>
      <family val="1"/>
    </font>
    <font>
      <b/>
      <sz val="12"/>
      <color theme="1"/>
      <name val="Times New Roman"/>
      <family val="1"/>
      <charset val="163"/>
    </font>
    <font>
      <sz val="10"/>
      <color rgb="FF000000"/>
      <name val="Calibri"/>
      <family val="2"/>
      <scheme val="minor"/>
    </font>
    <font>
      <i/>
      <sz val="14"/>
      <color theme="1"/>
      <name val="Times New Roman"/>
      <family val="1"/>
    </font>
    <font>
      <b/>
      <sz val="14"/>
      <name val="Calibri"/>
      <family val="1"/>
      <scheme val="major"/>
    </font>
    <font>
      <sz val="14"/>
      <name val="Calibri"/>
      <family val="1"/>
      <scheme val="major"/>
    </font>
    <font>
      <b/>
      <i/>
      <sz val="14"/>
      <color theme="1"/>
      <name val="Times New Roman"/>
      <family val="1"/>
    </font>
    <font>
      <sz val="11"/>
      <color rgb="FF9C0006"/>
      <name val="Calibri"/>
      <family val="2"/>
    </font>
    <font>
      <sz val="16"/>
      <color theme="1"/>
      <name val="Times New Roman"/>
      <family val="1"/>
    </font>
    <font>
      <b/>
      <sz val="16"/>
      <color theme="1"/>
      <name val="Times New Roman"/>
      <family val="1"/>
    </font>
    <font>
      <i/>
      <sz val="16"/>
      <color theme="1"/>
      <name val="Times New Roman"/>
      <family val="1"/>
    </font>
    <font>
      <b/>
      <sz val="16"/>
      <name val="Calibri"/>
      <family val="1"/>
      <scheme val="major"/>
    </font>
    <font>
      <sz val="16"/>
      <name val="Calibri"/>
      <family val="1"/>
      <scheme val="major"/>
    </font>
    <font>
      <sz val="16"/>
      <name val="Times New Roman"/>
      <family val="1"/>
    </font>
    <font>
      <sz val="16"/>
      <color rgb="FF000000"/>
      <name val="Times New Roman"/>
      <family val="1"/>
    </font>
    <font>
      <b/>
      <sz val="16"/>
      <color rgb="FF000000"/>
      <name val="Calibri"/>
      <family val="1"/>
      <scheme val="major"/>
    </font>
    <font>
      <b/>
      <i/>
      <sz val="16"/>
      <color theme="1"/>
      <name val="Times New Roman"/>
      <family val="1"/>
    </font>
    <font>
      <sz val="18"/>
      <name val="Calibri"/>
      <family val="1"/>
      <scheme val="major"/>
    </font>
    <font>
      <sz val="18"/>
      <color rgb="FF000000"/>
      <name val="Times New Roman"/>
      <family val="1"/>
    </font>
    <font>
      <sz val="18"/>
      <name val="Times New Roman"/>
      <family val="1"/>
    </font>
    <font>
      <sz val="18"/>
      <color theme="1"/>
      <name val="Times New Roman"/>
      <family val="1"/>
    </font>
    <font>
      <sz val="10.5"/>
      <name val="Times New Roman"/>
      <family val="1"/>
    </font>
    <font>
      <i/>
      <sz val="14"/>
      <name val="Times New Roman"/>
      <family val="1"/>
    </font>
    <font>
      <sz val="12"/>
      <color rgb="FF000000"/>
      <name val="CIDFont+F3"/>
    </font>
    <font>
      <sz val="11"/>
      <color indexed="8"/>
      <name val="Times New Roman"/>
      <family val="1"/>
    </font>
    <font>
      <sz val="11"/>
      <name val="Calibri"/>
      <family val="1"/>
      <charset val="163"/>
      <scheme val="major"/>
    </font>
    <font>
      <sz val="14"/>
      <name val="Calibri"/>
      <family val="2"/>
      <scheme val="major"/>
    </font>
    <font>
      <sz val="12"/>
      <name val="Calibri"/>
      <family val="2"/>
      <scheme val="major"/>
    </font>
    <font>
      <i/>
      <sz val="12"/>
      <name val="Calibri"/>
      <family val="2"/>
      <scheme val="major"/>
    </font>
    <font>
      <sz val="10"/>
      <name val="CIDFont+F2"/>
      <charset val="134"/>
    </font>
    <font>
      <b/>
      <i/>
      <sz val="12"/>
      <name val="CIDFont+F2"/>
      <charset val="134"/>
    </font>
    <font>
      <sz val="14"/>
      <name val="Calibri"/>
      <family val="2"/>
      <scheme val="minor"/>
    </font>
    <font>
      <i/>
      <sz val="14"/>
      <name val="Calibri"/>
      <family val="2"/>
      <scheme val="major"/>
    </font>
    <font>
      <b/>
      <sz val="12"/>
      <color rgb="FFFF0000"/>
      <name val="Calibri"/>
      <family val="2"/>
      <scheme val="minor"/>
    </font>
    <font>
      <b/>
      <sz val="16"/>
      <name val="Times New Roman"/>
      <family val="1"/>
    </font>
    <font>
      <b/>
      <sz val="12"/>
      <color rgb="FFFF0000"/>
      <name val="Calibri"/>
      <family val="2"/>
      <scheme val="major"/>
    </font>
    <font>
      <b/>
      <i/>
      <sz val="12"/>
      <name val="Times New Roman"/>
      <family val="1"/>
    </font>
    <font>
      <sz val="11"/>
      <name val=".VnArial"/>
      <family val="2"/>
    </font>
    <font>
      <i/>
      <sz val="12"/>
      <name val="Times New Roman"/>
      <family val="1"/>
    </font>
    <font>
      <b/>
      <sz val="12"/>
      <color rgb="FF0070C0"/>
      <name val="Times New Roman"/>
      <family val="1"/>
    </font>
    <font>
      <b/>
      <i/>
      <sz val="12"/>
      <color rgb="FF0070C0"/>
      <name val="Times New Roman"/>
      <family val="1"/>
    </font>
    <font>
      <i/>
      <sz val="12"/>
      <color theme="1"/>
      <name val="Times New Roman"/>
      <family val="1"/>
    </font>
    <font>
      <i/>
      <sz val="12"/>
      <color rgb="FFFF0000"/>
      <name val="Times New Roman"/>
      <family val="1"/>
    </font>
  </fonts>
  <fills count="41">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theme="9"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9" tint="0.79998168889431442"/>
        <bgColor rgb="FFD8D8D8"/>
      </patternFill>
    </fill>
    <fill>
      <patternFill patternType="solid">
        <fgColor theme="6" tint="0.59999389629810485"/>
        <bgColor rgb="FFD8D8D8"/>
      </patternFill>
    </fill>
    <fill>
      <patternFill patternType="solid">
        <fgColor theme="6" tint="0.59999389629810485"/>
        <bgColor indexed="64"/>
      </patternFill>
    </fill>
    <fill>
      <patternFill patternType="solid">
        <fgColor rgb="FFFFC000"/>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00"/>
        <bgColor rgb="FFD8D8D8"/>
      </patternFill>
    </fill>
    <fill>
      <patternFill patternType="solid">
        <fgColor theme="4" tint="0.79998168889431442"/>
        <bgColor indexed="64"/>
      </patternFill>
    </fill>
    <fill>
      <patternFill patternType="solid">
        <fgColor theme="2" tint="-0.14999847407452621"/>
        <bgColor rgb="FFD8D8D8"/>
      </patternFill>
    </fill>
    <fill>
      <patternFill patternType="solid">
        <fgColor theme="9" tint="0.59999389629810485"/>
        <bgColor indexed="64"/>
      </patternFill>
    </fill>
    <fill>
      <patternFill patternType="solid">
        <fgColor rgb="FF76E3FF"/>
        <bgColor indexed="64"/>
      </patternFill>
    </fill>
    <fill>
      <patternFill patternType="solid">
        <fgColor theme="7"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indexed="9"/>
        <bgColor indexed="64"/>
      </patternFill>
    </fill>
    <fill>
      <patternFill patternType="solid">
        <fgColor indexed="8"/>
        <bgColor indexed="64"/>
      </patternFill>
    </fill>
    <fill>
      <patternFill patternType="solid">
        <fgColor theme="4"/>
        <bgColor indexed="64"/>
      </patternFill>
    </fill>
    <fill>
      <patternFill patternType="solid">
        <fgColor theme="9" tint="0.79995117038483843"/>
        <bgColor indexed="64"/>
      </patternFill>
    </fill>
    <fill>
      <patternFill patternType="solid">
        <fgColor rgb="FFE1EEDA"/>
        <bgColor indexed="64"/>
      </patternFill>
    </fill>
    <fill>
      <patternFill patternType="solid">
        <fgColor rgb="FFFFFFFF"/>
        <bgColor indexed="64"/>
      </patternFill>
    </fill>
    <fill>
      <patternFill patternType="solid">
        <fgColor rgb="FF99FF99"/>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79995117038483843"/>
        <bgColor rgb="FFD8D8D8"/>
      </patternFill>
    </fill>
    <fill>
      <patternFill patternType="solid">
        <fgColor theme="0" tint="-0.14996795556505021"/>
        <bgColor indexed="64"/>
      </patternFill>
    </fill>
    <fill>
      <patternFill patternType="solid">
        <fgColor theme="2" tint="-0.14996795556505021"/>
        <bgColor indexed="64"/>
      </patternFill>
    </fill>
    <fill>
      <patternFill patternType="solid">
        <fgColor theme="0" tint="-0.14999847407452621"/>
        <bgColor rgb="FFD8D8D8"/>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0.249977111117893"/>
        <bgColor rgb="FFD8D8D8"/>
      </patternFill>
    </fill>
  </fills>
  <borders count="66">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dotted">
        <color indexed="64"/>
      </bottom>
      <diagonal/>
    </border>
    <border>
      <left style="thin">
        <color indexed="64"/>
      </left>
      <right style="double">
        <color indexed="64"/>
      </right>
      <top/>
      <bottom style="hair">
        <color indexed="64"/>
      </bottom>
      <diagonal/>
    </border>
    <border>
      <left style="thin">
        <color indexed="64"/>
      </left>
      <right style="thin">
        <color indexed="64"/>
      </right>
      <top style="dotted">
        <color indexed="64"/>
      </top>
      <bottom/>
      <diagonal/>
    </border>
    <border>
      <left style="thin">
        <color indexed="64"/>
      </left>
      <right style="double">
        <color indexed="64"/>
      </right>
      <top/>
      <bottom style="dotted">
        <color indexed="64"/>
      </bottom>
      <diagonal/>
    </border>
    <border>
      <left style="thin">
        <color indexed="64"/>
      </left>
      <right style="double">
        <color indexed="64"/>
      </right>
      <top style="dotted">
        <color indexed="64"/>
      </top>
      <bottom/>
      <diagonal/>
    </border>
    <border>
      <left style="double">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double">
        <color indexed="64"/>
      </right>
      <top style="thin">
        <color indexed="64"/>
      </top>
      <bottom style="dotted">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auto="1"/>
      </left>
      <right style="medium">
        <color auto="1"/>
      </right>
      <top/>
      <bottom style="thin">
        <color auto="1"/>
      </bottom>
      <diagonal/>
    </border>
    <border>
      <left style="medium">
        <color indexed="64"/>
      </left>
      <right/>
      <top style="thin">
        <color indexed="64"/>
      </top>
      <bottom/>
      <diagonal/>
    </border>
    <border>
      <left style="thin">
        <color auto="1"/>
      </left>
      <right style="medium">
        <color auto="1"/>
      </right>
      <top style="thin">
        <color auto="1"/>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s>
  <cellStyleXfs count="94">
    <xf numFmtId="0" fontId="0" fillId="0" borderId="0"/>
    <xf numFmtId="0" fontId="28" fillId="0" borderId="2"/>
    <xf numFmtId="168" fontId="29" fillId="0" borderId="2" applyFont="0" applyFill="0" applyBorder="0" applyAlignment="0" applyProtection="0"/>
    <xf numFmtId="0" fontId="32" fillId="0" borderId="2">
      <alignment vertical="center"/>
    </xf>
    <xf numFmtId="0" fontId="33" fillId="0" borderId="2">
      <alignment vertical="center"/>
    </xf>
    <xf numFmtId="0" fontId="33" fillId="0" borderId="2"/>
    <xf numFmtId="0" fontId="30" fillId="0" borderId="2" applyNumberFormat="0" applyFont="0" applyFill="0" applyBorder="0" applyAlignment="0" applyProtection="0">
      <alignment vertical="top"/>
    </xf>
    <xf numFmtId="43" fontId="34" fillId="0" borderId="0" applyFont="0" applyFill="0" applyBorder="0" applyAlignment="0" applyProtection="0"/>
    <xf numFmtId="0" fontId="30" fillId="0" borderId="2"/>
    <xf numFmtId="168" fontId="30" fillId="0" borderId="2" applyFont="0" applyFill="0" applyBorder="0" applyAlignment="0" applyProtection="0"/>
    <xf numFmtId="9" fontId="30" fillId="0" borderId="2" applyFont="0" applyFill="0" applyBorder="0" applyAlignment="0" applyProtection="0"/>
    <xf numFmtId="0" fontId="14" fillId="0" borderId="2"/>
    <xf numFmtId="0" fontId="35" fillId="0" borderId="2"/>
    <xf numFmtId="168" fontId="30" fillId="0" borderId="2" applyFont="0" applyFill="0" applyBorder="0" applyAlignment="0" applyProtection="0"/>
    <xf numFmtId="0" fontId="13" fillId="0" borderId="2"/>
    <xf numFmtId="43" fontId="29" fillId="0" borderId="2" applyFont="0" applyFill="0" applyBorder="0" applyAlignment="0" applyProtection="0"/>
    <xf numFmtId="0" fontId="27" fillId="0" borderId="2"/>
    <xf numFmtId="168" fontId="29" fillId="0" borderId="2" applyFont="0" applyFill="0" applyBorder="0" applyAlignment="0" applyProtection="0"/>
    <xf numFmtId="43" fontId="27" fillId="0" borderId="2" applyFont="0" applyFill="0" applyBorder="0" applyAlignment="0" applyProtection="0"/>
    <xf numFmtId="0" fontId="13" fillId="0" borderId="2"/>
    <xf numFmtId="0" fontId="30" fillId="0" borderId="2"/>
    <xf numFmtId="0" fontId="47" fillId="0" borderId="2">
      <alignment vertical="center"/>
    </xf>
    <xf numFmtId="0" fontId="30" fillId="0" borderId="2"/>
    <xf numFmtId="0" fontId="12" fillId="0" borderId="2"/>
    <xf numFmtId="0" fontId="54" fillId="0" borderId="2" applyNumberFormat="0" applyFill="0" applyBorder="0" applyAlignment="0" applyProtection="0">
      <alignment vertical="top"/>
      <protection locked="0"/>
    </xf>
    <xf numFmtId="43" fontId="30" fillId="0" borderId="2" applyFont="0" applyFill="0" applyBorder="0" applyAlignment="0" applyProtection="0"/>
    <xf numFmtId="0" fontId="11" fillId="0" borderId="2"/>
    <xf numFmtId="43" fontId="11" fillId="0" borderId="2" applyFont="0" applyFill="0" applyBorder="0" applyAlignment="0" applyProtection="0"/>
    <xf numFmtId="0" fontId="10" fillId="0" borderId="2"/>
    <xf numFmtId="43" fontId="10" fillId="0" borderId="2" applyFont="0" applyFill="0" applyBorder="0" applyAlignment="0" applyProtection="0"/>
    <xf numFmtId="0" fontId="55" fillId="0" borderId="2" applyNumberFormat="0" applyFill="0" applyBorder="0" applyAlignment="0" applyProtection="0">
      <alignment vertical="top"/>
      <protection locked="0"/>
    </xf>
    <xf numFmtId="175" fontId="10" fillId="0" borderId="2" applyFont="0" applyFill="0" applyBorder="0" applyAlignment="0" applyProtection="0">
      <alignment vertical="center"/>
    </xf>
    <xf numFmtId="9" fontId="10" fillId="0" borderId="2" applyFont="0" applyFill="0" applyBorder="0" applyAlignment="0" applyProtection="0"/>
    <xf numFmtId="43" fontId="30" fillId="0" borderId="2" applyFont="0" applyFill="0" applyBorder="0" applyAlignment="0" applyProtection="0"/>
    <xf numFmtId="0" fontId="71" fillId="0" borderId="2"/>
    <xf numFmtId="0" fontId="70" fillId="0" borderId="2"/>
    <xf numFmtId="43" fontId="75" fillId="0" borderId="2" applyFont="0" applyFill="0" applyBorder="0" applyAlignment="0" applyProtection="0"/>
    <xf numFmtId="0" fontId="75" fillId="0" borderId="2"/>
    <xf numFmtId="0" fontId="9" fillId="0" borderId="2"/>
    <xf numFmtId="0" fontId="8" fillId="0" borderId="2"/>
    <xf numFmtId="0" fontId="7" fillId="0" borderId="2"/>
    <xf numFmtId="0" fontId="30" fillId="0" borderId="2"/>
    <xf numFmtId="43" fontId="6" fillId="0" borderId="2" applyFont="0" applyFill="0" applyBorder="0" applyAlignment="0" applyProtection="0"/>
    <xf numFmtId="0" fontId="86" fillId="0" borderId="2"/>
    <xf numFmtId="43" fontId="30" fillId="0" borderId="2" applyFont="0" applyFill="0" applyBorder="0" applyAlignment="0" applyProtection="0"/>
    <xf numFmtId="43" fontId="30" fillId="0" borderId="2" applyFont="0" applyFill="0" applyBorder="0" applyAlignment="0" applyProtection="0"/>
    <xf numFmtId="43" fontId="30" fillId="0" borderId="2" applyFont="0" applyFill="0" applyBorder="0" applyAlignment="0" applyProtection="0"/>
    <xf numFmtId="43" fontId="70" fillId="0" borderId="2" applyFont="0" applyFill="0" applyBorder="0" applyAlignment="0" applyProtection="0"/>
    <xf numFmtId="43" fontId="6" fillId="0" borderId="2" applyFont="0" applyFill="0" applyBorder="0" applyAlignment="0" applyProtection="0"/>
    <xf numFmtId="9" fontId="30" fillId="0" borderId="2" applyFont="0" applyFill="0" applyBorder="0" applyAlignment="0" applyProtection="0"/>
    <xf numFmtId="9" fontId="70" fillId="0" borderId="2" applyFont="0" applyFill="0" applyBorder="0" applyAlignment="0" applyProtection="0"/>
    <xf numFmtId="9" fontId="6" fillId="0" borderId="2" applyFont="0" applyFill="0" applyBorder="0" applyAlignment="0" applyProtection="0"/>
    <xf numFmtId="0" fontId="5" fillId="0" borderId="2"/>
    <xf numFmtId="43" fontId="5" fillId="0" borderId="2" applyFont="0" applyFill="0" applyBorder="0" applyAlignment="0" applyProtection="0"/>
    <xf numFmtId="0" fontId="104" fillId="0" borderId="2"/>
    <xf numFmtId="0" fontId="4" fillId="0" borderId="2"/>
    <xf numFmtId="175" fontId="4" fillId="0" borderId="2" applyFont="0" applyFill="0" applyBorder="0" applyAlignment="0" applyProtection="0"/>
    <xf numFmtId="0" fontId="107" fillId="0" borderId="2">
      <alignment vertical="top"/>
    </xf>
    <xf numFmtId="0" fontId="105" fillId="0" borderId="2"/>
    <xf numFmtId="0" fontId="4" fillId="0" borderId="2"/>
    <xf numFmtId="43" fontId="4" fillId="0" borderId="2" applyFont="0" applyFill="0" applyBorder="0" applyAlignment="0" applyProtection="0"/>
    <xf numFmtId="0" fontId="4" fillId="0" borderId="2"/>
    <xf numFmtId="43" fontId="4" fillId="0" borderId="2" applyFont="0" applyFill="0" applyBorder="0" applyAlignment="0" applyProtection="0"/>
    <xf numFmtId="9" fontId="4" fillId="0" borderId="2" applyFont="0" applyFill="0" applyBorder="0" applyAlignment="0" applyProtection="0"/>
    <xf numFmtId="9" fontId="114" fillId="0" borderId="0" applyFont="0" applyFill="0" applyBorder="0" applyAlignment="0" applyProtection="0"/>
    <xf numFmtId="0" fontId="3" fillId="0" borderId="2"/>
    <xf numFmtId="43" fontId="3" fillId="0" borderId="2" applyFont="0" applyFill="0" applyBorder="0" applyAlignment="0" applyProtection="0"/>
    <xf numFmtId="0" fontId="30" fillId="0" borderId="2"/>
    <xf numFmtId="0" fontId="138" fillId="0" borderId="2"/>
    <xf numFmtId="43" fontId="138" fillId="0" borderId="2" applyFont="0" applyFill="0" applyBorder="0" applyAlignment="0" applyProtection="0"/>
    <xf numFmtId="0" fontId="140" fillId="0" borderId="2"/>
    <xf numFmtId="0" fontId="141" fillId="0" borderId="2"/>
    <xf numFmtId="183" fontId="143" fillId="0" borderId="2" applyFont="0" applyFill="0" applyBorder="0" applyAlignment="0" applyProtection="0"/>
    <xf numFmtId="0" fontId="143" fillId="0" borderId="2"/>
    <xf numFmtId="0" fontId="2" fillId="0" borderId="2"/>
    <xf numFmtId="0" fontId="2" fillId="0" borderId="2"/>
    <xf numFmtId="43" fontId="2" fillId="0" borderId="2" applyFont="0" applyFill="0" applyBorder="0" applyAlignment="0" applyProtection="0"/>
    <xf numFmtId="0" fontId="2" fillId="0" borderId="2"/>
    <xf numFmtId="0" fontId="151" fillId="0" borderId="2"/>
    <xf numFmtId="0" fontId="2" fillId="0" borderId="2"/>
    <xf numFmtId="43" fontId="173" fillId="0" borderId="2" applyFont="0" applyFill="0" applyBorder="0" applyAlignment="0" applyProtection="0"/>
    <xf numFmtId="0" fontId="30" fillId="0" borderId="2"/>
    <xf numFmtId="43" fontId="30" fillId="0" borderId="2" applyFont="0" applyFill="0" applyBorder="0" applyAlignment="0" applyProtection="0"/>
    <xf numFmtId="0" fontId="70" fillId="0" borderId="2"/>
    <xf numFmtId="0" fontId="17" fillId="0" borderId="2"/>
    <xf numFmtId="0" fontId="186" fillId="0" borderId="2"/>
    <xf numFmtId="0" fontId="186" fillId="0" borderId="2"/>
    <xf numFmtId="44" fontId="30" fillId="0" borderId="2" applyFont="0" applyFill="0" applyBorder="0" applyAlignment="0" applyProtection="0"/>
    <xf numFmtId="43" fontId="30" fillId="0" borderId="2" applyFont="0" applyFill="0" applyBorder="0" applyAlignment="0" applyProtection="0"/>
    <xf numFmtId="43" fontId="30" fillId="0" borderId="2" applyFont="0" applyFill="0" applyBorder="0" applyAlignment="0" applyProtection="0"/>
    <xf numFmtId="0" fontId="1" fillId="0" borderId="2"/>
    <xf numFmtId="175" fontId="1" fillId="0" borderId="2" applyFont="0" applyFill="0" applyBorder="0" applyAlignment="0" applyProtection="0"/>
    <xf numFmtId="43" fontId="1" fillId="0" borderId="2" applyFont="0" applyFill="0" applyBorder="0" applyAlignment="0" applyProtection="0"/>
    <xf numFmtId="9" fontId="1" fillId="0" borderId="2" applyFont="0" applyFill="0" applyBorder="0" applyAlignment="0" applyProtection="0"/>
  </cellStyleXfs>
  <cellXfs count="1549">
    <xf numFmtId="0" fontId="0" fillId="0" borderId="0" xfId="0"/>
    <xf numFmtId="0" fontId="39" fillId="0" borderId="2" xfId="3" applyFont="1">
      <alignment vertical="center"/>
    </xf>
    <xf numFmtId="172" fontId="40" fillId="0" borderId="2" xfId="3" applyNumberFormat="1" applyFont="1" applyAlignment="1">
      <alignment horizontal="center" vertical="center"/>
    </xf>
    <xf numFmtId="0" fontId="41" fillId="0" borderId="2" xfId="3" applyFont="1">
      <alignment vertical="center"/>
    </xf>
    <xf numFmtId="0" fontId="42" fillId="0" borderId="2" xfId="3" applyFont="1" applyAlignment="1">
      <alignment horizontal="center" vertical="center" wrapText="1"/>
    </xf>
    <xf numFmtId="172" fontId="42" fillId="0" borderId="2" xfId="3" applyNumberFormat="1" applyFont="1" applyAlignment="1">
      <alignment horizontal="center" vertical="center"/>
    </xf>
    <xf numFmtId="0" fontId="43" fillId="0" borderId="2" xfId="4" applyFont="1">
      <alignment vertical="center"/>
    </xf>
    <xf numFmtId="172" fontId="44" fillId="0" borderId="2" xfId="3" applyNumberFormat="1" applyFont="1" applyAlignment="1">
      <alignment horizontal="center"/>
    </xf>
    <xf numFmtId="0" fontId="42" fillId="0" borderId="2" xfId="3" applyFont="1" applyAlignment="1"/>
    <xf numFmtId="0" fontId="42" fillId="0" borderId="2" xfId="3" applyFont="1">
      <alignment vertical="center"/>
    </xf>
    <xf numFmtId="170" fontId="42" fillId="0" borderId="2" xfId="3" applyNumberFormat="1" applyFont="1">
      <alignment vertical="center"/>
    </xf>
    <xf numFmtId="172" fontId="42" fillId="0" borderId="2" xfId="3" applyNumberFormat="1" applyFont="1">
      <alignment vertical="center"/>
    </xf>
    <xf numFmtId="0" fontId="45" fillId="0" borderId="2" xfId="3" applyFont="1">
      <alignment vertical="center"/>
    </xf>
    <xf numFmtId="0" fontId="42" fillId="0" borderId="2" xfId="3" applyFont="1" applyAlignment="1">
      <alignment horizontal="left" vertical="center"/>
    </xf>
    <xf numFmtId="170" fontId="42" fillId="0" borderId="2" xfId="3" applyNumberFormat="1" applyFont="1" applyAlignment="1"/>
    <xf numFmtId="171" fontId="42" fillId="0" borderId="2" xfId="3" applyNumberFormat="1" applyFont="1" applyAlignment="1"/>
    <xf numFmtId="0" fontId="46" fillId="0" borderId="2" xfId="3" applyFont="1">
      <alignment vertical="center"/>
    </xf>
    <xf numFmtId="0" fontId="48" fillId="0" borderId="2" xfId="4" applyFont="1">
      <alignment vertical="center"/>
    </xf>
    <xf numFmtId="171" fontId="42" fillId="0" borderId="9" xfId="21" applyNumberFormat="1" applyFont="1" applyBorder="1" applyAlignment="1">
      <alignment horizontal="center" vertical="center" wrapText="1"/>
    </xf>
    <xf numFmtId="170" fontId="42" fillId="0" borderId="12" xfId="21" applyNumberFormat="1" applyFont="1" applyBorder="1" applyAlignment="1">
      <alignment horizontal="center" vertical="center" wrapText="1"/>
    </xf>
    <xf numFmtId="172" fontId="42" fillId="0" borderId="12" xfId="21" applyNumberFormat="1" applyFont="1" applyBorder="1" applyAlignment="1">
      <alignment horizontal="center" vertical="center" wrapText="1"/>
    </xf>
    <xf numFmtId="172" fontId="42" fillId="0" borderId="3" xfId="21" applyNumberFormat="1" applyFont="1" applyBorder="1" applyAlignment="1">
      <alignment horizontal="center" vertical="center" wrapText="1"/>
    </xf>
    <xf numFmtId="0" fontId="49" fillId="0" borderId="3" xfId="3" applyFont="1" applyBorder="1" applyAlignment="1">
      <alignment horizontal="center" vertical="center" wrapText="1"/>
    </xf>
    <xf numFmtId="0" fontId="49" fillId="0" borderId="3" xfId="4" applyFont="1" applyBorder="1" applyAlignment="1">
      <alignment horizontal="center" vertical="center" wrapText="1"/>
    </xf>
    <xf numFmtId="170" fontId="49" fillId="0" borderId="3" xfId="21" applyNumberFormat="1" applyFont="1" applyBorder="1" applyAlignment="1">
      <alignment horizontal="center" vertical="center" wrapText="1"/>
    </xf>
    <xf numFmtId="171" fontId="49" fillId="0" borderId="3" xfId="21" applyNumberFormat="1" applyFont="1" applyBorder="1" applyAlignment="1">
      <alignment horizontal="center" vertical="center" wrapText="1"/>
    </xf>
    <xf numFmtId="170" fontId="49" fillId="0" borderId="12" xfId="21" applyNumberFormat="1" applyFont="1" applyBorder="1" applyAlignment="1">
      <alignment horizontal="center" vertical="center" wrapText="1"/>
    </xf>
    <xf numFmtId="173" fontId="49" fillId="0" borderId="3" xfId="21" applyNumberFormat="1" applyFont="1" applyBorder="1" applyAlignment="1">
      <alignment horizontal="center" vertical="center" wrapText="1"/>
    </xf>
    <xf numFmtId="172" fontId="49" fillId="0" borderId="3" xfId="21" applyNumberFormat="1" applyFont="1" applyBorder="1" applyAlignment="1">
      <alignment horizontal="center" vertical="center" wrapText="1"/>
    </xf>
    <xf numFmtId="0" fontId="50" fillId="0" borderId="2" xfId="4" applyFont="1">
      <alignment vertical="center"/>
    </xf>
    <xf numFmtId="171" fontId="42" fillId="0" borderId="3" xfId="21" applyNumberFormat="1" applyFont="1" applyBorder="1" applyAlignment="1">
      <alignment horizontal="center" vertical="center" wrapText="1"/>
    </xf>
    <xf numFmtId="173" fontId="42" fillId="0" borderId="3" xfId="21" applyNumberFormat="1" applyFont="1" applyBorder="1" applyAlignment="1">
      <alignment horizontal="center" vertical="center" wrapText="1"/>
    </xf>
    <xf numFmtId="0" fontId="46" fillId="0" borderId="2" xfId="3" applyFont="1" applyAlignment="1">
      <alignment horizontal="center" vertical="center" wrapText="1"/>
    </xf>
    <xf numFmtId="0" fontId="51" fillId="0" borderId="2" xfId="3" applyFont="1">
      <alignment vertical="center"/>
    </xf>
    <xf numFmtId="0" fontId="33" fillId="0" borderId="2" xfId="4">
      <alignment vertical="center"/>
    </xf>
    <xf numFmtId="0" fontId="42" fillId="0" borderId="2" xfId="3" applyFont="1" applyAlignment="1">
      <alignment horizontal="left" vertical="center" wrapText="1"/>
    </xf>
    <xf numFmtId="170" fontId="42" fillId="0" borderId="2" xfId="3" applyNumberFormat="1" applyFont="1" applyAlignment="1">
      <alignment horizontal="left" vertical="center" wrapText="1"/>
    </xf>
    <xf numFmtId="171" fontId="42" fillId="0" borderId="2" xfId="3" applyNumberFormat="1" applyFont="1" applyAlignment="1">
      <alignment horizontal="left" vertical="center" wrapText="1"/>
    </xf>
    <xf numFmtId="172" fontId="42" fillId="0" borderId="2" xfId="3" applyNumberFormat="1" applyFont="1" applyAlignment="1">
      <alignment horizontal="left" vertical="center" wrapText="1"/>
    </xf>
    <xf numFmtId="172" fontId="39" fillId="0" borderId="2" xfId="3" applyNumberFormat="1" applyFont="1">
      <alignment vertical="center"/>
    </xf>
    <xf numFmtId="0" fontId="52" fillId="0" borderId="2" xfId="3" applyFont="1" applyAlignment="1">
      <alignment horizontal="left" vertical="center" wrapText="1"/>
    </xf>
    <xf numFmtId="0" fontId="39" fillId="0" borderId="2" xfId="3" applyFont="1" applyAlignment="1">
      <alignment horizontal="left" vertical="center" wrapText="1"/>
    </xf>
    <xf numFmtId="170" fontId="39" fillId="0" borderId="2" xfId="3" applyNumberFormat="1" applyFont="1" applyAlignment="1">
      <alignment horizontal="left" vertical="center" wrapText="1"/>
    </xf>
    <xf numFmtId="171" fontId="39" fillId="0" borderId="2" xfId="3" applyNumberFormat="1" applyFont="1" applyAlignment="1">
      <alignment horizontal="left" vertical="center" wrapText="1"/>
    </xf>
    <xf numFmtId="172" fontId="39" fillId="0" borderId="2" xfId="3" applyNumberFormat="1" applyFont="1" applyAlignment="1">
      <alignment horizontal="left" vertical="center" wrapText="1"/>
    </xf>
    <xf numFmtId="170" fontId="39" fillId="0" borderId="2" xfId="3" applyNumberFormat="1" applyFont="1">
      <alignment vertical="center"/>
    </xf>
    <xf numFmtId="171" fontId="39" fillId="0" borderId="2" xfId="3" applyNumberFormat="1" applyFont="1">
      <alignment vertical="center"/>
    </xf>
    <xf numFmtId="172" fontId="53" fillId="0" borderId="2" xfId="3" applyNumberFormat="1" applyFont="1">
      <alignment vertical="center"/>
    </xf>
    <xf numFmtId="0" fontId="53" fillId="0" borderId="2" xfId="3" applyFont="1">
      <alignment vertical="center"/>
    </xf>
    <xf numFmtId="170" fontId="53" fillId="0" borderId="2" xfId="3" applyNumberFormat="1" applyFont="1">
      <alignment vertical="center"/>
    </xf>
    <xf numFmtId="171" fontId="53" fillId="0" borderId="2" xfId="3" applyNumberFormat="1" applyFont="1">
      <alignment vertical="center"/>
    </xf>
    <xf numFmtId="172" fontId="42" fillId="0" borderId="2" xfId="21" applyNumberFormat="1" applyFont="1" applyAlignment="1">
      <alignment horizontal="center" vertical="center" wrapText="1"/>
    </xf>
    <xf numFmtId="173" fontId="49" fillId="0" borderId="2" xfId="21" applyNumberFormat="1" applyFont="1" applyAlignment="1">
      <alignment horizontal="center" vertical="center" wrapText="1"/>
    </xf>
    <xf numFmtId="173" fontId="42" fillId="0" borderId="2" xfId="21" applyNumberFormat="1" applyFont="1" applyAlignment="1">
      <alignment horizontal="center" vertical="center" wrapText="1"/>
    </xf>
    <xf numFmtId="172" fontId="49" fillId="0" borderId="2" xfId="3" applyNumberFormat="1" applyFont="1" applyAlignment="1">
      <alignment horizontal="left" vertical="center" wrapText="1"/>
    </xf>
    <xf numFmtId="172" fontId="42" fillId="0" borderId="2" xfId="3" applyNumberFormat="1" applyFont="1" applyAlignment="1">
      <alignment horizontal="left" vertical="center"/>
    </xf>
    <xf numFmtId="166" fontId="31" fillId="10" borderId="3" xfId="0" applyNumberFormat="1" applyFont="1" applyFill="1" applyBorder="1" applyAlignment="1">
      <alignment horizontal="center" vertical="center" wrapText="1"/>
    </xf>
    <xf numFmtId="0" fontId="42" fillId="0" borderId="3" xfId="21" applyFont="1" applyBorder="1" applyAlignment="1">
      <alignment vertical="center" wrapText="1"/>
    </xf>
    <xf numFmtId="0" fontId="42" fillId="0" borderId="3" xfId="4" applyFont="1" applyBorder="1" applyAlignment="1">
      <alignment vertical="center" wrapText="1"/>
    </xf>
    <xf numFmtId="0" fontId="42" fillId="0" borderId="5" xfId="21" applyFont="1" applyBorder="1" applyAlignment="1">
      <alignment vertical="center" wrapText="1"/>
    </xf>
    <xf numFmtId="0" fontId="42" fillId="0" borderId="6" xfId="21" applyFont="1" applyBorder="1" applyAlignment="1">
      <alignment vertical="center" wrapText="1"/>
    </xf>
    <xf numFmtId="0" fontId="42" fillId="0" borderId="7" xfId="21" applyFont="1" applyBorder="1" applyAlignment="1">
      <alignment vertical="center" wrapText="1"/>
    </xf>
    <xf numFmtId="0" fontId="42" fillId="0" borderId="10" xfId="21" applyFont="1" applyBorder="1" applyAlignment="1">
      <alignment vertical="center" wrapText="1"/>
    </xf>
    <xf numFmtId="0" fontId="42" fillId="0" borderId="11" xfId="21" applyFont="1" applyBorder="1" applyAlignment="1">
      <alignment vertical="center" wrapText="1"/>
    </xf>
    <xf numFmtId="0" fontId="49" fillId="0" borderId="12" xfId="21" applyFont="1" applyBorder="1" applyAlignment="1">
      <alignment vertical="center" wrapText="1"/>
    </xf>
    <xf numFmtId="0" fontId="49" fillId="0" borderId="8" xfId="21" applyFont="1" applyBorder="1" applyAlignment="1">
      <alignment vertical="center" wrapText="1"/>
    </xf>
    <xf numFmtId="0" fontId="49" fillId="0" borderId="9" xfId="21" applyFont="1" applyBorder="1" applyAlignment="1">
      <alignment vertical="center" wrapText="1"/>
    </xf>
    <xf numFmtId="0" fontId="36" fillId="13" borderId="3" xfId="1" applyFont="1" applyFill="1" applyBorder="1" applyAlignment="1">
      <alignment horizontal="center" vertical="center" wrapText="1"/>
    </xf>
    <xf numFmtId="0" fontId="56" fillId="0" borderId="0" xfId="0" applyFont="1"/>
    <xf numFmtId="0" fontId="58" fillId="4" borderId="3" xfId="0" applyFont="1" applyFill="1" applyBorder="1" applyAlignment="1">
      <alignment horizontal="center" vertical="center" wrapText="1"/>
    </xf>
    <xf numFmtId="0" fontId="57" fillId="4" borderId="3" xfId="0" applyFont="1" applyFill="1" applyBorder="1" applyAlignment="1">
      <alignment horizontal="center" vertical="center" wrapText="1"/>
    </xf>
    <xf numFmtId="1" fontId="23" fillId="0" borderId="3" xfId="0" applyNumberFormat="1" applyFont="1" applyBorder="1" applyAlignment="1">
      <alignment horizontal="center" vertical="center"/>
    </xf>
    <xf numFmtId="0" fontId="57" fillId="0" borderId="0" xfId="0" applyFont="1" applyAlignment="1">
      <alignment vertical="center" wrapText="1"/>
    </xf>
    <xf numFmtId="0" fontId="24" fillId="2" borderId="2" xfId="0" applyFont="1" applyFill="1" applyBorder="1" applyAlignment="1">
      <alignment vertical="center"/>
    </xf>
    <xf numFmtId="0" fontId="24" fillId="2" borderId="2" xfId="0" applyFont="1" applyFill="1" applyBorder="1" applyAlignment="1">
      <alignment vertical="center" wrapText="1"/>
    </xf>
    <xf numFmtId="0" fontId="58" fillId="0" borderId="2" xfId="0" applyFont="1" applyBorder="1" applyAlignment="1">
      <alignment vertical="center" wrapText="1"/>
    </xf>
    <xf numFmtId="0" fontId="57" fillId="0" borderId="1" xfId="0" applyFont="1" applyBorder="1" applyAlignment="1">
      <alignment vertical="center" wrapText="1"/>
    </xf>
    <xf numFmtId="0" fontId="57" fillId="0" borderId="0" xfId="0" applyFont="1" applyAlignment="1">
      <alignment horizontal="center" vertical="center" wrapText="1"/>
    </xf>
    <xf numFmtId="43" fontId="57" fillId="0" borderId="0" xfId="0" applyNumberFormat="1" applyFont="1" applyAlignment="1">
      <alignment vertical="center" wrapText="1"/>
    </xf>
    <xf numFmtId="44" fontId="57" fillId="0" borderId="0" xfId="0" applyNumberFormat="1" applyFont="1" applyAlignment="1">
      <alignment vertical="center" wrapText="1"/>
    </xf>
    <xf numFmtId="0" fontId="58" fillId="0" borderId="0" xfId="0" applyFont="1" applyAlignment="1">
      <alignment vertical="center" wrapText="1"/>
    </xf>
    <xf numFmtId="0" fontId="56" fillId="0" borderId="0" xfId="0" applyFont="1" applyAlignment="1">
      <alignment vertical="center" wrapText="1"/>
    </xf>
    <xf numFmtId="0" fontId="61" fillId="2" borderId="2" xfId="0" quotePrefix="1" applyFont="1" applyFill="1" applyBorder="1" applyAlignment="1">
      <alignment vertical="center"/>
    </xf>
    <xf numFmtId="0" fontId="61" fillId="2" borderId="2" xfId="0" applyFont="1" applyFill="1" applyBorder="1" applyAlignment="1">
      <alignment vertical="center" wrapText="1"/>
    </xf>
    <xf numFmtId="0" fontId="62" fillId="0" borderId="2" xfId="0" applyFont="1" applyBorder="1" applyAlignment="1">
      <alignment vertical="center" wrapText="1"/>
    </xf>
    <xf numFmtId="0" fontId="63" fillId="2" borderId="2" xfId="0" quotePrefix="1" applyFont="1" applyFill="1" applyBorder="1" applyAlignment="1">
      <alignment vertical="center"/>
    </xf>
    <xf numFmtId="176" fontId="56" fillId="0" borderId="1" xfId="0" applyNumberFormat="1" applyFont="1" applyBorder="1" applyAlignment="1">
      <alignment vertical="center" wrapText="1"/>
    </xf>
    <xf numFmtId="0" fontId="56" fillId="0" borderId="0" xfId="0" applyFont="1" applyAlignment="1">
      <alignment horizontal="center" vertical="center" wrapText="1"/>
    </xf>
    <xf numFmtId="43" fontId="56" fillId="0" borderId="0" xfId="0" applyNumberFormat="1" applyFont="1" applyAlignment="1">
      <alignment vertical="center" wrapText="1"/>
    </xf>
    <xf numFmtId="44" fontId="56" fillId="0" borderId="0" xfId="0" applyNumberFormat="1" applyFont="1" applyAlignment="1">
      <alignment vertical="center" wrapText="1"/>
    </xf>
    <xf numFmtId="0" fontId="62" fillId="0" borderId="0" xfId="0" applyFont="1" applyAlignment="1">
      <alignment vertical="center" wrapText="1"/>
    </xf>
    <xf numFmtId="0" fontId="59" fillId="0" borderId="0" xfId="0" applyFont="1" applyAlignment="1">
      <alignment horizontal="left" vertical="center"/>
    </xf>
    <xf numFmtId="0" fontId="56" fillId="0" borderId="0" xfId="0" applyFont="1" applyAlignment="1">
      <alignment vertical="center"/>
    </xf>
    <xf numFmtId="14" fontId="59" fillId="0" borderId="0" xfId="0" applyNumberFormat="1" applyFont="1" applyAlignment="1">
      <alignment horizontal="left" vertical="center" wrapText="1"/>
    </xf>
    <xf numFmtId="0" fontId="62" fillId="2" borderId="2" xfId="0" quotePrefix="1" applyFont="1" applyFill="1" applyBorder="1" applyAlignment="1">
      <alignment vertical="center"/>
    </xf>
    <xf numFmtId="0" fontId="62" fillId="2" borderId="2" xfId="0" applyFont="1" applyFill="1" applyBorder="1" applyAlignment="1">
      <alignment vertical="center" wrapText="1"/>
    </xf>
    <xf numFmtId="0" fontId="62" fillId="2" borderId="2" xfId="0" applyFont="1" applyFill="1" applyBorder="1" applyAlignment="1">
      <alignment vertical="center"/>
    </xf>
    <xf numFmtId="0" fontId="62" fillId="0" borderId="2" xfId="0" applyFont="1" applyBorder="1" applyAlignment="1">
      <alignment vertical="center"/>
    </xf>
    <xf numFmtId="0" fontId="56" fillId="0" borderId="1" xfId="0" applyFont="1" applyBorder="1" applyAlignment="1">
      <alignment vertical="center"/>
    </xf>
    <xf numFmtId="0" fontId="59" fillId="0" borderId="0" xfId="0" applyFont="1" applyAlignment="1">
      <alignment horizontal="center" vertical="center"/>
    </xf>
    <xf numFmtId="43" fontId="59" fillId="0" borderId="0" xfId="0" applyNumberFormat="1" applyFont="1" applyAlignment="1">
      <alignment horizontal="left" vertical="center"/>
    </xf>
    <xf numFmtId="44" fontId="59" fillId="0" borderId="0" xfId="0" applyNumberFormat="1" applyFont="1" applyAlignment="1">
      <alignment horizontal="left" vertical="center"/>
    </xf>
    <xf numFmtId="0" fontId="64" fillId="0" borderId="0" xfId="0" applyFont="1" applyAlignment="1">
      <alignment horizontal="left" vertical="center"/>
    </xf>
    <xf numFmtId="0" fontId="56" fillId="0" borderId="3" xfId="0" applyFont="1" applyBorder="1" applyAlignment="1">
      <alignment horizontal="center" vertical="center"/>
    </xf>
    <xf numFmtId="0" fontId="58" fillId="9"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57" fillId="6" borderId="3" xfId="0" applyFont="1" applyFill="1" applyBorder="1" applyAlignment="1">
      <alignment horizontal="center" vertical="center" wrapText="1"/>
    </xf>
    <xf numFmtId="0" fontId="57" fillId="5" borderId="3" xfId="0" applyFont="1" applyFill="1" applyBorder="1" applyAlignment="1">
      <alignment horizontal="center" vertical="center" wrapText="1"/>
    </xf>
    <xf numFmtId="43" fontId="57" fillId="6" borderId="3" xfId="0" applyNumberFormat="1" applyFont="1" applyFill="1" applyBorder="1" applyAlignment="1">
      <alignment horizontal="center" vertical="center" wrapText="1"/>
    </xf>
    <xf numFmtId="0" fontId="56" fillId="0" borderId="0" xfId="0" applyFont="1" applyAlignment="1">
      <alignment horizontal="center" vertical="center"/>
    </xf>
    <xf numFmtId="0" fontId="58" fillId="3" borderId="3" xfId="0" applyFont="1" applyFill="1" applyBorder="1" applyAlignment="1">
      <alignment horizontal="center" vertical="center" wrapText="1"/>
    </xf>
    <xf numFmtId="0" fontId="24" fillId="8" borderId="3" xfId="0" applyFont="1" applyFill="1" applyBorder="1" applyAlignment="1">
      <alignment horizontal="center" vertical="center" wrapText="1"/>
    </xf>
    <xf numFmtId="44" fontId="57" fillId="6" borderId="3" xfId="0" applyNumberFormat="1" applyFont="1" applyFill="1" applyBorder="1" applyAlignment="1">
      <alignment horizontal="center" vertical="center" wrapText="1"/>
    </xf>
    <xf numFmtId="164" fontId="57" fillId="5" borderId="3" xfId="0" applyNumberFormat="1" applyFont="1" applyFill="1" applyBorder="1" applyAlignment="1">
      <alignment horizontal="center" vertical="center" wrapText="1"/>
    </xf>
    <xf numFmtId="0" fontId="58" fillId="4" borderId="3" xfId="0" applyFont="1" applyFill="1" applyBorder="1" applyAlignment="1">
      <alignment horizontal="center" vertical="center"/>
    </xf>
    <xf numFmtId="0" fontId="56" fillId="0" borderId="0" xfId="0" applyFont="1" applyAlignment="1">
      <alignment wrapText="1"/>
    </xf>
    <xf numFmtId="0" fontId="62" fillId="0" borderId="0" xfId="0" applyFont="1"/>
    <xf numFmtId="0" fontId="56" fillId="0" borderId="0" xfId="0" applyFont="1" applyAlignment="1">
      <alignment horizontal="center"/>
    </xf>
    <xf numFmtId="0" fontId="19" fillId="3"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65" fillId="0" borderId="0" xfId="0" applyFont="1"/>
    <xf numFmtId="0" fontId="18" fillId="14" borderId="3" xfId="0" applyFont="1" applyFill="1" applyBorder="1" applyAlignment="1">
      <alignment horizontal="center" vertical="center" wrapText="1"/>
    </xf>
    <xf numFmtId="0" fontId="18" fillId="14" borderId="3" xfId="0" applyFont="1" applyFill="1" applyBorder="1" applyAlignment="1">
      <alignment horizontal="left" vertical="center"/>
    </xf>
    <xf numFmtId="0" fontId="26" fillId="14" borderId="3" xfId="0" applyFont="1" applyFill="1" applyBorder="1"/>
    <xf numFmtId="0" fontId="26" fillId="0" borderId="0" xfId="0" applyFont="1"/>
    <xf numFmtId="1" fontId="65" fillId="0" borderId="3" xfId="0" applyNumberFormat="1" applyFont="1" applyBorder="1" applyAlignment="1">
      <alignment horizontal="center" vertical="center"/>
    </xf>
    <xf numFmtId="1" fontId="25" fillId="0" borderId="3" xfId="0" applyNumberFormat="1" applyFont="1" applyBorder="1" applyAlignment="1">
      <alignment horizontal="center" vertical="center"/>
    </xf>
    <xf numFmtId="0" fontId="65" fillId="0" borderId="0" xfId="0" applyFont="1" applyAlignment="1">
      <alignment horizontal="center" vertical="center"/>
    </xf>
    <xf numFmtId="0" fontId="65" fillId="0" borderId="3" xfId="0" applyFont="1" applyBorder="1" applyAlignment="1">
      <alignment horizontal="center" vertical="center"/>
    </xf>
    <xf numFmtId="43" fontId="65" fillId="0" borderId="3" xfId="0" applyNumberFormat="1" applyFont="1" applyBorder="1" applyAlignment="1">
      <alignment horizontal="center" vertical="center"/>
    </xf>
    <xf numFmtId="2" fontId="65" fillId="0" borderId="3" xfId="0" applyNumberFormat="1" applyFont="1" applyBorder="1" applyAlignment="1">
      <alignment horizontal="center" vertical="center"/>
    </xf>
    <xf numFmtId="0" fontId="20" fillId="8" borderId="3"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72" fillId="9" borderId="3" xfId="34" applyFont="1" applyFill="1" applyBorder="1" applyAlignment="1">
      <alignment horizontal="center" vertical="center" wrapText="1"/>
    </xf>
    <xf numFmtId="0" fontId="72" fillId="9" borderId="3" xfId="34" applyFont="1" applyFill="1" applyBorder="1" applyAlignment="1">
      <alignment horizontal="left" vertical="center" wrapText="1"/>
    </xf>
    <xf numFmtId="43" fontId="72" fillId="9" borderId="3" xfId="33" applyFont="1" applyFill="1" applyBorder="1" applyAlignment="1">
      <alignment horizontal="center" vertical="center" wrapText="1"/>
    </xf>
    <xf numFmtId="166" fontId="72" fillId="9" borderId="3" xfId="33" applyNumberFormat="1" applyFont="1" applyFill="1" applyBorder="1" applyAlignment="1">
      <alignment horizontal="center" vertical="center" wrapText="1"/>
    </xf>
    <xf numFmtId="0" fontId="57" fillId="0" borderId="2" xfId="0" applyFont="1" applyBorder="1" applyAlignment="1">
      <alignment vertical="center" wrapText="1"/>
    </xf>
    <xf numFmtId="0" fontId="56" fillId="0" borderId="2" xfId="0" applyFont="1" applyBorder="1" applyAlignment="1">
      <alignment vertical="center" wrapText="1"/>
    </xf>
    <xf numFmtId="0" fontId="59" fillId="0" borderId="2" xfId="0" applyFont="1" applyBorder="1" applyAlignment="1">
      <alignment horizontal="left" vertical="center"/>
    </xf>
    <xf numFmtId="0" fontId="57" fillId="4" borderId="12" xfId="0" applyFont="1" applyFill="1" applyBorder="1" applyAlignment="1">
      <alignment horizontal="center" vertical="center" wrapText="1"/>
    </xf>
    <xf numFmtId="0" fontId="56" fillId="4" borderId="12" xfId="0" applyFont="1" applyFill="1" applyBorder="1" applyAlignment="1">
      <alignment horizontal="center" vertical="center" wrapText="1"/>
    </xf>
    <xf numFmtId="0" fontId="23" fillId="16" borderId="3" xfId="34" applyFont="1" applyFill="1" applyBorder="1" applyAlignment="1">
      <alignment horizontal="center" vertical="center" wrapText="1"/>
    </xf>
    <xf numFmtId="43" fontId="23" fillId="16" borderId="3" xfId="33" applyFont="1" applyFill="1" applyBorder="1" applyAlignment="1">
      <alignment horizontal="center" vertical="center" wrapText="1"/>
    </xf>
    <xf numFmtId="166" fontId="23" fillId="16" borderId="3" xfId="33" applyNumberFormat="1" applyFont="1" applyFill="1" applyBorder="1" applyAlignment="1">
      <alignment horizontal="center" vertical="center" wrapText="1"/>
    </xf>
    <xf numFmtId="0" fontId="57" fillId="15" borderId="0" xfId="0" applyFont="1" applyFill="1" applyAlignment="1">
      <alignment vertical="center" wrapText="1"/>
    </xf>
    <xf numFmtId="0" fontId="56" fillId="15" borderId="0" xfId="0" applyFont="1" applyFill="1" applyAlignment="1">
      <alignment vertical="center" wrapText="1"/>
    </xf>
    <xf numFmtId="0" fontId="56" fillId="15" borderId="0" xfId="0" applyFont="1" applyFill="1" applyAlignment="1">
      <alignment vertical="center"/>
    </xf>
    <xf numFmtId="0" fontId="56" fillId="15" borderId="0" xfId="0" applyFont="1" applyFill="1"/>
    <xf numFmtId="167" fontId="56" fillId="0" borderId="3" xfId="0" applyNumberFormat="1" applyFont="1" applyBorder="1" applyAlignment="1">
      <alignment horizontal="left" vertical="center" wrapText="1"/>
    </xf>
    <xf numFmtId="166" fontId="56" fillId="0" borderId="3" xfId="0" applyNumberFormat="1" applyFont="1" applyBorder="1" applyAlignment="1">
      <alignment horizontal="left" vertical="center" wrapText="1"/>
    </xf>
    <xf numFmtId="14" fontId="56" fillId="0" borderId="3" xfId="0" applyNumberFormat="1" applyFont="1" applyBorder="1" applyAlignment="1">
      <alignment horizontal="left" vertical="center" wrapText="1"/>
    </xf>
    <xf numFmtId="167" fontId="60" fillId="0" borderId="3" xfId="0" applyNumberFormat="1" applyFont="1" applyBorder="1" applyAlignment="1">
      <alignment horizontal="left" vertical="center" wrapText="1"/>
    </xf>
    <xf numFmtId="0" fontId="60" fillId="0" borderId="3" xfId="0" applyFont="1" applyBorder="1" applyAlignment="1">
      <alignment horizontal="left"/>
    </xf>
    <xf numFmtId="0" fontId="60" fillId="0" borderId="3" xfId="0" applyFont="1" applyBorder="1" applyAlignment="1">
      <alignment horizontal="left" vertical="center" wrapText="1"/>
    </xf>
    <xf numFmtId="0" fontId="56" fillId="0" borderId="3" xfId="0" applyFont="1" applyBorder="1" applyAlignment="1">
      <alignment horizontal="left"/>
    </xf>
    <xf numFmtId="14" fontId="60" fillId="0" borderId="3" xfId="0" applyNumberFormat="1" applyFont="1" applyBorder="1" applyAlignment="1">
      <alignment horizontal="left" vertical="center" wrapText="1"/>
    </xf>
    <xf numFmtId="16" fontId="60" fillId="0" borderId="3" xfId="0" applyNumberFormat="1" applyFont="1" applyBorder="1" applyAlignment="1">
      <alignment horizontal="left" vertical="center" wrapText="1"/>
    </xf>
    <xf numFmtId="43" fontId="60" fillId="0" borderId="3" xfId="0" applyNumberFormat="1" applyFont="1" applyBorder="1" applyAlignment="1">
      <alignment horizontal="left" vertical="center" wrapText="1"/>
    </xf>
    <xf numFmtId="43" fontId="74" fillId="0" borderId="3" xfId="33" applyFont="1" applyFill="1" applyBorder="1" applyAlignment="1">
      <alignment horizontal="left" vertical="center"/>
    </xf>
    <xf numFmtId="165" fontId="74" fillId="0" borderId="3" xfId="33" applyNumberFormat="1" applyFont="1" applyFill="1" applyBorder="1" applyAlignment="1">
      <alignment horizontal="left" vertical="center"/>
    </xf>
    <xf numFmtId="0" fontId="76" fillId="0" borderId="3" xfId="0" applyFont="1" applyBorder="1" applyAlignment="1">
      <alignment horizontal="center" vertical="center"/>
    </xf>
    <xf numFmtId="0" fontId="76" fillId="0" borderId="3" xfId="0" applyFont="1" applyBorder="1" applyAlignment="1">
      <alignment horizontal="left" vertical="center"/>
    </xf>
    <xf numFmtId="0" fontId="18" fillId="0" borderId="3" xfId="0" applyFont="1" applyBorder="1" applyAlignment="1">
      <alignment horizontal="centerContinuous" vertical="top" wrapText="1"/>
    </xf>
    <xf numFmtId="0" fontId="18" fillId="0" borderId="3" xfId="0" applyFont="1" applyBorder="1" applyAlignment="1">
      <alignment horizontal="center" vertical="top" wrapText="1"/>
    </xf>
    <xf numFmtId="0" fontId="38" fillId="0" borderId="3" xfId="39" applyFont="1" applyBorder="1" applyAlignment="1">
      <alignment vertical="top" wrapText="1"/>
    </xf>
    <xf numFmtId="0" fontId="58" fillId="9" borderId="14" xfId="0" applyFont="1" applyFill="1" applyBorder="1" applyAlignment="1">
      <alignment horizontal="center" vertical="center" wrapText="1"/>
    </xf>
    <xf numFmtId="0" fontId="58" fillId="9" borderId="13" xfId="0" applyFont="1" applyFill="1" applyBorder="1" applyAlignment="1">
      <alignment horizontal="center" vertical="center" wrapText="1"/>
    </xf>
    <xf numFmtId="43" fontId="23" fillId="0" borderId="3" xfId="7" applyFont="1" applyBorder="1" applyAlignment="1">
      <alignment horizontal="center" vertical="center"/>
    </xf>
    <xf numFmtId="0" fontId="76" fillId="0" borderId="3" xfId="0" applyFont="1" applyBorder="1" applyAlignment="1">
      <alignment vertical="center"/>
    </xf>
    <xf numFmtId="177" fontId="76" fillId="0" borderId="3" xfId="33" applyNumberFormat="1" applyFont="1" applyFill="1" applyBorder="1" applyAlignment="1">
      <alignment horizontal="center" vertical="center"/>
    </xf>
    <xf numFmtId="166" fontId="76" fillId="0" borderId="3" xfId="33" applyNumberFormat="1" applyFont="1" applyFill="1" applyBorder="1" applyAlignment="1">
      <alignment horizontal="left" vertical="center"/>
    </xf>
    <xf numFmtId="0" fontId="66" fillId="0" borderId="3" xfId="0" applyFont="1" applyBorder="1" applyAlignment="1">
      <alignment horizontal="left" vertical="center" wrapText="1"/>
    </xf>
    <xf numFmtId="165" fontId="89" fillId="0" borderId="3" xfId="33" applyNumberFormat="1" applyFont="1" applyFill="1" applyBorder="1" applyAlignment="1">
      <alignment horizontal="center" vertical="center" wrapText="1"/>
    </xf>
    <xf numFmtId="165" fontId="90" fillId="0" borderId="3" xfId="33" applyNumberFormat="1" applyFont="1" applyFill="1" applyBorder="1" applyAlignment="1">
      <alignment horizontal="center" vertical="center" wrapText="1"/>
    </xf>
    <xf numFmtId="2" fontId="76" fillId="0" borderId="3" xfId="33" applyNumberFormat="1" applyFont="1" applyFill="1" applyBorder="1" applyAlignment="1">
      <alignment horizontal="center" vertical="center"/>
    </xf>
    <xf numFmtId="177" fontId="76" fillId="0" borderId="3" xfId="33" applyNumberFormat="1" applyFont="1" applyFill="1" applyBorder="1" applyAlignment="1">
      <alignment horizontal="center" vertical="center" wrapText="1"/>
    </xf>
    <xf numFmtId="43" fontId="69" fillId="0" borderId="3" xfId="33" applyFont="1" applyFill="1" applyBorder="1" applyAlignment="1">
      <alignment horizontal="left" vertical="center"/>
    </xf>
    <xf numFmtId="165" fontId="69" fillId="0" borderId="3" xfId="33" applyNumberFormat="1" applyFont="1" applyFill="1" applyBorder="1" applyAlignment="1">
      <alignment horizontal="left" vertical="center"/>
    </xf>
    <xf numFmtId="43" fontId="68" fillId="0" borderId="3" xfId="15" applyFont="1" applyFill="1" applyBorder="1" applyAlignment="1" applyProtection="1">
      <alignment horizontal="right" vertical="center" wrapText="1"/>
      <protection locked="0"/>
    </xf>
    <xf numFmtId="4" fontId="68" fillId="0" borderId="3" xfId="15" applyNumberFormat="1" applyFont="1" applyFill="1" applyBorder="1" applyAlignment="1" applyProtection="1">
      <alignment horizontal="right" vertical="center"/>
      <protection locked="0"/>
    </xf>
    <xf numFmtId="9" fontId="38" fillId="0" borderId="3" xfId="33" applyNumberFormat="1" applyFont="1" applyFill="1" applyBorder="1" applyAlignment="1">
      <alignment horizontal="center" vertical="center"/>
    </xf>
    <xf numFmtId="1" fontId="38" fillId="0" borderId="3" xfId="33" applyNumberFormat="1" applyFont="1" applyFill="1" applyBorder="1" applyAlignment="1">
      <alignment horizontal="center" vertical="center"/>
    </xf>
    <xf numFmtId="166" fontId="38" fillId="0" borderId="3" xfId="33" applyNumberFormat="1" applyFont="1" applyFill="1" applyBorder="1" applyAlignment="1">
      <alignment horizontal="center" vertical="center" wrapText="1"/>
    </xf>
    <xf numFmtId="0" fontId="60" fillId="0" borderId="3" xfId="0" applyFont="1" applyBorder="1" applyAlignment="1">
      <alignment horizontal="left" vertical="center"/>
    </xf>
    <xf numFmtId="16" fontId="60" fillId="0" borderId="3" xfId="0" applyNumberFormat="1" applyFont="1" applyBorder="1" applyAlignment="1">
      <alignment horizontal="left"/>
    </xf>
    <xf numFmtId="43" fontId="60" fillId="0" borderId="3" xfId="18" applyFont="1" applyFill="1" applyBorder="1" applyAlignment="1">
      <alignment horizontal="left" vertical="center" wrapText="1"/>
    </xf>
    <xf numFmtId="43" fontId="60" fillId="0" borderId="3" xfId="7" applyFont="1" applyFill="1" applyBorder="1" applyAlignment="1">
      <alignment horizontal="left" vertical="center" wrapText="1"/>
    </xf>
    <xf numFmtId="177" fontId="93" fillId="0" borderId="3" xfId="33" applyNumberFormat="1" applyFont="1" applyFill="1" applyBorder="1" applyAlignment="1">
      <alignment horizontal="center" vertical="center"/>
    </xf>
    <xf numFmtId="1" fontId="93" fillId="0" borderId="3" xfId="33" applyNumberFormat="1" applyFont="1" applyFill="1" applyBorder="1" applyAlignment="1">
      <alignment horizontal="center" vertical="center"/>
    </xf>
    <xf numFmtId="43" fontId="92" fillId="0" borderId="3" xfId="33" applyFont="1" applyFill="1" applyBorder="1" applyAlignment="1">
      <alignment horizontal="left" vertical="center"/>
    </xf>
    <xf numFmtId="165" fontId="92" fillId="0" borderId="3" xfId="33" applyNumberFormat="1" applyFont="1" applyFill="1" applyBorder="1" applyAlignment="1">
      <alignment horizontal="left" vertical="center"/>
    </xf>
    <xf numFmtId="2" fontId="93" fillId="0" borderId="3" xfId="33" applyNumberFormat="1" applyFont="1" applyFill="1" applyBorder="1" applyAlignment="1">
      <alignment horizontal="center" vertical="center"/>
    </xf>
    <xf numFmtId="166" fontId="97" fillId="0" borderId="3" xfId="7" applyNumberFormat="1" applyFont="1" applyFill="1" applyBorder="1" applyAlignment="1">
      <alignment vertical="center"/>
    </xf>
    <xf numFmtId="0" fontId="72" fillId="16" borderId="14" xfId="34" applyFont="1" applyFill="1" applyBorder="1" applyAlignment="1">
      <alignment vertical="center" wrapText="1"/>
    </xf>
    <xf numFmtId="0" fontId="73" fillId="16" borderId="14" xfId="35" applyFont="1" applyFill="1" applyBorder="1" applyAlignment="1">
      <alignment horizontal="center" vertical="center"/>
    </xf>
    <xf numFmtId="9" fontId="73" fillId="16" borderId="14" xfId="33" applyNumberFormat="1" applyFont="1" applyFill="1" applyBorder="1" applyAlignment="1">
      <alignment horizontal="center" vertical="center"/>
    </xf>
    <xf numFmtId="43" fontId="72" fillId="16" borderId="14" xfId="33" applyFont="1" applyFill="1" applyBorder="1" applyAlignment="1">
      <alignment horizontal="center" vertical="center" wrapText="1"/>
    </xf>
    <xf numFmtId="166" fontId="73" fillId="16" borderId="14" xfId="33" applyNumberFormat="1" applyFont="1" applyFill="1" applyBorder="1" applyAlignment="1">
      <alignment horizontal="center" vertical="center" wrapText="1"/>
    </xf>
    <xf numFmtId="0" fontId="56" fillId="0" borderId="2" xfId="0" applyFont="1" applyBorder="1"/>
    <xf numFmtId="0" fontId="60" fillId="0" borderId="2" xfId="0" applyFont="1" applyBorder="1" applyAlignment="1">
      <alignment horizontal="left"/>
    </xf>
    <xf numFmtId="0" fontId="56" fillId="0" borderId="15" xfId="0" applyFont="1" applyBorder="1"/>
    <xf numFmtId="0" fontId="60" fillId="0" borderId="15" xfId="0" applyFont="1" applyBorder="1" applyAlignment="1">
      <alignment horizontal="left"/>
    </xf>
    <xf numFmtId="43" fontId="74" fillId="0" borderId="3" xfId="33" applyFont="1" applyFill="1" applyBorder="1" applyAlignment="1">
      <alignment horizontal="center" vertical="center"/>
    </xf>
    <xf numFmtId="0" fontId="67" fillId="0" borderId="3" xfId="0" applyFont="1" applyBorder="1" applyAlignment="1">
      <alignment horizontal="left" vertical="center"/>
    </xf>
    <xf numFmtId="43" fontId="92" fillId="0" borderId="3" xfId="33" applyFont="1" applyFill="1" applyBorder="1" applyAlignment="1">
      <alignment horizontal="center" vertical="center"/>
    </xf>
    <xf numFmtId="0" fontId="56" fillId="0" borderId="3" xfId="0" applyFont="1" applyBorder="1" applyAlignment="1">
      <alignment horizontal="left" vertical="center" wrapText="1"/>
    </xf>
    <xf numFmtId="43" fontId="56" fillId="0" borderId="3" xfId="0" applyNumberFormat="1" applyFont="1" applyBorder="1" applyAlignment="1">
      <alignment horizontal="left" vertical="center" wrapText="1"/>
    </xf>
    <xf numFmtId="9" fontId="38" fillId="0" borderId="15" xfId="33" applyNumberFormat="1" applyFont="1" applyFill="1" applyBorder="1" applyAlignment="1">
      <alignment horizontal="center" vertical="center"/>
    </xf>
    <xf numFmtId="1" fontId="38" fillId="0" borderId="15" xfId="33" applyNumberFormat="1" applyFont="1" applyFill="1" applyBorder="1" applyAlignment="1">
      <alignment horizontal="center" vertical="center"/>
    </xf>
    <xf numFmtId="166" fontId="38" fillId="0" borderId="15" xfId="33" applyNumberFormat="1" applyFont="1" applyFill="1" applyBorder="1" applyAlignment="1">
      <alignment horizontal="center" vertical="center" wrapText="1"/>
    </xf>
    <xf numFmtId="0" fontId="68" fillId="0" borderId="3" xfId="37" applyFont="1" applyBorder="1" applyAlignment="1">
      <alignment horizontal="center" vertical="center" wrapText="1"/>
    </xf>
    <xf numFmtId="179" fontId="31" fillId="0" borderId="3" xfId="7" applyNumberFormat="1" applyFont="1" applyFill="1" applyBorder="1" applyAlignment="1">
      <alignment horizontal="center" vertical="center" wrapText="1"/>
    </xf>
    <xf numFmtId="165" fontId="81" fillId="0" borderId="3" xfId="7" applyNumberFormat="1" applyFont="1" applyFill="1" applyBorder="1" applyAlignment="1">
      <alignment horizontal="left" vertical="center"/>
    </xf>
    <xf numFmtId="2" fontId="69" fillId="0" borderId="3" xfId="33" applyNumberFormat="1" applyFont="1" applyFill="1" applyBorder="1" applyAlignment="1">
      <alignment horizontal="center" vertical="center"/>
    </xf>
    <xf numFmtId="0" fontId="69" fillId="0" borderId="3" xfId="33" applyNumberFormat="1" applyFont="1" applyFill="1" applyBorder="1" applyAlignment="1">
      <alignment horizontal="center" vertical="center"/>
    </xf>
    <xf numFmtId="177" fontId="69" fillId="0" borderId="3" xfId="33" applyNumberFormat="1" applyFont="1" applyFill="1" applyBorder="1" applyAlignment="1">
      <alignment horizontal="center" vertical="center"/>
    </xf>
    <xf numFmtId="9" fontId="38" fillId="0" borderId="13" xfId="33" applyNumberFormat="1" applyFont="1" applyFill="1" applyBorder="1" applyAlignment="1">
      <alignment horizontal="center" vertical="center"/>
    </xf>
    <xf numFmtId="1" fontId="38" fillId="0" borderId="13" xfId="33" applyNumberFormat="1" applyFont="1" applyFill="1" applyBorder="1" applyAlignment="1">
      <alignment horizontal="center" vertical="center"/>
    </xf>
    <xf numFmtId="166" fontId="38" fillId="0" borderId="13" xfId="33" applyNumberFormat="1" applyFont="1" applyFill="1" applyBorder="1" applyAlignment="1">
      <alignment horizontal="center" vertical="center" wrapText="1"/>
    </xf>
    <xf numFmtId="9" fontId="38" fillId="0" borderId="14" xfId="33" applyNumberFormat="1" applyFont="1" applyFill="1" applyBorder="1" applyAlignment="1">
      <alignment horizontal="center" vertical="center"/>
    </xf>
    <xf numFmtId="1" fontId="38" fillId="0" borderId="14" xfId="33" applyNumberFormat="1" applyFont="1" applyFill="1" applyBorder="1" applyAlignment="1">
      <alignment horizontal="center" vertical="center"/>
    </xf>
    <xf numFmtId="166" fontId="38" fillId="0" borderId="14" xfId="33" applyNumberFormat="1" applyFont="1" applyFill="1" applyBorder="1" applyAlignment="1">
      <alignment horizontal="center" vertical="center" wrapText="1"/>
    </xf>
    <xf numFmtId="43" fontId="68" fillId="0" borderId="3" xfId="36" applyFont="1" applyFill="1" applyBorder="1" applyAlignment="1" applyProtection="1">
      <alignment horizontal="right" vertical="center"/>
      <protection locked="0"/>
    </xf>
    <xf numFmtId="165" fontId="74" fillId="0" borderId="3" xfId="33" applyNumberFormat="1" applyFont="1" applyFill="1" applyBorder="1" applyAlignment="1">
      <alignment horizontal="center" vertical="center"/>
    </xf>
    <xf numFmtId="43" fontId="68" fillId="0" borderId="3" xfId="7" applyFont="1" applyFill="1" applyBorder="1" applyAlignment="1" applyProtection="1">
      <alignment horizontal="right" vertical="center" wrapText="1"/>
      <protection locked="0"/>
    </xf>
    <xf numFmtId="43" fontId="68" fillId="0" borderId="3" xfId="7" applyFont="1" applyFill="1" applyBorder="1" applyAlignment="1" applyProtection="1">
      <alignment horizontal="right" vertical="center"/>
      <protection locked="0"/>
    </xf>
    <xf numFmtId="1" fontId="76" fillId="0" borderId="3" xfId="33" applyNumberFormat="1" applyFont="1" applyFill="1" applyBorder="1" applyAlignment="1">
      <alignment horizontal="center" vertical="center"/>
    </xf>
    <xf numFmtId="177" fontId="98" fillId="0" borderId="3" xfId="0" applyNumberFormat="1" applyFont="1" applyBorder="1" applyAlignment="1">
      <alignment horizontal="center" vertical="center" wrapText="1"/>
    </xf>
    <xf numFmtId="0" fontId="56" fillId="0" borderId="0" xfId="0" quotePrefix="1" applyFont="1" applyAlignment="1">
      <alignment wrapText="1"/>
    </xf>
    <xf numFmtId="167" fontId="15" fillId="14" borderId="0" xfId="0" applyNumberFormat="1" applyFont="1" applyFill="1" applyAlignment="1">
      <alignment horizontal="center"/>
    </xf>
    <xf numFmtId="1" fontId="76" fillId="0" borderId="3" xfId="0" applyNumberFormat="1" applyFont="1" applyBorder="1" applyAlignment="1">
      <alignment vertical="center" wrapText="1"/>
    </xf>
    <xf numFmtId="165" fontId="96" fillId="0" borderId="3" xfId="33" applyNumberFormat="1" applyFont="1" applyFill="1" applyBorder="1" applyAlignment="1">
      <alignment horizontal="left" vertical="center"/>
    </xf>
    <xf numFmtId="180" fontId="76" fillId="0" borderId="3" xfId="33" applyNumberFormat="1" applyFont="1" applyFill="1" applyBorder="1" applyAlignment="1">
      <alignment horizontal="center" vertical="center" wrapText="1"/>
    </xf>
    <xf numFmtId="0" fontId="57" fillId="0" borderId="0" xfId="0" applyFont="1" applyAlignment="1">
      <alignment horizontal="right" vertical="center" wrapText="1"/>
    </xf>
    <xf numFmtId="0" fontId="56" fillId="0" borderId="0" xfId="0" applyFont="1" applyAlignment="1">
      <alignment horizontal="right" vertical="center" wrapText="1"/>
    </xf>
    <xf numFmtId="0" fontId="59" fillId="0" borderId="0" xfId="0" applyFont="1" applyAlignment="1">
      <alignment horizontal="right" vertical="center"/>
    </xf>
    <xf numFmtId="0" fontId="57" fillId="4" borderId="3" xfId="0" applyFont="1" applyFill="1" applyBorder="1" applyAlignment="1">
      <alignment horizontal="right" vertical="center" wrapText="1"/>
    </xf>
    <xf numFmtId="0" fontId="60" fillId="0" borderId="3" xfId="0" applyFont="1" applyBorder="1" applyAlignment="1">
      <alignment horizontal="right" vertical="center" wrapText="1"/>
    </xf>
    <xf numFmtId="179" fontId="31" fillId="0" borderId="3" xfId="7" applyNumberFormat="1" applyFont="1" applyFill="1" applyBorder="1" applyAlignment="1">
      <alignment horizontal="right" vertical="center" wrapText="1"/>
    </xf>
    <xf numFmtId="166" fontId="97" fillId="0" borderId="3" xfId="7" applyNumberFormat="1" applyFont="1" applyFill="1" applyBorder="1" applyAlignment="1">
      <alignment horizontal="right" vertical="center"/>
    </xf>
    <xf numFmtId="0" fontId="56" fillId="0" borderId="0" xfId="0" applyFont="1" applyAlignment="1">
      <alignment horizontal="right"/>
    </xf>
    <xf numFmtId="1" fontId="98" fillId="0" borderId="3" xfId="33" applyNumberFormat="1" applyFont="1" applyFill="1" applyBorder="1" applyAlignment="1">
      <alignment horizontal="center" vertical="center"/>
    </xf>
    <xf numFmtId="0" fontId="24" fillId="0" borderId="2" xfId="0" applyFont="1" applyBorder="1" applyAlignment="1">
      <alignment vertical="center"/>
    </xf>
    <xf numFmtId="0" fontId="63" fillId="0" borderId="2" xfId="0" quotePrefix="1" applyFont="1" applyBorder="1" applyAlignment="1">
      <alignment vertical="center"/>
    </xf>
    <xf numFmtId="0" fontId="76" fillId="0" borderId="3" xfId="0" applyFont="1" applyBorder="1" applyAlignment="1">
      <alignment horizontal="left" vertical="center" wrapText="1"/>
    </xf>
    <xf numFmtId="177" fontId="76" fillId="0" borderId="3" xfId="0" applyNumberFormat="1" applyFont="1" applyBorder="1" applyAlignment="1">
      <alignment horizontal="center" vertical="center" wrapText="1"/>
    </xf>
    <xf numFmtId="0" fontId="24" fillId="19" borderId="3"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58" fillId="19" borderId="3" xfId="0" applyFont="1" applyFill="1" applyBorder="1" applyAlignment="1">
      <alignment horizontal="center" vertical="center" wrapText="1"/>
    </xf>
    <xf numFmtId="0" fontId="58" fillId="5" borderId="3" xfId="0" applyFont="1" applyFill="1" applyBorder="1" applyAlignment="1">
      <alignment horizontal="center" vertical="center" wrapText="1"/>
    </xf>
    <xf numFmtId="0" fontId="93" fillId="0" borderId="3" xfId="0" applyFont="1" applyBorder="1" applyAlignment="1">
      <alignment vertical="center"/>
    </xf>
    <xf numFmtId="0" fontId="93" fillId="0" borderId="3" xfId="0" applyFont="1" applyBorder="1" applyAlignment="1">
      <alignment horizontal="left" vertical="center"/>
    </xf>
    <xf numFmtId="1" fontId="93" fillId="0" borderId="3" xfId="0" applyNumberFormat="1" applyFont="1" applyBorder="1" applyAlignment="1">
      <alignment vertical="center" wrapText="1"/>
    </xf>
    <xf numFmtId="0" fontId="93" fillId="0" borderId="3" xfId="0" applyFont="1" applyBorder="1" applyAlignment="1">
      <alignment horizontal="center" vertical="center"/>
    </xf>
    <xf numFmtId="0" fontId="94" fillId="0" borderId="3" xfId="0" applyFont="1" applyBorder="1" applyAlignment="1">
      <alignment horizontal="left" vertical="center"/>
    </xf>
    <xf numFmtId="0" fontId="93" fillId="0" borderId="3" xfId="0" applyFont="1" applyBorder="1" applyAlignment="1">
      <alignment horizontal="left" vertical="center" wrapText="1"/>
    </xf>
    <xf numFmtId="177" fontId="93" fillId="0" borderId="3" xfId="0" applyNumberFormat="1" applyFont="1" applyBorder="1" applyAlignment="1">
      <alignment horizontal="center" vertical="center" wrapText="1"/>
    </xf>
    <xf numFmtId="0" fontId="60" fillId="0" borderId="3" xfId="1" applyFont="1" applyBorder="1" applyAlignment="1">
      <alignment horizontal="left" vertical="center" wrapText="1"/>
    </xf>
    <xf numFmtId="0" fontId="93" fillId="0" borderId="3" xfId="0" applyFont="1" applyBorder="1" applyAlignment="1">
      <alignment vertical="center" wrapText="1"/>
    </xf>
    <xf numFmtId="166" fontId="60" fillId="0" borderId="3" xfId="0" applyNumberFormat="1" applyFont="1" applyBorder="1" applyAlignment="1">
      <alignment horizontal="left" vertical="center" wrapText="1"/>
    </xf>
    <xf numFmtId="0" fontId="60" fillId="0" borderId="13" xfId="0" applyFont="1" applyBorder="1" applyAlignment="1">
      <alignment horizontal="left"/>
    </xf>
    <xf numFmtId="0" fontId="56" fillId="0" borderId="3" xfId="0" applyFont="1" applyBorder="1"/>
    <xf numFmtId="43" fontId="56" fillId="0" borderId="3" xfId="0" applyNumberFormat="1" applyFont="1" applyBorder="1"/>
    <xf numFmtId="0" fontId="62" fillId="0" borderId="3" xfId="0" applyFont="1" applyBorder="1"/>
    <xf numFmtId="0" fontId="56" fillId="0" borderId="3" xfId="0" applyFont="1" applyBorder="1" applyAlignment="1">
      <alignment horizontal="center"/>
    </xf>
    <xf numFmtId="0" fontId="0" fillId="0" borderId="3" xfId="0" applyBorder="1" applyAlignment="1">
      <alignment horizontal="center"/>
    </xf>
    <xf numFmtId="3" fontId="63" fillId="0" borderId="3" xfId="0" applyNumberFormat="1" applyFont="1" applyBorder="1" applyAlignment="1">
      <alignment horizontal="right" vertical="center" wrapText="1"/>
    </xf>
    <xf numFmtId="0" fontId="56" fillId="0" borderId="3" xfId="0" applyFont="1" applyBorder="1" applyAlignment="1">
      <alignment horizontal="right"/>
    </xf>
    <xf numFmtId="1" fontId="57" fillId="0" borderId="3" xfId="0" applyNumberFormat="1" applyFont="1" applyBorder="1" applyAlignment="1">
      <alignment horizontal="left" vertical="center"/>
    </xf>
    <xf numFmtId="0" fontId="56" fillId="0" borderId="0" xfId="0" applyFont="1" applyAlignment="1">
      <alignment horizontal="left" vertical="center"/>
    </xf>
    <xf numFmtId="166" fontId="38" fillId="0" borderId="3" xfId="7" applyNumberFormat="1" applyFont="1" applyFill="1" applyBorder="1" applyAlignment="1">
      <alignment horizontal="center" vertical="center" wrapText="1"/>
    </xf>
    <xf numFmtId="16" fontId="56" fillId="0" borderId="3" xfId="0" applyNumberFormat="1" applyFont="1" applyBorder="1"/>
    <xf numFmtId="169" fontId="56" fillId="0" borderId="3" xfId="0" applyNumberFormat="1" applyFont="1" applyBorder="1" applyAlignment="1">
      <alignment horizontal="left" vertical="center" wrapText="1"/>
    </xf>
    <xf numFmtId="0" fontId="56" fillId="0" borderId="0" xfId="0" applyFont="1" applyAlignment="1">
      <alignment horizontal="left"/>
    </xf>
    <xf numFmtId="14" fontId="62" fillId="0" borderId="3" xfId="0" applyNumberFormat="1" applyFont="1" applyBorder="1" applyAlignment="1">
      <alignment horizontal="left" vertical="center" wrapText="1"/>
    </xf>
    <xf numFmtId="0" fontId="56" fillId="4" borderId="3" xfId="0" applyFont="1" applyFill="1" applyBorder="1" applyAlignment="1">
      <alignment horizontal="center" vertical="center" wrapText="1"/>
    </xf>
    <xf numFmtId="4" fontId="68" fillId="0" borderId="3" xfId="15" applyNumberFormat="1" applyFont="1" applyFill="1" applyBorder="1" applyAlignment="1" applyProtection="1">
      <alignment horizontal="center" vertical="center"/>
      <protection locked="0"/>
    </xf>
    <xf numFmtId="43" fontId="60" fillId="0" borderId="3" xfId="7" applyFont="1" applyFill="1" applyBorder="1" applyAlignment="1">
      <alignment horizontal="right" vertical="center" wrapText="1"/>
    </xf>
    <xf numFmtId="43" fontId="60" fillId="0" borderId="3" xfId="0" applyNumberFormat="1" applyFont="1" applyBorder="1" applyAlignment="1">
      <alignment horizontal="right" vertical="center" wrapText="1"/>
    </xf>
    <xf numFmtId="0" fontId="57" fillId="0" borderId="0" xfId="0" applyFont="1" applyAlignment="1">
      <alignment horizontal="left" vertical="center" wrapText="1"/>
    </xf>
    <xf numFmtId="0" fontId="56" fillId="0" borderId="0" xfId="0" applyFont="1" applyAlignment="1">
      <alignment horizontal="left" vertical="center" wrapText="1"/>
    </xf>
    <xf numFmtId="167" fontId="56" fillId="4" borderId="3" xfId="0" applyNumberFormat="1" applyFont="1" applyFill="1" applyBorder="1" applyAlignment="1">
      <alignment horizontal="center" vertical="center" wrapText="1"/>
    </xf>
    <xf numFmtId="0" fontId="24" fillId="4" borderId="3" xfId="0" applyFont="1" applyFill="1" applyBorder="1" applyAlignment="1">
      <alignment vertical="center" wrapText="1"/>
    </xf>
    <xf numFmtId="0" fontId="24" fillId="4" borderId="3" xfId="0" applyFont="1" applyFill="1" applyBorder="1" applyAlignment="1">
      <alignment horizontal="left" vertical="center" wrapText="1"/>
    </xf>
    <xf numFmtId="0" fontId="56" fillId="4" borderId="3" xfId="0" applyFont="1" applyFill="1" applyBorder="1" applyAlignment="1">
      <alignment vertical="center"/>
    </xf>
    <xf numFmtId="0" fontId="24" fillId="4" borderId="3" xfId="0" applyFont="1" applyFill="1" applyBorder="1" applyAlignment="1">
      <alignment horizontal="center" vertical="center" wrapText="1"/>
    </xf>
    <xf numFmtId="165" fontId="58" fillId="4" borderId="3" xfId="7" applyNumberFormat="1" applyFont="1" applyFill="1" applyBorder="1" applyAlignment="1">
      <alignment horizontal="center" vertical="center" wrapText="1"/>
    </xf>
    <xf numFmtId="9" fontId="24" fillId="4" borderId="3" xfId="10" applyFont="1" applyFill="1" applyBorder="1" applyAlignment="1">
      <alignment horizontal="center" vertical="center" wrapText="1"/>
    </xf>
    <xf numFmtId="9" fontId="24" fillId="15" borderId="3" xfId="10" applyFont="1" applyFill="1" applyBorder="1" applyAlignment="1">
      <alignment horizontal="center" vertical="center" wrapText="1"/>
    </xf>
    <xf numFmtId="165" fontId="24" fillId="4" borderId="3" xfId="7" applyNumberFormat="1" applyFont="1" applyFill="1" applyBorder="1" applyAlignment="1">
      <alignment horizontal="center" vertical="center" wrapText="1"/>
    </xf>
    <xf numFmtId="0" fontId="72" fillId="16" borderId="3" xfId="34" applyFont="1" applyFill="1" applyBorder="1" applyAlignment="1">
      <alignment horizontal="center" vertical="center" wrapText="1"/>
    </xf>
    <xf numFmtId="0" fontId="72" fillId="16" borderId="3" xfId="0" applyFont="1" applyFill="1" applyBorder="1" applyAlignment="1">
      <alignment horizontal="left" vertical="center" wrapText="1"/>
    </xf>
    <xf numFmtId="0" fontId="19" fillId="0" borderId="2" xfId="55" applyFont="1" applyAlignment="1">
      <alignment wrapText="1"/>
    </xf>
    <xf numFmtId="181" fontId="19" fillId="0" borderId="2" xfId="56" applyNumberFormat="1" applyFont="1" applyAlignment="1">
      <alignment wrapText="1"/>
    </xf>
    <xf numFmtId="0" fontId="19" fillId="0" borderId="2" xfId="55" applyFont="1"/>
    <xf numFmtId="0" fontId="108" fillId="0" borderId="2" xfId="57" applyFont="1">
      <alignment vertical="top"/>
    </xf>
    <xf numFmtId="0" fontId="17" fillId="0" borderId="2" xfId="55" applyFont="1"/>
    <xf numFmtId="0" fontId="19" fillId="0" borderId="2" xfId="55" applyFont="1" applyAlignment="1">
      <alignment vertical="center"/>
    </xf>
    <xf numFmtId="0" fontId="110" fillId="4" borderId="3" xfId="57" applyFont="1" applyFill="1" applyBorder="1" applyAlignment="1">
      <alignment horizontal="center" vertical="center"/>
    </xf>
    <xf numFmtId="0" fontId="18" fillId="9" borderId="20" xfId="58" applyFont="1" applyFill="1" applyBorder="1" applyAlignment="1">
      <alignment horizontal="center" vertical="center" wrapText="1"/>
    </xf>
    <xf numFmtId="0" fontId="18" fillId="9" borderId="3" xfId="58" applyFont="1" applyFill="1" applyBorder="1" applyAlignment="1">
      <alignment horizontal="center" vertical="center" wrapText="1"/>
    </xf>
    <xf numFmtId="0" fontId="19" fillId="0" borderId="2" xfId="55" applyFont="1" applyAlignment="1">
      <alignment horizontal="center" vertical="center"/>
    </xf>
    <xf numFmtId="175" fontId="111" fillId="14" borderId="12" xfId="56" applyFont="1" applyFill="1" applyBorder="1" applyAlignment="1">
      <alignment horizontal="center" vertical="center"/>
    </xf>
    <xf numFmtId="43" fontId="112" fillId="14" borderId="20" xfId="60" applyFont="1" applyFill="1" applyBorder="1" applyAlignment="1">
      <alignment horizontal="center" vertical="center"/>
    </xf>
    <xf numFmtId="43" fontId="112" fillId="14" borderId="3" xfId="60" applyFont="1" applyFill="1" applyBorder="1" applyAlignment="1">
      <alignment horizontal="center" vertical="center"/>
    </xf>
    <xf numFmtId="0" fontId="19" fillId="0" borderId="21" xfId="59" applyFont="1" applyBorder="1" applyAlignment="1">
      <alignment vertical="center"/>
    </xf>
    <xf numFmtId="0" fontId="112" fillId="0" borderId="3" xfId="55" applyFont="1" applyBorder="1" applyAlignment="1">
      <alignment horizontal="center" vertical="center"/>
    </xf>
    <xf numFmtId="38" fontId="112" fillId="0" borderId="20" xfId="55" applyNumberFormat="1" applyFont="1" applyBorder="1" applyAlignment="1">
      <alignment horizontal="center" vertical="center"/>
    </xf>
    <xf numFmtId="38" fontId="112" fillId="0" borderId="3" xfId="55" applyNumberFormat="1" applyFont="1" applyBorder="1" applyAlignment="1">
      <alignment horizontal="center" vertical="center"/>
    </xf>
    <xf numFmtId="0" fontId="112" fillId="0" borderId="2" xfId="55" applyFont="1"/>
    <xf numFmtId="0" fontId="112" fillId="0" borderId="20" xfId="55" applyFont="1" applyBorder="1" applyAlignment="1">
      <alignment horizontal="center" vertical="center"/>
    </xf>
    <xf numFmtId="0" fontId="112" fillId="0" borderId="21" xfId="55" applyFont="1" applyBorder="1"/>
    <xf numFmtId="0" fontId="112" fillId="0" borderId="3" xfId="55" applyFont="1" applyBorder="1"/>
    <xf numFmtId="38" fontId="18" fillId="0" borderId="20" xfId="55" applyNumberFormat="1" applyFont="1" applyBorder="1" applyAlignment="1">
      <alignment horizontal="center" vertical="center"/>
    </xf>
    <xf numFmtId="38" fontId="18" fillId="0" borderId="3" xfId="55" applyNumberFormat="1" applyFont="1" applyBorder="1" applyAlignment="1">
      <alignment horizontal="center" vertical="center"/>
    </xf>
    <xf numFmtId="0" fontId="18" fillId="0" borderId="20" xfId="55" applyFont="1" applyBorder="1" applyAlignment="1">
      <alignment horizontal="center" vertical="center"/>
    </xf>
    <xf numFmtId="181" fontId="19" fillId="0" borderId="3" xfId="56" applyNumberFormat="1" applyFont="1" applyBorder="1" applyAlignment="1">
      <alignment vertical="center"/>
    </xf>
    <xf numFmtId="0" fontId="19" fillId="0" borderId="3" xfId="55" applyFont="1" applyBorder="1" applyAlignment="1">
      <alignment vertical="center"/>
    </xf>
    <xf numFmtId="0" fontId="19" fillId="0" borderId="21" xfId="55" applyFont="1" applyBorder="1" applyAlignment="1">
      <alignment vertical="center"/>
    </xf>
    <xf numFmtId="181" fontId="112" fillId="0" borderId="3" xfId="56" applyNumberFormat="1" applyFont="1" applyBorder="1"/>
    <xf numFmtId="0" fontId="18" fillId="22" borderId="12" xfId="55" applyFont="1" applyFill="1" applyBorder="1" applyAlignment="1">
      <alignment horizontal="center" vertical="center"/>
    </xf>
    <xf numFmtId="0" fontId="18" fillId="22" borderId="8" xfId="55" applyFont="1" applyFill="1" applyBorder="1" applyAlignment="1">
      <alignment horizontal="center" vertical="center"/>
    </xf>
    <xf numFmtId="0" fontId="18" fillId="22" borderId="8" xfId="55" applyFont="1" applyFill="1" applyBorder="1" applyAlignment="1">
      <alignment horizontal="left" vertical="center"/>
    </xf>
    <xf numFmtId="175" fontId="18" fillId="22" borderId="8" xfId="56" applyFont="1" applyFill="1" applyBorder="1" applyAlignment="1">
      <alignment horizontal="left" vertical="center"/>
    </xf>
    <xf numFmtId="175" fontId="18" fillId="22" borderId="9" xfId="56" applyFont="1" applyFill="1" applyBorder="1" applyAlignment="1">
      <alignment horizontal="left" vertical="center"/>
    </xf>
    <xf numFmtId="0" fontId="19" fillId="0" borderId="2" xfId="55" applyFont="1" applyAlignment="1">
      <alignment horizontal="center"/>
    </xf>
    <xf numFmtId="0" fontId="113" fillId="0" borderId="2" xfId="55" applyFont="1"/>
    <xf numFmtId="0" fontId="19" fillId="0" borderId="2" xfId="55" applyFont="1" applyAlignment="1">
      <alignment horizontal="left"/>
    </xf>
    <xf numFmtId="0" fontId="18" fillId="0" borderId="2" xfId="55" applyFont="1" applyAlignment="1">
      <alignment horizontal="center"/>
    </xf>
    <xf numFmtId="0" fontId="18" fillId="0" borderId="2" xfId="55" applyFont="1" applyAlignment="1">
      <alignment horizontal="left"/>
    </xf>
    <xf numFmtId="0" fontId="18" fillId="0" borderId="2" xfId="55" applyFont="1"/>
    <xf numFmtId="175" fontId="19" fillId="0" borderId="2" xfId="56" applyFont="1"/>
    <xf numFmtId="181" fontId="19" fillId="0" borderId="2" xfId="56" applyNumberFormat="1" applyFont="1"/>
    <xf numFmtId="0" fontId="106" fillId="23" borderId="3" xfId="61" applyFont="1" applyFill="1" applyBorder="1" applyAlignment="1">
      <alignment horizontal="center" vertical="center"/>
    </xf>
    <xf numFmtId="0" fontId="106" fillId="0" borderId="3" xfId="61" applyFont="1" applyBorder="1" applyAlignment="1">
      <alignment horizontal="center" vertical="center"/>
    </xf>
    <xf numFmtId="0" fontId="4" fillId="0" borderId="3" xfId="61" applyBorder="1" applyAlignment="1">
      <alignment horizontal="center" vertical="center"/>
    </xf>
    <xf numFmtId="0" fontId="4" fillId="0" borderId="3" xfId="61" applyBorder="1" applyAlignment="1">
      <alignment horizontal="center" vertical="top"/>
    </xf>
    <xf numFmtId="0" fontId="106" fillId="0" borderId="3" xfId="61" applyFont="1" applyBorder="1" applyAlignment="1">
      <alignment horizontal="center" vertical="top"/>
    </xf>
    <xf numFmtId="0" fontId="106" fillId="23" borderId="3" xfId="61" applyFont="1" applyFill="1" applyBorder="1" applyAlignment="1">
      <alignment horizontal="center" vertical="top"/>
    </xf>
    <xf numFmtId="0" fontId="106" fillId="0" borderId="3" xfId="61" applyFont="1" applyBorder="1" applyAlignment="1">
      <alignment vertical="top"/>
    </xf>
    <xf numFmtId="0" fontId="4" fillId="0" borderId="3" xfId="61" applyBorder="1" applyAlignment="1">
      <alignment vertical="top" wrapText="1"/>
    </xf>
    <xf numFmtId="0" fontId="4" fillId="0" borderId="3" xfId="61" applyBorder="1" applyAlignment="1">
      <alignment vertical="top"/>
    </xf>
    <xf numFmtId="0" fontId="106" fillId="23" borderId="3" xfId="61" applyFont="1" applyFill="1" applyBorder="1" applyAlignment="1">
      <alignment vertical="top"/>
    </xf>
    <xf numFmtId="182" fontId="19" fillId="0" borderId="2" xfId="7" applyNumberFormat="1" applyFont="1" applyBorder="1"/>
    <xf numFmtId="0" fontId="106" fillId="24" borderId="3" xfId="61" applyFont="1" applyFill="1" applyBorder="1" applyAlignment="1">
      <alignment horizontal="center" vertical="center"/>
    </xf>
    <xf numFmtId="0" fontId="106" fillId="24" borderId="3" xfId="61" applyFont="1" applyFill="1" applyBorder="1" applyAlignment="1">
      <alignment vertical="top"/>
    </xf>
    <xf numFmtId="38" fontId="112" fillId="24" borderId="20" xfId="55" applyNumberFormat="1" applyFont="1" applyFill="1" applyBorder="1" applyAlignment="1">
      <alignment horizontal="center" vertical="center"/>
    </xf>
    <xf numFmtId="38" fontId="112" fillId="24" borderId="3" xfId="55" applyNumberFormat="1" applyFont="1" applyFill="1" applyBorder="1" applyAlignment="1">
      <alignment horizontal="center" vertical="center"/>
    </xf>
    <xf numFmtId="0" fontId="19" fillId="24" borderId="21" xfId="59" applyFont="1" applyFill="1" applyBorder="1" applyAlignment="1">
      <alignment vertical="center"/>
    </xf>
    <xf numFmtId="0" fontId="112" fillId="24" borderId="2" xfId="55" applyFont="1" applyFill="1"/>
    <xf numFmtId="182" fontId="106" fillId="23" borderId="12" xfId="7" applyNumberFormat="1" applyFont="1" applyFill="1" applyBorder="1" applyAlignment="1">
      <alignment horizontal="center" vertical="center"/>
    </xf>
    <xf numFmtId="182" fontId="106" fillId="24" borderId="12" xfId="7" applyNumberFormat="1" applyFont="1" applyFill="1" applyBorder="1" applyAlignment="1">
      <alignment vertical="top"/>
    </xf>
    <xf numFmtId="182" fontId="4" fillId="0" borderId="12" xfId="7" applyNumberFormat="1" applyFont="1" applyBorder="1" applyAlignment="1">
      <alignment vertical="top" wrapText="1"/>
    </xf>
    <xf numFmtId="182" fontId="4" fillId="0" borderId="12" xfId="7" applyNumberFormat="1" applyFont="1" applyBorder="1" applyAlignment="1">
      <alignment vertical="top"/>
    </xf>
    <xf numFmtId="182" fontId="106" fillId="0" borderId="12" xfId="7" applyNumberFormat="1" applyFont="1" applyBorder="1" applyAlignment="1">
      <alignment vertical="top"/>
    </xf>
    <xf numFmtId="182" fontId="106" fillId="23" borderId="12" xfId="7" applyNumberFormat="1" applyFont="1" applyFill="1" applyBorder="1" applyAlignment="1">
      <alignment vertical="top"/>
    </xf>
    <xf numFmtId="182" fontId="18" fillId="22" borderId="12" xfId="7" applyNumberFormat="1" applyFont="1" applyFill="1" applyBorder="1" applyAlignment="1">
      <alignment horizontal="left" vertical="center"/>
    </xf>
    <xf numFmtId="0" fontId="18" fillId="0" borderId="23" xfId="55" applyFont="1" applyBorder="1" applyAlignment="1">
      <alignment horizontal="center" vertical="center"/>
    </xf>
    <xf numFmtId="181" fontId="18" fillId="0" borderId="24" xfId="56" applyNumberFormat="1" applyFont="1" applyBorder="1" applyAlignment="1">
      <alignment horizontal="center" vertical="center"/>
    </xf>
    <xf numFmtId="0" fontId="18" fillId="0" borderId="24" xfId="55" applyFont="1" applyBorder="1" applyAlignment="1">
      <alignment horizontal="center" vertical="center"/>
    </xf>
    <xf numFmtId="182" fontId="18" fillId="22" borderId="22" xfId="7" applyNumberFormat="1" applyFont="1" applyFill="1" applyBorder="1" applyAlignment="1">
      <alignment horizontal="left" vertical="center"/>
    </xf>
    <xf numFmtId="0" fontId="69" fillId="0" borderId="3" xfId="0" applyFont="1" applyBorder="1" applyAlignment="1">
      <alignment vertical="center"/>
    </xf>
    <xf numFmtId="0" fontId="69" fillId="0" borderId="3" xfId="0" applyFont="1" applyBorder="1" applyAlignment="1">
      <alignment horizontal="center" vertical="center"/>
    </xf>
    <xf numFmtId="0" fontId="59" fillId="0" borderId="3" xfId="0" applyFont="1" applyBorder="1" applyAlignment="1">
      <alignment horizontal="left" vertical="center" wrapText="1"/>
    </xf>
    <xf numFmtId="0" fontId="38" fillId="0" borderId="3" xfId="0" applyFont="1" applyBorder="1" applyAlignment="1">
      <alignment horizontal="center" vertical="center" wrapText="1"/>
    </xf>
    <xf numFmtId="0" fontId="68" fillId="0" borderId="3" xfId="0" applyFont="1" applyBorder="1" applyAlignment="1">
      <alignment horizontal="center" vertical="center"/>
    </xf>
    <xf numFmtId="4" fontId="68" fillId="0" borderId="3" xfId="0" applyNumberFormat="1" applyFont="1" applyBorder="1" applyAlignment="1" applyProtection="1">
      <alignment vertical="center" wrapText="1"/>
      <protection locked="0"/>
    </xf>
    <xf numFmtId="4" fontId="56" fillId="0" borderId="3" xfId="0" applyNumberFormat="1" applyFont="1" applyBorder="1" applyAlignment="1">
      <alignment horizontal="left" vertical="center" wrapText="1"/>
    </xf>
    <xf numFmtId="44" fontId="56" fillId="0" borderId="3" xfId="0" applyNumberFormat="1" applyFont="1" applyBorder="1" applyAlignment="1">
      <alignment horizontal="left" vertical="center" wrapText="1"/>
    </xf>
    <xf numFmtId="0" fontId="38" fillId="0" borderId="3" xfId="34" applyFont="1" applyBorder="1" applyAlignment="1">
      <alignment horizontal="center" vertical="center" wrapText="1"/>
    </xf>
    <xf numFmtId="0" fontId="38" fillId="0" borderId="3" xfId="0" applyFont="1" applyBorder="1" applyAlignment="1">
      <alignment horizontal="left" vertical="center" indent="1"/>
    </xf>
    <xf numFmtId="0" fontId="38" fillId="0" borderId="3" xfId="35" applyFont="1" applyBorder="1" applyAlignment="1">
      <alignment horizontal="center" vertical="center"/>
    </xf>
    <xf numFmtId="43" fontId="76" fillId="0" borderId="3" xfId="0" applyNumberFormat="1" applyFont="1" applyBorder="1" applyAlignment="1">
      <alignment vertical="center" wrapText="1"/>
    </xf>
    <xf numFmtId="0" fontId="38" fillId="0" borderId="3" xfId="0" applyFont="1" applyBorder="1" applyAlignment="1">
      <alignment horizontal="center" vertical="center"/>
    </xf>
    <xf numFmtId="14" fontId="56" fillId="0" borderId="3" xfId="0" quotePrefix="1" applyNumberFormat="1" applyFont="1" applyBorder="1" applyAlignment="1">
      <alignment horizontal="left" vertical="center" wrapText="1"/>
    </xf>
    <xf numFmtId="4" fontId="68" fillId="0" borderId="3" xfId="37" applyNumberFormat="1" applyFont="1" applyBorder="1" applyAlignment="1" applyProtection="1">
      <alignment horizontal="right" vertical="center" wrapText="1"/>
      <protection locked="0"/>
    </xf>
    <xf numFmtId="0" fontId="38" fillId="0" borderId="13" xfId="0" applyFont="1" applyBorder="1" applyAlignment="1">
      <alignment horizontal="center" vertical="center" wrapText="1"/>
    </xf>
    <xf numFmtId="0" fontId="38" fillId="0" borderId="13" xfId="35" applyFont="1" applyBorder="1" applyAlignment="1">
      <alignment horizontal="center" vertical="center"/>
    </xf>
    <xf numFmtId="0" fontId="38" fillId="0" borderId="14" xfId="0" applyFont="1" applyBorder="1" applyAlignment="1">
      <alignment horizontal="center" vertical="center" wrapText="1"/>
    </xf>
    <xf numFmtId="0" fontId="38" fillId="0" borderId="14" xfId="35" applyFont="1" applyBorder="1" applyAlignment="1">
      <alignment horizontal="center" vertical="center"/>
    </xf>
    <xf numFmtId="0" fontId="68" fillId="0" borderId="3" xfId="37" applyFont="1" applyBorder="1" applyAlignment="1">
      <alignment horizontal="left" vertical="center" wrapText="1"/>
    </xf>
    <xf numFmtId="0" fontId="38" fillId="0" borderId="15" xfId="0" applyFont="1" applyBorder="1" applyAlignment="1">
      <alignment horizontal="center" vertical="center" wrapText="1"/>
    </xf>
    <xf numFmtId="0" fontId="38" fillId="0" borderId="15" xfId="35" applyFont="1" applyBorder="1" applyAlignment="1">
      <alignment horizontal="center" vertical="center"/>
    </xf>
    <xf numFmtId="0" fontId="56" fillId="0" borderId="2" xfId="0" applyFont="1" applyBorder="1" applyAlignment="1">
      <alignment horizontal="left"/>
    </xf>
    <xf numFmtId="14" fontId="56" fillId="0" borderId="3" xfId="0" applyNumberFormat="1" applyFont="1" applyBorder="1" applyAlignment="1">
      <alignment horizontal="center" vertical="center" wrapText="1"/>
    </xf>
    <xf numFmtId="169" fontId="56" fillId="0" borderId="3" xfId="0" applyNumberFormat="1" applyFont="1" applyBorder="1" applyAlignment="1">
      <alignment horizontal="left" vertical="center"/>
    </xf>
    <xf numFmtId="0" fontId="68" fillId="0" borderId="3" xfId="0" applyFont="1" applyBorder="1" applyAlignment="1">
      <alignment horizontal="center" vertical="center" wrapText="1"/>
    </xf>
    <xf numFmtId="49" fontId="56" fillId="0" borderId="3" xfId="0" applyNumberFormat="1" applyFont="1" applyBorder="1" applyAlignment="1">
      <alignment horizontal="left" vertical="center" wrapText="1"/>
    </xf>
    <xf numFmtId="0" fontId="56" fillId="0" borderId="3" xfId="0" applyFont="1" applyBorder="1" applyAlignment="1">
      <alignment horizontal="right" vertical="center" wrapText="1"/>
    </xf>
    <xf numFmtId="166" fontId="56" fillId="0" borderId="3" xfId="0" applyNumberFormat="1" applyFont="1" applyBorder="1" applyAlignment="1">
      <alignment horizontal="right" vertical="center" wrapText="1"/>
    </xf>
    <xf numFmtId="167" fontId="56" fillId="0" borderId="3" xfId="0" applyNumberFormat="1" applyFont="1" applyBorder="1" applyAlignment="1">
      <alignment horizontal="left" vertical="center"/>
    </xf>
    <xf numFmtId="0" fontId="68" fillId="0" borderId="3" xfId="37" applyFont="1" applyBorder="1" applyAlignment="1">
      <alignment horizontal="center" vertical="center"/>
    </xf>
    <xf numFmtId="43" fontId="77" fillId="0" borderId="3" xfId="0" applyNumberFormat="1" applyFont="1" applyBorder="1" applyAlignment="1">
      <alignment vertical="center" wrapText="1"/>
    </xf>
    <xf numFmtId="178" fontId="56" fillId="0" borderId="3" xfId="0" applyNumberFormat="1" applyFont="1" applyBorder="1" applyAlignment="1">
      <alignment horizontal="left" vertical="center" wrapText="1"/>
    </xf>
    <xf numFmtId="167" fontId="84" fillId="0" borderId="3" xfId="0" applyNumberFormat="1" applyFont="1" applyBorder="1" applyAlignment="1">
      <alignment horizontal="left" vertical="center" wrapText="1"/>
    </xf>
    <xf numFmtId="167" fontId="58" fillId="0" borderId="3" xfId="0" applyNumberFormat="1" applyFont="1" applyBorder="1" applyAlignment="1">
      <alignment horizontal="left" vertical="center" wrapText="1"/>
    </xf>
    <xf numFmtId="167" fontId="62" fillId="0" borderId="3" xfId="0" applyNumberFormat="1" applyFont="1" applyBorder="1" applyAlignment="1">
      <alignment horizontal="left" vertical="center" wrapText="1"/>
    </xf>
    <xf numFmtId="167" fontId="57" fillId="0" borderId="3" xfId="0" applyNumberFormat="1" applyFont="1" applyBorder="1" applyAlignment="1">
      <alignment horizontal="right" vertical="center" wrapText="1"/>
    </xf>
    <xf numFmtId="0" fontId="77" fillId="0" borderId="3" xfId="0" applyFont="1" applyBorder="1" applyAlignment="1">
      <alignment vertical="center"/>
    </xf>
    <xf numFmtId="0" fontId="79" fillId="0" borderId="3" xfId="0" applyFont="1" applyBorder="1" applyAlignment="1">
      <alignment horizontal="left" vertical="center" wrapText="1"/>
    </xf>
    <xf numFmtId="0" fontId="60" fillId="0" borderId="3" xfId="0" applyFont="1" applyBorder="1" applyAlignment="1">
      <alignment vertical="center" wrapText="1"/>
    </xf>
    <xf numFmtId="0" fontId="60" fillId="0" borderId="3" xfId="0" applyFont="1" applyBorder="1" applyAlignment="1">
      <alignment horizontal="center" vertical="center" wrapText="1"/>
    </xf>
    <xf numFmtId="0" fontId="17" fillId="0" borderId="3" xfId="0" applyFont="1" applyBorder="1" applyAlignment="1">
      <alignment horizontal="center" vertical="center"/>
    </xf>
    <xf numFmtId="0" fontId="80" fillId="0" borderId="3" xfId="0" applyFont="1" applyBorder="1" applyAlignment="1">
      <alignment vertical="center" wrapText="1"/>
    </xf>
    <xf numFmtId="176" fontId="56" fillId="0" borderId="3" xfId="0" applyNumberFormat="1" applyFont="1" applyBorder="1" applyAlignment="1">
      <alignment horizontal="left" vertical="center" wrapText="1"/>
    </xf>
    <xf numFmtId="0" fontId="79" fillId="0" borderId="3" xfId="0" applyFont="1" applyBorder="1" applyAlignment="1">
      <alignment horizontal="center" vertical="center" wrapText="1"/>
    </xf>
    <xf numFmtId="167" fontId="57" fillId="0" borderId="3" xfId="0" applyNumberFormat="1" applyFont="1" applyBorder="1" applyAlignment="1">
      <alignment horizontal="left" vertical="center" wrapText="1"/>
    </xf>
    <xf numFmtId="0" fontId="56" fillId="0" borderId="3" xfId="0" applyFont="1" applyBorder="1" applyAlignment="1">
      <alignment vertical="center" wrapText="1"/>
    </xf>
    <xf numFmtId="14" fontId="46" fillId="0" borderId="3" xfId="0" applyNumberFormat="1" applyFont="1" applyBorder="1" applyAlignment="1">
      <alignment horizontal="left" shrinkToFit="1"/>
    </xf>
    <xf numFmtId="0" fontId="87" fillId="0" borderId="3" xfId="0" applyFont="1" applyBorder="1" applyAlignment="1">
      <alignment horizontal="center" vertical="center"/>
    </xf>
    <xf numFmtId="1" fontId="83" fillId="0" borderId="3" xfId="0" applyNumberFormat="1" applyFont="1" applyBorder="1" applyAlignment="1">
      <alignment horizontal="right" vertical="top" shrinkToFit="1"/>
    </xf>
    <xf numFmtId="0" fontId="99" fillId="0" borderId="3" xfId="0" applyFont="1" applyBorder="1"/>
    <xf numFmtId="177" fontId="88" fillId="0" borderId="3" xfId="0" applyNumberFormat="1" applyFont="1" applyBorder="1" applyAlignment="1">
      <alignment horizontal="center" vertical="center" wrapText="1"/>
    </xf>
    <xf numFmtId="177" fontId="79" fillId="0" borderId="3" xfId="0" applyNumberFormat="1" applyFont="1" applyBorder="1" applyAlignment="1">
      <alignment horizontal="center" vertical="center" wrapText="1"/>
    </xf>
    <xf numFmtId="0" fontId="79" fillId="0" borderId="3" xfId="0" applyFont="1" applyBorder="1" applyAlignment="1">
      <alignment vertical="center"/>
    </xf>
    <xf numFmtId="177" fontId="79" fillId="0" borderId="3" xfId="0" applyNumberFormat="1" applyFont="1" applyBorder="1" applyAlignment="1">
      <alignment horizontal="center" vertical="center"/>
    </xf>
    <xf numFmtId="1" fontId="88" fillId="0" borderId="3" xfId="0" applyNumberFormat="1" applyFont="1" applyBorder="1" applyAlignment="1">
      <alignment horizontal="center" vertical="center" wrapText="1"/>
    </xf>
    <xf numFmtId="2" fontId="88" fillId="0" borderId="3" xfId="0" applyNumberFormat="1" applyFont="1" applyBorder="1" applyAlignment="1">
      <alignment horizontal="left" vertical="center"/>
    </xf>
    <xf numFmtId="2" fontId="88" fillId="0" borderId="3" xfId="0" applyNumberFormat="1" applyFont="1" applyBorder="1" applyAlignment="1">
      <alignment vertical="center" wrapText="1"/>
    </xf>
    <xf numFmtId="2" fontId="76" fillId="0" borderId="3" xfId="0" applyNumberFormat="1" applyFont="1" applyBorder="1" applyAlignment="1">
      <alignment horizontal="center" vertical="center"/>
    </xf>
    <xf numFmtId="2" fontId="76" fillId="0" borderId="3" xfId="0" applyNumberFormat="1" applyFont="1" applyBorder="1" applyAlignment="1">
      <alignment horizontal="left" vertical="center"/>
    </xf>
    <xf numFmtId="49" fontId="78" fillId="0" borderId="3" xfId="0" applyNumberFormat="1" applyFont="1" applyBorder="1" applyAlignment="1">
      <alignment vertical="center" wrapText="1"/>
    </xf>
    <xf numFmtId="167" fontId="56" fillId="0" borderId="3" xfId="0" applyNumberFormat="1" applyFont="1" applyBorder="1" applyAlignment="1">
      <alignment horizontal="right" vertical="center" wrapText="1"/>
    </xf>
    <xf numFmtId="1" fontId="76" fillId="0" borderId="3" xfId="0" quotePrefix="1" applyNumberFormat="1" applyFont="1" applyBorder="1" applyAlignment="1">
      <alignment vertical="center" wrapText="1"/>
    </xf>
    <xf numFmtId="0" fontId="79" fillId="0" borderId="3" xfId="0" applyFont="1" applyBorder="1" applyAlignment="1">
      <alignment horizontal="left" vertical="center"/>
    </xf>
    <xf numFmtId="180" fontId="88" fillId="0" borderId="3" xfId="0" applyNumberFormat="1" applyFont="1" applyBorder="1" applyAlignment="1">
      <alignment horizontal="center" vertical="center" wrapText="1"/>
    </xf>
    <xf numFmtId="0" fontId="60" fillId="0" borderId="3" xfId="0" applyFont="1" applyBorder="1" applyAlignment="1">
      <alignment horizontal="right"/>
    </xf>
    <xf numFmtId="0" fontId="76" fillId="0" borderId="14" xfId="0" applyFont="1" applyBorder="1" applyAlignment="1">
      <alignment horizontal="left" vertical="center"/>
    </xf>
    <xf numFmtId="1" fontId="76" fillId="0" borderId="3" xfId="0" quotePrefix="1" applyNumberFormat="1" applyFont="1" applyBorder="1" applyAlignment="1">
      <alignment horizontal="left" vertical="center" wrapText="1"/>
    </xf>
    <xf numFmtId="0" fontId="19" fillId="0" borderId="3" xfId="0" applyFont="1" applyBorder="1" applyAlignment="1">
      <alignment horizontal="center" vertical="center" wrapText="1"/>
    </xf>
    <xf numFmtId="0" fontId="89" fillId="0" borderId="3" xfId="0" applyFont="1" applyBorder="1" applyAlignment="1">
      <alignment horizontal="center" vertical="center" wrapText="1"/>
    </xf>
    <xf numFmtId="166" fontId="57" fillId="0" borderId="3" xfId="0" applyNumberFormat="1" applyFont="1" applyBorder="1" applyAlignment="1">
      <alignment horizontal="left" vertical="center" wrapText="1"/>
    </xf>
    <xf numFmtId="0" fontId="76" fillId="0" borderId="3" xfId="0" applyFont="1" applyBorder="1" applyAlignment="1">
      <alignment vertical="center" wrapText="1"/>
    </xf>
    <xf numFmtId="0" fontId="103" fillId="0" borderId="3" xfId="0" applyFont="1" applyBorder="1" applyAlignment="1">
      <alignment vertical="center" wrapText="1"/>
    </xf>
    <xf numFmtId="0" fontId="76" fillId="0" borderId="13" xfId="0" applyFont="1" applyBorder="1" applyAlignment="1">
      <alignment horizontal="center" vertical="center"/>
    </xf>
    <xf numFmtId="43" fontId="76" fillId="0" borderId="14" xfId="0" applyNumberFormat="1" applyFont="1" applyBorder="1" applyAlignment="1">
      <alignment vertical="center" wrapText="1"/>
    </xf>
    <xf numFmtId="0" fontId="57" fillId="13" borderId="35" xfId="67" applyFont="1" applyFill="1" applyBorder="1" applyAlignment="1">
      <alignment horizontal="center" wrapText="1"/>
    </xf>
    <xf numFmtId="176" fontId="56" fillId="13" borderId="35" xfId="67" applyNumberFormat="1" applyFont="1" applyFill="1" applyBorder="1" applyAlignment="1">
      <alignment horizontal="right" wrapText="1"/>
    </xf>
    <xf numFmtId="43" fontId="56" fillId="0" borderId="3" xfId="0" applyNumberFormat="1" applyFont="1" applyBorder="1" applyAlignment="1">
      <alignment horizontal="right"/>
    </xf>
    <xf numFmtId="9" fontId="57" fillId="0" borderId="0" xfId="64" applyFont="1" applyAlignment="1">
      <alignment vertical="center" wrapText="1"/>
    </xf>
    <xf numFmtId="9" fontId="56" fillId="0" borderId="0" xfId="64" applyFont="1" applyAlignment="1">
      <alignment vertical="center" wrapText="1"/>
    </xf>
    <xf numFmtId="9" fontId="59" fillId="0" borderId="0" xfId="64" applyFont="1" applyAlignment="1">
      <alignment horizontal="left" vertical="center"/>
    </xf>
    <xf numFmtId="9" fontId="57" fillId="6" borderId="3" xfId="64" applyFont="1" applyFill="1" applyBorder="1" applyAlignment="1">
      <alignment horizontal="center" vertical="center" wrapText="1"/>
    </xf>
    <xf numFmtId="9" fontId="68" fillId="0" borderId="3" xfId="64" applyFont="1" applyFill="1" applyBorder="1" applyAlignment="1" applyProtection="1">
      <alignment horizontal="right" vertical="center"/>
      <protection locked="0"/>
    </xf>
    <xf numFmtId="9" fontId="56" fillId="0" borderId="0" xfId="64" applyFont="1"/>
    <xf numFmtId="0" fontId="20" fillId="25" borderId="2" xfId="71" applyFont="1" applyFill="1" applyAlignment="1">
      <alignment horizontal="center" vertical="center"/>
    </xf>
    <xf numFmtId="0" fontId="142" fillId="25" borderId="2" xfId="71" applyFont="1" applyFill="1" applyAlignment="1">
      <alignment horizontal="left" vertical="center"/>
    </xf>
    <xf numFmtId="3" fontId="20" fillId="25" borderId="2" xfId="71" applyNumberFormat="1" applyFont="1" applyFill="1" applyAlignment="1">
      <alignment horizontal="center" vertical="center"/>
    </xf>
    <xf numFmtId="183" fontId="20" fillId="25" borderId="2" xfId="72" applyFont="1" applyFill="1" applyAlignment="1">
      <alignment horizontal="center" vertical="center"/>
    </xf>
    <xf numFmtId="0" fontId="20" fillId="0" borderId="2" xfId="71" applyFont="1" applyAlignment="1">
      <alignment horizontal="center" vertical="center"/>
    </xf>
    <xf numFmtId="0" fontId="20" fillId="25" borderId="2" xfId="71" applyFont="1" applyFill="1" applyAlignment="1">
      <alignment horizontal="left" vertical="center"/>
    </xf>
    <xf numFmtId="0" fontId="20" fillId="26" borderId="2" xfId="71" applyFont="1" applyFill="1" applyAlignment="1">
      <alignment horizontal="center" vertical="center"/>
    </xf>
    <xf numFmtId="3" fontId="20" fillId="26" borderId="2" xfId="71" applyNumberFormat="1" applyFont="1" applyFill="1" applyAlignment="1">
      <alignment horizontal="center" vertical="center"/>
    </xf>
    <xf numFmtId="183" fontId="20" fillId="26" borderId="2" xfId="72" applyFont="1" applyFill="1" applyAlignment="1">
      <alignment horizontal="center" vertical="center"/>
    </xf>
    <xf numFmtId="0" fontId="20" fillId="0" borderId="2" xfId="71" applyFont="1" applyAlignment="1">
      <alignment horizontal="left" vertical="center"/>
    </xf>
    <xf numFmtId="0" fontId="147" fillId="25" borderId="2" xfId="73" applyFont="1" applyFill="1"/>
    <xf numFmtId="3" fontId="17" fillId="0" borderId="3" xfId="71" applyNumberFormat="1" applyFont="1" applyBorder="1" applyAlignment="1">
      <alignment horizontal="center" vertical="center"/>
    </xf>
    <xf numFmtId="3" fontId="17" fillId="0" borderId="3" xfId="72" applyNumberFormat="1" applyFont="1" applyFill="1" applyBorder="1" applyAlignment="1">
      <alignment horizontal="center" vertical="center"/>
    </xf>
    <xf numFmtId="3" fontId="17" fillId="13" borderId="3" xfId="71" applyNumberFormat="1" applyFont="1" applyFill="1" applyBorder="1" applyAlignment="1">
      <alignment horizontal="center" vertical="center"/>
    </xf>
    <xf numFmtId="3" fontId="17" fillId="13" borderId="3" xfId="72" applyNumberFormat="1" applyFont="1" applyFill="1" applyBorder="1" applyAlignment="1">
      <alignment horizontal="center" vertical="center"/>
    </xf>
    <xf numFmtId="3" fontId="148" fillId="0" borderId="3" xfId="72" applyNumberFormat="1" applyFont="1" applyFill="1" applyBorder="1" applyAlignment="1">
      <alignment horizontal="center" vertical="center"/>
    </xf>
    <xf numFmtId="3" fontId="20" fillId="13" borderId="3" xfId="72" applyNumberFormat="1" applyFont="1" applyFill="1" applyBorder="1" applyAlignment="1">
      <alignment horizontal="center" vertical="center"/>
    </xf>
    <xf numFmtId="0" fontId="22" fillId="0" borderId="2" xfId="71" applyFont="1" applyAlignment="1">
      <alignment horizontal="center" vertical="center"/>
    </xf>
    <xf numFmtId="3" fontId="22" fillId="0" borderId="2" xfId="71" applyNumberFormat="1" applyFont="1" applyAlignment="1">
      <alignment horizontal="center" vertical="center"/>
    </xf>
    <xf numFmtId="183" fontId="20" fillId="0" borderId="2" xfId="72" applyFont="1" applyBorder="1" applyAlignment="1">
      <alignment horizontal="center" vertical="center"/>
    </xf>
    <xf numFmtId="0" fontId="149" fillId="0" borderId="2" xfId="71" applyFont="1" applyAlignment="1">
      <alignment horizontal="left" vertical="center"/>
    </xf>
    <xf numFmtId="3" fontId="20" fillId="0" borderId="2" xfId="71" applyNumberFormat="1" applyFont="1" applyAlignment="1">
      <alignment horizontal="center" vertical="center"/>
    </xf>
    <xf numFmtId="183" fontId="20" fillId="0" borderId="2" xfId="72" applyFont="1" applyAlignment="1">
      <alignment horizontal="center" vertical="center"/>
    </xf>
    <xf numFmtId="3" fontId="20" fillId="0" borderId="2" xfId="72" applyNumberFormat="1" applyFont="1" applyAlignment="1">
      <alignment horizontal="center" vertical="center"/>
    </xf>
    <xf numFmtId="0" fontId="150" fillId="28" borderId="3" xfId="0" applyFont="1" applyFill="1" applyBorder="1" applyAlignment="1">
      <alignment horizontal="centerContinuous" vertical="center"/>
    </xf>
    <xf numFmtId="0" fontId="150" fillId="28" borderId="3" xfId="0" applyFont="1" applyFill="1" applyBorder="1" applyAlignment="1">
      <alignment horizontal="centerContinuous" vertical="center" wrapText="1"/>
    </xf>
    <xf numFmtId="0" fontId="150" fillId="28" borderId="3" xfId="0" applyFont="1" applyFill="1" applyBorder="1" applyAlignment="1">
      <alignment horizontal="center" vertical="center"/>
    </xf>
    <xf numFmtId="0" fontId="150" fillId="28" borderId="3" xfId="0" applyFont="1" applyFill="1" applyBorder="1" applyAlignment="1">
      <alignment horizontal="center" vertical="center" wrapText="1"/>
    </xf>
    <xf numFmtId="0" fontId="104" fillId="0" borderId="2" xfId="74" applyFont="1"/>
    <xf numFmtId="0" fontId="104" fillId="0" borderId="51" xfId="74" applyFont="1" applyBorder="1" applyAlignment="1">
      <alignment horizontal="center" vertical="center" wrapText="1"/>
    </xf>
    <xf numFmtId="0" fontId="139" fillId="0" borderId="5" xfId="74" applyFont="1" applyBorder="1" applyAlignment="1">
      <alignment vertical="center"/>
    </xf>
    <xf numFmtId="0" fontId="139" fillId="0" borderId="6" xfId="74" applyFont="1" applyBorder="1" applyAlignment="1">
      <alignment vertical="center" wrapText="1"/>
    </xf>
    <xf numFmtId="0" fontId="104" fillId="0" borderId="6" xfId="74" applyFont="1" applyBorder="1"/>
    <xf numFmtId="0" fontId="104" fillId="0" borderId="6" xfId="74" applyFont="1" applyBorder="1" applyAlignment="1">
      <alignment horizontal="center"/>
    </xf>
    <xf numFmtId="0" fontId="104" fillId="0" borderId="52" xfId="74" applyFont="1" applyBorder="1"/>
    <xf numFmtId="0" fontId="152" fillId="0" borderId="53" xfId="74" applyFont="1" applyBorder="1" applyAlignment="1">
      <alignment horizontal="center" vertical="center" wrapText="1"/>
    </xf>
    <xf numFmtId="0" fontId="139" fillId="0" borderId="10" xfId="74" applyFont="1" applyBorder="1" applyAlignment="1">
      <alignment vertical="center" wrapText="1"/>
    </xf>
    <xf numFmtId="0" fontId="139" fillId="0" borderId="11" xfId="74" applyFont="1" applyBorder="1" applyAlignment="1">
      <alignment vertical="center" wrapText="1"/>
    </xf>
    <xf numFmtId="0" fontId="104" fillId="0" borderId="11" xfId="74" applyFont="1" applyBorder="1"/>
    <xf numFmtId="0" fontId="104" fillId="0" borderId="11" xfId="74" applyFont="1" applyBorder="1" applyAlignment="1">
      <alignment horizontal="center"/>
    </xf>
    <xf numFmtId="0" fontId="104" fillId="0" borderId="46" xfId="74" applyFont="1" applyBorder="1"/>
    <xf numFmtId="0" fontId="104" fillId="0" borderId="54" xfId="74" applyFont="1" applyBorder="1"/>
    <xf numFmtId="0" fontId="104" fillId="0" borderId="55" xfId="74" applyFont="1" applyBorder="1" applyAlignment="1">
      <alignment horizontal="center"/>
    </xf>
    <xf numFmtId="0" fontId="104" fillId="0" borderId="2" xfId="74" applyFont="1" applyAlignment="1">
      <alignment horizontal="center"/>
    </xf>
    <xf numFmtId="0" fontId="139" fillId="14" borderId="20" xfId="74" applyFont="1" applyFill="1" applyBorder="1" applyAlignment="1">
      <alignment horizontal="center" vertical="center" wrapText="1"/>
    </xf>
    <xf numFmtId="0" fontId="139" fillId="14" borderId="3" xfId="74" applyFont="1" applyFill="1" applyBorder="1" applyAlignment="1">
      <alignment horizontal="center" vertical="center" wrapText="1"/>
    </xf>
    <xf numFmtId="0" fontId="153" fillId="14" borderId="20" xfId="16" applyFont="1" applyFill="1" applyBorder="1" applyAlignment="1">
      <alignment horizontal="center" vertical="center" wrapText="1"/>
    </xf>
    <xf numFmtId="0" fontId="153" fillId="14" borderId="3" xfId="16" applyFont="1" applyFill="1" applyBorder="1" applyAlignment="1">
      <alignment horizontal="center" vertical="center" wrapText="1"/>
    </xf>
    <xf numFmtId="166" fontId="154" fillId="4" borderId="3" xfId="76" applyNumberFormat="1" applyFont="1" applyFill="1" applyBorder="1" applyAlignment="1">
      <alignment horizontal="center" vertical="center" wrapText="1"/>
    </xf>
    <xf numFmtId="166" fontId="153" fillId="14" borderId="3" xfId="76" applyNumberFormat="1" applyFont="1" applyFill="1" applyBorder="1" applyAlignment="1">
      <alignment horizontal="center" vertical="center"/>
    </xf>
    <xf numFmtId="166" fontId="139" fillId="14" borderId="3" xfId="75" applyNumberFormat="1" applyFont="1" applyFill="1" applyBorder="1" applyAlignment="1">
      <alignment horizontal="center" vertical="center" wrapText="1"/>
    </xf>
    <xf numFmtId="166" fontId="153" fillId="4" borderId="3" xfId="76" applyNumberFormat="1" applyFont="1" applyFill="1" applyBorder="1" applyAlignment="1">
      <alignment horizontal="center" vertical="center" wrapText="1"/>
    </xf>
    <xf numFmtId="166" fontId="153" fillId="14" borderId="3" xfId="76" applyNumberFormat="1" applyFont="1" applyFill="1" applyBorder="1" applyAlignment="1">
      <alignment horizontal="center" vertical="center" wrapText="1"/>
    </xf>
    <xf numFmtId="166" fontId="139" fillId="14" borderId="21" xfId="74" quotePrefix="1" applyNumberFormat="1" applyFont="1" applyFill="1" applyBorder="1" applyAlignment="1">
      <alignment horizontal="center" vertical="center" wrapText="1"/>
    </xf>
    <xf numFmtId="0" fontId="139" fillId="0" borderId="2" xfId="74" applyFont="1"/>
    <xf numFmtId="0" fontId="81" fillId="0" borderId="3" xfId="78" applyFont="1" applyBorder="1" applyAlignment="1">
      <alignment horizontal="left" vertical="center" wrapText="1"/>
    </xf>
    <xf numFmtId="0" fontId="81" fillId="0" borderId="3" xfId="78" applyFont="1" applyBorder="1" applyAlignment="1">
      <alignment horizontal="center" vertical="center"/>
    </xf>
    <xf numFmtId="43" fontId="81" fillId="0" borderId="3" xfId="76" applyFont="1" applyFill="1" applyBorder="1" applyAlignment="1">
      <alignment horizontal="center" vertical="center"/>
    </xf>
    <xf numFmtId="166" fontId="154" fillId="0" borderId="3" xfId="76" applyNumberFormat="1" applyFont="1" applyFill="1" applyBorder="1" applyAlignment="1">
      <alignment vertical="center"/>
    </xf>
    <xf numFmtId="0" fontId="104" fillId="0" borderId="3" xfId="74" applyFont="1" applyBorder="1" applyAlignment="1">
      <alignment vertical="center"/>
    </xf>
    <xf numFmtId="0" fontId="104" fillId="0" borderId="3" xfId="74" applyFont="1" applyBorder="1" applyAlignment="1">
      <alignment horizontal="center" vertical="center"/>
    </xf>
    <xf numFmtId="166" fontId="154" fillId="0" borderId="3" xfId="76" applyNumberFormat="1" applyFont="1" applyFill="1" applyBorder="1" applyAlignment="1">
      <alignment horizontal="center" vertical="center" wrapText="1"/>
    </xf>
    <xf numFmtId="0" fontId="104" fillId="4" borderId="20" xfId="74" applyFont="1" applyFill="1" applyBorder="1" applyAlignment="1">
      <alignment horizontal="center" vertical="center" wrapText="1"/>
    </xf>
    <xf numFmtId="0" fontId="139" fillId="4" borderId="3" xfId="74" applyFont="1" applyFill="1" applyBorder="1" applyAlignment="1">
      <alignment vertical="center" wrapText="1"/>
    </xf>
    <xf numFmtId="0" fontId="104" fillId="4" borderId="3" xfId="74" applyFont="1" applyFill="1" applyBorder="1" applyAlignment="1">
      <alignment vertical="center" wrapText="1"/>
    </xf>
    <xf numFmtId="0" fontId="104" fillId="4" borderId="3" xfId="74" applyFont="1" applyFill="1" applyBorder="1" applyAlignment="1">
      <alignment horizontal="center" vertical="center" wrapText="1"/>
    </xf>
    <xf numFmtId="0" fontId="104" fillId="4" borderId="3" xfId="74" applyFont="1" applyFill="1" applyBorder="1" applyAlignment="1">
      <alignment vertical="center"/>
    </xf>
    <xf numFmtId="0" fontId="104" fillId="4" borderId="3" xfId="74" applyFont="1" applyFill="1" applyBorder="1" applyAlignment="1">
      <alignment horizontal="center" vertical="center"/>
    </xf>
    <xf numFmtId="166" fontId="139" fillId="4" borderId="3" xfId="74" applyNumberFormat="1" applyFont="1" applyFill="1" applyBorder="1" applyAlignment="1">
      <alignment vertical="center"/>
    </xf>
    <xf numFmtId="0" fontId="104" fillId="4" borderId="21" xfId="74" applyFont="1" applyFill="1" applyBorder="1" applyAlignment="1">
      <alignment vertical="center"/>
    </xf>
    <xf numFmtId="0" fontId="104" fillId="4" borderId="2" xfId="74" applyFont="1" applyFill="1"/>
    <xf numFmtId="0" fontId="139" fillId="29" borderId="20" xfId="74" applyFont="1" applyFill="1" applyBorder="1" applyAlignment="1">
      <alignment horizontal="center" vertical="center" wrapText="1"/>
    </xf>
    <xf numFmtId="0" fontId="139" fillId="29" borderId="3" xfId="74" applyFont="1" applyFill="1" applyBorder="1" applyAlignment="1">
      <alignment vertical="center" wrapText="1"/>
    </xf>
    <xf numFmtId="0" fontId="104" fillId="29" borderId="3" xfId="74" applyFont="1" applyFill="1" applyBorder="1" applyAlignment="1">
      <alignment vertical="center" wrapText="1"/>
    </xf>
    <xf numFmtId="0" fontId="139" fillId="0" borderId="3" xfId="74" applyFont="1" applyBorder="1" applyAlignment="1">
      <alignment vertical="center"/>
    </xf>
    <xf numFmtId="0" fontId="104" fillId="0" borderId="21" xfId="74" applyFont="1" applyBorder="1" applyAlignment="1">
      <alignment vertical="center"/>
    </xf>
    <xf numFmtId="0" fontId="104" fillId="0" borderId="20" xfId="74" applyFont="1" applyBorder="1" applyAlignment="1">
      <alignment horizontal="center" vertical="center" wrapText="1"/>
    </xf>
    <xf numFmtId="0" fontId="139" fillId="0" borderId="3" xfId="74" applyFont="1" applyBorder="1" applyAlignment="1">
      <alignment vertical="center" wrapText="1"/>
    </xf>
    <xf numFmtId="0" fontId="104" fillId="0" borderId="3" xfId="74" applyFont="1" applyBorder="1" applyAlignment="1">
      <alignment horizontal="center" vertical="center" wrapText="1"/>
    </xf>
    <xf numFmtId="0" fontId="104" fillId="0" borderId="3" xfId="74" applyFont="1" applyBorder="1" applyAlignment="1">
      <alignment vertical="center" wrapText="1"/>
    </xf>
    <xf numFmtId="0" fontId="139" fillId="29" borderId="3" xfId="74" applyFont="1" applyFill="1" applyBorder="1" applyAlignment="1">
      <alignment horizontal="center" vertical="center" wrapText="1"/>
    </xf>
    <xf numFmtId="0" fontId="139" fillId="0" borderId="20" xfId="74" applyFont="1" applyBorder="1" applyAlignment="1">
      <alignment horizontal="center" vertical="center" wrapText="1"/>
    </xf>
    <xf numFmtId="0" fontId="139" fillId="0" borderId="3" xfId="74" applyFont="1" applyBorder="1" applyAlignment="1">
      <alignment horizontal="center" vertical="center" wrapText="1"/>
    </xf>
    <xf numFmtId="0" fontId="139" fillId="4" borderId="3" xfId="74" applyFont="1" applyFill="1" applyBorder="1" applyAlignment="1">
      <alignment vertical="center"/>
    </xf>
    <xf numFmtId="0" fontId="139" fillId="0" borderId="2" xfId="74" applyFont="1" applyAlignment="1">
      <alignment horizontal="center" vertical="center" wrapText="1"/>
    </xf>
    <xf numFmtId="0" fontId="139" fillId="0" borderId="2" xfId="74" applyFont="1" applyAlignment="1">
      <alignment horizontal="center" vertical="center"/>
    </xf>
    <xf numFmtId="0" fontId="139" fillId="0" borderId="2" xfId="74" applyFont="1" applyAlignment="1">
      <alignment wrapText="1"/>
    </xf>
    <xf numFmtId="0" fontId="139" fillId="0" borderId="2" xfId="16" applyFont="1" applyAlignment="1">
      <alignment horizontal="center"/>
    </xf>
    <xf numFmtId="0" fontId="104" fillId="0" borderId="23" xfId="74" applyFont="1" applyBorder="1" applyAlignment="1">
      <alignment horizontal="center"/>
    </xf>
    <xf numFmtId="0" fontId="104" fillId="0" borderId="24" xfId="74" applyFont="1" applyBorder="1"/>
    <xf numFmtId="0" fontId="104" fillId="0" borderId="24" xfId="74" applyFont="1" applyBorder="1" applyAlignment="1">
      <alignment horizontal="center"/>
    </xf>
    <xf numFmtId="0" fontId="104" fillId="0" borderId="56" xfId="74" applyFont="1" applyBorder="1"/>
    <xf numFmtId="0" fontId="139" fillId="0" borderId="55" xfId="74" applyFont="1" applyBorder="1" applyAlignment="1">
      <alignment horizontal="left" vertical="center"/>
    </xf>
    <xf numFmtId="0" fontId="21" fillId="0" borderId="57" xfId="0" applyFont="1" applyBorder="1" applyAlignment="1">
      <alignment horizontal="center" vertical="center"/>
    </xf>
    <xf numFmtId="0" fontId="21" fillId="0" borderId="58" xfId="0" applyFont="1" applyBorder="1" applyAlignment="1">
      <alignment horizontal="center" vertical="center"/>
    </xf>
    <xf numFmtId="0" fontId="100" fillId="30" borderId="59" xfId="0" applyFont="1" applyFill="1" applyBorder="1" applyAlignment="1">
      <alignment horizontal="center" vertical="center"/>
    </xf>
    <xf numFmtId="0" fontId="91" fillId="30" borderId="56" xfId="0" applyFont="1" applyFill="1" applyBorder="1" applyAlignment="1">
      <alignment horizontal="center" vertical="center"/>
    </xf>
    <xf numFmtId="0" fontId="65" fillId="30" borderId="56" xfId="0" applyFont="1" applyFill="1" applyBorder="1" applyAlignment="1">
      <alignment horizontal="center" vertical="center"/>
    </xf>
    <xf numFmtId="0" fontId="156" fillId="30" borderId="59" xfId="0" applyFont="1" applyFill="1" applyBorder="1" applyAlignment="1">
      <alignment horizontal="center" vertical="center"/>
    </xf>
    <xf numFmtId="0" fontId="91" fillId="30" borderId="56" xfId="0" applyFont="1" applyFill="1" applyBorder="1" applyAlignment="1">
      <alignment horizontal="center" vertical="center" wrapText="1"/>
    </xf>
    <xf numFmtId="0" fontId="65" fillId="0" borderId="56" xfId="0" applyFont="1" applyBorder="1" applyAlignment="1">
      <alignment horizontal="center" vertical="center" wrapText="1"/>
    </xf>
    <xf numFmtId="0" fontId="91" fillId="30" borderId="54" xfId="0" applyFont="1" applyFill="1" applyBorder="1" applyAlignment="1">
      <alignment horizontal="center" vertical="center" wrapText="1"/>
    </xf>
    <xf numFmtId="0" fontId="65" fillId="30" borderId="60" xfId="0" applyFont="1" applyFill="1" applyBorder="1" applyAlignment="1">
      <alignment vertical="center"/>
    </xf>
    <xf numFmtId="0" fontId="65" fillId="30" borderId="59" xfId="0" applyFont="1" applyFill="1" applyBorder="1" applyAlignment="1">
      <alignment vertical="center"/>
    </xf>
    <xf numFmtId="0" fontId="91" fillId="30" borderId="60" xfId="0" applyFont="1" applyFill="1" applyBorder="1" applyAlignment="1">
      <alignment vertical="center"/>
    </xf>
    <xf numFmtId="0" fontId="91" fillId="30" borderId="59" xfId="0" applyFont="1" applyFill="1" applyBorder="1" applyAlignment="1">
      <alignment vertical="center"/>
    </xf>
    <xf numFmtId="0" fontId="100" fillId="30" borderId="59" xfId="0" applyFont="1" applyFill="1" applyBorder="1" applyAlignment="1">
      <alignment vertical="center"/>
    </xf>
    <xf numFmtId="0" fontId="65" fillId="0" borderId="59" xfId="0" applyFont="1" applyBorder="1" applyAlignment="1">
      <alignment vertical="center" wrapText="1"/>
    </xf>
    <xf numFmtId="0" fontId="100" fillId="30" borderId="60" xfId="0" applyFont="1" applyFill="1" applyBorder="1" applyAlignment="1">
      <alignment vertical="center"/>
    </xf>
    <xf numFmtId="0" fontId="65" fillId="0" borderId="60" xfId="0" applyFont="1" applyBorder="1" applyAlignment="1">
      <alignment vertical="center" wrapText="1"/>
    </xf>
    <xf numFmtId="3" fontId="17" fillId="15" borderId="3" xfId="71" applyNumberFormat="1" applyFont="1" applyFill="1" applyBorder="1" applyAlignment="1">
      <alignment horizontal="center" vertical="center"/>
    </xf>
    <xf numFmtId="3" fontId="17" fillId="15" borderId="3" xfId="72" applyNumberFormat="1" applyFont="1" applyFill="1" applyBorder="1" applyAlignment="1">
      <alignment horizontal="center" vertical="center"/>
    </xf>
    <xf numFmtId="0" fontId="2" fillId="0" borderId="2" xfId="77"/>
    <xf numFmtId="0" fontId="115" fillId="0" borderId="2" xfId="77" applyFont="1" applyAlignment="1">
      <alignment horizontal="center"/>
    </xf>
    <xf numFmtId="165" fontId="2" fillId="0" borderId="2" xfId="76" applyNumberFormat="1" applyFont="1"/>
    <xf numFmtId="43" fontId="116" fillId="0" borderId="2" xfId="76" applyFont="1" applyAlignment="1"/>
    <xf numFmtId="37" fontId="116" fillId="0" borderId="2" xfId="76" applyNumberFormat="1" applyFont="1" applyAlignment="1">
      <alignment horizontal="right"/>
    </xf>
    <xf numFmtId="166" fontId="116" fillId="0" borderId="2" xfId="76" applyNumberFormat="1" applyFont="1" applyAlignment="1"/>
    <xf numFmtId="0" fontId="117" fillId="0" borderId="2" xfId="77" applyFont="1" applyAlignment="1">
      <alignment horizontal="center"/>
    </xf>
    <xf numFmtId="43" fontId="2" fillId="0" borderId="2" xfId="76" applyFont="1"/>
    <xf numFmtId="37" fontId="2" fillId="0" borderId="2" xfId="76" applyNumberFormat="1" applyFont="1" applyAlignment="1">
      <alignment horizontal="right"/>
    </xf>
    <xf numFmtId="166" fontId="2" fillId="0" borderId="2" xfId="76" applyNumberFormat="1" applyFont="1"/>
    <xf numFmtId="0" fontId="2" fillId="0" borderId="26" xfId="77" applyBorder="1"/>
    <xf numFmtId="166" fontId="127" fillId="0" borderId="27" xfId="76" applyNumberFormat="1" applyFont="1" applyBorder="1" applyAlignment="1" applyProtection="1">
      <alignment horizontal="right"/>
    </xf>
    <xf numFmtId="0" fontId="18" fillId="0" borderId="28" xfId="77" applyFont="1" applyBorder="1" applyAlignment="1">
      <alignment horizontal="left"/>
    </xf>
    <xf numFmtId="0" fontId="18" fillId="0" borderId="29" xfId="77" applyFont="1" applyBorder="1" applyAlignment="1">
      <alignment horizontal="center"/>
    </xf>
    <xf numFmtId="165" fontId="18" fillId="0" borderId="29" xfId="76" applyNumberFormat="1" applyFont="1" applyFill="1" applyBorder="1" applyAlignment="1" applyProtection="1">
      <alignment horizontal="center" wrapText="1"/>
    </xf>
    <xf numFmtId="43" fontId="18" fillId="0" borderId="29" xfId="76" applyFont="1" applyFill="1" applyBorder="1" applyAlignment="1" applyProtection="1">
      <alignment horizontal="center" wrapText="1"/>
    </xf>
    <xf numFmtId="37" fontId="18" fillId="0" borderId="29" xfId="76" applyNumberFormat="1" applyFont="1" applyFill="1" applyBorder="1" applyAlignment="1" applyProtection="1">
      <alignment horizontal="center" wrapText="1"/>
    </xf>
    <xf numFmtId="166" fontId="18" fillId="0" borderId="30" xfId="76" applyNumberFormat="1" applyFont="1" applyFill="1" applyBorder="1" applyAlignment="1" applyProtection="1">
      <alignment horizontal="center" wrapText="1"/>
    </xf>
    <xf numFmtId="43" fontId="128" fillId="0" borderId="2" xfId="77" applyNumberFormat="1" applyFont="1"/>
    <xf numFmtId="43" fontId="129" fillId="0" borderId="2" xfId="77" applyNumberFormat="1" applyFont="1"/>
    <xf numFmtId="0" fontId="106" fillId="0" borderId="2" xfId="77" applyFont="1"/>
    <xf numFmtId="0" fontId="93" fillId="0" borderId="3" xfId="77" applyFont="1" applyBorder="1" applyAlignment="1">
      <alignment vertical="center"/>
    </xf>
    <xf numFmtId="0" fontId="19" fillId="0" borderId="32" xfId="77" applyFont="1" applyBorder="1" applyAlignment="1">
      <alignment horizontal="left"/>
    </xf>
    <xf numFmtId="165" fontId="25" fillId="31" borderId="32" xfId="76" applyNumberFormat="1" applyFont="1" applyFill="1" applyBorder="1" applyAlignment="1" applyProtection="1">
      <alignment horizontal="center" wrapText="1"/>
    </xf>
    <xf numFmtId="165" fontId="56" fillId="0" borderId="32" xfId="76" applyNumberFormat="1" applyFont="1" applyFill="1" applyBorder="1" applyAlignment="1"/>
    <xf numFmtId="43" fontId="56" fillId="0" borderId="33" xfId="76" applyFont="1" applyFill="1" applyBorder="1" applyAlignment="1">
      <alignment horizontal="right" wrapText="1"/>
    </xf>
    <xf numFmtId="166" fontId="56" fillId="0" borderId="34" xfId="76" applyNumberFormat="1" applyFont="1" applyFill="1" applyBorder="1" applyAlignment="1">
      <alignment horizontal="right" wrapText="1"/>
    </xf>
    <xf numFmtId="165" fontId="19" fillId="0" borderId="32" xfId="76" applyNumberFormat="1" applyFont="1" applyFill="1" applyBorder="1" applyAlignment="1" applyProtection="1">
      <alignment horizontal="center" wrapText="1"/>
    </xf>
    <xf numFmtId="0" fontId="93" fillId="0" borderId="3" xfId="77" applyFont="1" applyBorder="1" applyAlignment="1">
      <alignment horizontal="left" vertical="center"/>
    </xf>
    <xf numFmtId="176" fontId="106" fillId="0" borderId="2" xfId="77" applyNumberFormat="1" applyFont="1"/>
    <xf numFmtId="0" fontId="27" fillId="0" borderId="3" xfId="77" applyFont="1" applyBorder="1" applyAlignment="1">
      <alignment vertical="center"/>
    </xf>
    <xf numFmtId="37" fontId="130" fillId="13" borderId="33" xfId="76" applyNumberFormat="1" applyFont="1" applyFill="1" applyBorder="1" applyAlignment="1">
      <alignment horizontal="right"/>
    </xf>
    <xf numFmtId="37" fontId="2" fillId="13" borderId="2" xfId="77" applyNumberFormat="1" applyFill="1"/>
    <xf numFmtId="0" fontId="2" fillId="13" borderId="2" xfId="77" applyFill="1"/>
    <xf numFmtId="0" fontId="19" fillId="0" borderId="31" xfId="77" applyFont="1" applyBorder="1" applyAlignment="1">
      <alignment horizontal="center"/>
    </xf>
    <xf numFmtId="43" fontId="56" fillId="13" borderId="35" xfId="76" applyFont="1" applyFill="1" applyBorder="1" applyAlignment="1"/>
    <xf numFmtId="166" fontId="56" fillId="13" borderId="35" xfId="76" applyNumberFormat="1" applyFont="1" applyFill="1" applyBorder="1" applyAlignment="1">
      <alignment horizontal="right" wrapText="1"/>
    </xf>
    <xf numFmtId="166" fontId="56" fillId="13" borderId="36" xfId="76" applyNumberFormat="1" applyFont="1" applyFill="1" applyBorder="1" applyAlignment="1">
      <alignment horizontal="right"/>
    </xf>
    <xf numFmtId="37" fontId="130" fillId="13" borderId="2" xfId="76" applyNumberFormat="1" applyFont="1" applyFill="1" applyBorder="1" applyAlignment="1">
      <alignment horizontal="right"/>
    </xf>
    <xf numFmtId="166" fontId="131" fillId="13" borderId="2" xfId="76" applyNumberFormat="1" applyFont="1" applyFill="1" applyBorder="1"/>
    <xf numFmtId="43" fontId="2" fillId="13" borderId="2" xfId="77" applyNumberFormat="1" applyFill="1"/>
    <xf numFmtId="166" fontId="2" fillId="13" borderId="2" xfId="77" applyNumberFormat="1" applyFill="1"/>
    <xf numFmtId="43" fontId="2" fillId="13" borderId="2" xfId="76" applyFont="1" applyFill="1"/>
    <xf numFmtId="166" fontId="56" fillId="13" borderId="37" xfId="76" applyNumberFormat="1" applyFont="1" applyFill="1" applyBorder="1" applyAlignment="1">
      <alignment wrapText="1"/>
    </xf>
    <xf numFmtId="165" fontId="81" fillId="13" borderId="40" xfId="76" applyNumberFormat="1" applyFont="1" applyFill="1" applyBorder="1" applyAlignment="1">
      <alignment horizontal="right" wrapText="1"/>
    </xf>
    <xf numFmtId="43" fontId="81" fillId="13" borderId="40" xfId="76" applyFont="1" applyFill="1" applyBorder="1" applyAlignment="1">
      <alignment horizontal="right" wrapText="1"/>
    </xf>
    <xf numFmtId="166" fontId="130" fillId="13" borderId="41" xfId="76" applyNumberFormat="1" applyFont="1" applyFill="1" applyBorder="1" applyAlignment="1">
      <alignment horizontal="right"/>
    </xf>
    <xf numFmtId="165" fontId="127" fillId="0" borderId="44" xfId="76" applyNumberFormat="1" applyFont="1" applyBorder="1" applyAlignment="1" applyProtection="1">
      <alignment horizontal="right"/>
    </xf>
    <xf numFmtId="43" fontId="127" fillId="0" borderId="44" xfId="76" applyFont="1" applyBorder="1" applyProtection="1"/>
    <xf numFmtId="37" fontId="127" fillId="0" borderId="44" xfId="76" applyNumberFormat="1" applyFont="1" applyBorder="1" applyAlignment="1" applyProtection="1">
      <alignment horizontal="right"/>
    </xf>
    <xf numFmtId="0" fontId="129" fillId="0" borderId="2" xfId="77" applyFont="1"/>
    <xf numFmtId="0" fontId="133" fillId="0" borderId="2" xfId="77" applyFont="1"/>
    <xf numFmtId="0" fontId="66" fillId="0" borderId="2" xfId="77" applyFont="1"/>
    <xf numFmtId="165" fontId="136" fillId="0" borderId="2" xfId="76" applyNumberFormat="1" applyFont="1" applyBorder="1"/>
    <xf numFmtId="43" fontId="136" fillId="0" borderId="2" xfId="76" applyFont="1" applyBorder="1"/>
    <xf numFmtId="37" fontId="136" fillId="0" borderId="2" xfId="76" applyNumberFormat="1" applyFont="1" applyBorder="1" applyAlignment="1">
      <alignment horizontal="right"/>
    </xf>
    <xf numFmtId="166" fontId="136" fillId="0" borderId="2" xfId="76" applyNumberFormat="1" applyFont="1" applyBorder="1"/>
    <xf numFmtId="0" fontId="137" fillId="0" borderId="2" xfId="77" applyFont="1"/>
    <xf numFmtId="0" fontId="133" fillId="0" borderId="26" xfId="77" applyFont="1" applyBorder="1"/>
    <xf numFmtId="0" fontId="104" fillId="4" borderId="53" xfId="74" applyFont="1" applyFill="1" applyBorder="1" applyAlignment="1">
      <alignment horizontal="center" vertical="center" wrapText="1"/>
    </xf>
    <xf numFmtId="0" fontId="139" fillId="4" borderId="13" xfId="74" applyFont="1" applyFill="1" applyBorder="1" applyAlignment="1">
      <alignment vertical="center" wrapText="1"/>
    </xf>
    <xf numFmtId="0" fontId="104" fillId="4" borderId="13" xfId="74" applyFont="1" applyFill="1" applyBorder="1" applyAlignment="1">
      <alignment vertical="center" wrapText="1"/>
    </xf>
    <xf numFmtId="0" fontId="104" fillId="4" borderId="13" xfId="74" applyFont="1" applyFill="1" applyBorder="1" applyAlignment="1">
      <alignment horizontal="center" vertical="center" wrapText="1"/>
    </xf>
    <xf numFmtId="0" fontId="104" fillId="4" borderId="13" xfId="74" applyFont="1" applyFill="1" applyBorder="1" applyAlignment="1">
      <alignment vertical="center"/>
    </xf>
    <xf numFmtId="0" fontId="104" fillId="4" borderId="13" xfId="74" applyFont="1" applyFill="1" applyBorder="1" applyAlignment="1">
      <alignment horizontal="center" vertical="center"/>
    </xf>
    <xf numFmtId="166" fontId="139" fillId="4" borderId="13" xfId="74" applyNumberFormat="1" applyFont="1" applyFill="1" applyBorder="1" applyAlignment="1">
      <alignment vertical="center"/>
    </xf>
    <xf numFmtId="0" fontId="104" fillId="4" borderId="61" xfId="74" applyFont="1" applyFill="1" applyBorder="1" applyAlignment="1">
      <alignment vertical="center"/>
    </xf>
    <xf numFmtId="0" fontId="19" fillId="0" borderId="3" xfId="0" applyFont="1" applyBorder="1" applyAlignment="1">
      <alignment horizontal="left"/>
    </xf>
    <xf numFmtId="0" fontId="91" fillId="30" borderId="3" xfId="0" applyFont="1" applyFill="1" applyBorder="1" applyAlignment="1">
      <alignment horizontal="center" vertical="center"/>
    </xf>
    <xf numFmtId="0" fontId="93" fillId="0" borderId="20" xfId="0" applyFont="1" applyBorder="1" applyAlignment="1">
      <alignment vertical="center"/>
    </xf>
    <xf numFmtId="0" fontId="93" fillId="0" borderId="20" xfId="0" applyFont="1" applyBorder="1" applyAlignment="1">
      <alignment horizontal="left" vertical="center"/>
    </xf>
    <xf numFmtId="49" fontId="63" fillId="0" borderId="3" xfId="79" applyNumberFormat="1" applyFont="1" applyBorder="1"/>
    <xf numFmtId="0" fontId="157" fillId="0" borderId="55" xfId="74" applyFont="1" applyBorder="1" applyAlignment="1">
      <alignment horizontal="center"/>
    </xf>
    <xf numFmtId="0" fontId="158" fillId="0" borderId="2" xfId="74" applyFont="1"/>
    <xf numFmtId="0" fontId="157" fillId="0" borderId="2" xfId="74" applyFont="1"/>
    <xf numFmtId="0" fontId="157" fillId="0" borderId="54" xfId="74" applyFont="1" applyBorder="1"/>
    <xf numFmtId="0" fontId="157" fillId="0" borderId="51" xfId="74" applyFont="1" applyBorder="1" applyAlignment="1">
      <alignment horizontal="center" vertical="center" wrapText="1"/>
    </xf>
    <xf numFmtId="0" fontId="158" fillId="0" borderId="5" xfId="74" applyFont="1" applyBorder="1" applyAlignment="1">
      <alignment vertical="center"/>
    </xf>
    <xf numFmtId="0" fontId="158" fillId="0" borderId="6" xfId="74" applyFont="1" applyBorder="1" applyAlignment="1">
      <alignment vertical="center" wrapText="1"/>
    </xf>
    <xf numFmtId="0" fontId="157" fillId="0" borderId="6" xfId="74" applyFont="1" applyBorder="1"/>
    <xf numFmtId="0" fontId="157" fillId="0" borderId="6" xfId="74" applyFont="1" applyBorder="1" applyAlignment="1">
      <alignment horizontal="center"/>
    </xf>
    <xf numFmtId="0" fontId="157" fillId="0" borderId="52" xfId="74" applyFont="1" applyBorder="1"/>
    <xf numFmtId="0" fontId="159" fillId="0" borderId="53" xfId="74" applyFont="1" applyBorder="1" applyAlignment="1">
      <alignment horizontal="center" vertical="center" wrapText="1"/>
    </xf>
    <xf numFmtId="0" fontId="158" fillId="0" borderId="10" xfId="74" applyFont="1" applyBorder="1" applyAlignment="1">
      <alignment vertical="center" wrapText="1"/>
    </xf>
    <xf numFmtId="0" fontId="158" fillId="0" borderId="11" xfId="74" applyFont="1" applyBorder="1" applyAlignment="1">
      <alignment vertical="center" wrapText="1"/>
    </xf>
    <xf numFmtId="0" fontId="157" fillId="0" borderId="11" xfId="74" applyFont="1" applyBorder="1"/>
    <xf numFmtId="0" fontId="157" fillId="0" borderId="11" xfId="74" applyFont="1" applyBorder="1" applyAlignment="1">
      <alignment horizontal="center"/>
    </xf>
    <xf numFmtId="0" fontId="157" fillId="0" borderId="46" xfId="74" applyFont="1" applyBorder="1"/>
    <xf numFmtId="0" fontId="157" fillId="0" borderId="2" xfId="74" applyFont="1" applyAlignment="1">
      <alignment horizontal="center"/>
    </xf>
    <xf numFmtId="0" fontId="158" fillId="14" borderId="20" xfId="74" applyFont="1" applyFill="1" applyBorder="1" applyAlignment="1">
      <alignment horizontal="center" vertical="center" wrapText="1"/>
    </xf>
    <xf numFmtId="0" fontId="158" fillId="14" borderId="3" xfId="74" applyFont="1" applyFill="1" applyBorder="1" applyAlignment="1">
      <alignment horizontal="center" vertical="center" wrapText="1"/>
    </xf>
    <xf numFmtId="0" fontId="160" fillId="14" borderId="20" xfId="16" applyFont="1" applyFill="1" applyBorder="1" applyAlignment="1">
      <alignment horizontal="center" vertical="center" wrapText="1"/>
    </xf>
    <xf numFmtId="0" fontId="160" fillId="14" borderId="3" xfId="16" applyFont="1" applyFill="1" applyBorder="1" applyAlignment="1">
      <alignment horizontal="center" vertical="center" wrapText="1"/>
    </xf>
    <xf numFmtId="166" fontId="160" fillId="14" borderId="3" xfId="76" applyNumberFormat="1" applyFont="1" applyFill="1" applyBorder="1" applyAlignment="1">
      <alignment horizontal="center" vertical="center"/>
    </xf>
    <xf numFmtId="166" fontId="158" fillId="14" borderId="3" xfId="75" applyNumberFormat="1" applyFont="1" applyFill="1" applyBorder="1" applyAlignment="1">
      <alignment horizontal="center" vertical="center" wrapText="1"/>
    </xf>
    <xf numFmtId="166" fontId="160" fillId="14" borderId="3" xfId="76" applyNumberFormat="1" applyFont="1" applyFill="1" applyBorder="1" applyAlignment="1">
      <alignment horizontal="center" vertical="center" wrapText="1"/>
    </xf>
    <xf numFmtId="166" fontId="158" fillId="14" borderId="21" xfId="74" quotePrefix="1" applyNumberFormat="1" applyFont="1" applyFill="1" applyBorder="1" applyAlignment="1">
      <alignment horizontal="center" vertical="center" wrapText="1"/>
    </xf>
    <xf numFmtId="0" fontId="162" fillId="0" borderId="3" xfId="0" applyFont="1" applyBorder="1" applyAlignment="1">
      <alignment horizontal="left" vertical="center"/>
    </xf>
    <xf numFmtId="0" fontId="163" fillId="30" borderId="3" xfId="0" applyFont="1" applyFill="1" applyBorder="1" applyAlignment="1">
      <alignment horizontal="center" vertical="center"/>
    </xf>
    <xf numFmtId="0" fontId="162" fillId="0" borderId="3" xfId="78" applyFont="1" applyBorder="1" applyAlignment="1">
      <alignment horizontal="center" vertical="center"/>
    </xf>
    <xf numFmtId="166" fontId="161" fillId="0" borderId="3" xfId="76" applyNumberFormat="1" applyFont="1" applyFill="1" applyBorder="1" applyAlignment="1">
      <alignment vertical="center"/>
    </xf>
    <xf numFmtId="0" fontId="157" fillId="0" borderId="3" xfId="74" applyFont="1" applyBorder="1" applyAlignment="1">
      <alignment horizontal="center" vertical="center"/>
    </xf>
    <xf numFmtId="166" fontId="161" fillId="0" borderId="3" xfId="76" applyNumberFormat="1" applyFont="1" applyFill="1" applyBorder="1" applyAlignment="1">
      <alignment horizontal="center" vertical="center" wrapText="1"/>
    </xf>
    <xf numFmtId="0" fontId="157" fillId="4" borderId="53" xfId="74" applyFont="1" applyFill="1" applyBorder="1" applyAlignment="1">
      <alignment horizontal="center" vertical="center" wrapText="1"/>
    </xf>
    <xf numFmtId="0" fontId="158" fillId="4" borderId="13" xfId="74" applyFont="1" applyFill="1" applyBorder="1" applyAlignment="1">
      <alignment vertical="center" wrapText="1"/>
    </xf>
    <xf numFmtId="0" fontId="157" fillId="4" borderId="13" xfId="74" applyFont="1" applyFill="1" applyBorder="1" applyAlignment="1">
      <alignment vertical="center" wrapText="1"/>
    </xf>
    <xf numFmtId="0" fontId="157" fillId="4" borderId="13" xfId="74" applyFont="1" applyFill="1" applyBorder="1" applyAlignment="1">
      <alignment horizontal="center" vertical="center" wrapText="1"/>
    </xf>
    <xf numFmtId="0" fontId="157" fillId="4" borderId="13" xfId="74" applyFont="1" applyFill="1" applyBorder="1" applyAlignment="1">
      <alignment vertical="center"/>
    </xf>
    <xf numFmtId="0" fontId="157" fillId="4" borderId="13" xfId="74" applyFont="1" applyFill="1" applyBorder="1" applyAlignment="1">
      <alignment horizontal="center" vertical="center"/>
    </xf>
    <xf numFmtId="166" fontId="158" fillId="4" borderId="13" xfId="74" applyNumberFormat="1" applyFont="1" applyFill="1" applyBorder="1" applyAlignment="1">
      <alignment vertical="center"/>
    </xf>
    <xf numFmtId="0" fontId="157" fillId="4" borderId="61" xfId="74" applyFont="1" applyFill="1" applyBorder="1" applyAlignment="1">
      <alignment vertical="center"/>
    </xf>
    <xf numFmtId="0" fontId="157" fillId="4" borderId="2" xfId="74" applyFont="1" applyFill="1"/>
    <xf numFmtId="0" fontId="158" fillId="29" borderId="20" xfId="74" applyFont="1" applyFill="1" applyBorder="1" applyAlignment="1">
      <alignment horizontal="center" vertical="center" wrapText="1"/>
    </xf>
    <xf numFmtId="0" fontId="158" fillId="29" borderId="3" xfId="74" applyFont="1" applyFill="1" applyBorder="1" applyAlignment="1">
      <alignment vertical="center" wrapText="1"/>
    </xf>
    <xf numFmtId="0" fontId="157" fillId="29" borderId="3" xfId="74" applyFont="1" applyFill="1" applyBorder="1" applyAlignment="1">
      <alignment vertical="center" wrapText="1"/>
    </xf>
    <xf numFmtId="0" fontId="157" fillId="0" borderId="3" xfId="74" applyFont="1" applyBorder="1" applyAlignment="1">
      <alignment vertical="center"/>
    </xf>
    <xf numFmtId="0" fontId="157" fillId="4" borderId="3" xfId="74" applyFont="1" applyFill="1" applyBorder="1" applyAlignment="1">
      <alignment vertical="center"/>
    </xf>
    <xf numFmtId="0" fontId="157" fillId="4" borderId="3" xfId="74" applyFont="1" applyFill="1" applyBorder="1" applyAlignment="1">
      <alignment horizontal="center" vertical="center"/>
    </xf>
    <xf numFmtId="0" fontId="158" fillId="0" borderId="3" xfId="74" applyFont="1" applyBorder="1" applyAlignment="1">
      <alignment vertical="center"/>
    </xf>
    <xf numFmtId="0" fontId="157" fillId="0" borderId="21" xfId="74" applyFont="1" applyBorder="1" applyAlignment="1">
      <alignment vertical="center"/>
    </xf>
    <xf numFmtId="0" fontId="157" fillId="0" borderId="20" xfId="74" applyFont="1" applyBorder="1" applyAlignment="1">
      <alignment horizontal="center" vertical="center" wrapText="1"/>
    </xf>
    <xf numFmtId="0" fontId="158" fillId="0" borderId="3" xfId="74" applyFont="1" applyBorder="1" applyAlignment="1">
      <alignment vertical="center" wrapText="1"/>
    </xf>
    <xf numFmtId="0" fontId="157" fillId="0" borderId="3" xfId="74" applyFont="1" applyBorder="1" applyAlignment="1">
      <alignment horizontal="center" vertical="center" wrapText="1"/>
    </xf>
    <xf numFmtId="0" fontId="157" fillId="0" borderId="3" xfId="74" applyFont="1" applyBorder="1" applyAlignment="1">
      <alignment vertical="center" wrapText="1"/>
    </xf>
    <xf numFmtId="0" fontId="158" fillId="29" borderId="3" xfId="74" applyFont="1" applyFill="1" applyBorder="1" applyAlignment="1">
      <alignment horizontal="center" vertical="center" wrapText="1"/>
    </xf>
    <xf numFmtId="0" fontId="158" fillId="0" borderId="20" xfId="74" applyFont="1" applyBorder="1" applyAlignment="1">
      <alignment horizontal="center" vertical="center" wrapText="1"/>
    </xf>
    <xf numFmtId="0" fontId="158" fillId="0" borderId="3" xfId="74" applyFont="1" applyBorder="1" applyAlignment="1">
      <alignment horizontal="center" vertical="center" wrapText="1"/>
    </xf>
    <xf numFmtId="0" fontId="157" fillId="4" borderId="20" xfId="74" applyFont="1" applyFill="1" applyBorder="1" applyAlignment="1">
      <alignment horizontal="center" vertical="center" wrapText="1"/>
    </xf>
    <xf numFmtId="0" fontId="158" fillId="4" borderId="3" xfId="74" applyFont="1" applyFill="1" applyBorder="1" applyAlignment="1">
      <alignment vertical="center" wrapText="1"/>
    </xf>
    <xf numFmtId="0" fontId="157" fillId="4" borderId="3" xfId="74" applyFont="1" applyFill="1" applyBorder="1" applyAlignment="1">
      <alignment vertical="center" wrapText="1"/>
    </xf>
    <xf numFmtId="0" fontId="157" fillId="4" borderId="3" xfId="74" applyFont="1" applyFill="1" applyBorder="1" applyAlignment="1">
      <alignment horizontal="center" vertical="center" wrapText="1"/>
    </xf>
    <xf numFmtId="0" fontId="158" fillId="4" borderId="3" xfId="74" applyFont="1" applyFill="1" applyBorder="1" applyAlignment="1">
      <alignment vertical="center"/>
    </xf>
    <xf numFmtId="0" fontId="157" fillId="4" borderId="21" xfId="74" applyFont="1" applyFill="1" applyBorder="1" applyAlignment="1">
      <alignment vertical="center"/>
    </xf>
    <xf numFmtId="0" fontId="157" fillId="0" borderId="23" xfId="74" applyFont="1" applyBorder="1" applyAlignment="1">
      <alignment horizontal="center"/>
    </xf>
    <xf numFmtId="0" fontId="157" fillId="0" borderId="24" xfId="74" applyFont="1" applyBorder="1"/>
    <xf numFmtId="0" fontId="157" fillId="0" borderId="24" xfId="74" applyFont="1" applyBorder="1" applyAlignment="1">
      <alignment horizontal="center"/>
    </xf>
    <xf numFmtId="0" fontId="157" fillId="0" borderId="56" xfId="74" applyFont="1" applyBorder="1"/>
    <xf numFmtId="0" fontId="164" fillId="0" borderId="20" xfId="0" applyFont="1" applyBorder="1" applyAlignment="1">
      <alignment vertical="center"/>
    </xf>
    <xf numFmtId="0" fontId="158" fillId="0" borderId="2" xfId="74" applyFont="1" applyAlignment="1">
      <alignment wrapText="1"/>
    </xf>
    <xf numFmtId="166" fontId="161" fillId="14" borderId="3" xfId="76" applyNumberFormat="1" applyFont="1" applyFill="1" applyBorder="1" applyAlignment="1">
      <alignment horizontal="center" vertical="center" wrapText="1"/>
    </xf>
    <xf numFmtId="0" fontId="160" fillId="14" borderId="20" xfId="16" applyFont="1" applyFill="1" applyBorder="1" applyAlignment="1">
      <alignment horizontal="left" vertical="center"/>
    </xf>
    <xf numFmtId="1" fontId="76" fillId="0" borderId="3" xfId="33" applyNumberFormat="1" applyFont="1" applyBorder="1" applyAlignment="1">
      <alignment horizontal="center" vertical="center"/>
    </xf>
    <xf numFmtId="0" fontId="68" fillId="0" borderId="3" xfId="0" applyFont="1" applyBorder="1" applyAlignment="1">
      <alignment horizontal="left" vertical="center"/>
    </xf>
    <xf numFmtId="0" fontId="27" fillId="0" borderId="3" xfId="0" applyFont="1" applyBorder="1" applyAlignment="1">
      <alignment vertical="center"/>
    </xf>
    <xf numFmtId="0" fontId="17" fillId="0" borderId="3" xfId="54" applyFont="1" applyBorder="1" applyAlignment="1">
      <alignment vertical="center" wrapText="1"/>
    </xf>
    <xf numFmtId="0" fontId="62" fillId="0" borderId="3" xfId="1" applyFont="1" applyBorder="1" applyAlignment="1">
      <alignment horizontal="left" vertical="center" wrapText="1"/>
    </xf>
    <xf numFmtId="0" fontId="92" fillId="0" borderId="3" xfId="0" applyFont="1" applyBorder="1" applyAlignment="1">
      <alignment vertical="center"/>
    </xf>
    <xf numFmtId="0" fontId="95" fillId="0" borderId="3" xfId="0" applyFont="1" applyBorder="1" applyAlignment="1">
      <alignment horizontal="left"/>
    </xf>
    <xf numFmtId="165" fontId="56" fillId="0" borderId="32" xfId="66" applyNumberFormat="1" applyFont="1" applyFill="1" applyBorder="1" applyAlignment="1"/>
    <xf numFmtId="3" fontId="100" fillId="0" borderId="3" xfId="0" applyNumberFormat="1" applyFont="1" applyBorder="1" applyAlignment="1">
      <alignment horizontal="right" vertical="center" wrapText="1"/>
    </xf>
    <xf numFmtId="0" fontId="100" fillId="0" borderId="3" xfId="0" applyFont="1" applyBorder="1" applyAlignment="1">
      <alignment horizontal="right" vertical="center" wrapText="1"/>
    </xf>
    <xf numFmtId="43" fontId="94" fillId="0" borderId="3" xfId="0" applyNumberFormat="1" applyFont="1" applyBorder="1" applyAlignment="1">
      <alignment horizontal="left" vertical="center"/>
    </xf>
    <xf numFmtId="0" fontId="19" fillId="0" borderId="13" xfId="0" applyFont="1" applyBorder="1" applyAlignment="1">
      <alignment horizontal="left" wrapText="1"/>
    </xf>
    <xf numFmtId="49" fontId="63" fillId="0" borderId="3" xfId="70" applyNumberFormat="1" applyFont="1" applyBorder="1"/>
    <xf numFmtId="0" fontId="63" fillId="0" borderId="3" xfId="0" applyFont="1" applyBorder="1" applyAlignment="1">
      <alignment horizontal="center" vertical="center" wrapText="1"/>
    </xf>
    <xf numFmtId="49" fontId="63" fillId="15" borderId="3" xfId="70" applyNumberFormat="1" applyFont="1" applyFill="1" applyBorder="1"/>
    <xf numFmtId="9" fontId="56" fillId="0" borderId="3" xfId="64" applyFont="1" applyBorder="1"/>
    <xf numFmtId="0" fontId="60" fillId="0" borderId="3" xfId="0" applyFont="1" applyBorder="1" applyAlignment="1">
      <alignment horizontal="right" vertical="center"/>
    </xf>
    <xf numFmtId="0" fontId="18" fillId="0" borderId="3" xfId="0" applyFont="1" applyBorder="1" applyAlignment="1">
      <alignment horizontal="center" vertical="center" wrapText="1"/>
    </xf>
    <xf numFmtId="0" fontId="18" fillId="18" borderId="3" xfId="0" applyFont="1" applyFill="1" applyBorder="1" applyAlignment="1">
      <alignment horizontal="center" vertical="center" wrapText="1"/>
    </xf>
    <xf numFmtId="38" fontId="19" fillId="0" borderId="3" xfId="0" applyNumberFormat="1" applyFont="1" applyBorder="1" applyAlignment="1">
      <alignment horizontal="center" vertical="center" wrapText="1"/>
    </xf>
    <xf numFmtId="0" fontId="0" fillId="0" borderId="3" xfId="0" applyBorder="1"/>
    <xf numFmtId="38" fontId="0" fillId="0" borderId="3" xfId="0" applyNumberFormat="1" applyBorder="1" applyAlignment="1">
      <alignment horizontal="center" vertical="center"/>
    </xf>
    <xf numFmtId="0" fontId="0" fillId="0" borderId="3" xfId="0" applyBorder="1" applyAlignment="1">
      <alignment horizontal="center" vertical="center"/>
    </xf>
    <xf numFmtId="0" fontId="158" fillId="0" borderId="2" xfId="16" applyFont="1" applyAlignment="1">
      <alignment vertical="center"/>
    </xf>
    <xf numFmtId="0" fontId="157" fillId="0" borderId="21" xfId="74" quotePrefix="1" applyFont="1" applyBorder="1" applyAlignment="1">
      <alignment vertical="top" wrapText="1"/>
    </xf>
    <xf numFmtId="0" fontId="139" fillId="0" borderId="2" xfId="16" applyFont="1" applyAlignment="1">
      <alignment vertical="center"/>
    </xf>
    <xf numFmtId="0" fontId="158" fillId="0" borderId="2" xfId="16" applyFont="1"/>
    <xf numFmtId="0" fontId="139" fillId="0" borderId="54" xfId="16" applyFont="1" applyBorder="1" applyAlignment="1">
      <alignment vertical="center"/>
    </xf>
    <xf numFmtId="0" fontId="139" fillId="0" borderId="54" xfId="16" applyFont="1" applyBorder="1" applyAlignment="1">
      <alignment horizontal="center"/>
    </xf>
    <xf numFmtId="0" fontId="162" fillId="0" borderId="3" xfId="0" applyFont="1" applyBorder="1" applyAlignment="1">
      <alignment horizontal="center" vertical="center"/>
    </xf>
    <xf numFmtId="0" fontId="139" fillId="0" borderId="2" xfId="16" applyFont="1" applyAlignment="1">
      <alignment horizontal="center" vertical="center"/>
    </xf>
    <xf numFmtId="0" fontId="104" fillId="0" borderId="63" xfId="74" quotePrefix="1" applyFont="1" applyBorder="1" applyAlignment="1">
      <alignment horizontal="left" vertical="top" wrapText="1"/>
    </xf>
    <xf numFmtId="0" fontId="104" fillId="0" borderId="55" xfId="74" applyFont="1" applyBorder="1" applyAlignment="1">
      <alignment horizontal="center" vertical="center"/>
    </xf>
    <xf numFmtId="0" fontId="139" fillId="0" borderId="2" xfId="74" applyFont="1" applyAlignment="1">
      <alignment vertical="center" wrapText="1"/>
    </xf>
    <xf numFmtId="0" fontId="139" fillId="0" borderId="2" xfId="74" applyFont="1" applyAlignment="1">
      <alignment vertical="center"/>
    </xf>
    <xf numFmtId="0" fontId="104" fillId="0" borderId="2" xfId="74" applyFont="1" applyAlignment="1">
      <alignment vertical="center"/>
    </xf>
    <xf numFmtId="0" fontId="104" fillId="0" borderId="54" xfId="74" applyFont="1" applyBorder="1" applyAlignment="1">
      <alignment vertical="center"/>
    </xf>
    <xf numFmtId="0" fontId="93" fillId="0" borderId="20" xfId="0" applyFont="1" applyBorder="1" applyAlignment="1">
      <alignment horizontal="center" vertical="center"/>
    </xf>
    <xf numFmtId="166" fontId="154" fillId="0" borderId="3" xfId="76" applyNumberFormat="1" applyFont="1" applyFill="1" applyBorder="1" applyAlignment="1">
      <alignment horizontal="center" vertical="center"/>
    </xf>
    <xf numFmtId="0" fontId="104" fillId="0" borderId="21" xfId="74" quotePrefix="1" applyFont="1" applyBorder="1" applyAlignment="1">
      <alignment horizontal="center" vertical="center" wrapText="1"/>
    </xf>
    <xf numFmtId="0" fontId="104" fillId="0" borderId="2" xfId="74" applyFont="1" applyAlignment="1">
      <alignment horizontal="center" vertical="center"/>
    </xf>
    <xf numFmtId="49" fontId="63" fillId="0" borderId="3" xfId="79" applyNumberFormat="1" applyFont="1" applyBorder="1" applyAlignment="1">
      <alignment horizontal="left" vertical="center" wrapText="1"/>
    </xf>
    <xf numFmtId="166" fontId="161" fillId="4" borderId="3" xfId="76" applyNumberFormat="1" applyFont="1" applyFill="1" applyBorder="1" applyAlignment="1">
      <alignment horizontal="center" vertical="center" wrapText="1"/>
    </xf>
    <xf numFmtId="166" fontId="160" fillId="4" borderId="3" xfId="76" applyNumberFormat="1" applyFont="1" applyFill="1" applyBorder="1" applyAlignment="1">
      <alignment horizontal="center" vertical="center" wrapText="1"/>
    </xf>
    <xf numFmtId="49" fontId="157" fillId="0" borderId="3" xfId="79" applyNumberFormat="1" applyFont="1" applyBorder="1"/>
    <xf numFmtId="0" fontId="157" fillId="0" borderId="3" xfId="0" applyFont="1" applyBorder="1" applyAlignment="1">
      <alignment horizontal="left"/>
    </xf>
    <xf numFmtId="43" fontId="162" fillId="0" borderId="3" xfId="76" applyFont="1" applyFill="1" applyBorder="1" applyAlignment="1">
      <alignment horizontal="center" vertical="center"/>
    </xf>
    <xf numFmtId="0" fontId="164" fillId="0" borderId="53" xfId="0" applyFont="1" applyBorder="1" applyAlignment="1">
      <alignment vertical="center"/>
    </xf>
    <xf numFmtId="49" fontId="157" fillId="0" borderId="13" xfId="79" applyNumberFormat="1" applyFont="1" applyBorder="1"/>
    <xf numFmtId="0" fontId="157" fillId="0" borderId="13" xfId="0" applyFont="1" applyBorder="1" applyAlignment="1">
      <alignment horizontal="left"/>
    </xf>
    <xf numFmtId="0" fontId="163" fillId="30" borderId="13" xfId="0" applyFont="1" applyFill="1" applyBorder="1" applyAlignment="1">
      <alignment horizontal="center" vertical="center"/>
    </xf>
    <xf numFmtId="0" fontId="162" fillId="0" borderId="13" xfId="78" applyFont="1" applyBorder="1" applyAlignment="1">
      <alignment horizontal="center" vertical="center"/>
    </xf>
    <xf numFmtId="43" fontId="162" fillId="0" borderId="13" xfId="76" applyFont="1" applyFill="1" applyBorder="1" applyAlignment="1">
      <alignment horizontal="center" vertical="center"/>
    </xf>
    <xf numFmtId="166" fontId="161" fillId="0" borderId="13" xfId="76" applyNumberFormat="1" applyFont="1" applyFill="1" applyBorder="1" applyAlignment="1">
      <alignment vertical="center"/>
    </xf>
    <xf numFmtId="0" fontId="157" fillId="0" borderId="13" xfId="74" applyFont="1" applyBorder="1" applyAlignment="1">
      <alignment horizontal="center" vertical="center"/>
    </xf>
    <xf numFmtId="166" fontId="161" fillId="0" borderId="13" xfId="76" applyNumberFormat="1" applyFont="1" applyFill="1" applyBorder="1" applyAlignment="1">
      <alignment horizontal="center" vertical="center" wrapText="1"/>
    </xf>
    <xf numFmtId="0" fontId="158" fillId="0" borderId="55" xfId="74" applyFont="1" applyBorder="1" applyAlignment="1">
      <alignment horizontal="left" vertical="center"/>
    </xf>
    <xf numFmtId="0" fontId="158" fillId="0" borderId="2" xfId="74" applyFont="1" applyAlignment="1">
      <alignment horizontal="center" vertical="center" wrapText="1"/>
    </xf>
    <xf numFmtId="2" fontId="76" fillId="0" borderId="9" xfId="0" applyNumberFormat="1" applyFont="1" applyBorder="1" applyAlignment="1">
      <alignment horizontal="left" vertical="center" wrapText="1"/>
    </xf>
    <xf numFmtId="2" fontId="76" fillId="0" borderId="3" xfId="0" quotePrefix="1" applyNumberFormat="1" applyFont="1" applyBorder="1" applyAlignment="1">
      <alignment horizontal="left" vertical="center" wrapText="1"/>
    </xf>
    <xf numFmtId="9" fontId="24" fillId="0" borderId="3" xfId="10" applyFont="1" applyFill="1" applyBorder="1" applyAlignment="1">
      <alignment horizontal="center" vertical="center" wrapText="1"/>
    </xf>
    <xf numFmtId="0" fontId="24" fillId="17" borderId="3" xfId="0" applyFont="1" applyFill="1" applyBorder="1" applyAlignment="1">
      <alignment horizontal="center" vertical="center" wrapText="1"/>
    </xf>
    <xf numFmtId="166" fontId="76" fillId="0" borderId="3" xfId="0" applyNumberFormat="1" applyFont="1" applyBorder="1" applyAlignment="1">
      <alignment horizontal="center" vertical="center" wrapText="1"/>
    </xf>
    <xf numFmtId="0" fontId="58" fillId="17" borderId="3" xfId="0" applyFont="1" applyFill="1" applyBorder="1" applyAlignment="1">
      <alignment horizontal="center" vertical="center" wrapText="1"/>
    </xf>
    <xf numFmtId="0" fontId="166" fillId="0" borderId="3" xfId="0" applyFont="1" applyBorder="1" applyAlignment="1">
      <alignment horizontal="left" vertical="center"/>
    </xf>
    <xf numFmtId="0" fontId="166" fillId="0" borderId="3" xfId="0" applyFont="1" applyBorder="1" applyAlignment="1">
      <alignment vertical="center"/>
    </xf>
    <xf numFmtId="0" fontId="167" fillId="30" borderId="3" xfId="0" applyFont="1" applyFill="1" applyBorder="1" applyAlignment="1">
      <alignment horizontal="center" vertical="center"/>
    </xf>
    <xf numFmtId="0" fontId="168" fillId="0" borderId="3" xfId="78" applyFont="1" applyBorder="1" applyAlignment="1">
      <alignment horizontal="center" vertical="center"/>
    </xf>
    <xf numFmtId="43" fontId="168" fillId="0" borderId="3" xfId="76" applyFont="1" applyFill="1" applyBorder="1" applyAlignment="1">
      <alignment horizontal="center" vertical="center"/>
    </xf>
    <xf numFmtId="166" fontId="166" fillId="0" borderId="3" xfId="76" applyNumberFormat="1" applyFont="1" applyFill="1" applyBorder="1" applyAlignment="1">
      <alignment vertical="center"/>
    </xf>
    <xf numFmtId="0" fontId="169" fillId="0" borderId="3" xfId="74" applyFont="1" applyBorder="1" applyAlignment="1">
      <alignment horizontal="center" vertical="center"/>
    </xf>
    <xf numFmtId="166" fontId="166" fillId="0" borderId="3" xfId="76" applyNumberFormat="1" applyFont="1" applyFill="1" applyBorder="1" applyAlignment="1">
      <alignment horizontal="center" vertical="center" wrapText="1"/>
    </xf>
    <xf numFmtId="0" fontId="169" fillId="0" borderId="21" xfId="74" quotePrefix="1" applyFont="1" applyBorder="1" applyAlignment="1">
      <alignment horizontal="center" vertical="center" wrapText="1"/>
    </xf>
    <xf numFmtId="0" fontId="169" fillId="0" borderId="2" xfId="74" applyFont="1"/>
    <xf numFmtId="0" fontId="166" fillId="0" borderId="3" xfId="0" applyFont="1" applyBorder="1" applyAlignment="1">
      <alignment horizontal="left" vertical="center" wrapText="1"/>
    </xf>
    <xf numFmtId="0" fontId="166" fillId="0" borderId="3" xfId="0" applyFont="1" applyBorder="1" applyAlignment="1">
      <alignment vertical="center" wrapText="1"/>
    </xf>
    <xf numFmtId="0" fontId="167" fillId="30" borderId="3" xfId="0" applyFont="1" applyFill="1" applyBorder="1" applyAlignment="1">
      <alignment horizontal="center" vertical="center" wrapText="1"/>
    </xf>
    <xf numFmtId="0" fontId="168" fillId="0" borderId="3" xfId="78" applyFont="1" applyBorder="1" applyAlignment="1">
      <alignment horizontal="center" vertical="center" wrapText="1"/>
    </xf>
    <xf numFmtId="166" fontId="166" fillId="0" borderId="3" xfId="76" applyNumberFormat="1" applyFont="1" applyFill="1" applyBorder="1" applyAlignment="1">
      <alignment vertical="center" wrapText="1"/>
    </xf>
    <xf numFmtId="0" fontId="169" fillId="0" borderId="3" xfId="74" applyFont="1" applyBorder="1" applyAlignment="1">
      <alignment horizontal="center" vertical="center" wrapText="1"/>
    </xf>
    <xf numFmtId="0" fontId="169" fillId="0" borderId="2" xfId="74" applyFont="1" applyAlignment="1">
      <alignment wrapText="1"/>
    </xf>
    <xf numFmtId="0" fontId="157" fillId="0" borderId="55" xfId="74" applyFont="1" applyBorder="1" applyAlignment="1">
      <alignment horizontal="center" vertical="center"/>
    </xf>
    <xf numFmtId="0" fontId="158" fillId="0" borderId="2" xfId="74" applyFont="1" applyAlignment="1">
      <alignment vertical="center" wrapText="1"/>
    </xf>
    <xf numFmtId="0" fontId="158" fillId="0" borderId="2" xfId="74" applyFont="1" applyAlignment="1">
      <alignment vertical="center"/>
    </xf>
    <xf numFmtId="0" fontId="157" fillId="0" borderId="54" xfId="74" applyFont="1" applyBorder="1" applyAlignment="1">
      <alignment vertical="center"/>
    </xf>
    <xf numFmtId="0" fontId="157" fillId="0" borderId="2" xfId="74" applyFont="1" applyAlignment="1">
      <alignment vertical="center"/>
    </xf>
    <xf numFmtId="0" fontId="56" fillId="0" borderId="3" xfId="0" applyFont="1" applyBorder="1" applyAlignment="1">
      <alignment horizontal="left" wrapText="1"/>
    </xf>
    <xf numFmtId="0" fontId="19" fillId="0" borderId="3" xfId="0" applyFont="1" applyBorder="1" applyAlignment="1">
      <alignment horizontal="center"/>
    </xf>
    <xf numFmtId="4" fontId="56" fillId="0" borderId="3" xfId="0" applyNumberFormat="1" applyFont="1" applyBorder="1" applyAlignment="1">
      <alignment horizontal="center" vertical="center" wrapText="1"/>
    </xf>
    <xf numFmtId="0" fontId="69" fillId="0" borderId="3" xfId="0" applyFont="1" applyBorder="1" applyAlignment="1">
      <alignment horizontal="left" vertical="center"/>
    </xf>
    <xf numFmtId="1" fontId="69" fillId="0" borderId="3" xfId="0" applyNumberFormat="1" applyFont="1" applyBorder="1" applyAlignment="1">
      <alignment vertical="center" wrapText="1"/>
    </xf>
    <xf numFmtId="43" fontId="69" fillId="0" borderId="3" xfId="0" applyNumberFormat="1" applyFont="1" applyBorder="1" applyAlignment="1">
      <alignment vertical="center" wrapText="1"/>
    </xf>
    <xf numFmtId="0" fontId="66" fillId="0" borderId="3" xfId="0" applyFont="1" applyBorder="1" applyAlignment="1">
      <alignment horizontal="left" vertical="center"/>
    </xf>
    <xf numFmtId="0" fontId="36" fillId="0" borderId="3" xfId="0" applyFont="1" applyBorder="1" applyAlignment="1">
      <alignment horizontal="center" vertical="center"/>
    </xf>
    <xf numFmtId="0" fontId="56" fillId="0" borderId="3" xfId="0" applyFont="1" applyBorder="1" applyAlignment="1">
      <alignment horizontal="left" vertical="center"/>
    </xf>
    <xf numFmtId="0" fontId="56" fillId="0" borderId="2" xfId="0" applyFont="1" applyBorder="1" applyAlignment="1">
      <alignment horizontal="left" vertical="center"/>
    </xf>
    <xf numFmtId="43" fontId="56" fillId="0" borderId="3" xfId="7" applyFont="1" applyBorder="1"/>
    <xf numFmtId="0" fontId="99" fillId="0" borderId="0" xfId="0" applyFont="1"/>
    <xf numFmtId="0" fontId="56" fillId="0" borderId="3" xfId="0" applyFont="1" applyBorder="1" applyAlignment="1">
      <alignment horizontal="left" vertical="top"/>
    </xf>
    <xf numFmtId="0" fontId="57" fillId="0" borderId="2" xfId="16" applyFont="1" applyAlignment="1">
      <alignment vertical="center"/>
    </xf>
    <xf numFmtId="0" fontId="57" fillId="0" borderId="2" xfId="16" applyFont="1" applyAlignment="1">
      <alignment vertical="center" wrapText="1"/>
    </xf>
    <xf numFmtId="0" fontId="58" fillId="0" borderId="2" xfId="16" applyFont="1" applyAlignment="1">
      <alignment vertical="center" wrapText="1"/>
    </xf>
    <xf numFmtId="0" fontId="24" fillId="2" borderId="2" xfId="16" applyFont="1" applyFill="1" applyAlignment="1">
      <alignment vertical="center"/>
    </xf>
    <xf numFmtId="0" fontId="57" fillId="15" borderId="2" xfId="16" applyFont="1" applyFill="1" applyAlignment="1">
      <alignment vertical="center" wrapText="1"/>
    </xf>
    <xf numFmtId="0" fontId="57" fillId="0" borderId="2" xfId="16" applyFont="1" applyAlignment="1">
      <alignment horizontal="center" vertical="center" wrapText="1"/>
    </xf>
    <xf numFmtId="0" fontId="56" fillId="0" borderId="2" xfId="16" applyFont="1"/>
    <xf numFmtId="0" fontId="56" fillId="0" borderId="2" xfId="16" applyFont="1" applyAlignment="1">
      <alignment vertical="center" wrapText="1"/>
    </xf>
    <xf numFmtId="0" fontId="62" fillId="0" borderId="2" xfId="16" applyFont="1" applyAlignment="1">
      <alignment vertical="center" wrapText="1"/>
    </xf>
    <xf numFmtId="0" fontId="63" fillId="2" borderId="2" xfId="16" quotePrefix="1" applyFont="1" applyFill="1" applyAlignment="1">
      <alignment vertical="center"/>
    </xf>
    <xf numFmtId="0" fontId="63" fillId="2" borderId="2" xfId="16" applyFont="1" applyFill="1" applyAlignment="1">
      <alignment vertical="center"/>
    </xf>
    <xf numFmtId="176" fontId="56" fillId="0" borderId="2" xfId="16" applyNumberFormat="1" applyFont="1" applyAlignment="1">
      <alignment vertical="center" wrapText="1"/>
    </xf>
    <xf numFmtId="0" fontId="56" fillId="15" borderId="2" xfId="16" applyFont="1" applyFill="1" applyAlignment="1">
      <alignment vertical="center" wrapText="1"/>
    </xf>
    <xf numFmtId="0" fontId="56" fillId="0" borderId="2" xfId="16" applyFont="1" applyAlignment="1">
      <alignment horizontal="center" vertical="center" wrapText="1"/>
    </xf>
    <xf numFmtId="0" fontId="59" fillId="0" borderId="2" xfId="16" applyFont="1" applyAlignment="1">
      <alignment horizontal="left" vertical="center"/>
    </xf>
    <xf numFmtId="0" fontId="56" fillId="0" borderId="2" xfId="16" applyFont="1" applyAlignment="1">
      <alignment vertical="center"/>
    </xf>
    <xf numFmtId="0" fontId="62" fillId="0" borderId="2" xfId="16" applyFont="1" applyAlignment="1">
      <alignment vertical="center"/>
    </xf>
    <xf numFmtId="0" fontId="56" fillId="15" borderId="2" xfId="16" applyFont="1" applyFill="1" applyAlignment="1">
      <alignment vertical="center"/>
    </xf>
    <xf numFmtId="0" fontId="59" fillId="0" borderId="2" xfId="16" applyFont="1" applyAlignment="1">
      <alignment horizontal="center" vertical="center"/>
    </xf>
    <xf numFmtId="0" fontId="24" fillId="3" borderId="3" xfId="16" applyFont="1" applyFill="1" applyBorder="1" applyAlignment="1">
      <alignment horizontal="center" vertical="center" wrapText="1"/>
    </xf>
    <xf numFmtId="0" fontId="56" fillId="0" borderId="3" xfId="16" applyFont="1" applyBorder="1" applyAlignment="1">
      <alignment wrapText="1"/>
    </xf>
    <xf numFmtId="0" fontId="24" fillId="34" borderId="3" xfId="16" applyFont="1" applyFill="1" applyBorder="1" applyAlignment="1">
      <alignment horizontal="center" vertical="center" wrapText="1"/>
    </xf>
    <xf numFmtId="0" fontId="57" fillId="35" borderId="3" xfId="16" applyFont="1" applyFill="1" applyBorder="1" applyAlignment="1">
      <alignment horizontal="center" vertical="center" wrapText="1"/>
    </xf>
    <xf numFmtId="0" fontId="57" fillId="28" borderId="3" xfId="16" applyFont="1" applyFill="1" applyBorder="1" applyAlignment="1">
      <alignment horizontal="center" vertical="center" wrapText="1"/>
    </xf>
    <xf numFmtId="0" fontId="57" fillId="36" borderId="3" xfId="16" applyFont="1" applyFill="1" applyBorder="1" applyAlignment="1">
      <alignment horizontal="center" vertical="center" wrapText="1"/>
    </xf>
    <xf numFmtId="0" fontId="57" fillId="28" borderId="12" xfId="16" applyFont="1" applyFill="1" applyBorder="1" applyAlignment="1">
      <alignment horizontal="center" vertical="center" wrapText="1"/>
    </xf>
    <xf numFmtId="0" fontId="56" fillId="0" borderId="2" xfId="16" applyFont="1" applyAlignment="1">
      <alignment horizontal="center" vertical="center"/>
    </xf>
    <xf numFmtId="0" fontId="58" fillId="3" borderId="3" xfId="16" applyFont="1" applyFill="1" applyBorder="1" applyAlignment="1">
      <alignment horizontal="center" vertical="center" wrapText="1"/>
    </xf>
    <xf numFmtId="0" fontId="58" fillId="34" borderId="3" xfId="16" applyFont="1" applyFill="1" applyBorder="1" applyAlignment="1">
      <alignment horizontal="center" vertical="center" wrapText="1"/>
    </xf>
    <xf numFmtId="0" fontId="24" fillId="8" borderId="3" xfId="16" applyFont="1" applyFill="1" applyBorder="1" applyAlignment="1">
      <alignment horizontal="center" vertical="center" wrapText="1"/>
    </xf>
    <xf numFmtId="44" fontId="57" fillId="35" borderId="3" xfId="16" applyNumberFormat="1" applyFont="1" applyFill="1" applyBorder="1" applyAlignment="1">
      <alignment horizontal="center" vertical="center" wrapText="1"/>
    </xf>
    <xf numFmtId="164" fontId="57" fillId="36" borderId="3" xfId="16" applyNumberFormat="1" applyFont="1" applyFill="1" applyBorder="1" applyAlignment="1">
      <alignment horizontal="center" vertical="center" wrapText="1"/>
    </xf>
    <xf numFmtId="0" fontId="56" fillId="28" borderId="12" xfId="16" applyFont="1" applyFill="1" applyBorder="1" applyAlignment="1">
      <alignment horizontal="center" vertical="center" wrapText="1"/>
    </xf>
    <xf numFmtId="1" fontId="57" fillId="0" borderId="3" xfId="16" applyNumberFormat="1" applyFont="1" applyBorder="1" applyAlignment="1">
      <alignment horizontal="center" vertical="center"/>
    </xf>
    <xf numFmtId="0" fontId="24" fillId="28" borderId="3" xfId="16" applyFont="1" applyFill="1" applyBorder="1" applyAlignment="1">
      <alignment horizontal="center" vertical="center" wrapText="1"/>
    </xf>
    <xf numFmtId="0" fontId="58" fillId="28" borderId="3" xfId="16" applyFont="1" applyFill="1" applyBorder="1" applyAlignment="1">
      <alignment horizontal="center" vertical="center" wrapText="1"/>
    </xf>
    <xf numFmtId="165" fontId="58" fillId="28" borderId="3" xfId="18" applyNumberFormat="1" applyFont="1" applyFill="1" applyBorder="1" applyAlignment="1">
      <alignment horizontal="center" vertical="center" wrapText="1"/>
    </xf>
    <xf numFmtId="9" fontId="24" fillId="28" borderId="3" xfId="10" applyFont="1" applyFill="1" applyBorder="1" applyAlignment="1">
      <alignment horizontal="center" vertical="center" wrapText="1"/>
    </xf>
    <xf numFmtId="165" fontId="24" fillId="28" borderId="3" xfId="18" applyNumberFormat="1" applyFont="1" applyFill="1" applyBorder="1" applyAlignment="1">
      <alignment horizontal="center" vertical="center" wrapText="1"/>
    </xf>
    <xf numFmtId="0" fontId="56" fillId="28" borderId="3" xfId="16" applyFont="1" applyFill="1" applyBorder="1" applyAlignment="1">
      <alignment vertical="center" wrapText="1"/>
    </xf>
    <xf numFmtId="0" fontId="81" fillId="0" borderId="20" xfId="16" applyFont="1" applyBorder="1" applyAlignment="1">
      <alignment horizontal="center" vertical="center"/>
    </xf>
    <xf numFmtId="0" fontId="69" fillId="0" borderId="3" xfId="41" applyFont="1" applyBorder="1" applyAlignment="1">
      <alignment vertical="center" wrapText="1"/>
    </xf>
    <xf numFmtId="0" fontId="68" fillId="0" borderId="3" xfId="16" applyFont="1" applyBorder="1" applyAlignment="1">
      <alignment horizontal="center" vertical="center"/>
    </xf>
    <xf numFmtId="43" fontId="38" fillId="0" borderId="3" xfId="18" applyFont="1" applyBorder="1" applyAlignment="1">
      <alignment horizontal="right" vertical="center"/>
    </xf>
    <xf numFmtId="43" fontId="81" fillId="0" borderId="3" xfId="33" applyFont="1" applyFill="1" applyBorder="1" applyAlignment="1">
      <alignment vertical="center"/>
    </xf>
    <xf numFmtId="0" fontId="38" fillId="0" borderId="3" xfId="16" applyFont="1" applyBorder="1" applyAlignment="1">
      <alignment horizontal="right" vertical="center"/>
    </xf>
    <xf numFmtId="43" fontId="81" fillId="0" borderId="3" xfId="16" applyNumberFormat="1" applyFont="1" applyBorder="1" applyAlignment="1">
      <alignment horizontal="left" vertical="center" wrapText="1"/>
    </xf>
    <xf numFmtId="0" fontId="170" fillId="13" borderId="3" xfId="16" applyFont="1" applyFill="1" applyBorder="1" applyAlignment="1" applyProtection="1">
      <alignment horizontal="center" vertical="center" wrapText="1"/>
      <protection locked="0"/>
    </xf>
    <xf numFmtId="0" fontId="81" fillId="0" borderId="3" xfId="16" applyFont="1" applyBorder="1" applyAlignment="1">
      <alignment horizontal="left" vertical="center" wrapText="1"/>
    </xf>
    <xf numFmtId="166" fontId="81" fillId="0" borderId="3" xfId="16" applyNumberFormat="1" applyFont="1" applyBorder="1" applyAlignment="1">
      <alignment horizontal="left" vertical="center" wrapText="1"/>
    </xf>
    <xf numFmtId="0" fontId="171" fillId="0" borderId="3" xfId="16" applyFont="1" applyBorder="1" applyAlignment="1">
      <alignment horizontal="left" vertical="center" wrapText="1"/>
    </xf>
    <xf numFmtId="0" fontId="81" fillId="0" borderId="3" xfId="16" applyFont="1" applyBorder="1" applyAlignment="1">
      <alignment horizontal="left" vertical="center"/>
    </xf>
    <xf numFmtId="14" fontId="81" fillId="0" borderId="3" xfId="16" applyNumberFormat="1" applyFont="1" applyBorder="1" applyAlignment="1">
      <alignment horizontal="left" vertical="center" wrapText="1"/>
    </xf>
    <xf numFmtId="0" fontId="172" fillId="13" borderId="3" xfId="16" applyFont="1" applyFill="1" applyBorder="1" applyAlignment="1">
      <alignment vertical="center" wrapText="1"/>
    </xf>
    <xf numFmtId="0" fontId="81" fillId="0" borderId="3" xfId="16" applyFont="1" applyBorder="1" applyAlignment="1">
      <alignment horizontal="center" vertical="center"/>
    </xf>
    <xf numFmtId="43" fontId="68" fillId="0" borderId="3" xfId="33" applyFont="1" applyFill="1" applyBorder="1" applyAlignment="1">
      <alignment vertical="center"/>
    </xf>
    <xf numFmtId="43" fontId="81" fillId="0" borderId="3" xfId="80" applyFont="1" applyFill="1" applyBorder="1" applyAlignment="1" applyProtection="1">
      <alignment horizontal="right" vertical="center" wrapText="1"/>
      <protection locked="0"/>
    </xf>
    <xf numFmtId="4" fontId="81" fillId="0" borderId="3" xfId="80" applyNumberFormat="1" applyFont="1" applyFill="1" applyBorder="1" applyAlignment="1" applyProtection="1">
      <alignment horizontal="right" vertical="center"/>
      <protection locked="0"/>
    </xf>
    <xf numFmtId="169" fontId="81" fillId="0" borderId="3" xfId="16" applyNumberFormat="1" applyFont="1" applyBorder="1" applyAlignment="1">
      <alignment horizontal="left" vertical="center" wrapText="1"/>
    </xf>
    <xf numFmtId="167" fontId="81" fillId="0" borderId="3" xfId="16" applyNumberFormat="1" applyFont="1" applyBorder="1" applyAlignment="1">
      <alignment horizontal="left" vertical="center" wrapText="1"/>
    </xf>
    <xf numFmtId="4" fontId="81" fillId="0" borderId="3" xfId="16" applyNumberFormat="1" applyFont="1" applyBorder="1" applyAlignment="1">
      <alignment horizontal="left" vertical="center" wrapText="1"/>
    </xf>
    <xf numFmtId="166" fontId="81" fillId="0" borderId="12" xfId="16" applyNumberFormat="1" applyFont="1" applyBorder="1" applyAlignment="1">
      <alignment horizontal="left" vertical="center" wrapText="1"/>
    </xf>
    <xf numFmtId="0" fontId="81" fillId="0" borderId="2" xfId="16" applyFont="1" applyAlignment="1">
      <alignment horizontal="left"/>
    </xf>
    <xf numFmtId="0" fontId="172" fillId="13" borderId="3" xfId="16" applyFont="1" applyFill="1" applyBorder="1" applyAlignment="1">
      <alignment vertical="center"/>
    </xf>
    <xf numFmtId="0" fontId="81" fillId="0" borderId="2" xfId="16" applyFont="1" applyAlignment="1">
      <alignment horizontal="left" vertical="center"/>
    </xf>
    <xf numFmtId="0" fontId="38" fillId="13" borderId="3" xfId="16" applyFont="1" applyFill="1" applyBorder="1" applyAlignment="1" applyProtection="1">
      <alignment horizontal="center" vertical="center" wrapText="1"/>
      <protection locked="0"/>
    </xf>
    <xf numFmtId="0" fontId="81" fillId="0" borderId="3" xfId="16" applyFont="1" applyBorder="1" applyAlignment="1">
      <alignment horizontal="left" wrapText="1"/>
    </xf>
    <xf numFmtId="0" fontId="170" fillId="13" borderId="3" xfId="16" applyFont="1" applyFill="1" applyBorder="1" applyAlignment="1" applyProtection="1">
      <alignment horizontal="left" vertical="center"/>
      <protection locked="0"/>
    </xf>
    <xf numFmtId="43" fontId="174" fillId="0" borderId="13" xfId="18" applyFont="1" applyBorder="1" applyAlignment="1">
      <alignment horizontal="right" vertical="center" wrapText="1"/>
    </xf>
    <xf numFmtId="0" fontId="174" fillId="0" borderId="13" xfId="81" applyFont="1" applyBorder="1" applyAlignment="1">
      <alignment horizontal="right" vertical="center" wrapText="1"/>
    </xf>
    <xf numFmtId="43" fontId="81" fillId="0" borderId="3" xfId="33" applyFont="1" applyFill="1" applyBorder="1" applyAlignment="1">
      <alignment horizontal="right" vertical="center"/>
    </xf>
    <xf numFmtId="0" fontId="38" fillId="0" borderId="3" xfId="16" applyFont="1" applyBorder="1" applyAlignment="1">
      <alignment horizontal="center" vertical="center"/>
    </xf>
    <xf numFmtId="0" fontId="65" fillId="0" borderId="3" xfId="16" applyFont="1" applyBorder="1" applyAlignment="1">
      <alignment vertical="center"/>
    </xf>
    <xf numFmtId="0" fontId="68" fillId="0" borderId="14" xfId="16" applyFont="1" applyBorder="1" applyAlignment="1">
      <alignment horizontal="center" vertical="center"/>
    </xf>
    <xf numFmtId="169" fontId="81" fillId="0" borderId="3" xfId="16" applyNumberFormat="1" applyFont="1" applyBorder="1" applyAlignment="1">
      <alignment horizontal="left" vertical="center"/>
    </xf>
    <xf numFmtId="0" fontId="68" fillId="0" borderId="2" xfId="16" applyFont="1" applyAlignment="1">
      <alignment horizontal="center" vertical="center"/>
    </xf>
    <xf numFmtId="43" fontId="68" fillId="0" borderId="9" xfId="33" applyFont="1" applyFill="1" applyBorder="1" applyAlignment="1">
      <alignment vertical="center"/>
    </xf>
    <xf numFmtId="0" fontId="36" fillId="0" borderId="65" xfId="16" applyFont="1" applyBorder="1" applyAlignment="1">
      <alignment horizontal="center" vertical="center"/>
    </xf>
    <xf numFmtId="43" fontId="174" fillId="0" borderId="3" xfId="18" applyFont="1" applyBorder="1" applyAlignment="1">
      <alignment horizontal="right" vertical="center" wrapText="1"/>
    </xf>
    <xf numFmtId="43" fontId="175" fillId="0" borderId="3" xfId="33" applyFont="1" applyFill="1" applyBorder="1" applyAlignment="1">
      <alignment vertical="center"/>
    </xf>
    <xf numFmtId="0" fontId="174" fillId="0" borderId="3" xfId="81" applyFont="1" applyBorder="1" applyAlignment="1">
      <alignment horizontal="right" vertical="center" wrapText="1"/>
    </xf>
    <xf numFmtId="0" fontId="68" fillId="0" borderId="65" xfId="16" applyFont="1" applyBorder="1" applyAlignment="1">
      <alignment horizontal="center" vertical="center"/>
    </xf>
    <xf numFmtId="0" fontId="43" fillId="0" borderId="65" xfId="16" applyFont="1" applyBorder="1" applyAlignment="1">
      <alignment vertical="center" wrapText="1"/>
    </xf>
    <xf numFmtId="0" fontId="176" fillId="0" borderId="3" xfId="16" applyFont="1" applyBorder="1" applyAlignment="1">
      <alignment horizontal="center" vertical="center"/>
    </xf>
    <xf numFmtId="166" fontId="17" fillId="0" borderId="13" xfId="82" applyNumberFormat="1" applyFont="1" applyFill="1" applyBorder="1" applyAlignment="1">
      <alignment horizontal="left" vertical="center"/>
    </xf>
    <xf numFmtId="43" fontId="176" fillId="0" borderId="3" xfId="33" applyFont="1" applyFill="1" applyBorder="1" applyAlignment="1">
      <alignment vertical="center"/>
    </xf>
    <xf numFmtId="0" fontId="174" fillId="0" borderId="13" xfId="81" applyFont="1" applyBorder="1" applyAlignment="1">
      <alignment horizontal="center" vertical="center" wrapText="1"/>
    </xf>
    <xf numFmtId="43" fontId="56" fillId="0" borderId="3" xfId="16" applyNumberFormat="1" applyFont="1" applyBorder="1" applyAlignment="1">
      <alignment horizontal="left" vertical="center" wrapText="1"/>
    </xf>
    <xf numFmtId="43" fontId="177" fillId="0" borderId="21" xfId="16" applyNumberFormat="1" applyFont="1" applyBorder="1" applyAlignment="1">
      <alignment horizontal="left" vertical="center"/>
    </xf>
    <xf numFmtId="0" fontId="56" fillId="0" borderId="3" xfId="16" applyFont="1" applyBorder="1" applyAlignment="1">
      <alignment horizontal="left" vertical="center" wrapText="1"/>
    </xf>
    <xf numFmtId="166" fontId="56" fillId="0" borderId="3" xfId="16" applyNumberFormat="1" applyFont="1" applyBorder="1" applyAlignment="1">
      <alignment horizontal="left" vertical="center" wrapText="1"/>
    </xf>
    <xf numFmtId="0" fontId="59" fillId="0" borderId="3" xfId="16" applyFont="1" applyBorder="1" applyAlignment="1">
      <alignment horizontal="left" vertical="center" wrapText="1"/>
    </xf>
    <xf numFmtId="14" fontId="56" fillId="0" borderId="3" xfId="16" applyNumberFormat="1" applyFont="1" applyBorder="1" applyAlignment="1">
      <alignment horizontal="left" vertical="center" wrapText="1"/>
    </xf>
    <xf numFmtId="43" fontId="68" fillId="0" borderId="3" xfId="80" applyFont="1" applyFill="1" applyBorder="1" applyAlignment="1" applyProtection="1">
      <alignment horizontal="right" vertical="center" wrapText="1"/>
      <protection locked="0"/>
    </xf>
    <xf numFmtId="4" fontId="68" fillId="0" borderId="3" xfId="16" applyNumberFormat="1" applyFont="1" applyBorder="1" applyAlignment="1" applyProtection="1">
      <alignment vertical="center" wrapText="1"/>
      <protection locked="0"/>
    </xf>
    <xf numFmtId="4" fontId="68" fillId="0" borderId="3" xfId="80" applyNumberFormat="1" applyFont="1" applyFill="1" applyBorder="1" applyAlignment="1" applyProtection="1">
      <alignment horizontal="right" vertical="center"/>
      <protection locked="0"/>
    </xf>
    <xf numFmtId="169" fontId="56" fillId="0" borderId="3" xfId="16" applyNumberFormat="1" applyFont="1" applyBorder="1" applyAlignment="1">
      <alignment horizontal="left" vertical="center" wrapText="1"/>
    </xf>
    <xf numFmtId="167" fontId="56" fillId="0" borderId="3" xfId="16" applyNumberFormat="1" applyFont="1" applyBorder="1" applyAlignment="1">
      <alignment horizontal="left" vertical="center" wrapText="1"/>
    </xf>
    <xf numFmtId="4" fontId="56" fillId="0" borderId="3" xfId="16" applyNumberFormat="1" applyFont="1" applyBorder="1" applyAlignment="1">
      <alignment horizontal="left" vertical="center" wrapText="1"/>
    </xf>
    <xf numFmtId="166" fontId="56" fillId="0" borderId="12" xfId="16" applyNumberFormat="1" applyFont="1" applyBorder="1" applyAlignment="1">
      <alignment horizontal="left" vertical="center" wrapText="1"/>
    </xf>
    <xf numFmtId="0" fontId="56" fillId="0" borderId="2" xfId="16" applyFont="1" applyAlignment="1">
      <alignment horizontal="left"/>
    </xf>
    <xf numFmtId="0" fontId="68" fillId="0" borderId="3" xfId="16" applyFont="1" applyBorder="1" applyAlignment="1">
      <alignment horizontal="left" vertical="center"/>
    </xf>
    <xf numFmtId="43" fontId="176" fillId="0" borderId="3" xfId="33" applyFont="1" applyFill="1" applyBorder="1" applyAlignment="1">
      <alignment horizontal="right" vertical="center"/>
    </xf>
    <xf numFmtId="169" fontId="56" fillId="0" borderId="3" xfId="16" applyNumberFormat="1" applyFont="1" applyBorder="1" applyAlignment="1">
      <alignment horizontal="left" vertical="center"/>
    </xf>
    <xf numFmtId="0" fontId="176" fillId="0" borderId="3" xfId="16" applyFont="1" applyBorder="1" applyAlignment="1">
      <alignment horizontal="left" vertical="center"/>
    </xf>
    <xf numFmtId="49" fontId="56" fillId="0" borderId="3" xfId="16" applyNumberFormat="1" applyFont="1" applyBorder="1" applyAlignment="1">
      <alignment horizontal="left" vertical="center" wrapText="1"/>
    </xf>
    <xf numFmtId="0" fontId="65" fillId="0" borderId="2" xfId="16" applyFont="1" applyAlignment="1">
      <alignment vertical="center"/>
    </xf>
    <xf numFmtId="0" fontId="177" fillId="0" borderId="21" xfId="16" applyFont="1" applyBorder="1" applyAlignment="1">
      <alignment horizontal="left" vertical="center"/>
    </xf>
    <xf numFmtId="0" fontId="176" fillId="0" borderId="20" xfId="16" applyFont="1" applyBorder="1" applyAlignment="1">
      <alignment horizontal="center" vertical="center"/>
    </xf>
    <xf numFmtId="0" fontId="56" fillId="0" borderId="3" xfId="16" applyFont="1" applyBorder="1" applyAlignment="1">
      <alignment vertical="center" wrapText="1"/>
    </xf>
    <xf numFmtId="4" fontId="68" fillId="0" borderId="3" xfId="83" applyNumberFormat="1" applyFont="1" applyBorder="1" applyAlignment="1">
      <alignment horizontal="center" vertical="center"/>
    </xf>
    <xf numFmtId="43" fontId="176" fillId="0" borderId="3" xfId="18" applyFont="1" applyBorder="1" applyAlignment="1">
      <alignment horizontal="left" vertical="center"/>
    </xf>
    <xf numFmtId="0" fontId="178" fillId="0" borderId="3" xfId="16" applyFont="1" applyBorder="1" applyAlignment="1">
      <alignment vertical="center" wrapText="1"/>
    </xf>
    <xf numFmtId="0" fontId="179" fillId="0" borderId="3" xfId="16" applyFont="1" applyBorder="1"/>
    <xf numFmtId="0" fontId="62" fillId="0" borderId="2" xfId="16" applyFont="1"/>
    <xf numFmtId="0" fontId="56" fillId="15" borderId="2" xfId="16" applyFont="1" applyFill="1"/>
    <xf numFmtId="0" fontId="56" fillId="0" borderId="2" xfId="16" applyFont="1" applyAlignment="1">
      <alignment horizontal="center"/>
    </xf>
    <xf numFmtId="43" fontId="56" fillId="0" borderId="2" xfId="16" applyNumberFormat="1" applyFont="1"/>
    <xf numFmtId="0" fontId="175" fillId="0" borderId="20" xfId="16" applyFont="1" applyBorder="1" applyAlignment="1">
      <alignment horizontal="center" vertical="center"/>
    </xf>
    <xf numFmtId="0" fontId="180" fillId="0" borderId="3" xfId="16" applyFont="1" applyBorder="1" applyAlignment="1">
      <alignment vertical="center" wrapText="1"/>
    </xf>
    <xf numFmtId="166" fontId="74" fillId="0" borderId="3" xfId="33" applyNumberFormat="1" applyFont="1" applyFill="1" applyBorder="1" applyAlignment="1">
      <alignment vertical="center"/>
    </xf>
    <xf numFmtId="0" fontId="181" fillId="0" borderId="21" xfId="16" applyFont="1" applyBorder="1" applyAlignment="1">
      <alignment horizontal="left" vertical="center"/>
    </xf>
    <xf numFmtId="0" fontId="175" fillId="0" borderId="3" xfId="16" applyFont="1" applyBorder="1" applyAlignment="1">
      <alignment horizontal="left" vertical="center"/>
    </xf>
    <xf numFmtId="43" fontId="68" fillId="0" borderId="3" xfId="18" applyFont="1" applyFill="1" applyBorder="1" applyAlignment="1">
      <alignment vertical="center"/>
    </xf>
    <xf numFmtId="166" fontId="69" fillId="0" borderId="3" xfId="33" applyNumberFormat="1" applyFont="1" applyFill="1" applyBorder="1" applyAlignment="1">
      <alignment vertical="center"/>
    </xf>
    <xf numFmtId="0" fontId="38" fillId="0" borderId="3" xfId="16" applyFont="1" applyBorder="1"/>
    <xf numFmtId="0" fontId="81" fillId="0" borderId="3" xfId="16" applyFont="1" applyBorder="1" applyAlignment="1">
      <alignment horizontal="center" vertical="center" wrapText="1"/>
    </xf>
    <xf numFmtId="43" fontId="175" fillId="0" borderId="3" xfId="33" applyFont="1" applyFill="1" applyBorder="1" applyAlignment="1">
      <alignment horizontal="right" vertical="center"/>
    </xf>
    <xf numFmtId="0" fontId="182" fillId="0" borderId="3" xfId="16" applyFont="1" applyBorder="1" applyAlignment="1">
      <alignment vertical="center" wrapText="1"/>
    </xf>
    <xf numFmtId="0" fontId="181" fillId="0" borderId="21" xfId="16" applyFont="1" applyBorder="1" applyAlignment="1">
      <alignment horizontal="left" vertical="center" wrapText="1"/>
    </xf>
    <xf numFmtId="0" fontId="180" fillId="0" borderId="3" xfId="84" applyFont="1" applyBorder="1" applyAlignment="1">
      <alignment vertical="center" wrapText="1"/>
    </xf>
    <xf numFmtId="4" fontId="81" fillId="0" borderId="3" xfId="16" applyNumberFormat="1" applyFont="1" applyBorder="1" applyAlignment="1" applyProtection="1">
      <alignment vertical="center" wrapText="1"/>
      <protection locked="0"/>
    </xf>
    <xf numFmtId="0" fontId="108" fillId="0" borderId="3" xfId="16" applyFont="1" applyBorder="1" applyAlignment="1">
      <alignment horizontal="center" vertical="center"/>
    </xf>
    <xf numFmtId="43" fontId="38" fillId="15" borderId="3" xfId="18" applyFont="1" applyFill="1" applyBorder="1" applyAlignment="1">
      <alignment wrapText="1"/>
    </xf>
    <xf numFmtId="0" fontId="56" fillId="0" borderId="9" xfId="16" applyFont="1" applyBorder="1" applyAlignment="1">
      <alignment vertical="center"/>
    </xf>
    <xf numFmtId="43" fontId="38" fillId="0" borderId="3" xfId="18" applyFont="1" applyBorder="1" applyAlignment="1">
      <alignment wrapText="1"/>
    </xf>
    <xf numFmtId="166" fontId="38" fillId="0" borderId="3" xfId="18" applyNumberFormat="1" applyFont="1" applyBorder="1" applyAlignment="1"/>
    <xf numFmtId="0" fontId="175" fillId="0" borderId="3" xfId="16" applyFont="1" applyBorder="1" applyAlignment="1">
      <alignment horizontal="center" vertical="center"/>
    </xf>
    <xf numFmtId="43" fontId="181" fillId="0" borderId="21" xfId="16" applyNumberFormat="1" applyFont="1" applyBorder="1" applyAlignment="1">
      <alignment horizontal="left" vertical="center"/>
    </xf>
    <xf numFmtId="0" fontId="68" fillId="0" borderId="3" xfId="16" applyFont="1" applyBorder="1" applyAlignment="1">
      <alignment horizontal="center" vertical="center" wrapText="1"/>
    </xf>
    <xf numFmtId="0" fontId="157" fillId="0" borderId="21" xfId="74" quotePrefix="1" applyFont="1" applyBorder="1" applyAlignment="1">
      <alignment horizontal="left" vertical="center" wrapText="1"/>
    </xf>
    <xf numFmtId="0" fontId="157" fillId="0" borderId="2" xfId="74" applyFont="1" applyAlignment="1">
      <alignment vertical="center" wrapText="1"/>
    </xf>
    <xf numFmtId="0" fontId="157" fillId="0" borderId="6" xfId="74" applyFont="1" applyBorder="1" applyAlignment="1">
      <alignment vertical="center" wrapText="1"/>
    </xf>
    <xf numFmtId="0" fontId="157" fillId="0" borderId="6" xfId="74" applyFont="1" applyBorder="1" applyAlignment="1">
      <alignment horizontal="center" vertical="center" wrapText="1"/>
    </xf>
    <xf numFmtId="0" fontId="157" fillId="0" borderId="52" xfId="74" applyFont="1" applyBorder="1" applyAlignment="1">
      <alignment vertical="center" wrapText="1"/>
    </xf>
    <xf numFmtId="0" fontId="157" fillId="0" borderId="11" xfId="74" applyFont="1" applyBorder="1" applyAlignment="1">
      <alignment vertical="center" wrapText="1"/>
    </xf>
    <xf numFmtId="0" fontId="157" fillId="0" borderId="11" xfId="74" applyFont="1" applyBorder="1" applyAlignment="1">
      <alignment horizontal="center" vertical="center" wrapText="1"/>
    </xf>
    <xf numFmtId="0" fontId="157" fillId="0" borderId="46" xfId="74" applyFont="1" applyBorder="1" applyAlignment="1">
      <alignment vertical="center" wrapText="1"/>
    </xf>
    <xf numFmtId="0" fontId="157" fillId="0" borderId="54" xfId="74" applyFont="1" applyBorder="1" applyAlignment="1">
      <alignment vertical="center" wrapText="1"/>
    </xf>
    <xf numFmtId="0" fontId="157" fillId="0" borderId="55" xfId="74" applyFont="1" applyBorder="1" applyAlignment="1">
      <alignment horizontal="center" vertical="center" wrapText="1"/>
    </xf>
    <xf numFmtId="0" fontId="157" fillId="0" borderId="2" xfId="74" applyFont="1" applyAlignment="1">
      <alignment horizontal="center" vertical="center" wrapText="1"/>
    </xf>
    <xf numFmtId="0" fontId="157" fillId="0" borderId="3" xfId="0" applyFont="1" applyBorder="1" applyAlignment="1">
      <alignment horizontal="left" vertical="center" wrapText="1"/>
    </xf>
    <xf numFmtId="0" fontId="162" fillId="0" borderId="3" xfId="78" applyFont="1" applyBorder="1" applyAlignment="1">
      <alignment horizontal="center" vertical="center" wrapText="1"/>
    </xf>
    <xf numFmtId="43" fontId="162" fillId="0" borderId="3" xfId="76" applyFont="1" applyFill="1" applyBorder="1" applyAlignment="1">
      <alignment horizontal="center" vertical="center" wrapText="1"/>
    </xf>
    <xf numFmtId="166" fontId="158" fillId="4" borderId="13" xfId="74" applyNumberFormat="1" applyFont="1" applyFill="1" applyBorder="1" applyAlignment="1">
      <alignment vertical="center" wrapText="1"/>
    </xf>
    <xf numFmtId="0" fontId="157" fillId="4" borderId="61" xfId="74" applyFont="1" applyFill="1" applyBorder="1" applyAlignment="1">
      <alignment vertical="center" wrapText="1"/>
    </xf>
    <xf numFmtId="0" fontId="157" fillId="4" borderId="2" xfId="74" applyFont="1" applyFill="1" applyAlignment="1">
      <alignment vertical="center" wrapText="1"/>
    </xf>
    <xf numFmtId="0" fontId="157" fillId="0" borderId="21" xfId="74" applyFont="1" applyBorder="1" applyAlignment="1">
      <alignment vertical="center" wrapText="1"/>
    </xf>
    <xf numFmtId="0" fontId="157" fillId="4" borderId="21" xfId="74" applyFont="1" applyFill="1" applyBorder="1" applyAlignment="1">
      <alignment vertical="center" wrapText="1"/>
    </xf>
    <xf numFmtId="0" fontId="157" fillId="0" borderId="23" xfId="74" applyFont="1" applyBorder="1" applyAlignment="1">
      <alignment horizontal="center" vertical="center" wrapText="1"/>
    </xf>
    <xf numFmtId="0" fontId="157" fillId="0" borderId="24" xfId="74" applyFont="1" applyBorder="1" applyAlignment="1">
      <alignment vertical="center" wrapText="1"/>
    </xf>
    <xf numFmtId="0" fontId="157" fillId="0" borderId="24" xfId="74" applyFont="1" applyBorder="1" applyAlignment="1">
      <alignment horizontal="center" vertical="center" wrapText="1"/>
    </xf>
    <xf numFmtId="0" fontId="157" fillId="0" borderId="56" xfId="74" applyFont="1" applyBorder="1" applyAlignment="1">
      <alignment vertical="center" wrapText="1"/>
    </xf>
    <xf numFmtId="0" fontId="183" fillId="14" borderId="20" xfId="16" applyFont="1" applyFill="1" applyBorder="1" applyAlignment="1">
      <alignment horizontal="center" vertical="center" wrapText="1"/>
    </xf>
    <xf numFmtId="0" fontId="183" fillId="14" borderId="3" xfId="16" applyFont="1" applyFill="1" applyBorder="1" applyAlignment="1">
      <alignment horizontal="center" vertical="center" wrapText="1"/>
    </xf>
    <xf numFmtId="166" fontId="162" fillId="4" borderId="3" xfId="76" applyNumberFormat="1" applyFont="1" applyFill="1" applyBorder="1" applyAlignment="1">
      <alignment horizontal="center" vertical="center" wrapText="1"/>
    </xf>
    <xf numFmtId="166" fontId="183" fillId="14" borderId="3" xfId="76" applyNumberFormat="1" applyFont="1" applyFill="1" applyBorder="1" applyAlignment="1">
      <alignment horizontal="center" vertical="center" wrapText="1"/>
    </xf>
    <xf numFmtId="166" fontId="183" fillId="4" borderId="3" xfId="76" applyNumberFormat="1" applyFont="1" applyFill="1" applyBorder="1" applyAlignment="1">
      <alignment horizontal="center" vertical="center" wrapText="1"/>
    </xf>
    <xf numFmtId="0" fontId="162" fillId="0" borderId="3" xfId="0" applyFont="1" applyBorder="1" applyAlignment="1">
      <alignment horizontal="left" vertical="center" wrapText="1"/>
    </xf>
    <xf numFmtId="166" fontId="162" fillId="0" borderId="3" xfId="76" applyNumberFormat="1" applyFont="1" applyFill="1" applyBorder="1" applyAlignment="1">
      <alignment vertical="center" wrapText="1"/>
    </xf>
    <xf numFmtId="166" fontId="162" fillId="0" borderId="3" xfId="76" applyNumberFormat="1" applyFont="1" applyFill="1" applyBorder="1" applyAlignment="1">
      <alignment horizontal="center" vertical="center" wrapText="1"/>
    </xf>
    <xf numFmtId="0" fontId="162" fillId="0" borderId="20" xfId="0" applyFont="1" applyBorder="1" applyAlignment="1">
      <alignment horizontal="left" vertical="center" wrapText="1"/>
    </xf>
    <xf numFmtId="0" fontId="158" fillId="0" borderId="2" xfId="16" applyFont="1" applyAlignment="1">
      <alignment horizontal="center" vertical="center" wrapText="1"/>
    </xf>
    <xf numFmtId="0" fontId="56" fillId="0" borderId="3" xfId="0" applyFont="1" applyBorder="1" applyAlignment="1">
      <alignment wrapText="1"/>
    </xf>
    <xf numFmtId="0" fontId="98" fillId="0" borderId="3" xfId="0" applyFont="1" applyBorder="1" applyAlignment="1">
      <alignment horizontal="left" vertical="center" wrapText="1"/>
    </xf>
    <xf numFmtId="0" fontId="102" fillId="0" borderId="3" xfId="0" applyFont="1" applyBorder="1" applyAlignment="1">
      <alignment vertical="center"/>
    </xf>
    <xf numFmtId="1" fontId="76" fillId="0" borderId="3" xfId="0" applyNumberFormat="1" applyFont="1" applyBorder="1" applyAlignment="1">
      <alignment horizontal="left" vertical="center" wrapText="1"/>
    </xf>
    <xf numFmtId="0" fontId="98" fillId="0" borderId="3" xfId="0" applyFont="1" applyBorder="1" applyAlignment="1">
      <alignment horizontal="center" vertical="center"/>
    </xf>
    <xf numFmtId="177" fontId="102" fillId="0" borderId="3" xfId="0" applyNumberFormat="1" applyFont="1" applyBorder="1" applyAlignment="1">
      <alignment horizontal="center" vertical="center" wrapText="1"/>
    </xf>
    <xf numFmtId="0" fontId="56" fillId="0" borderId="3" xfId="0" applyFont="1" applyBorder="1" applyAlignment="1">
      <alignment horizontal="right" vertical="center"/>
    </xf>
    <xf numFmtId="0" fontId="98" fillId="0" borderId="3" xfId="0" applyFont="1" applyBorder="1" applyAlignment="1">
      <alignment horizontal="left" vertical="center"/>
    </xf>
    <xf numFmtId="0" fontId="102" fillId="0" borderId="3" xfId="0" applyFont="1" applyBorder="1" applyAlignment="1">
      <alignment horizontal="left" vertical="center"/>
    </xf>
    <xf numFmtId="9" fontId="56" fillId="0" borderId="3" xfId="64" applyFont="1" applyFill="1" applyBorder="1"/>
    <xf numFmtId="3" fontId="148" fillId="0" borderId="3" xfId="71" applyNumberFormat="1" applyFont="1" applyBorder="1" applyAlignment="1">
      <alignment horizontal="center" vertical="center"/>
    </xf>
    <xf numFmtId="1" fontId="98" fillId="0" borderId="3" xfId="0" applyNumberFormat="1" applyFont="1" applyBorder="1" applyAlignment="1">
      <alignment horizontal="left" vertical="center" wrapText="1"/>
    </xf>
    <xf numFmtId="0" fontId="98" fillId="0" borderId="3" xfId="0" applyFont="1" applyBorder="1" applyAlignment="1">
      <alignment vertical="center"/>
    </xf>
    <xf numFmtId="3" fontId="20" fillId="0" borderId="3" xfId="71" applyNumberFormat="1" applyFont="1" applyBorder="1" applyAlignment="1">
      <alignment horizontal="center" vertical="center"/>
    </xf>
    <xf numFmtId="166" fontId="184" fillId="0" borderId="3" xfId="7" applyNumberFormat="1" applyFont="1" applyFill="1" applyBorder="1" applyAlignment="1">
      <alignment vertical="center"/>
    </xf>
    <xf numFmtId="16" fontId="60" fillId="0" borderId="3" xfId="0" applyNumberFormat="1" applyFont="1" applyBorder="1" applyAlignment="1">
      <alignment vertical="center" wrapText="1"/>
    </xf>
    <xf numFmtId="16" fontId="20" fillId="0" borderId="2" xfId="71" applyNumberFormat="1" applyFont="1" applyAlignment="1">
      <alignment vertical="center"/>
    </xf>
    <xf numFmtId="177" fontId="78" fillId="0" borderId="3" xfId="0" applyNumberFormat="1" applyFont="1" applyBorder="1" applyAlignment="1">
      <alignment horizontal="center" vertical="center" wrapText="1"/>
    </xf>
    <xf numFmtId="0" fontId="78" fillId="0" borderId="3" xfId="0" applyFont="1" applyBorder="1" applyAlignment="1">
      <alignment horizontal="center" vertical="center"/>
    </xf>
    <xf numFmtId="0" fontId="80" fillId="0" borderId="3" xfId="0" applyFont="1" applyBorder="1"/>
    <xf numFmtId="0" fontId="27" fillId="0" borderId="3" xfId="0" applyFont="1" applyBorder="1" applyAlignment="1">
      <alignment horizontal="left"/>
    </xf>
    <xf numFmtId="0" fontId="56" fillId="0" borderId="14" xfId="0" applyFont="1" applyBorder="1"/>
    <xf numFmtId="3" fontId="20" fillId="0" borderId="20" xfId="71" applyNumberFormat="1" applyFont="1" applyBorder="1" applyAlignment="1">
      <alignment horizontal="center" vertical="center"/>
    </xf>
    <xf numFmtId="0" fontId="58" fillId="37" borderId="3" xfId="0" applyFont="1" applyFill="1" applyBorder="1" applyAlignment="1">
      <alignment horizontal="center" vertical="center" wrapText="1"/>
    </xf>
    <xf numFmtId="0" fontId="24" fillId="37" borderId="3" xfId="0" applyFont="1" applyFill="1" applyBorder="1" applyAlignment="1">
      <alignment horizontal="center" vertical="center" wrapText="1"/>
    </xf>
    <xf numFmtId="1" fontId="76" fillId="0" borderId="3" xfId="0" applyNumberFormat="1" applyFont="1" applyBorder="1" applyAlignment="1">
      <alignment horizontal="center" vertical="center" wrapText="1"/>
    </xf>
    <xf numFmtId="165" fontId="24" fillId="4" borderId="3" xfId="7" applyNumberFormat="1" applyFont="1" applyFill="1" applyBorder="1" applyAlignment="1">
      <alignment horizontal="right" vertical="center" wrapText="1"/>
    </xf>
    <xf numFmtId="4" fontId="68" fillId="0" borderId="3" xfId="0" applyNumberFormat="1" applyFont="1" applyBorder="1" applyAlignment="1" applyProtection="1">
      <alignment horizontal="right" vertical="center" wrapText="1"/>
      <protection locked="0"/>
    </xf>
    <xf numFmtId="43" fontId="68" fillId="0" borderId="3" xfId="7" applyFont="1" applyFill="1" applyBorder="1" applyAlignment="1">
      <alignment horizontal="right" vertical="center"/>
    </xf>
    <xf numFmtId="177" fontId="83" fillId="0" borderId="3" xfId="0" applyNumberFormat="1" applyFont="1" applyBorder="1" applyAlignment="1">
      <alignment horizontal="right" vertical="top" shrinkToFit="1"/>
    </xf>
    <xf numFmtId="4" fontId="16" fillId="0" borderId="3" xfId="0" applyNumberFormat="1" applyFont="1" applyBorder="1" applyAlignment="1" applyProtection="1">
      <alignment horizontal="right" vertical="center" wrapText="1"/>
      <protection locked="0"/>
    </xf>
    <xf numFmtId="0" fontId="31" fillId="0" borderId="3" xfId="0" applyFont="1" applyBorder="1" applyAlignment="1">
      <alignment horizontal="right" vertical="center" wrapText="1"/>
    </xf>
    <xf numFmtId="0" fontId="81" fillId="0" borderId="3" xfId="78" applyFont="1" applyBorder="1" applyAlignment="1">
      <alignment horizontal="right" vertical="center"/>
    </xf>
    <xf numFmtId="0" fontId="60" fillId="0" borderId="2" xfId="0" applyFont="1" applyBorder="1" applyAlignment="1">
      <alignment horizontal="right"/>
    </xf>
    <xf numFmtId="9" fontId="60" fillId="0" borderId="3" xfId="64" applyFont="1" applyFill="1" applyBorder="1" applyAlignment="1">
      <alignment horizontal="left" vertical="center" wrapText="1"/>
    </xf>
    <xf numFmtId="165" fontId="110" fillId="0" borderId="2" xfId="33" applyNumberFormat="1" applyFont="1" applyFill="1" applyBorder="1" applyAlignment="1">
      <alignment horizontal="centerContinuous" vertical="center"/>
    </xf>
    <xf numFmtId="43" fontId="110" fillId="0" borderId="2" xfId="33" applyFont="1" applyFill="1" applyBorder="1" applyAlignment="1">
      <alignment horizontal="center" vertical="center"/>
    </xf>
    <xf numFmtId="0" fontId="38" fillId="0" borderId="2" xfId="34" applyFont="1" applyAlignment="1">
      <alignment vertical="center"/>
    </xf>
    <xf numFmtId="166" fontId="38" fillId="0" borderId="2" xfId="33" applyNumberFormat="1" applyFont="1" applyFill="1" applyAlignment="1">
      <alignment horizontal="left" vertical="center"/>
    </xf>
    <xf numFmtId="166" fontId="38" fillId="0" borderId="2" xfId="33" applyNumberFormat="1" applyFont="1" applyFill="1" applyAlignment="1">
      <alignment vertical="center"/>
    </xf>
    <xf numFmtId="165" fontId="110" fillId="0" borderId="2" xfId="33" applyNumberFormat="1" applyFont="1" applyFill="1" applyBorder="1" applyAlignment="1">
      <alignment horizontal="center" vertical="center"/>
    </xf>
    <xf numFmtId="165" fontId="110" fillId="0" borderId="2" xfId="33" applyNumberFormat="1" applyFont="1" applyFill="1" applyBorder="1" applyAlignment="1">
      <alignment horizontal="center" vertical="center" wrapText="1"/>
    </xf>
    <xf numFmtId="43" fontId="110" fillId="0" borderId="2" xfId="33" applyFont="1" applyFill="1" applyBorder="1" applyAlignment="1">
      <alignment horizontal="right" vertical="center"/>
    </xf>
    <xf numFmtId="166" fontId="110" fillId="0" borderId="2" xfId="33" applyNumberFormat="1" applyFont="1" applyFill="1" applyBorder="1" applyAlignment="1">
      <alignment horizontal="center" vertical="center"/>
    </xf>
    <xf numFmtId="43" fontId="185" fillId="0" borderId="2" xfId="33" applyFont="1" applyFill="1" applyBorder="1" applyAlignment="1">
      <alignment horizontal="center" vertical="center" wrapText="1"/>
    </xf>
    <xf numFmtId="0" fontId="110" fillId="0" borderId="2" xfId="85" applyFont="1" applyAlignment="1">
      <alignment horizontal="center" vertical="center"/>
    </xf>
    <xf numFmtId="0" fontId="110" fillId="0" borderId="2" xfId="85" applyFont="1" applyAlignment="1">
      <alignment vertical="center"/>
    </xf>
    <xf numFmtId="43" fontId="187" fillId="0" borderId="2" xfId="85" applyNumberFormat="1" applyFont="1" applyAlignment="1">
      <alignment horizontal="center" vertical="center" wrapText="1"/>
    </xf>
    <xf numFmtId="0" fontId="38" fillId="0" borderId="2" xfId="85" applyFont="1" applyAlignment="1">
      <alignment vertical="center"/>
    </xf>
    <xf numFmtId="0" fontId="38" fillId="0" borderId="2" xfId="34" applyFont="1" applyAlignment="1">
      <alignment horizontal="center" vertical="center"/>
    </xf>
    <xf numFmtId="43" fontId="187" fillId="0" borderId="2" xfId="34" applyNumberFormat="1" applyFont="1" applyAlignment="1">
      <alignment horizontal="center" vertical="center" wrapText="1"/>
    </xf>
    <xf numFmtId="0" fontId="110" fillId="0" borderId="2" xfId="34" applyFont="1" applyAlignment="1">
      <alignment horizontal="center" vertical="center"/>
    </xf>
    <xf numFmtId="0" fontId="110" fillId="0" borderId="2" xfId="34" applyFont="1" applyAlignment="1">
      <alignment vertical="center" wrapText="1"/>
    </xf>
    <xf numFmtId="43" fontId="110" fillId="0" borderId="2" xfId="33" applyFont="1" applyFill="1" applyBorder="1" applyAlignment="1">
      <alignment vertical="center"/>
    </xf>
    <xf numFmtId="166" fontId="185" fillId="0" borderId="11" xfId="33" applyNumberFormat="1" applyFont="1" applyFill="1" applyBorder="1" applyAlignment="1">
      <alignment horizontal="right" vertical="top"/>
    </xf>
    <xf numFmtId="43" fontId="185" fillId="0" borderId="2" xfId="34" applyNumberFormat="1" applyFont="1" applyAlignment="1">
      <alignment horizontal="center" vertical="center" wrapText="1"/>
    </xf>
    <xf numFmtId="0" fontId="110" fillId="0" borderId="2" xfId="34" applyFont="1" applyAlignment="1">
      <alignment vertical="center"/>
    </xf>
    <xf numFmtId="166" fontId="110" fillId="0" borderId="2" xfId="33" applyNumberFormat="1" applyFont="1" applyFill="1" applyAlignment="1">
      <alignment vertical="center"/>
    </xf>
    <xf numFmtId="0" fontId="110" fillId="38" borderId="3" xfId="34" applyFont="1" applyFill="1" applyBorder="1" applyAlignment="1">
      <alignment horizontal="center" vertical="center" wrapText="1"/>
    </xf>
    <xf numFmtId="0" fontId="110" fillId="38" borderId="12" xfId="34" applyFont="1" applyFill="1" applyBorder="1" applyAlignment="1">
      <alignment vertical="center" wrapText="1"/>
    </xf>
    <xf numFmtId="0" fontId="110" fillId="38" borderId="9" xfId="34" applyFont="1" applyFill="1" applyBorder="1" applyAlignment="1">
      <alignment vertical="center" wrapText="1"/>
    </xf>
    <xf numFmtId="0" fontId="110" fillId="15" borderId="3" xfId="34" applyFont="1" applyFill="1" applyBorder="1" applyAlignment="1">
      <alignment horizontal="center" vertical="center" wrapText="1"/>
    </xf>
    <xf numFmtId="43" fontId="110" fillId="38" borderId="3" xfId="33" applyFont="1" applyFill="1" applyBorder="1" applyAlignment="1">
      <alignment horizontal="center" vertical="center" wrapText="1"/>
    </xf>
    <xf numFmtId="43" fontId="110" fillId="15" borderId="3" xfId="33" applyFont="1" applyFill="1" applyBorder="1" applyAlignment="1">
      <alignment horizontal="center" vertical="center" wrapText="1"/>
    </xf>
    <xf numFmtId="166" fontId="110" fillId="38" borderId="3" xfId="33" applyNumberFormat="1" applyFont="1" applyFill="1" applyBorder="1" applyAlignment="1">
      <alignment horizontal="center" vertical="center" wrapText="1"/>
    </xf>
    <xf numFmtId="43" fontId="110" fillId="0" borderId="2" xfId="33" applyFont="1" applyFill="1" applyBorder="1" applyAlignment="1">
      <alignment horizontal="center" vertical="center" wrapText="1"/>
    </xf>
    <xf numFmtId="0" fontId="110" fillId="0" borderId="2" xfId="34" applyFont="1" applyAlignment="1">
      <alignment horizontal="center" vertical="center" wrapText="1"/>
    </xf>
    <xf numFmtId="43" fontId="110" fillId="0" borderId="2" xfId="34" applyNumberFormat="1" applyFont="1" applyAlignment="1">
      <alignment horizontal="center" vertical="center" wrapText="1"/>
    </xf>
    <xf numFmtId="166" fontId="38" fillId="0" borderId="2" xfId="33" applyNumberFormat="1" applyFont="1" applyFill="1" applyAlignment="1">
      <alignment horizontal="left" vertical="center" wrapText="1"/>
    </xf>
    <xf numFmtId="166" fontId="110" fillId="0" borderId="2" xfId="33" applyNumberFormat="1" applyFont="1" applyFill="1" applyAlignment="1">
      <alignment horizontal="center" vertical="center" wrapText="1"/>
    </xf>
    <xf numFmtId="0" fontId="24" fillId="8" borderId="3" xfId="41" applyFont="1" applyFill="1" applyBorder="1" applyAlignment="1">
      <alignment horizontal="center" vertical="center" wrapText="1"/>
    </xf>
    <xf numFmtId="0" fontId="24" fillId="7" borderId="3" xfId="41" applyFont="1" applyFill="1" applyBorder="1" applyAlignment="1">
      <alignment horizontal="center" vertical="center" wrapText="1"/>
    </xf>
    <xf numFmtId="44" fontId="57" fillId="6" borderId="3" xfId="41" applyNumberFormat="1" applyFont="1" applyFill="1" applyBorder="1" applyAlignment="1">
      <alignment horizontal="center" vertical="center" wrapText="1"/>
    </xf>
    <xf numFmtId="0" fontId="188" fillId="39" borderId="3" xfId="34" applyFont="1" applyFill="1" applyBorder="1" applyAlignment="1">
      <alignment horizontal="center" vertical="center" wrapText="1"/>
    </xf>
    <xf numFmtId="0" fontId="188" fillId="39" borderId="3" xfId="41" applyFont="1" applyFill="1" applyBorder="1" applyAlignment="1">
      <alignment horizontal="left" vertical="center" wrapText="1"/>
    </xf>
    <xf numFmtId="0" fontId="188" fillId="39" borderId="3" xfId="34" applyFont="1" applyFill="1" applyBorder="1" applyAlignment="1">
      <alignment vertical="center" wrapText="1"/>
    </xf>
    <xf numFmtId="0" fontId="188" fillId="39" borderId="3" xfId="35" applyFont="1" applyFill="1" applyBorder="1" applyAlignment="1">
      <alignment horizontal="center" vertical="center"/>
    </xf>
    <xf numFmtId="9" fontId="188" fillId="39" borderId="3" xfId="33" applyNumberFormat="1" applyFont="1" applyFill="1" applyBorder="1" applyAlignment="1">
      <alignment horizontal="center" vertical="center"/>
    </xf>
    <xf numFmtId="43" fontId="188" fillId="39" borderId="3" xfId="33" applyFont="1" applyFill="1" applyBorder="1" applyAlignment="1">
      <alignment horizontal="center" vertical="center" wrapText="1"/>
    </xf>
    <xf numFmtId="166" fontId="188" fillId="39" borderId="3" xfId="33" applyNumberFormat="1" applyFont="1" applyFill="1" applyBorder="1" applyAlignment="1">
      <alignment horizontal="center" vertical="center" wrapText="1"/>
    </xf>
    <xf numFmtId="166" fontId="189" fillId="39" borderId="3" xfId="33" applyNumberFormat="1" applyFont="1" applyFill="1" applyBorder="1" applyAlignment="1">
      <alignment horizontal="center" vertical="center" wrapText="1"/>
    </xf>
    <xf numFmtId="183" fontId="110" fillId="0" borderId="2" xfId="34" applyNumberFormat="1" applyFont="1" applyAlignment="1">
      <alignment horizontal="center" vertical="center" wrapText="1"/>
    </xf>
    <xf numFmtId="166" fontId="110" fillId="0" borderId="2" xfId="33" applyNumberFormat="1" applyFont="1" applyFill="1" applyAlignment="1">
      <alignment horizontal="left" vertical="center" wrapText="1"/>
    </xf>
    <xf numFmtId="43" fontId="110" fillId="0" borderId="3" xfId="33" applyFont="1" applyFill="1" applyBorder="1" applyAlignment="1">
      <alignment horizontal="center" vertical="center" wrapText="1"/>
    </xf>
    <xf numFmtId="0" fontId="38" fillId="0" borderId="9" xfId="41" applyFont="1" applyBorder="1" applyAlignment="1">
      <alignment vertical="center"/>
    </xf>
    <xf numFmtId="1" fontId="38" fillId="0" borderId="3" xfId="41" applyNumberFormat="1" applyFont="1" applyBorder="1" applyAlignment="1">
      <alignment horizontal="center" vertical="center" wrapText="1"/>
    </xf>
    <xf numFmtId="43" fontId="187" fillId="0" borderId="2" xfId="33" applyFont="1" applyFill="1" applyBorder="1" applyAlignment="1">
      <alignment horizontal="center" vertical="center" wrapText="1"/>
    </xf>
    <xf numFmtId="0" fontId="69" fillId="0" borderId="3" xfId="41" applyFont="1" applyBorder="1" applyAlignment="1">
      <alignment horizontal="center" vertical="center"/>
    </xf>
    <xf numFmtId="0" fontId="69" fillId="0" borderId="3" xfId="41" applyFont="1" applyBorder="1" applyAlignment="1">
      <alignment horizontal="left" vertical="center"/>
    </xf>
    <xf numFmtId="0" fontId="69" fillId="0" borderId="3" xfId="41" applyFont="1" applyBorder="1" applyAlignment="1">
      <alignment vertical="center"/>
    </xf>
    <xf numFmtId="1" fontId="69" fillId="0" borderId="3" xfId="41" applyNumberFormat="1" applyFont="1" applyBorder="1" applyAlignment="1">
      <alignment vertical="center"/>
    </xf>
    <xf numFmtId="0" fontId="76" fillId="0" borderId="3" xfId="41" applyFont="1" applyBorder="1" applyAlignment="1">
      <alignment vertical="center"/>
    </xf>
    <xf numFmtId="0" fontId="76" fillId="0" borderId="3" xfId="41" applyFont="1" applyBorder="1" applyAlignment="1">
      <alignment horizontal="left" vertical="center"/>
    </xf>
    <xf numFmtId="1" fontId="76" fillId="0" borderId="3" xfId="41" applyNumberFormat="1" applyFont="1" applyBorder="1" applyAlignment="1">
      <alignment vertical="center"/>
    </xf>
    <xf numFmtId="0" fontId="76" fillId="0" borderId="3" xfId="41" applyFont="1" applyBorder="1" applyAlignment="1">
      <alignment horizontal="center" vertical="center"/>
    </xf>
    <xf numFmtId="44" fontId="38" fillId="0" borderId="3" xfId="87" applyFont="1" applyFill="1" applyBorder="1" applyAlignment="1">
      <alignment horizontal="center" vertical="center" wrapText="1"/>
    </xf>
    <xf numFmtId="0" fontId="31" fillId="0" borderId="3" xfId="41" applyFont="1" applyBorder="1" applyAlignment="1">
      <alignment horizontal="left" vertical="center" wrapText="1"/>
    </xf>
    <xf numFmtId="0" fontId="79" fillId="0" borderId="3" xfId="41" applyFont="1" applyBorder="1" applyAlignment="1">
      <alignment horizontal="left" vertical="center"/>
    </xf>
    <xf numFmtId="0" fontId="38" fillId="0" borderId="9" xfId="41" applyFont="1" applyBorder="1" applyAlignment="1">
      <alignment horizontal="left" vertical="center" wrapText="1"/>
    </xf>
    <xf numFmtId="44" fontId="38" fillId="0" borderId="2" xfId="87" applyFont="1" applyFill="1" applyBorder="1" applyAlignment="1">
      <alignment horizontal="center" vertical="center" wrapText="1"/>
    </xf>
    <xf numFmtId="0" fontId="87" fillId="0" borderId="3" xfId="41" applyFont="1" applyBorder="1" applyAlignment="1">
      <alignment horizontal="center" vertical="center"/>
    </xf>
    <xf numFmtId="0" fontId="79" fillId="0" borderId="3" xfId="41" applyFont="1" applyBorder="1" applyAlignment="1">
      <alignment vertical="center"/>
    </xf>
    <xf numFmtId="2" fontId="88" fillId="0" borderId="3" xfId="41" applyNumberFormat="1" applyFont="1" applyBorder="1" applyAlignment="1">
      <alignment horizontal="left" vertical="center"/>
    </xf>
    <xf numFmtId="2" fontId="88" fillId="0" borderId="3" xfId="41" applyNumberFormat="1" applyFont="1" applyBorder="1" applyAlignment="1">
      <alignment vertical="center"/>
    </xf>
    <xf numFmtId="2" fontId="76" fillId="0" borderId="3" xfId="41" applyNumberFormat="1" applyFont="1" applyBorder="1" applyAlignment="1">
      <alignment horizontal="center" vertical="center"/>
    </xf>
    <xf numFmtId="2" fontId="76" fillId="0" borderId="3" xfId="41" applyNumberFormat="1" applyFont="1" applyBorder="1" applyAlignment="1">
      <alignment horizontal="left" vertical="center"/>
    </xf>
    <xf numFmtId="49" fontId="78" fillId="0" borderId="3" xfId="41" applyNumberFormat="1" applyFont="1" applyBorder="1" applyAlignment="1">
      <alignment vertical="center"/>
    </xf>
    <xf numFmtId="1" fontId="76" fillId="0" borderId="3" xfId="41" quotePrefix="1" applyNumberFormat="1" applyFont="1" applyBorder="1" applyAlignment="1">
      <alignment vertical="center"/>
    </xf>
    <xf numFmtId="0" fontId="76" fillId="0" borderId="14" xfId="41" applyFont="1" applyBorder="1" applyAlignment="1">
      <alignment horizontal="left" vertical="center"/>
    </xf>
    <xf numFmtId="1" fontId="76" fillId="0" borderId="3" xfId="41" quotePrefix="1" applyNumberFormat="1" applyFont="1" applyBorder="1" applyAlignment="1">
      <alignment horizontal="left" vertical="center"/>
    </xf>
    <xf numFmtId="2" fontId="76" fillId="0" borderId="9" xfId="41" applyNumberFormat="1" applyFont="1" applyBorder="1" applyAlignment="1">
      <alignment horizontal="left" vertical="center"/>
    </xf>
    <xf numFmtId="2" fontId="76" fillId="0" borderId="3" xfId="41" quotePrefix="1" applyNumberFormat="1" applyFont="1" applyBorder="1" applyAlignment="1">
      <alignment horizontal="left" vertical="center"/>
    </xf>
    <xf numFmtId="0" fontId="110" fillId="0" borderId="3" xfId="34" applyFont="1" applyBorder="1" applyAlignment="1">
      <alignment horizontal="center" vertical="center" wrapText="1"/>
    </xf>
    <xf numFmtId="0" fontId="110" fillId="0" borderId="3" xfId="41" applyFont="1" applyBorder="1" applyAlignment="1">
      <alignment horizontal="left" vertical="center" wrapText="1"/>
    </xf>
    <xf numFmtId="0" fontId="110" fillId="0" borderId="3" xfId="41" applyFont="1" applyBorder="1" applyAlignment="1">
      <alignment horizontal="center" vertical="center" wrapText="1"/>
    </xf>
    <xf numFmtId="0" fontId="110" fillId="0" borderId="3" xfId="35" applyFont="1" applyBorder="1" applyAlignment="1">
      <alignment horizontal="center" vertical="center"/>
    </xf>
    <xf numFmtId="9" fontId="110" fillId="0" borderId="3" xfId="33" applyNumberFormat="1" applyFont="1" applyFill="1" applyBorder="1" applyAlignment="1">
      <alignment horizontal="center" vertical="center"/>
    </xf>
    <xf numFmtId="1" fontId="110" fillId="0" borderId="3" xfId="33" applyNumberFormat="1" applyFont="1" applyFill="1" applyBorder="1" applyAlignment="1">
      <alignment horizontal="center" vertical="center"/>
    </xf>
    <xf numFmtId="166" fontId="110" fillId="0" borderId="3" xfId="33" applyNumberFormat="1" applyFont="1" applyFill="1" applyBorder="1" applyAlignment="1">
      <alignment horizontal="center" vertical="center" wrapText="1"/>
    </xf>
    <xf numFmtId="0" fontId="38" fillId="0" borderId="2" xfId="34" applyFont="1" applyAlignment="1">
      <alignment horizontal="right" vertical="center" wrapText="1"/>
    </xf>
    <xf numFmtId="166" fontId="38" fillId="0" borderId="2" xfId="34" applyNumberFormat="1" applyFont="1" applyAlignment="1">
      <alignment horizontal="center" vertical="center" wrapText="1"/>
    </xf>
    <xf numFmtId="9" fontId="110" fillId="0" borderId="2" xfId="10" applyFont="1" applyFill="1" applyAlignment="1">
      <alignment horizontal="center" vertical="center" wrapText="1"/>
    </xf>
    <xf numFmtId="166" fontId="110" fillId="0" borderId="2" xfId="34" applyNumberFormat="1" applyFont="1" applyAlignment="1">
      <alignment horizontal="center" vertical="center" wrapText="1"/>
    </xf>
    <xf numFmtId="0" fontId="185" fillId="0" borderId="3" xfId="34" applyFont="1" applyBorder="1" applyAlignment="1">
      <alignment horizontal="center" vertical="center" wrapText="1"/>
    </xf>
    <xf numFmtId="0" fontId="185" fillId="0" borderId="3" xfId="34" applyFont="1" applyBorder="1" applyAlignment="1">
      <alignment vertical="center" wrapText="1"/>
    </xf>
    <xf numFmtId="43" fontId="185" fillId="0" borderId="3" xfId="33" applyFont="1" applyFill="1" applyBorder="1" applyAlignment="1">
      <alignment horizontal="right" vertical="center" wrapText="1"/>
    </xf>
    <xf numFmtId="43" fontId="185" fillId="0" borderId="3" xfId="33" applyFont="1" applyFill="1" applyBorder="1" applyAlignment="1">
      <alignment horizontal="center" vertical="center" wrapText="1"/>
    </xf>
    <xf numFmtId="166" fontId="185" fillId="0" borderId="3" xfId="33" applyNumberFormat="1" applyFont="1" applyFill="1" applyBorder="1" applyAlignment="1">
      <alignment horizontal="center" vertical="center" wrapText="1"/>
    </xf>
    <xf numFmtId="0" fontId="185" fillId="0" borderId="2" xfId="34" applyFont="1" applyAlignment="1">
      <alignment horizontal="center" vertical="center" wrapText="1"/>
    </xf>
    <xf numFmtId="166" fontId="187" fillId="0" borderId="2" xfId="34" applyNumberFormat="1" applyFont="1" applyAlignment="1">
      <alignment vertical="center"/>
    </xf>
    <xf numFmtId="166" fontId="187" fillId="0" borderId="2" xfId="33" applyNumberFormat="1" applyFont="1" applyFill="1" applyAlignment="1">
      <alignment horizontal="left" vertical="center" wrapText="1"/>
    </xf>
    <xf numFmtId="166" fontId="185" fillId="0" borderId="2" xfId="33" applyNumberFormat="1" applyFont="1" applyFill="1" applyAlignment="1">
      <alignment horizontal="center" vertical="center" wrapText="1"/>
    </xf>
    <xf numFmtId="0" fontId="185" fillId="0" borderId="2" xfId="34" applyFont="1" applyAlignment="1">
      <alignment horizontal="left" vertical="center" wrapText="1"/>
    </xf>
    <xf numFmtId="0" fontId="38" fillId="0" borderId="3" xfId="34" applyFont="1" applyBorder="1" applyAlignment="1">
      <alignment horizontal="center" vertical="center"/>
    </xf>
    <xf numFmtId="0" fontId="38" fillId="0" borderId="3" xfId="41" applyFont="1" applyBorder="1" applyAlignment="1">
      <alignment horizontal="left" vertical="center" wrapText="1" indent="1"/>
    </xf>
    <xf numFmtId="0" fontId="38" fillId="0" borderId="3" xfId="41" applyFont="1" applyBorder="1" applyAlignment="1">
      <alignment vertical="center" wrapText="1"/>
    </xf>
    <xf numFmtId="43" fontId="38" fillId="0" borderId="3" xfId="33" applyFont="1" applyFill="1" applyBorder="1" applyAlignment="1">
      <alignment horizontal="right" vertical="center"/>
    </xf>
    <xf numFmtId="43" fontId="38" fillId="0" borderId="3" xfId="33" applyFont="1" applyFill="1" applyBorder="1" applyAlignment="1">
      <alignment vertical="center"/>
    </xf>
    <xf numFmtId="166" fontId="38" fillId="0" borderId="3" xfId="88" applyNumberFormat="1" applyFont="1" applyFill="1" applyBorder="1" applyAlignment="1">
      <alignment vertical="center"/>
    </xf>
    <xf numFmtId="166" fontId="38" fillId="0" borderId="3" xfId="33" applyNumberFormat="1" applyFont="1" applyFill="1" applyBorder="1" applyAlignment="1">
      <alignment vertical="center"/>
    </xf>
    <xf numFmtId="175" fontId="38" fillId="0" borderId="2" xfId="34" applyNumberFormat="1" applyFont="1" applyAlignment="1">
      <alignment vertical="center"/>
    </xf>
    <xf numFmtId="43" fontId="38" fillId="0" borderId="2" xfId="34" applyNumberFormat="1" applyFont="1" applyAlignment="1">
      <alignment vertical="center"/>
    </xf>
    <xf numFmtId="164" fontId="38" fillId="0" borderId="2" xfId="34" applyNumberFormat="1" applyFont="1" applyAlignment="1">
      <alignment vertical="center"/>
    </xf>
    <xf numFmtId="43" fontId="38" fillId="0" borderId="3" xfId="33" applyFont="1" applyFill="1" applyBorder="1" applyAlignment="1">
      <alignment horizontal="center" vertical="center"/>
    </xf>
    <xf numFmtId="184" fontId="38" fillId="0" borderId="3" xfId="33" applyNumberFormat="1" applyFont="1" applyFill="1" applyBorder="1" applyAlignment="1">
      <alignment horizontal="center" vertical="center"/>
    </xf>
    <xf numFmtId="3" fontId="38" fillId="0" borderId="2" xfId="34" applyNumberFormat="1" applyFont="1" applyAlignment="1">
      <alignment vertical="center"/>
    </xf>
    <xf numFmtId="0" fontId="185" fillId="0" borderId="3" xfId="34" applyFont="1" applyBorder="1" applyAlignment="1">
      <alignment horizontal="center" vertical="center"/>
    </xf>
    <xf numFmtId="0" fontId="185" fillId="0" borderId="3" xfId="35" applyFont="1" applyBorder="1" applyAlignment="1">
      <alignment vertical="center" wrapText="1"/>
    </xf>
    <xf numFmtId="0" fontId="185" fillId="0" borderId="3" xfId="41" applyFont="1" applyBorder="1" applyAlignment="1">
      <alignment vertical="center" wrapText="1"/>
    </xf>
    <xf numFmtId="0" fontId="185" fillId="0" borderId="3" xfId="35" applyFont="1" applyBorder="1" applyAlignment="1">
      <alignment horizontal="center" vertical="center"/>
    </xf>
    <xf numFmtId="43" fontId="185" fillId="0" borderId="3" xfId="33" applyFont="1" applyFill="1" applyBorder="1" applyAlignment="1">
      <alignment horizontal="center" vertical="center"/>
    </xf>
    <xf numFmtId="43" fontId="185" fillId="0" borderId="3" xfId="33" applyFont="1" applyFill="1" applyBorder="1" applyAlignment="1">
      <alignment vertical="center"/>
    </xf>
    <xf numFmtId="166" fontId="185" fillId="0" borderId="3" xfId="88" applyNumberFormat="1" applyFont="1" applyFill="1" applyBorder="1" applyAlignment="1">
      <alignment vertical="center"/>
    </xf>
    <xf numFmtId="0" fontId="185" fillId="0" borderId="2" xfId="34" applyFont="1" applyAlignment="1">
      <alignment vertical="center"/>
    </xf>
    <xf numFmtId="3" fontId="185" fillId="0" borderId="2" xfId="34" applyNumberFormat="1" applyFont="1" applyAlignment="1">
      <alignment vertical="center"/>
    </xf>
    <xf numFmtId="166" fontId="185" fillId="0" borderId="2" xfId="33" applyNumberFormat="1" applyFont="1" applyFill="1" applyAlignment="1">
      <alignment horizontal="left" vertical="center"/>
    </xf>
    <xf numFmtId="166" fontId="185" fillId="0" borderId="2" xfId="33" applyNumberFormat="1" applyFont="1" applyFill="1" applyAlignment="1">
      <alignment vertical="center"/>
    </xf>
    <xf numFmtId="0" fontId="38" fillId="0" borderId="3" xfId="35" applyFont="1" applyBorder="1" applyAlignment="1">
      <alignment horizontal="left" vertical="center" wrapText="1" indent="1"/>
    </xf>
    <xf numFmtId="0" fontId="38" fillId="0" borderId="3" xfId="35" applyFont="1" applyBorder="1" applyAlignment="1">
      <alignment vertical="center" wrapText="1"/>
    </xf>
    <xf numFmtId="0" fontId="38" fillId="0" borderId="3" xfId="35" applyFont="1" applyBorder="1" applyAlignment="1">
      <alignment horizontal="center" vertical="center" wrapText="1"/>
    </xf>
    <xf numFmtId="166" fontId="38" fillId="0" borderId="2" xfId="33" applyNumberFormat="1" applyFont="1" applyFill="1" applyAlignment="1">
      <alignment horizontal="center" vertical="center"/>
    </xf>
    <xf numFmtId="165" fontId="38" fillId="0" borderId="3" xfId="33" applyNumberFormat="1" applyFont="1" applyFill="1" applyBorder="1" applyAlignment="1">
      <alignment horizontal="center" vertical="center"/>
    </xf>
    <xf numFmtId="0" fontId="38" fillId="0" borderId="3" xfId="41" applyFont="1" applyBorder="1" applyAlignment="1">
      <alignment horizontal="left" vertical="center" wrapText="1"/>
    </xf>
    <xf numFmtId="165" fontId="38" fillId="0" borderId="3" xfId="33" applyNumberFormat="1" applyFont="1" applyFill="1" applyBorder="1" applyAlignment="1">
      <alignment horizontal="right" vertical="center"/>
    </xf>
    <xf numFmtId="9" fontId="38" fillId="0" borderId="3" xfId="10" applyFont="1" applyFill="1" applyBorder="1" applyAlignment="1">
      <alignment horizontal="right" vertical="center"/>
    </xf>
    <xf numFmtId="181" fontId="38" fillId="0" borderId="3" xfId="33" applyNumberFormat="1" applyFont="1" applyFill="1" applyBorder="1" applyAlignment="1">
      <alignment vertical="center"/>
    </xf>
    <xf numFmtId="43" fontId="187" fillId="0" borderId="3" xfId="33" applyFont="1" applyFill="1" applyBorder="1" applyAlignment="1">
      <alignment horizontal="right" vertical="center"/>
    </xf>
    <xf numFmtId="166" fontId="185" fillId="0" borderId="3" xfId="33" applyNumberFormat="1" applyFont="1" applyFill="1" applyBorder="1" applyAlignment="1">
      <alignment vertical="center"/>
    </xf>
    <xf numFmtId="0" fontId="187" fillId="0" borderId="2" xfId="34" applyFont="1" applyAlignment="1">
      <alignment vertical="center"/>
    </xf>
    <xf numFmtId="3" fontId="187" fillId="0" borderId="2" xfId="34" applyNumberFormat="1" applyFont="1" applyAlignment="1">
      <alignment vertical="center"/>
    </xf>
    <xf numFmtId="166" fontId="187" fillId="0" borderId="2" xfId="33" applyNumberFormat="1" applyFont="1" applyFill="1" applyAlignment="1">
      <alignment horizontal="left" vertical="center"/>
    </xf>
    <xf numFmtId="166" fontId="187" fillId="0" borderId="2" xfId="33" applyNumberFormat="1" applyFont="1" applyFill="1" applyAlignment="1">
      <alignment horizontal="center" vertical="center"/>
    </xf>
    <xf numFmtId="166" fontId="187" fillId="0" borderId="2" xfId="33" applyNumberFormat="1" applyFont="1" applyFill="1" applyAlignment="1">
      <alignment vertical="center"/>
    </xf>
    <xf numFmtId="0" fontId="38" fillId="0" borderId="3" xfId="41" applyFont="1" applyBorder="1" applyAlignment="1">
      <alignment horizontal="left" vertical="center" indent="1"/>
    </xf>
    <xf numFmtId="0" fontId="38" fillId="0" borderId="3" xfId="41" applyFont="1" applyBorder="1" applyAlignment="1">
      <alignment horizontal="center" vertical="center"/>
    </xf>
    <xf numFmtId="0" fontId="38" fillId="0" borderId="3" xfId="41" applyFont="1" applyBorder="1" applyAlignment="1" applyProtection="1">
      <alignment horizontal="left" vertical="center" indent="1"/>
      <protection locked="0"/>
    </xf>
    <xf numFmtId="0" fontId="185" fillId="0" borderId="3" xfId="35" applyFont="1" applyBorder="1" applyAlignment="1">
      <alignment horizontal="center" vertical="center" wrapText="1"/>
    </xf>
    <xf numFmtId="43" fontId="185" fillId="0" borderId="3" xfId="33" applyFont="1" applyFill="1" applyBorder="1" applyAlignment="1">
      <alignment horizontal="right" vertical="center"/>
    </xf>
    <xf numFmtId="166" fontId="185" fillId="0" borderId="2" xfId="33" applyNumberFormat="1" applyFont="1" applyFill="1" applyAlignment="1">
      <alignment horizontal="center" vertical="center"/>
    </xf>
    <xf numFmtId="9" fontId="38" fillId="0" borderId="3" xfId="33" applyNumberFormat="1" applyFont="1" applyFill="1" applyBorder="1" applyAlignment="1">
      <alignment horizontal="right" vertical="center"/>
    </xf>
    <xf numFmtId="0" fontId="38" fillId="0" borderId="3" xfId="41" applyFont="1" applyBorder="1" applyAlignment="1">
      <alignment horizontal="center"/>
    </xf>
    <xf numFmtId="166" fontId="38" fillId="0" borderId="3" xfId="33" applyNumberFormat="1" applyFont="1" applyFill="1" applyBorder="1" applyAlignment="1">
      <alignment horizontal="center" vertical="center"/>
    </xf>
    <xf numFmtId="166" fontId="38" fillId="0" borderId="3" xfId="88" applyNumberFormat="1" applyFont="1" applyFill="1" applyBorder="1" applyAlignment="1">
      <alignment horizontal="center" vertical="center" wrapText="1"/>
    </xf>
    <xf numFmtId="166" fontId="38" fillId="0" borderId="2" xfId="33" applyNumberFormat="1" applyFont="1" applyFill="1" applyAlignment="1">
      <alignment horizontal="center" vertical="center" wrapText="1"/>
    </xf>
    <xf numFmtId="0" fontId="110" fillId="39" borderId="3" xfId="34" applyFont="1" applyFill="1" applyBorder="1" applyAlignment="1">
      <alignment horizontal="center" vertical="center" wrapText="1"/>
    </xf>
    <xf numFmtId="0" fontId="110" fillId="39" borderId="3" xfId="41" applyFont="1" applyFill="1" applyBorder="1" applyAlignment="1">
      <alignment horizontal="left" vertical="center" wrapText="1"/>
    </xf>
    <xf numFmtId="0" fontId="110" fillId="39" borderId="3" xfId="34" applyFont="1" applyFill="1" applyBorder="1" applyAlignment="1">
      <alignment vertical="center" wrapText="1"/>
    </xf>
    <xf numFmtId="0" fontId="110" fillId="39" borderId="3" xfId="35" applyFont="1" applyFill="1" applyBorder="1" applyAlignment="1">
      <alignment horizontal="center" vertical="center"/>
    </xf>
    <xf numFmtId="9" fontId="110" fillId="39" borderId="3" xfId="33" applyNumberFormat="1" applyFont="1" applyFill="1" applyBorder="1" applyAlignment="1">
      <alignment horizontal="center" vertical="center"/>
    </xf>
    <xf numFmtId="43" fontId="110" fillId="39" borderId="3" xfId="33" applyFont="1" applyFill="1" applyBorder="1" applyAlignment="1">
      <alignment horizontal="center" vertical="center" wrapText="1"/>
    </xf>
    <xf numFmtId="166" fontId="110" fillId="39" borderId="3" xfId="33" applyNumberFormat="1" applyFont="1" applyFill="1" applyBorder="1" applyAlignment="1">
      <alignment horizontal="center" vertical="center" wrapText="1"/>
    </xf>
    <xf numFmtId="0" fontId="185" fillId="0" borderId="2" xfId="35" applyFont="1" applyAlignment="1">
      <alignment horizontal="center" vertical="center" wrapText="1"/>
    </xf>
    <xf numFmtId="43" fontId="38" fillId="0" borderId="2" xfId="33" applyFont="1" applyFill="1" applyBorder="1" applyAlignment="1">
      <alignment horizontal="right" vertical="center"/>
    </xf>
    <xf numFmtId="43" fontId="38" fillId="0" borderId="2" xfId="33" applyFont="1" applyFill="1" applyBorder="1" applyAlignment="1">
      <alignment vertical="center"/>
    </xf>
    <xf numFmtId="166" fontId="38" fillId="0" borderId="2" xfId="33" applyNumberFormat="1" applyFont="1" applyFill="1" applyBorder="1" applyAlignment="1">
      <alignment vertical="center"/>
    </xf>
    <xf numFmtId="166" fontId="38" fillId="0" borderId="2" xfId="34" applyNumberFormat="1" applyFont="1" applyAlignment="1">
      <alignment vertical="center"/>
    </xf>
    <xf numFmtId="0" fontId="38" fillId="0" borderId="2" xfId="41" applyFont="1" applyAlignment="1">
      <alignment vertical="center"/>
    </xf>
    <xf numFmtId="0" fontId="38" fillId="0" borderId="2" xfId="41" applyFont="1" applyAlignment="1">
      <alignment vertical="center" wrapText="1"/>
    </xf>
    <xf numFmtId="43" fontId="38" fillId="0" borderId="2" xfId="33" applyFont="1" applyFill="1" applyAlignment="1">
      <alignment horizontal="right" vertical="center"/>
    </xf>
    <xf numFmtId="43" fontId="38" fillId="0" borderId="2" xfId="33" applyFont="1" applyFill="1" applyAlignment="1">
      <alignment vertical="center"/>
    </xf>
    <xf numFmtId="166" fontId="38" fillId="0" borderId="2" xfId="41" applyNumberFormat="1" applyFont="1" applyAlignment="1">
      <alignment vertical="center"/>
    </xf>
    <xf numFmtId="43" fontId="187" fillId="0" borderId="2" xfId="41" applyNumberFormat="1" applyFont="1" applyAlignment="1">
      <alignment horizontal="center" vertical="center" wrapText="1"/>
    </xf>
    <xf numFmtId="0" fontId="38" fillId="0" borderId="2" xfId="41" applyFont="1" applyAlignment="1">
      <alignment horizontal="right" vertical="center"/>
    </xf>
    <xf numFmtId="43" fontId="187" fillId="0" borderId="2" xfId="33" applyFont="1" applyFill="1" applyAlignment="1">
      <alignment horizontal="center" vertical="center" wrapText="1"/>
    </xf>
    <xf numFmtId="165" fontId="185" fillId="0" borderId="2" xfId="33" applyNumberFormat="1" applyFont="1" applyFill="1" applyBorder="1" applyAlignment="1">
      <alignment horizontal="center" vertical="center" wrapText="1"/>
    </xf>
    <xf numFmtId="0" fontId="187" fillId="0" borderId="2" xfId="85" applyFont="1" applyAlignment="1">
      <alignment horizontal="center" vertical="center" wrapText="1"/>
    </xf>
    <xf numFmtId="0" fontId="187" fillId="0" borderId="2" xfId="34" applyFont="1" applyAlignment="1">
      <alignment horizontal="center" vertical="center" wrapText="1"/>
    </xf>
    <xf numFmtId="14" fontId="185" fillId="0" borderId="11" xfId="86" applyNumberFormat="1" applyFont="1" applyBorder="1" applyAlignment="1">
      <alignment horizontal="center" vertical="top"/>
    </xf>
    <xf numFmtId="166" fontId="185" fillId="39" borderId="3" xfId="33" applyNumberFormat="1" applyFont="1" applyFill="1" applyBorder="1" applyAlignment="1">
      <alignment horizontal="center" vertical="center" wrapText="1"/>
    </xf>
    <xf numFmtId="0" fontId="187" fillId="0" borderId="2" xfId="41" applyFont="1" applyAlignment="1">
      <alignment horizontal="center" vertical="center" wrapText="1"/>
    </xf>
    <xf numFmtId="0" fontId="69" fillId="15" borderId="3" xfId="41" applyFont="1" applyFill="1" applyBorder="1" applyAlignment="1">
      <alignment horizontal="center" vertical="center"/>
    </xf>
    <xf numFmtId="0" fontId="76" fillId="15" borderId="3" xfId="41" applyFont="1" applyFill="1" applyBorder="1" applyAlignment="1">
      <alignment horizontal="center" vertical="center"/>
    </xf>
    <xf numFmtId="0" fontId="76" fillId="15" borderId="14" xfId="41" applyFont="1" applyFill="1" applyBorder="1" applyAlignment="1">
      <alignment horizontal="center" vertical="center"/>
    </xf>
    <xf numFmtId="166" fontId="187" fillId="0" borderId="3" xfId="33" applyNumberFormat="1" applyFont="1" applyFill="1" applyBorder="1" applyAlignment="1">
      <alignment horizontal="center" vertical="center" wrapText="1"/>
    </xf>
    <xf numFmtId="165" fontId="187" fillId="0" borderId="3" xfId="33" applyNumberFormat="1" applyFont="1" applyFill="1" applyBorder="1" applyAlignment="1">
      <alignment horizontal="center" vertical="center" wrapText="1"/>
    </xf>
    <xf numFmtId="43" fontId="38" fillId="0" borderId="3" xfId="33" applyFont="1" applyFill="1" applyBorder="1" applyAlignment="1">
      <alignment horizontal="center" vertical="center" wrapText="1"/>
    </xf>
    <xf numFmtId="0" fontId="93" fillId="15" borderId="3" xfId="41" applyFont="1" applyFill="1" applyBorder="1" applyAlignment="1">
      <alignment horizontal="center" vertical="center"/>
    </xf>
    <xf numFmtId="43" fontId="38" fillId="15" borderId="3" xfId="33" applyFont="1" applyFill="1" applyBorder="1" applyAlignment="1">
      <alignment horizontal="center" vertical="center" wrapText="1"/>
    </xf>
    <xf numFmtId="166" fontId="187" fillId="0" borderId="3" xfId="89" applyNumberFormat="1" applyFont="1" applyFill="1" applyBorder="1" applyAlignment="1">
      <alignment horizontal="center" vertical="center" wrapText="1"/>
    </xf>
    <xf numFmtId="0" fontId="187" fillId="0" borderId="3" xfId="35" applyFont="1" applyBorder="1" applyAlignment="1">
      <alignment horizontal="center" vertical="center" wrapText="1"/>
    </xf>
    <xf numFmtId="166" fontId="187" fillId="0" borderId="2" xfId="33" applyNumberFormat="1" applyFont="1" applyFill="1" applyAlignment="1">
      <alignment horizontal="center" vertical="center" wrapText="1"/>
    </xf>
    <xf numFmtId="0" fontId="19" fillId="0" borderId="2" xfId="90" applyFont="1" applyAlignment="1">
      <alignment wrapText="1"/>
    </xf>
    <xf numFmtId="181" fontId="19" fillId="0" borderId="2" xfId="91" applyNumberFormat="1" applyFont="1" applyAlignment="1">
      <alignment wrapText="1"/>
    </xf>
    <xf numFmtId="0" fontId="19" fillId="0" borderId="2" xfId="90" applyFont="1"/>
    <xf numFmtId="0" fontId="17" fillId="0" borderId="2" xfId="90" applyFont="1"/>
    <xf numFmtId="0" fontId="18" fillId="0" borderId="2" xfId="90" applyFont="1" applyAlignment="1">
      <alignment horizontal="center" vertical="center" wrapText="1"/>
    </xf>
    <xf numFmtId="0" fontId="18" fillId="0" borderId="2" xfId="90" applyFont="1" applyAlignment="1">
      <alignment vertical="center" wrapText="1"/>
    </xf>
    <xf numFmtId="0" fontId="19" fillId="0" borderId="2" xfId="90" applyFont="1" applyAlignment="1">
      <alignment horizontal="center" vertical="center"/>
    </xf>
    <xf numFmtId="181" fontId="19" fillId="0" borderId="2" xfId="91" applyNumberFormat="1" applyFont="1" applyAlignment="1">
      <alignment horizontal="center" vertical="center"/>
    </xf>
    <xf numFmtId="0" fontId="19" fillId="0" borderId="2" xfId="90" applyFont="1" applyAlignment="1">
      <alignment vertical="center"/>
    </xf>
    <xf numFmtId="0" fontId="18" fillId="4" borderId="3" xfId="90" applyFont="1" applyFill="1" applyBorder="1" applyAlignment="1">
      <alignment horizontal="center" vertical="center" wrapText="1"/>
    </xf>
    <xf numFmtId="0" fontId="18" fillId="0" borderId="2" xfId="90" applyFont="1" applyAlignment="1">
      <alignment horizontal="center" vertical="center"/>
    </xf>
    <xf numFmtId="181" fontId="18" fillId="0" borderId="2" xfId="91" applyNumberFormat="1" applyFont="1" applyAlignment="1">
      <alignment horizontal="center" vertical="center"/>
    </xf>
    <xf numFmtId="0" fontId="111" fillId="14" borderId="3" xfId="90" applyFont="1" applyFill="1" applyBorder="1" applyAlignment="1">
      <alignment horizontal="center" vertical="center"/>
    </xf>
    <xf numFmtId="0" fontId="23" fillId="14" borderId="3" xfId="90" applyFont="1" applyFill="1" applyBorder="1" applyAlignment="1">
      <alignment horizontal="left" vertical="center"/>
    </xf>
    <xf numFmtId="0" fontId="111" fillId="14" borderId="3" xfId="90" applyFont="1" applyFill="1" applyBorder="1" applyAlignment="1">
      <alignment horizontal="left" vertical="center"/>
    </xf>
    <xf numFmtId="0" fontId="18" fillId="14" borderId="3" xfId="90" applyFont="1" applyFill="1" applyBorder="1" applyAlignment="1">
      <alignment horizontal="center" vertical="center"/>
    </xf>
    <xf numFmtId="43" fontId="112" fillId="14" borderId="3" xfId="92" applyFont="1" applyFill="1" applyBorder="1" applyAlignment="1">
      <alignment horizontal="center" vertical="center"/>
    </xf>
    <xf numFmtId="175" fontId="18" fillId="14" borderId="3" xfId="90" applyNumberFormat="1" applyFont="1" applyFill="1" applyBorder="1" applyAlignment="1">
      <alignment horizontal="center" vertical="center"/>
    </xf>
    <xf numFmtId="166" fontId="112" fillId="14" borderId="3" xfId="92" applyNumberFormat="1" applyFont="1" applyFill="1" applyBorder="1" applyAlignment="1">
      <alignment horizontal="center" vertical="center"/>
    </xf>
    <xf numFmtId="10" fontId="18" fillId="14" borderId="3" xfId="93" applyNumberFormat="1" applyFont="1" applyFill="1" applyBorder="1" applyAlignment="1">
      <alignment horizontal="center" vertical="center"/>
    </xf>
    <xf numFmtId="181" fontId="19" fillId="0" borderId="2" xfId="91" applyNumberFormat="1" applyFont="1" applyAlignment="1">
      <alignment vertical="center"/>
    </xf>
    <xf numFmtId="0" fontId="38" fillId="13" borderId="3" xfId="57" applyFont="1" applyFill="1" applyBorder="1" applyAlignment="1">
      <alignment horizontal="center" vertical="center"/>
    </xf>
    <xf numFmtId="0" fontId="110" fillId="13" borderId="3" xfId="57" applyFont="1" applyFill="1" applyBorder="1" applyAlignment="1">
      <alignment horizontal="left" vertical="center"/>
    </xf>
    <xf numFmtId="0" fontId="110" fillId="13" borderId="3" xfId="57" applyFont="1" applyFill="1" applyBorder="1" applyAlignment="1">
      <alignment horizontal="left" vertical="center" wrapText="1"/>
    </xf>
    <xf numFmtId="0" fontId="112" fillId="0" borderId="3" xfId="90" applyFont="1" applyBorder="1" applyAlignment="1">
      <alignment horizontal="center" vertical="center"/>
    </xf>
    <xf numFmtId="43" fontId="18" fillId="0" borderId="3" xfId="92" applyFont="1" applyBorder="1" applyAlignment="1">
      <alignment horizontal="center" vertical="center"/>
    </xf>
    <xf numFmtId="166" fontId="18" fillId="0" borderId="3" xfId="92" applyNumberFormat="1" applyFont="1" applyBorder="1" applyAlignment="1">
      <alignment horizontal="center" vertical="center"/>
    </xf>
    <xf numFmtId="0" fontId="112" fillId="0" borderId="2" xfId="90" applyFont="1" applyAlignment="1">
      <alignment horizontal="center" vertical="center"/>
    </xf>
    <xf numFmtId="0" fontId="112" fillId="0" borderId="2" xfId="90" applyFont="1"/>
    <xf numFmtId="0" fontId="38" fillId="13" borderId="3" xfId="57" applyFont="1" applyFill="1" applyBorder="1" applyAlignment="1">
      <alignment horizontal="left" vertical="center"/>
    </xf>
    <xf numFmtId="0" fontId="38" fillId="13" borderId="3" xfId="57" applyFont="1" applyFill="1" applyBorder="1" applyAlignment="1">
      <alignment horizontal="left" vertical="center" wrapText="1"/>
    </xf>
    <xf numFmtId="0" fontId="190" fillId="0" borderId="3" xfId="90" applyFont="1" applyBorder="1" applyAlignment="1">
      <alignment horizontal="center" vertical="center"/>
    </xf>
    <xf numFmtId="43" fontId="190" fillId="0" borderId="3" xfId="92" applyFont="1" applyBorder="1" applyAlignment="1">
      <alignment horizontal="center" vertical="center"/>
    </xf>
    <xf numFmtId="166" fontId="185" fillId="0" borderId="3" xfId="92" applyNumberFormat="1" applyFont="1" applyBorder="1" applyAlignment="1">
      <alignment horizontal="center" vertical="center"/>
    </xf>
    <xf numFmtId="166" fontId="190" fillId="0" borderId="3" xfId="92" applyNumberFormat="1" applyFont="1" applyBorder="1" applyAlignment="1">
      <alignment horizontal="center" vertical="center"/>
    </xf>
    <xf numFmtId="43" fontId="112" fillId="0" borderId="3" xfId="92" applyFont="1" applyBorder="1" applyAlignment="1">
      <alignment horizontal="center" vertical="center"/>
    </xf>
    <xf numFmtId="166" fontId="112" fillId="0" borderId="3" xfId="92" applyNumberFormat="1" applyFont="1" applyBorder="1" applyAlignment="1">
      <alignment horizontal="center" vertical="center"/>
    </xf>
    <xf numFmtId="181" fontId="112" fillId="0" borderId="2" xfId="91" applyNumberFormat="1" applyFont="1"/>
    <xf numFmtId="0" fontId="63" fillId="0" borderId="3" xfId="90" applyFont="1" applyBorder="1" applyAlignment="1">
      <alignment horizontal="left" vertical="center"/>
    </xf>
    <xf numFmtId="0" fontId="24" fillId="0" borderId="3" xfId="90" applyFont="1" applyBorder="1" applyAlignment="1">
      <alignment horizontal="center" vertical="center"/>
    </xf>
    <xf numFmtId="0" fontId="63" fillId="0" borderId="3" xfId="90" applyFont="1" applyBorder="1" applyAlignment="1">
      <alignment horizontal="center" vertical="center"/>
    </xf>
    <xf numFmtId="166" fontId="191" fillId="0" borderId="3" xfId="92" applyNumberFormat="1" applyFont="1" applyBorder="1" applyAlignment="1">
      <alignment horizontal="center" vertical="center"/>
    </xf>
    <xf numFmtId="0" fontId="63" fillId="13" borderId="3" xfId="57" applyFont="1" applyFill="1" applyBorder="1" applyAlignment="1">
      <alignment horizontal="left" vertical="center"/>
    </xf>
    <xf numFmtId="0" fontId="18" fillId="22" borderId="12" xfId="90" applyFont="1" applyFill="1" applyBorder="1" applyAlignment="1">
      <alignment horizontal="center" vertical="center"/>
    </xf>
    <xf numFmtId="0" fontId="18" fillId="22" borderId="8" xfId="90" applyFont="1" applyFill="1" applyBorder="1" applyAlignment="1">
      <alignment horizontal="center" vertical="center"/>
    </xf>
    <xf numFmtId="0" fontId="18" fillId="22" borderId="9" xfId="90" applyFont="1" applyFill="1" applyBorder="1" applyAlignment="1">
      <alignment horizontal="center" vertical="center"/>
    </xf>
    <xf numFmtId="166" fontId="18" fillId="22" borderId="3" xfId="92" applyNumberFormat="1" applyFont="1" applyFill="1" applyBorder="1" applyAlignment="1">
      <alignment horizontal="center" vertical="center"/>
    </xf>
    <xf numFmtId="9" fontId="18" fillId="22" borderId="3" xfId="93" applyFont="1" applyFill="1" applyBorder="1" applyAlignment="1">
      <alignment horizontal="center" vertical="center"/>
    </xf>
    <xf numFmtId="0" fontId="19" fillId="0" borderId="2" xfId="90" applyFont="1" applyAlignment="1">
      <alignment horizontal="center"/>
    </xf>
    <xf numFmtId="0" fontId="113" fillId="0" borderId="2" xfId="90" applyFont="1"/>
    <xf numFmtId="0" fontId="19" fillId="0" borderId="2" xfId="90" applyFont="1" applyAlignment="1">
      <alignment horizontal="left"/>
    </xf>
    <xf numFmtId="0" fontId="18" fillId="0" borderId="2" xfId="90" applyFont="1" applyAlignment="1">
      <alignment horizontal="center"/>
    </xf>
    <xf numFmtId="0" fontId="18" fillId="0" borderId="2" xfId="90" applyFont="1" applyAlignment="1">
      <alignment horizontal="left"/>
    </xf>
    <xf numFmtId="0" fontId="18" fillId="0" borderId="2" xfId="90" applyFont="1"/>
    <xf numFmtId="181" fontId="19" fillId="0" borderId="2" xfId="91" applyNumberFormat="1" applyFont="1"/>
    <xf numFmtId="166" fontId="112" fillId="15" borderId="3" xfId="92" applyNumberFormat="1" applyFont="1" applyFill="1" applyBorder="1" applyAlignment="1">
      <alignment horizontal="center" vertical="center"/>
    </xf>
    <xf numFmtId="0" fontId="111" fillId="15" borderId="2" xfId="90" applyFont="1" applyFill="1" applyAlignment="1">
      <alignment horizontal="left" vertical="center"/>
    </xf>
    <xf numFmtId="0" fontId="19" fillId="0" borderId="2" xfId="90" applyFont="1" applyAlignment="1">
      <alignment horizontal="left" wrapText="1"/>
    </xf>
    <xf numFmtId="0" fontId="17" fillId="0" borderId="2" xfId="90" applyFont="1" applyAlignment="1">
      <alignment horizontal="left"/>
    </xf>
    <xf numFmtId="0" fontId="19" fillId="0" borderId="2" xfId="90" applyFont="1" applyAlignment="1">
      <alignment horizontal="left" vertical="center"/>
    </xf>
    <xf numFmtId="0" fontId="18" fillId="0" borderId="2" xfId="90" applyFont="1" applyAlignment="1">
      <alignment horizontal="left" vertical="center"/>
    </xf>
    <xf numFmtId="0" fontId="112" fillId="0" borderId="2" xfId="90" applyFont="1" applyAlignment="1">
      <alignment horizontal="left" vertical="center"/>
    </xf>
    <xf numFmtId="0" fontId="38" fillId="0" borderId="9" xfId="41" applyFont="1" applyBorder="1" applyAlignment="1">
      <alignment vertical="center" wrapText="1"/>
    </xf>
    <xf numFmtId="0" fontId="125" fillId="0" borderId="2" xfId="77" applyFont="1" applyAlignment="1">
      <alignment horizontal="left"/>
    </xf>
    <xf numFmtId="0" fontId="126" fillId="0" borderId="2" xfId="77" applyFont="1" applyAlignment="1">
      <alignment horizontal="left"/>
    </xf>
    <xf numFmtId="0" fontId="118" fillId="0" borderId="2" xfId="77" applyFont="1" applyAlignment="1">
      <alignment horizontal="center"/>
    </xf>
    <xf numFmtId="0" fontId="119" fillId="0" borderId="2" xfId="77" applyFont="1" applyAlignment="1">
      <alignment horizontal="center"/>
    </xf>
    <xf numFmtId="165" fontId="118" fillId="0" borderId="2" xfId="76" applyNumberFormat="1" applyFont="1" applyAlignment="1">
      <alignment horizontal="center"/>
    </xf>
    <xf numFmtId="0" fontId="123" fillId="0" borderId="2" xfId="77" applyFont="1" applyAlignment="1">
      <alignment horizontal="center"/>
    </xf>
    <xf numFmtId="0" fontId="124" fillId="0" borderId="2" xfId="77" applyFont="1" applyAlignment="1">
      <alignment horizontal="center"/>
    </xf>
    <xf numFmtId="0" fontId="130" fillId="0" borderId="2" xfId="77" quotePrefix="1" applyFont="1" applyAlignment="1">
      <alignment horizontal="left"/>
    </xf>
    <xf numFmtId="0" fontId="137" fillId="0" borderId="2" xfId="77" applyFont="1" applyAlignment="1">
      <alignment horizontal="center"/>
    </xf>
    <xf numFmtId="0" fontId="137" fillId="0" borderId="25" xfId="77" applyFont="1" applyBorder="1" applyAlignment="1">
      <alignment horizontal="center"/>
    </xf>
    <xf numFmtId="0" fontId="119" fillId="0" borderId="2" xfId="77" applyFont="1" applyAlignment="1">
      <alignment horizontal="center" wrapText="1"/>
    </xf>
    <xf numFmtId="0" fontId="119" fillId="0" borderId="25" xfId="77" applyFont="1" applyBorder="1" applyAlignment="1">
      <alignment horizontal="center" wrapText="1"/>
    </xf>
    <xf numFmtId="1" fontId="56" fillId="13" borderId="38" xfId="77" applyNumberFormat="1" applyFont="1" applyFill="1" applyBorder="1" applyAlignment="1">
      <alignment horizontal="center" vertical="center"/>
    </xf>
    <xf numFmtId="1" fontId="56" fillId="13" borderId="39" xfId="77" applyNumberFormat="1" applyFont="1" applyFill="1" applyBorder="1" applyAlignment="1">
      <alignment horizontal="center" vertical="center"/>
    </xf>
    <xf numFmtId="0" fontId="127" fillId="0" borderId="42" xfId="77" applyFont="1" applyBorder="1" applyAlignment="1">
      <alignment horizontal="center"/>
    </xf>
    <xf numFmtId="0" fontId="127" fillId="0" borderId="43" xfId="77" applyFont="1" applyBorder="1" applyAlignment="1">
      <alignment horizontal="center"/>
    </xf>
    <xf numFmtId="0" fontId="132" fillId="0" borderId="45" xfId="77" quotePrefix="1" applyFont="1" applyBorder="1" applyAlignment="1">
      <alignment horizontal="left"/>
    </xf>
    <xf numFmtId="0" fontId="130" fillId="0" borderId="2" xfId="77" quotePrefix="1" applyFont="1" applyAlignment="1">
      <alignment horizontal="left" wrapText="1"/>
    </xf>
    <xf numFmtId="0" fontId="135" fillId="0" borderId="2" xfId="77" quotePrefix="1" applyFont="1" applyAlignment="1">
      <alignment horizontal="left" wrapText="1"/>
    </xf>
    <xf numFmtId="0" fontId="139" fillId="0" borderId="2" xfId="16" applyFont="1" applyAlignment="1">
      <alignment horizontal="center"/>
    </xf>
    <xf numFmtId="0" fontId="139" fillId="0" borderId="2" xfId="16" applyFont="1" applyAlignment="1">
      <alignment horizontal="right"/>
    </xf>
    <xf numFmtId="0" fontId="139" fillId="0" borderId="2" xfId="74" applyFont="1" applyAlignment="1">
      <alignment horizontal="left" vertical="center" wrapText="1"/>
    </xf>
    <xf numFmtId="0" fontId="139" fillId="0" borderId="2" xfId="16" applyFont="1" applyAlignment="1">
      <alignment horizontal="left"/>
    </xf>
    <xf numFmtId="0" fontId="139" fillId="0" borderId="2" xfId="16" applyFont="1" applyAlignment="1">
      <alignment horizontal="center" vertical="center"/>
    </xf>
    <xf numFmtId="0" fontId="139" fillId="0" borderId="54" xfId="16" applyFont="1" applyBorder="1" applyAlignment="1">
      <alignment horizontal="center" vertical="center"/>
    </xf>
    <xf numFmtId="0" fontId="139" fillId="0" borderId="55" xfId="74" applyFont="1" applyBorder="1" applyAlignment="1">
      <alignment horizontal="left" vertical="center" wrapText="1"/>
    </xf>
    <xf numFmtId="0" fontId="153" fillId="14" borderId="3" xfId="16" applyFont="1" applyFill="1" applyBorder="1" applyAlignment="1">
      <alignment horizontal="center" vertical="center" wrapText="1"/>
    </xf>
    <xf numFmtId="0" fontId="139" fillId="14" borderId="3" xfId="75" applyFont="1" applyFill="1" applyBorder="1" applyAlignment="1">
      <alignment horizontal="center" vertical="center" wrapText="1"/>
    </xf>
    <xf numFmtId="0" fontId="139" fillId="0" borderId="47" xfId="74" applyFont="1" applyBorder="1" applyAlignment="1">
      <alignment horizontal="center" vertical="center" wrapText="1"/>
    </xf>
    <xf numFmtId="0" fontId="139" fillId="0" borderId="48" xfId="74" applyFont="1" applyBorder="1" applyAlignment="1">
      <alignment horizontal="center" vertical="center" wrapText="1"/>
    </xf>
    <xf numFmtId="0" fontId="139" fillId="0" borderId="49" xfId="74" applyFont="1" applyBorder="1" applyAlignment="1">
      <alignment horizontal="center" vertical="center" wrapText="1"/>
    </xf>
    <xf numFmtId="0" fontId="139" fillId="0" borderId="50" xfId="74" applyFont="1" applyBorder="1" applyAlignment="1">
      <alignment horizontal="center" vertical="center" wrapText="1"/>
    </xf>
    <xf numFmtId="0" fontId="139" fillId="0" borderId="11" xfId="74" applyFont="1" applyBorder="1" applyAlignment="1">
      <alignment horizontal="center" vertical="center" wrapText="1"/>
    </xf>
    <xf numFmtId="0" fontId="139" fillId="0" borderId="46" xfId="74" applyFont="1" applyBorder="1" applyAlignment="1">
      <alignment horizontal="center" vertical="center" wrapText="1"/>
    </xf>
    <xf numFmtId="0" fontId="139" fillId="0" borderId="5" xfId="74" applyFont="1" applyBorder="1" applyAlignment="1">
      <alignment horizontal="left" vertical="center" wrapText="1"/>
    </xf>
    <xf numFmtId="0" fontId="139" fillId="0" borderId="6" xfId="74" applyFont="1" applyBorder="1" applyAlignment="1">
      <alignment horizontal="left" vertical="center" wrapText="1"/>
    </xf>
    <xf numFmtId="0" fontId="139" fillId="0" borderId="10" xfId="74" applyFont="1" applyBorder="1" applyAlignment="1">
      <alignment horizontal="left" vertical="center" wrapText="1"/>
    </xf>
    <xf numFmtId="0" fontId="139" fillId="0" borderId="11" xfId="74" applyFont="1" applyBorder="1" applyAlignment="1">
      <alignment horizontal="left" vertical="center" wrapText="1"/>
    </xf>
    <xf numFmtId="0" fontId="139" fillId="14" borderId="3" xfId="74" applyFont="1" applyFill="1" applyBorder="1" applyAlignment="1">
      <alignment horizontal="center" vertical="center" wrapText="1"/>
    </xf>
    <xf numFmtId="0" fontId="139" fillId="4" borderId="3" xfId="74" applyFont="1" applyFill="1" applyBorder="1" applyAlignment="1">
      <alignment horizontal="center" vertical="center"/>
    </xf>
    <xf numFmtId="0" fontId="139" fillId="14" borderId="3" xfId="74" applyFont="1" applyFill="1" applyBorder="1" applyAlignment="1">
      <alignment horizontal="center" vertical="center"/>
    </xf>
    <xf numFmtId="0" fontId="139" fillId="14" borderId="21" xfId="74" applyFont="1" applyFill="1" applyBorder="1" applyAlignment="1">
      <alignment horizontal="center" vertical="center" wrapText="1"/>
    </xf>
    <xf numFmtId="0" fontId="153" fillId="14" borderId="20" xfId="16" applyFont="1" applyFill="1" applyBorder="1" applyAlignment="1">
      <alignment horizontal="center" vertical="center" wrapText="1"/>
    </xf>
    <xf numFmtId="0" fontId="139" fillId="4" borderId="3" xfId="74" applyFont="1" applyFill="1" applyBorder="1" applyAlignment="1">
      <alignment horizontal="center" vertical="center" wrapText="1"/>
    </xf>
    <xf numFmtId="0" fontId="160" fillId="14" borderId="14" xfId="16" applyFont="1" applyFill="1" applyBorder="1" applyAlignment="1">
      <alignment horizontal="center" vertical="center" wrapText="1"/>
    </xf>
    <xf numFmtId="0" fontId="160" fillId="14" borderId="13" xfId="16" applyFont="1" applyFill="1" applyBorder="1" applyAlignment="1">
      <alignment horizontal="center" vertical="center" wrapText="1"/>
    </xf>
    <xf numFmtId="0" fontId="158" fillId="14" borderId="3" xfId="75" applyFont="1" applyFill="1" applyBorder="1" applyAlignment="1">
      <alignment horizontal="center" vertical="center" wrapText="1"/>
    </xf>
    <xf numFmtId="0" fontId="158" fillId="0" borderId="47" xfId="74" applyFont="1" applyBorder="1" applyAlignment="1">
      <alignment horizontal="center" vertical="center" wrapText="1"/>
    </xf>
    <xf numFmtId="0" fontId="158" fillId="0" borderId="48" xfId="74" applyFont="1" applyBorder="1" applyAlignment="1">
      <alignment horizontal="center" vertical="center" wrapText="1"/>
    </xf>
    <xf numFmtId="0" fontId="158" fillId="0" borderId="49" xfId="74" applyFont="1" applyBorder="1" applyAlignment="1">
      <alignment horizontal="center" vertical="center" wrapText="1"/>
    </xf>
    <xf numFmtId="0" fontId="158" fillId="0" borderId="50" xfId="74" applyFont="1" applyBorder="1" applyAlignment="1">
      <alignment horizontal="center" vertical="center" wrapText="1"/>
    </xf>
    <xf numFmtId="0" fontId="158" fillId="0" borderId="11" xfId="74" applyFont="1" applyBorder="1" applyAlignment="1">
      <alignment horizontal="center" vertical="center" wrapText="1"/>
    </xf>
    <xf numFmtId="0" fontId="158" fillId="0" borderId="46" xfId="74" applyFont="1" applyBorder="1" applyAlignment="1">
      <alignment horizontal="center" vertical="center" wrapText="1"/>
    </xf>
    <xf numFmtId="0" fontId="158" fillId="0" borderId="5" xfId="74" applyFont="1" applyBorder="1" applyAlignment="1">
      <alignment horizontal="left" vertical="center" wrapText="1"/>
    </xf>
    <xf numFmtId="0" fontId="158" fillId="0" borderId="6" xfId="74" applyFont="1" applyBorder="1" applyAlignment="1">
      <alignment horizontal="left" vertical="center" wrapText="1"/>
    </xf>
    <xf numFmtId="0" fontId="158" fillId="0" borderId="10" xfId="74" applyFont="1" applyBorder="1" applyAlignment="1">
      <alignment horizontal="left" vertical="center" wrapText="1"/>
    </xf>
    <xf numFmtId="0" fontId="158" fillId="0" borderId="11" xfId="74" applyFont="1" applyBorder="1" applyAlignment="1">
      <alignment horizontal="left" vertical="center" wrapText="1"/>
    </xf>
    <xf numFmtId="0" fontId="158" fillId="14" borderId="3" xfId="74" applyFont="1" applyFill="1" applyBorder="1" applyAlignment="1">
      <alignment horizontal="center" vertical="center" wrapText="1"/>
    </xf>
    <xf numFmtId="0" fontId="158" fillId="4" borderId="3" xfId="74" applyFont="1" applyFill="1" applyBorder="1" applyAlignment="1">
      <alignment horizontal="center" vertical="center"/>
    </xf>
    <xf numFmtId="0" fontId="158" fillId="14" borderId="3" xfId="74" applyFont="1" applyFill="1" applyBorder="1" applyAlignment="1">
      <alignment horizontal="center" vertical="center"/>
    </xf>
    <xf numFmtId="0" fontId="158" fillId="14" borderId="21" xfId="74" applyFont="1" applyFill="1" applyBorder="1" applyAlignment="1">
      <alignment horizontal="center" vertical="center" wrapText="1"/>
    </xf>
    <xf numFmtId="0" fontId="160" fillId="14" borderId="20" xfId="16" applyFont="1" applyFill="1" applyBorder="1" applyAlignment="1">
      <alignment horizontal="center" vertical="center" wrapText="1"/>
    </xf>
    <xf numFmtId="0" fontId="160" fillId="14" borderId="3" xfId="16" applyFont="1" applyFill="1" applyBorder="1" applyAlignment="1">
      <alignment horizontal="center" vertical="center" wrapText="1"/>
    </xf>
    <xf numFmtId="0" fontId="158" fillId="0" borderId="2" xfId="16" applyFont="1" applyAlignment="1">
      <alignment horizontal="right"/>
    </xf>
    <xf numFmtId="0" fontId="158" fillId="0" borderId="2" xfId="16" applyFont="1" applyAlignment="1">
      <alignment horizontal="center"/>
    </xf>
    <xf numFmtId="0" fontId="158" fillId="14" borderId="12" xfId="74" applyFont="1" applyFill="1" applyBorder="1" applyAlignment="1">
      <alignment horizontal="center" vertical="center" wrapText="1"/>
    </xf>
    <xf numFmtId="0" fontId="158" fillId="14" borderId="8" xfId="74" applyFont="1" applyFill="1" applyBorder="1" applyAlignment="1">
      <alignment horizontal="center" vertical="center" wrapText="1"/>
    </xf>
    <xf numFmtId="0" fontId="158" fillId="14" borderId="9" xfId="74" applyFont="1" applyFill="1" applyBorder="1" applyAlignment="1">
      <alignment horizontal="center" vertical="center" wrapText="1"/>
    </xf>
    <xf numFmtId="0" fontId="57" fillId="32" borderId="63" xfId="0" applyFont="1" applyFill="1" applyBorder="1" applyAlignment="1">
      <alignment horizontal="center" vertical="top" wrapText="1"/>
    </xf>
    <xf numFmtId="0" fontId="57" fillId="32" borderId="64" xfId="0" applyFont="1" applyFill="1" applyBorder="1" applyAlignment="1">
      <alignment horizontal="center" vertical="top" wrapText="1"/>
    </xf>
    <xf numFmtId="0" fontId="57" fillId="32" borderId="61" xfId="0" applyFont="1" applyFill="1" applyBorder="1" applyAlignment="1">
      <alignment horizontal="center" vertical="top" wrapText="1"/>
    </xf>
    <xf numFmtId="0" fontId="28" fillId="0" borderId="63" xfId="1" applyBorder="1" applyAlignment="1">
      <alignment horizontal="center" vertical="center" wrapText="1"/>
    </xf>
    <xf numFmtId="0" fontId="28" fillId="0" borderId="61" xfId="1" applyBorder="1" applyAlignment="1">
      <alignment horizontal="center" vertical="center" wrapText="1"/>
    </xf>
    <xf numFmtId="0" fontId="28" fillId="0" borderId="64" xfId="1" applyBorder="1" applyAlignment="1">
      <alignment horizontal="center" vertical="center" wrapText="1"/>
    </xf>
    <xf numFmtId="0" fontId="28" fillId="33" borderId="63" xfId="1" applyFill="1" applyBorder="1" applyAlignment="1">
      <alignment horizontal="center" vertical="center" wrapText="1"/>
    </xf>
    <xf numFmtId="0" fontId="28" fillId="33" borderId="64" xfId="1" applyFill="1" applyBorder="1" applyAlignment="1">
      <alignment horizontal="center" vertical="center" wrapText="1"/>
    </xf>
    <xf numFmtId="0" fontId="28" fillId="33" borderId="61" xfId="1" applyFill="1" applyBorder="1" applyAlignment="1">
      <alignment horizontal="center" vertical="center" wrapText="1"/>
    </xf>
    <xf numFmtId="0" fontId="158" fillId="4" borderId="3" xfId="74" applyFont="1" applyFill="1" applyBorder="1" applyAlignment="1">
      <alignment horizontal="center" vertical="center" wrapText="1"/>
    </xf>
    <xf numFmtId="0" fontId="158" fillId="0" borderId="55" xfId="74" applyFont="1" applyBorder="1" applyAlignment="1">
      <alignment horizontal="left" vertical="center" wrapText="1"/>
    </xf>
    <xf numFmtId="0" fontId="158" fillId="0" borderId="2" xfId="74" applyFont="1" applyAlignment="1">
      <alignment horizontal="left" vertical="center" wrapText="1"/>
    </xf>
    <xf numFmtId="0" fontId="158" fillId="0" borderId="2" xfId="16" applyFont="1" applyAlignment="1">
      <alignment horizontal="center" vertical="center"/>
    </xf>
    <xf numFmtId="0" fontId="104" fillId="0" borderId="21" xfId="74" quotePrefix="1" applyFont="1" applyBorder="1" applyAlignment="1">
      <alignment horizontal="left" vertical="top" wrapText="1"/>
    </xf>
    <xf numFmtId="0" fontId="104" fillId="0" borderId="21" xfId="74" applyFont="1" applyBorder="1" applyAlignment="1">
      <alignment horizontal="left" vertical="top"/>
    </xf>
    <xf numFmtId="0" fontId="153" fillId="14" borderId="14" xfId="16" applyFont="1" applyFill="1" applyBorder="1" applyAlignment="1">
      <alignment horizontal="center" vertical="center" wrapText="1"/>
    </xf>
    <xf numFmtId="0" fontId="153" fillId="14" borderId="13" xfId="16" applyFont="1" applyFill="1" applyBorder="1" applyAlignment="1">
      <alignment horizontal="center" vertical="center" wrapText="1"/>
    </xf>
    <xf numFmtId="0" fontId="139" fillId="0" borderId="2" xfId="16" applyFont="1" applyAlignment="1">
      <alignment horizontal="left" vertical="center"/>
    </xf>
    <xf numFmtId="0" fontId="139" fillId="0" borderId="2" xfId="16" applyFont="1" applyAlignment="1">
      <alignment horizontal="right" vertical="center"/>
    </xf>
    <xf numFmtId="0" fontId="158" fillId="0" borderId="2" xfId="16" applyFont="1" applyAlignment="1">
      <alignment horizontal="left" vertical="center" wrapText="1"/>
    </xf>
    <xf numFmtId="0" fontId="158" fillId="0" borderId="2" xfId="16" applyFont="1" applyAlignment="1">
      <alignment horizontal="right" vertical="center" wrapText="1"/>
    </xf>
    <xf numFmtId="0" fontId="158" fillId="0" borderId="2" xfId="16" applyFont="1" applyAlignment="1">
      <alignment horizontal="center" vertical="center" wrapText="1"/>
    </xf>
    <xf numFmtId="0" fontId="183" fillId="14" borderId="3" xfId="16" applyFont="1" applyFill="1" applyBorder="1" applyAlignment="1">
      <alignment horizontal="center" vertical="center" wrapText="1"/>
    </xf>
    <xf numFmtId="0" fontId="183" fillId="14" borderId="20" xfId="16" applyFont="1" applyFill="1" applyBorder="1" applyAlignment="1">
      <alignment horizontal="center" vertical="center" wrapText="1"/>
    </xf>
    <xf numFmtId="0" fontId="139" fillId="0" borderId="2" xfId="74" applyFont="1" applyAlignment="1">
      <alignment horizontal="center" vertical="center" wrapText="1"/>
    </xf>
    <xf numFmtId="0" fontId="19" fillId="0" borderId="2" xfId="55" applyFont="1" applyAlignment="1">
      <alignment horizontal="center" vertical="center"/>
    </xf>
    <xf numFmtId="0" fontId="18" fillId="0" borderId="2" xfId="55" applyFont="1" applyAlignment="1">
      <alignment horizontal="center"/>
    </xf>
    <xf numFmtId="175" fontId="18" fillId="4" borderId="14" xfId="56" applyFont="1" applyFill="1" applyBorder="1" applyAlignment="1">
      <alignment horizontal="center" vertical="center" wrapText="1"/>
    </xf>
    <xf numFmtId="175" fontId="18" fillId="4" borderId="13" xfId="56" applyFont="1" applyFill="1" applyBorder="1" applyAlignment="1">
      <alignment horizontal="center" vertical="center" wrapText="1"/>
    </xf>
    <xf numFmtId="182" fontId="18" fillId="4" borderId="5" xfId="7" applyNumberFormat="1" applyFont="1" applyFill="1" applyBorder="1" applyAlignment="1">
      <alignment horizontal="center" vertical="center" wrapText="1"/>
    </xf>
    <xf numFmtId="182" fontId="18" fillId="4" borderId="10" xfId="7" applyNumberFormat="1" applyFont="1" applyFill="1" applyBorder="1" applyAlignment="1">
      <alignment horizontal="center" vertical="center" wrapText="1"/>
    </xf>
    <xf numFmtId="0" fontId="19" fillId="0" borderId="2" xfId="55" applyFont="1" applyAlignment="1">
      <alignment horizontal="center" wrapText="1"/>
    </xf>
    <xf numFmtId="0" fontId="108" fillId="0" borderId="2" xfId="57" applyFont="1" applyAlignment="1">
      <alignment horizontal="center" vertical="top"/>
    </xf>
    <xf numFmtId="0" fontId="18" fillId="9" borderId="17" xfId="58" applyFont="1" applyFill="1" applyBorder="1" applyAlignment="1">
      <alignment horizontal="center" vertical="center" wrapText="1"/>
    </xf>
    <xf numFmtId="0" fontId="18" fillId="9" borderId="18" xfId="58" applyFont="1" applyFill="1" applyBorder="1" applyAlignment="1">
      <alignment horizontal="center" vertical="center" wrapText="1"/>
    </xf>
    <xf numFmtId="0" fontId="18" fillId="9" borderId="19" xfId="58" applyFont="1" applyFill="1" applyBorder="1" applyAlignment="1">
      <alignment horizontal="center" vertical="center" wrapText="1"/>
    </xf>
    <xf numFmtId="0" fontId="18" fillId="4" borderId="14" xfId="55" applyFont="1" applyFill="1" applyBorder="1" applyAlignment="1">
      <alignment horizontal="center" vertical="center" wrapText="1"/>
    </xf>
    <xf numFmtId="0" fontId="18" fillId="4" borderId="13" xfId="55" applyFont="1" applyFill="1" applyBorder="1" applyAlignment="1">
      <alignment horizontal="center" vertical="center" wrapText="1"/>
    </xf>
    <xf numFmtId="0" fontId="110" fillId="4" borderId="14" xfId="57" applyFont="1" applyFill="1" applyBorder="1" applyAlignment="1">
      <alignment horizontal="center" vertical="center" wrapText="1"/>
    </xf>
    <xf numFmtId="0" fontId="110" fillId="4" borderId="13" xfId="57" applyFont="1" applyFill="1" applyBorder="1" applyAlignment="1">
      <alignment horizontal="center" vertical="center" wrapText="1"/>
    </xf>
    <xf numFmtId="0" fontId="110" fillId="4" borderId="3" xfId="57" applyFont="1" applyFill="1" applyBorder="1" applyAlignment="1">
      <alignment horizontal="center" vertical="center"/>
    </xf>
    <xf numFmtId="0" fontId="23" fillId="21" borderId="21" xfId="58" applyFont="1" applyFill="1" applyBorder="1" applyAlignment="1">
      <alignment horizontal="center" vertical="center" wrapText="1"/>
    </xf>
    <xf numFmtId="0" fontId="18" fillId="9" borderId="20" xfId="58" applyFont="1" applyFill="1" applyBorder="1" applyAlignment="1">
      <alignment horizontal="center" vertical="center" wrapText="1"/>
    </xf>
    <xf numFmtId="0" fontId="18" fillId="9" borderId="3" xfId="58" applyFont="1" applyFill="1" applyBorder="1" applyAlignment="1">
      <alignment horizontal="center" vertical="center" wrapText="1"/>
    </xf>
    <xf numFmtId="0" fontId="23" fillId="9" borderId="3" xfId="58" applyFont="1" applyFill="1" applyBorder="1" applyAlignment="1">
      <alignment horizontal="center" vertical="center" wrapText="1"/>
    </xf>
    <xf numFmtId="0" fontId="25" fillId="21" borderId="3" xfId="59" applyFont="1" applyFill="1" applyBorder="1" applyAlignment="1">
      <alignment horizontal="center" vertical="center" wrapText="1"/>
    </xf>
    <xf numFmtId="182" fontId="109" fillId="0" borderId="11" xfId="7" applyNumberFormat="1" applyFont="1" applyBorder="1" applyAlignment="1">
      <alignment horizontal="center"/>
    </xf>
    <xf numFmtId="182" fontId="109" fillId="0" borderId="46" xfId="7" applyNumberFormat="1" applyFont="1" applyBorder="1" applyAlignment="1">
      <alignment horizontal="center"/>
    </xf>
    <xf numFmtId="0" fontId="57" fillId="36" borderId="3" xfId="16" applyFont="1" applyFill="1" applyBorder="1" applyAlignment="1">
      <alignment horizontal="center" vertical="center" wrapText="1"/>
    </xf>
    <xf numFmtId="0" fontId="24" fillId="34" borderId="3" xfId="16" applyFont="1" applyFill="1" applyBorder="1" applyAlignment="1">
      <alignment horizontal="center" vertical="center" wrapText="1"/>
    </xf>
    <xf numFmtId="0" fontId="56" fillId="28" borderId="3" xfId="16" applyFont="1" applyFill="1" applyBorder="1" applyAlignment="1">
      <alignment wrapText="1"/>
    </xf>
    <xf numFmtId="0" fontId="24" fillId="3" borderId="12" xfId="16" applyFont="1" applyFill="1" applyBorder="1" applyAlignment="1">
      <alignment horizontal="center" vertical="center" wrapText="1"/>
    </xf>
    <xf numFmtId="0" fontId="24" fillId="3" borderId="9" xfId="16" applyFont="1" applyFill="1" applyBorder="1" applyAlignment="1">
      <alignment horizontal="center" vertical="center" wrapText="1"/>
    </xf>
    <xf numFmtId="0" fontId="57" fillId="35" borderId="3" xfId="16" applyFont="1" applyFill="1" applyBorder="1" applyAlignment="1">
      <alignment horizontal="center" vertical="center"/>
    </xf>
    <xf numFmtId="0" fontId="24" fillId="8" borderId="12" xfId="16" applyFont="1" applyFill="1" applyBorder="1" applyAlignment="1">
      <alignment horizontal="center" vertical="center" wrapText="1"/>
    </xf>
    <xf numFmtId="0" fontId="24" fillId="8" borderId="8" xfId="16" applyFont="1" applyFill="1" applyBorder="1" applyAlignment="1">
      <alignment horizontal="center" vertical="center" wrapText="1"/>
    </xf>
    <xf numFmtId="0" fontId="24" fillId="8" borderId="9" xfId="16" applyFont="1" applyFill="1" applyBorder="1" applyAlignment="1">
      <alignment horizontal="center" vertical="center" wrapText="1"/>
    </xf>
    <xf numFmtId="0" fontId="24" fillId="17" borderId="3" xfId="16" applyFont="1" applyFill="1" applyBorder="1" applyAlignment="1">
      <alignment horizontal="center" vertical="center" wrapText="1"/>
    </xf>
    <xf numFmtId="0" fontId="57" fillId="35" borderId="3" xfId="16" applyFont="1" applyFill="1" applyBorder="1" applyAlignment="1">
      <alignment horizontal="center" vertical="center" wrapText="1"/>
    </xf>
    <xf numFmtId="0" fontId="57" fillId="28" borderId="3" xfId="16" applyFont="1" applyFill="1" applyBorder="1" applyAlignment="1">
      <alignment horizontal="center" vertical="center" wrapText="1"/>
    </xf>
    <xf numFmtId="0" fontId="24" fillId="3" borderId="3" xfId="16" applyFont="1" applyFill="1" applyBorder="1" applyAlignment="1">
      <alignment horizontal="center" vertical="center" wrapText="1"/>
    </xf>
    <xf numFmtId="0" fontId="56" fillId="0" borderId="3" xfId="16" applyFont="1" applyBorder="1" applyAlignment="1">
      <alignment wrapText="1"/>
    </xf>
    <xf numFmtId="0" fontId="24" fillId="17" borderId="12" xfId="0" applyFont="1" applyFill="1" applyBorder="1" applyAlignment="1">
      <alignment horizontal="center" vertical="center" wrapText="1"/>
    </xf>
    <xf numFmtId="0" fontId="24" fillId="17" borderId="9" xfId="0" applyFont="1" applyFill="1" applyBorder="1" applyAlignment="1">
      <alignment horizontal="center" vertical="center" wrapText="1"/>
    </xf>
    <xf numFmtId="0" fontId="24" fillId="19" borderId="3" xfId="0" applyFont="1" applyFill="1" applyBorder="1" applyAlignment="1">
      <alignment horizontal="center" vertical="center" wrapText="1"/>
    </xf>
    <xf numFmtId="0" fontId="56" fillId="5" borderId="3" xfId="0" applyFont="1" applyFill="1" applyBorder="1" applyAlignment="1">
      <alignment wrapText="1"/>
    </xf>
    <xf numFmtId="0" fontId="24" fillId="37" borderId="12" xfId="0" applyFont="1" applyFill="1" applyBorder="1" applyAlignment="1">
      <alignment horizontal="center" vertical="center" wrapText="1"/>
    </xf>
    <xf numFmtId="0" fontId="24" fillId="37" borderId="9" xfId="0" applyFont="1" applyFill="1" applyBorder="1" applyAlignment="1">
      <alignment horizontal="center" vertical="center" wrapText="1"/>
    </xf>
    <xf numFmtId="0" fontId="24" fillId="19" borderId="12" xfId="0" applyFont="1" applyFill="1" applyBorder="1" applyAlignment="1">
      <alignment horizontal="center" vertical="center" wrapText="1"/>
    </xf>
    <xf numFmtId="0" fontId="24" fillId="19" borderId="9" xfId="0" applyFont="1" applyFill="1" applyBorder="1" applyAlignment="1">
      <alignment horizontal="center" vertical="center" wrapText="1"/>
    </xf>
    <xf numFmtId="0" fontId="24" fillId="5" borderId="3" xfId="0" applyFont="1" applyFill="1" applyBorder="1" applyAlignment="1">
      <alignment horizontal="center" vertical="center" wrapText="1"/>
    </xf>
    <xf numFmtId="1" fontId="76" fillId="0" borderId="3" xfId="0" applyNumberFormat="1" applyFont="1" applyBorder="1" applyAlignment="1">
      <alignment vertical="center" wrapText="1"/>
    </xf>
    <xf numFmtId="2" fontId="76" fillId="0" borderId="3" xfId="33" applyNumberFormat="1" applyFont="1" applyFill="1" applyBorder="1" applyAlignment="1">
      <alignment horizontal="center" vertical="center"/>
    </xf>
    <xf numFmtId="177" fontId="76" fillId="0" borderId="3" xfId="33" applyNumberFormat="1" applyFont="1" applyFill="1" applyBorder="1" applyAlignment="1">
      <alignment horizontal="center" vertical="center"/>
    </xf>
    <xf numFmtId="0" fontId="24" fillId="3" borderId="3" xfId="0" applyFont="1" applyFill="1" applyBorder="1" applyAlignment="1">
      <alignment horizontal="center" vertical="center" wrapText="1"/>
    </xf>
    <xf numFmtId="0" fontId="56" fillId="0" borderId="3" xfId="0" applyFont="1" applyBorder="1" applyAlignment="1">
      <alignment wrapText="1"/>
    </xf>
    <xf numFmtId="0" fontId="24" fillId="17"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56" fillId="4" borderId="3" xfId="0" applyFont="1" applyFill="1" applyBorder="1" applyAlignment="1">
      <alignment wrapText="1"/>
    </xf>
    <xf numFmtId="0" fontId="24" fillId="8" borderId="12" xfId="0"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9"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57" fillId="6" borderId="3" xfId="0" applyFont="1" applyFill="1" applyBorder="1" applyAlignment="1">
      <alignment horizontal="center" vertical="center"/>
    </xf>
    <xf numFmtId="0" fontId="23" fillId="16" borderId="3" xfId="34" applyFont="1" applyFill="1" applyBorder="1" applyAlignment="1">
      <alignment horizontal="center" vertical="center" wrapText="1"/>
    </xf>
    <xf numFmtId="0" fontId="58" fillId="16" borderId="3" xfId="0" applyFont="1" applyFill="1" applyBorder="1" applyAlignment="1">
      <alignment horizontal="center" vertical="center"/>
    </xf>
    <xf numFmtId="0" fontId="58" fillId="9" borderId="3" xfId="0" applyFont="1" applyFill="1" applyBorder="1" applyAlignment="1">
      <alignment horizontal="center" vertical="center" wrapText="1"/>
    </xf>
    <xf numFmtId="0" fontId="57" fillId="6" borderId="3" xfId="0" applyFont="1" applyFill="1" applyBorder="1" applyAlignment="1">
      <alignment horizontal="center" vertical="center" wrapText="1"/>
    </xf>
    <xf numFmtId="0" fontId="57" fillId="6" borderId="3" xfId="0" applyFont="1" applyFill="1" applyBorder="1" applyAlignment="1">
      <alignment horizontal="right" vertical="center" wrapText="1"/>
    </xf>
    <xf numFmtId="9" fontId="57" fillId="6" borderId="3" xfId="64" applyFont="1" applyFill="1" applyBorder="1" applyAlignment="1">
      <alignment horizontal="center" vertical="center" wrapText="1"/>
    </xf>
    <xf numFmtId="43" fontId="57" fillId="6" borderId="3" xfId="0" applyNumberFormat="1" applyFont="1" applyFill="1" applyBorder="1" applyAlignment="1">
      <alignment horizontal="center" vertical="center" wrapText="1"/>
    </xf>
    <xf numFmtId="0" fontId="57" fillId="5" borderId="3" xfId="0" applyFont="1" applyFill="1" applyBorder="1" applyAlignment="1">
      <alignment horizontal="center" vertical="center" wrapText="1"/>
    </xf>
    <xf numFmtId="0" fontId="57" fillId="4" borderId="3" xfId="0" applyFont="1" applyFill="1" applyBorder="1" applyAlignment="1">
      <alignment horizontal="center" vertical="center" wrapText="1"/>
    </xf>
    <xf numFmtId="0" fontId="56" fillId="4" borderId="3" xfId="0" applyFont="1" applyFill="1" applyBorder="1" applyAlignment="1">
      <alignment horizontal="center" vertical="center" wrapText="1"/>
    </xf>
    <xf numFmtId="0" fontId="24" fillId="3" borderId="3" xfId="0" applyFont="1" applyFill="1" applyBorder="1" applyAlignment="1">
      <alignment vertical="center" wrapText="1"/>
    </xf>
    <xf numFmtId="0" fontId="24" fillId="3" borderId="3" xfId="0" applyFont="1" applyFill="1" applyBorder="1" applyAlignment="1">
      <alignment horizontal="left" vertical="center" wrapText="1"/>
    </xf>
    <xf numFmtId="0" fontId="85" fillId="4" borderId="12" xfId="0" applyFont="1" applyFill="1" applyBorder="1" applyAlignment="1">
      <alignment horizontal="center" vertical="center"/>
    </xf>
    <xf numFmtId="0" fontId="85" fillId="4" borderId="9" xfId="0" applyFont="1" applyFill="1" applyBorder="1" applyAlignment="1">
      <alignment horizontal="center" vertical="center"/>
    </xf>
    <xf numFmtId="0" fontId="58" fillId="9" borderId="5" xfId="0" applyFont="1" applyFill="1" applyBorder="1" applyAlignment="1">
      <alignment horizontal="center" vertical="center" wrapText="1"/>
    </xf>
    <xf numFmtId="0" fontId="58" fillId="9" borderId="7" xfId="0" applyFont="1" applyFill="1" applyBorder="1" applyAlignment="1">
      <alignment horizontal="center" vertical="center" wrapText="1"/>
    </xf>
    <xf numFmtId="0" fontId="58" fillId="9" borderId="10" xfId="0" applyFont="1" applyFill="1" applyBorder="1" applyAlignment="1">
      <alignment horizontal="center" vertical="center" wrapText="1"/>
    </xf>
    <xf numFmtId="0" fontId="58" fillId="9" borderId="16" xfId="0" applyFont="1" applyFill="1" applyBorder="1" applyAlignment="1">
      <alignment horizontal="center" vertical="center" wrapText="1"/>
    </xf>
    <xf numFmtId="0" fontId="18" fillId="20" borderId="26"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18" fillId="20" borderId="10" xfId="0" applyFont="1" applyFill="1" applyBorder="1" applyAlignment="1">
      <alignment horizontal="center" vertical="center" wrapText="1"/>
    </xf>
    <xf numFmtId="0" fontId="18" fillId="20" borderId="11" xfId="0" applyFont="1" applyFill="1" applyBorder="1" applyAlignment="1">
      <alignment horizontal="center" vertical="center" wrapText="1"/>
    </xf>
    <xf numFmtId="0" fontId="20" fillId="7" borderId="3" xfId="0" applyFont="1" applyFill="1" applyBorder="1" applyAlignment="1">
      <alignment horizontal="center" vertical="center" wrapText="1"/>
    </xf>
    <xf numFmtId="0" fontId="31" fillId="4" borderId="3" xfId="0" applyFont="1" applyFill="1" applyBorder="1" applyAlignment="1">
      <alignment wrapText="1"/>
    </xf>
    <xf numFmtId="0" fontId="19" fillId="3"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38" fillId="4" borderId="3" xfId="0" applyFont="1" applyFill="1" applyBorder="1" applyAlignment="1">
      <alignment wrapText="1"/>
    </xf>
    <xf numFmtId="0" fontId="19" fillId="8" borderId="3"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31" fillId="9" borderId="3" xfId="0" applyFont="1" applyFill="1" applyBorder="1" applyAlignment="1">
      <alignment wrapText="1"/>
    </xf>
    <xf numFmtId="0" fontId="18" fillId="0" borderId="3" xfId="0" applyFont="1" applyBorder="1" applyAlignment="1">
      <alignment horizontal="center" vertical="center" wrapText="1"/>
    </xf>
    <xf numFmtId="0" fontId="18" fillId="14" borderId="3" xfId="0" applyFont="1" applyFill="1" applyBorder="1" applyAlignment="1">
      <alignment horizontal="center" vertical="center" wrapText="1"/>
    </xf>
    <xf numFmtId="0" fontId="23" fillId="16" borderId="3" xfId="0" applyFont="1" applyFill="1" applyBorder="1" applyAlignment="1">
      <alignment horizontal="center" vertical="center" wrapText="1"/>
    </xf>
    <xf numFmtId="0" fontId="110" fillId="0" borderId="2" xfId="34" applyFont="1" applyAlignment="1">
      <alignment horizontal="center" vertical="center"/>
    </xf>
    <xf numFmtId="0" fontId="110" fillId="0" borderId="11" xfId="34" applyFont="1" applyBorder="1" applyAlignment="1">
      <alignment horizontal="center" vertical="center"/>
    </xf>
    <xf numFmtId="0" fontId="19" fillId="0" borderId="2" xfId="90" applyFont="1" applyAlignment="1">
      <alignment horizontal="center" wrapText="1"/>
    </xf>
    <xf numFmtId="0" fontId="139" fillId="0" borderId="2" xfId="90" applyFont="1" applyAlignment="1">
      <alignment horizontal="center" vertical="center"/>
    </xf>
    <xf numFmtId="0" fontId="109" fillId="0" borderId="11" xfId="90" applyFont="1" applyBorder="1" applyAlignment="1">
      <alignment horizontal="right" wrapText="1"/>
    </xf>
    <xf numFmtId="0" fontId="157" fillId="0" borderId="62" xfId="74" applyFont="1" applyBorder="1" applyAlignment="1">
      <alignment horizontal="left" vertical="center" wrapText="1"/>
    </xf>
    <xf numFmtId="0" fontId="157" fillId="0" borderId="6" xfId="74" applyFont="1" applyBorder="1" applyAlignment="1">
      <alignment horizontal="left" vertical="center" wrapText="1"/>
    </xf>
    <xf numFmtId="0" fontId="144" fillId="0" borderId="2" xfId="71" applyFont="1" applyAlignment="1">
      <alignment horizontal="center" vertical="center"/>
    </xf>
    <xf numFmtId="0" fontId="145" fillId="25" borderId="2" xfId="71" applyFont="1" applyFill="1" applyAlignment="1">
      <alignment horizontal="center" vertical="center"/>
    </xf>
    <xf numFmtId="0" fontId="19" fillId="27" borderId="12" xfId="71" applyFont="1" applyFill="1" applyBorder="1" applyAlignment="1">
      <alignment horizontal="center" vertical="center"/>
    </xf>
    <xf numFmtId="0" fontId="19" fillId="27" borderId="8" xfId="71" applyFont="1" applyFill="1" applyBorder="1" applyAlignment="1">
      <alignment horizontal="center" vertical="center"/>
    </xf>
    <xf numFmtId="0" fontId="19" fillId="27" borderId="9" xfId="71" applyFont="1" applyFill="1" applyBorder="1" applyAlignment="1">
      <alignment horizontal="center" vertical="center"/>
    </xf>
    <xf numFmtId="0" fontId="19" fillId="27" borderId="3" xfId="71" applyFont="1" applyFill="1" applyBorder="1" applyAlignment="1">
      <alignment horizontal="center" vertical="center"/>
    </xf>
    <xf numFmtId="0" fontId="20" fillId="0" borderId="5" xfId="71" applyFont="1" applyBorder="1" applyAlignment="1">
      <alignment horizontal="left" vertical="center" wrapText="1"/>
    </xf>
    <xf numFmtId="0" fontId="20" fillId="0" borderId="6" xfId="71" applyFont="1" applyBorder="1" applyAlignment="1">
      <alignment horizontal="left" vertical="center" wrapText="1"/>
    </xf>
    <xf numFmtId="0" fontId="20" fillId="0" borderId="7" xfId="71" applyFont="1" applyBorder="1" applyAlignment="1">
      <alignment horizontal="left" vertical="center" wrapText="1"/>
    </xf>
    <xf numFmtId="0" fontId="20" fillId="0" borderId="26" xfId="71" applyFont="1" applyBorder="1" applyAlignment="1">
      <alignment horizontal="left" vertical="center"/>
    </xf>
    <xf numFmtId="0" fontId="20" fillId="0" borderId="2" xfId="71" applyFont="1" applyAlignment="1">
      <alignment horizontal="left" vertical="center"/>
    </xf>
    <xf numFmtId="0" fontId="20" fillId="0" borderId="25" xfId="71" applyFont="1" applyBorder="1" applyAlignment="1">
      <alignment horizontal="left" vertical="center"/>
    </xf>
    <xf numFmtId="0" fontId="20" fillId="0" borderId="26" xfId="71" applyFont="1" applyBorder="1" applyAlignment="1">
      <alignment horizontal="left" vertical="center" wrapText="1"/>
    </xf>
    <xf numFmtId="0" fontId="20" fillId="0" borderId="10" xfId="71" applyFont="1" applyBorder="1" applyAlignment="1">
      <alignment horizontal="left" vertical="center"/>
    </xf>
    <xf numFmtId="0" fontId="20" fillId="0" borderId="11" xfId="71" applyFont="1" applyBorder="1" applyAlignment="1">
      <alignment horizontal="left" vertical="center"/>
    </xf>
    <xf numFmtId="0" fontId="20" fillId="0" borderId="16" xfId="71" applyFont="1" applyBorder="1" applyAlignment="1">
      <alignment horizontal="left" vertical="center"/>
    </xf>
    <xf numFmtId="0" fontId="146" fillId="25" borderId="2" xfId="73" applyFont="1" applyFill="1" applyAlignment="1">
      <alignment horizontal="center" vertical="center" wrapText="1"/>
    </xf>
    <xf numFmtId="0" fontId="146" fillId="25" borderId="2" xfId="73" applyFont="1" applyFill="1" applyAlignment="1">
      <alignment horizontal="center" vertical="center"/>
    </xf>
    <xf numFmtId="0" fontId="20" fillId="0" borderId="2" xfId="71" applyFont="1" applyAlignment="1">
      <alignment horizontal="left" vertical="center" wrapText="1"/>
    </xf>
    <xf numFmtId="0" fontId="20" fillId="0" borderId="25" xfId="71" applyFont="1" applyBorder="1" applyAlignment="1">
      <alignment horizontal="left" vertical="center" wrapText="1"/>
    </xf>
    <xf numFmtId="0" fontId="20" fillId="0" borderId="5" xfId="71" applyFont="1" applyBorder="1" applyAlignment="1">
      <alignment horizontal="center" vertical="center"/>
    </xf>
    <xf numFmtId="0" fontId="20" fillId="0" borderId="6" xfId="71" applyFont="1" applyBorder="1" applyAlignment="1">
      <alignment horizontal="center" vertical="center"/>
    </xf>
    <xf numFmtId="0" fontId="20" fillId="0" borderId="7" xfId="71" applyFont="1" applyBorder="1" applyAlignment="1">
      <alignment horizontal="center" vertical="center"/>
    </xf>
    <xf numFmtId="0" fontId="20" fillId="0" borderId="26" xfId="71" applyFont="1" applyBorder="1" applyAlignment="1">
      <alignment horizontal="center" vertical="center"/>
    </xf>
    <xf numFmtId="0" fontId="20" fillId="0" borderId="2" xfId="71" applyFont="1" applyAlignment="1">
      <alignment horizontal="center" vertical="center"/>
    </xf>
    <xf numFmtId="0" fontId="20" fillId="0" borderId="25" xfId="71" applyFont="1" applyBorder="1" applyAlignment="1">
      <alignment horizontal="center" vertical="center"/>
    </xf>
    <xf numFmtId="0" fontId="20" fillId="0" borderId="10" xfId="71" applyFont="1" applyBorder="1" applyAlignment="1">
      <alignment horizontal="center" vertical="center"/>
    </xf>
    <xf numFmtId="0" fontId="20" fillId="0" borderId="11" xfId="71" applyFont="1" applyBorder="1" applyAlignment="1">
      <alignment horizontal="center" vertical="center"/>
    </xf>
    <xf numFmtId="0" fontId="20" fillId="0" borderId="16" xfId="71" applyFont="1" applyBorder="1" applyAlignment="1">
      <alignment horizontal="center" vertical="center"/>
    </xf>
    <xf numFmtId="0" fontId="148" fillId="0" borderId="12" xfId="71" applyFont="1" applyBorder="1" applyAlignment="1">
      <alignment horizontal="center" vertical="center"/>
    </xf>
    <xf numFmtId="0" fontId="148" fillId="0" borderId="8" xfId="71" applyFont="1" applyBorder="1" applyAlignment="1">
      <alignment horizontal="center" vertical="center"/>
    </xf>
    <xf numFmtId="0" fontId="148" fillId="0" borderId="9" xfId="71" applyFont="1" applyBorder="1" applyAlignment="1">
      <alignment horizontal="center" vertical="center"/>
    </xf>
    <xf numFmtId="0" fontId="20" fillId="0" borderId="2" xfId="71" applyFont="1" applyAlignment="1">
      <alignment horizontal="left" vertical="top" wrapText="1"/>
    </xf>
    <xf numFmtId="0" fontId="17" fillId="0" borderId="11" xfId="71" applyFont="1" applyBorder="1" applyAlignment="1">
      <alignment horizontal="center" vertical="center"/>
    </xf>
    <xf numFmtId="0" fontId="18" fillId="0" borderId="12" xfId="71" applyFont="1" applyBorder="1" applyAlignment="1">
      <alignment horizontal="center" vertical="center"/>
    </xf>
    <xf numFmtId="0" fontId="18" fillId="0" borderId="8" xfId="71" applyFont="1" applyBorder="1" applyAlignment="1">
      <alignment horizontal="center" vertical="center"/>
    </xf>
    <xf numFmtId="0" fontId="18" fillId="0" borderId="9" xfId="71" applyFont="1" applyBorder="1" applyAlignment="1">
      <alignment horizontal="center" vertical="center"/>
    </xf>
    <xf numFmtId="0" fontId="18" fillId="0" borderId="5" xfId="71" applyFont="1" applyBorder="1" applyAlignment="1">
      <alignment horizontal="center" vertical="center"/>
    </xf>
    <xf numFmtId="0" fontId="18" fillId="0" borderId="6" xfId="71" applyFont="1" applyBorder="1" applyAlignment="1">
      <alignment horizontal="center" vertical="center"/>
    </xf>
    <xf numFmtId="0" fontId="18" fillId="0" borderId="7" xfId="71" applyFont="1" applyBorder="1" applyAlignment="1">
      <alignment horizontal="center" vertical="center"/>
    </xf>
    <xf numFmtId="172" fontId="42" fillId="0" borderId="8" xfId="21" applyNumberFormat="1" applyFont="1" applyBorder="1" applyAlignment="1">
      <alignment horizontal="center" vertical="center" wrapText="1"/>
    </xf>
    <xf numFmtId="172" fontId="42" fillId="0" borderId="9" xfId="21" applyNumberFormat="1" applyFont="1" applyBorder="1" applyAlignment="1">
      <alignment horizontal="center" vertical="center" wrapText="1"/>
    </xf>
    <xf numFmtId="0" fontId="40" fillId="0" borderId="2" xfId="3" applyFont="1" applyAlignment="1">
      <alignment horizontal="center" vertical="center"/>
    </xf>
    <xf numFmtId="170" fontId="40" fillId="0" borderId="2" xfId="3" applyNumberFormat="1" applyFont="1" applyAlignment="1">
      <alignment horizontal="center" vertical="center"/>
    </xf>
    <xf numFmtId="171" fontId="40" fillId="0" borderId="2" xfId="3" applyNumberFormat="1" applyFont="1" applyAlignment="1">
      <alignment horizontal="center" vertical="center"/>
    </xf>
    <xf numFmtId="172" fontId="40" fillId="0" borderId="2" xfId="3" applyNumberFormat="1" applyFont="1" applyAlignment="1">
      <alignment horizontal="center" vertical="center"/>
    </xf>
    <xf numFmtId="0" fontId="42" fillId="0" borderId="2" xfId="3" applyFont="1" applyAlignment="1">
      <alignment horizontal="center" vertical="center" wrapText="1"/>
    </xf>
    <xf numFmtId="0" fontId="42" fillId="0" borderId="2" xfId="3" applyFont="1" applyAlignment="1">
      <alignment horizontal="center" vertical="center"/>
    </xf>
    <xf numFmtId="170" fontId="42" fillId="0" borderId="2" xfId="3" applyNumberFormat="1" applyFont="1" applyAlignment="1">
      <alignment horizontal="center" vertical="center"/>
    </xf>
    <xf numFmtId="171" fontId="42" fillId="0" borderId="2" xfId="3" applyNumberFormat="1" applyFont="1" applyAlignment="1">
      <alignment horizontal="center" vertical="center"/>
    </xf>
    <xf numFmtId="172" fontId="42" fillId="0" borderId="2" xfId="3" applyNumberFormat="1" applyFont="1" applyAlignment="1">
      <alignment horizontal="center" vertical="center"/>
    </xf>
    <xf numFmtId="0" fontId="42" fillId="0" borderId="4" xfId="3" applyFont="1" applyBorder="1" applyAlignment="1">
      <alignment horizontal="center" vertical="center" wrapText="1"/>
    </xf>
    <xf numFmtId="170" fontId="42" fillId="0" borderId="4" xfId="3" applyNumberFormat="1" applyFont="1" applyBorder="1" applyAlignment="1">
      <alignment horizontal="center" vertical="center" wrapText="1"/>
    </xf>
    <xf numFmtId="0" fontId="44" fillId="0" borderId="2" xfId="3" applyFont="1" applyAlignment="1">
      <alignment horizontal="center"/>
    </xf>
    <xf numFmtId="170" fontId="44" fillId="0" borderId="2" xfId="3" applyNumberFormat="1" applyFont="1" applyAlignment="1">
      <alignment horizontal="center"/>
    </xf>
    <xf numFmtId="171" fontId="44" fillId="0" borderId="2" xfId="3" applyNumberFormat="1" applyFont="1" applyAlignment="1">
      <alignment horizontal="center"/>
    </xf>
    <xf numFmtId="172" fontId="44" fillId="0" borderId="2" xfId="3" applyNumberFormat="1" applyFont="1" applyAlignment="1">
      <alignment horizontal="center"/>
    </xf>
    <xf numFmtId="0" fontId="42" fillId="0" borderId="2" xfId="3" applyFont="1" applyAlignment="1">
      <alignment horizontal="left" vertical="center"/>
    </xf>
    <xf numFmtId="0" fontId="42" fillId="0" borderId="3" xfId="3" applyFont="1" applyBorder="1" applyAlignment="1">
      <alignment horizontal="center" vertical="center" wrapText="1"/>
    </xf>
    <xf numFmtId="0" fontId="42" fillId="0" borderId="3" xfId="21" applyFont="1" applyBorder="1" applyAlignment="1">
      <alignment horizontal="center" vertical="center" wrapText="1"/>
    </xf>
    <xf numFmtId="0" fontId="42" fillId="0" borderId="3" xfId="4" applyFont="1" applyBorder="1" applyAlignment="1">
      <alignment horizontal="center" vertical="center" wrapText="1"/>
    </xf>
    <xf numFmtId="170" fontId="42" fillId="0" borderId="3" xfId="21" applyNumberFormat="1" applyFont="1" applyBorder="1" applyAlignment="1">
      <alignment horizontal="center" vertical="center" wrapText="1"/>
    </xf>
    <xf numFmtId="171" fontId="42" fillId="0" borderId="8" xfId="21" applyNumberFormat="1" applyFont="1" applyBorder="1" applyAlignment="1">
      <alignment horizontal="center" vertical="center"/>
    </xf>
    <xf numFmtId="170" fontId="42" fillId="0" borderId="9" xfId="21" applyNumberFormat="1" applyFont="1" applyBorder="1" applyAlignment="1">
      <alignment horizontal="center" vertical="center"/>
    </xf>
    <xf numFmtId="0" fontId="42" fillId="12" borderId="3" xfId="3" applyFont="1" applyFill="1" applyBorder="1" applyAlignment="1">
      <alignment horizontal="left" vertical="center" wrapText="1"/>
    </xf>
    <xf numFmtId="0" fontId="42" fillId="0" borderId="3" xfId="3" applyFont="1" applyBorder="1" applyAlignment="1">
      <alignment horizontal="left" vertical="center" wrapText="1"/>
    </xf>
    <xf numFmtId="170" fontId="42" fillId="0" borderId="3" xfId="3" applyNumberFormat="1" applyFont="1" applyBorder="1" applyAlignment="1">
      <alignment horizontal="left" vertical="center" wrapText="1"/>
    </xf>
    <xf numFmtId="171" fontId="42" fillId="0" borderId="3" xfId="3" applyNumberFormat="1" applyFont="1" applyBorder="1" applyAlignment="1">
      <alignment horizontal="left" vertical="center" wrapText="1"/>
    </xf>
    <xf numFmtId="172" fontId="42" fillId="0" borderId="3" xfId="3" applyNumberFormat="1" applyFont="1" applyBorder="1" applyAlignment="1">
      <alignment horizontal="left" vertical="center" wrapText="1"/>
    </xf>
    <xf numFmtId="0" fontId="42" fillId="0" borderId="12" xfId="3" applyFont="1" applyBorder="1" applyAlignment="1">
      <alignment horizontal="center" vertical="center" wrapText="1"/>
    </xf>
    <xf numFmtId="0" fontId="42" fillId="0" borderId="8" xfId="3" applyFont="1" applyBorder="1" applyAlignment="1">
      <alignment horizontal="center" vertical="center" wrapText="1"/>
    </xf>
    <xf numFmtId="170" fontId="42" fillId="0" borderId="9" xfId="3" applyNumberFormat="1" applyFont="1" applyBorder="1" applyAlignment="1">
      <alignment horizontal="center" vertical="center" wrapText="1"/>
    </xf>
    <xf numFmtId="0" fontId="42" fillId="11" borderId="3" xfId="3" applyFont="1" applyFill="1" applyBorder="1" applyAlignment="1">
      <alignment horizontal="left" vertical="center" wrapText="1"/>
    </xf>
    <xf numFmtId="0" fontId="42" fillId="11" borderId="3" xfId="3" applyFont="1" applyFill="1" applyBorder="1" applyAlignment="1">
      <alignment horizontal="left" vertical="center"/>
    </xf>
    <xf numFmtId="0" fontId="49" fillId="0" borderId="3" xfId="3" applyFont="1" applyBorder="1" applyAlignment="1">
      <alignment horizontal="left" vertical="center" wrapText="1"/>
    </xf>
    <xf numFmtId="0" fontId="49" fillId="11" borderId="3" xfId="3" applyFont="1" applyFill="1" applyBorder="1" applyAlignment="1">
      <alignment horizontal="left" vertical="center" wrapText="1"/>
    </xf>
    <xf numFmtId="170" fontId="49" fillId="0" borderId="3" xfId="3" applyNumberFormat="1" applyFont="1" applyBorder="1" applyAlignment="1">
      <alignment horizontal="left" vertical="center" wrapText="1"/>
    </xf>
    <xf numFmtId="171" fontId="49" fillId="0" borderId="3" xfId="3" applyNumberFormat="1" applyFont="1" applyBorder="1" applyAlignment="1">
      <alignment horizontal="left" vertical="center" wrapText="1"/>
    </xf>
    <xf numFmtId="172" fontId="49" fillId="0" borderId="3" xfId="3" applyNumberFormat="1" applyFont="1" applyBorder="1" applyAlignment="1">
      <alignment horizontal="left" vertical="center" wrapText="1"/>
    </xf>
    <xf numFmtId="0" fontId="42" fillId="0" borderId="3" xfId="3" applyFont="1" applyBorder="1" applyAlignment="1">
      <alignment horizontal="left" vertical="center"/>
    </xf>
    <xf numFmtId="170" fontId="42" fillId="0" borderId="3" xfId="3" applyNumberFormat="1" applyFont="1" applyBorder="1" applyAlignment="1">
      <alignment horizontal="left" vertical="center"/>
    </xf>
    <xf numFmtId="171" fontId="42" fillId="0" borderId="3" xfId="3" applyNumberFormat="1" applyFont="1" applyBorder="1" applyAlignment="1">
      <alignment horizontal="left" vertical="center"/>
    </xf>
    <xf numFmtId="172" fontId="42" fillId="0" borderId="3" xfId="3" applyNumberFormat="1" applyFont="1" applyBorder="1" applyAlignment="1">
      <alignment horizontal="left" vertical="center"/>
    </xf>
    <xf numFmtId="174" fontId="49" fillId="0" borderId="3" xfId="3" applyNumberFormat="1" applyFont="1" applyBorder="1" applyAlignment="1">
      <alignment horizontal="left" vertical="center" wrapText="1"/>
    </xf>
    <xf numFmtId="174" fontId="49" fillId="11" borderId="3" xfId="3" applyNumberFormat="1" applyFont="1" applyFill="1" applyBorder="1" applyAlignment="1">
      <alignment horizontal="left" vertical="center" wrapText="1"/>
    </xf>
    <xf numFmtId="0" fontId="42" fillId="11" borderId="12" xfId="3" applyFont="1" applyFill="1" applyBorder="1" applyAlignment="1">
      <alignment horizontal="left" vertical="center"/>
    </xf>
    <xf numFmtId="0" fontId="42" fillId="11" borderId="8" xfId="3" applyFont="1" applyFill="1" applyBorder="1" applyAlignment="1">
      <alignment horizontal="left" vertical="center"/>
    </xf>
    <xf numFmtId="0" fontId="42" fillId="0" borderId="12" xfId="3" applyFont="1" applyBorder="1" applyAlignment="1">
      <alignment horizontal="left" vertical="center"/>
    </xf>
    <xf numFmtId="0" fontId="42" fillId="0" borderId="8" xfId="3" applyFont="1" applyBorder="1" applyAlignment="1">
      <alignment horizontal="left" vertical="center"/>
    </xf>
    <xf numFmtId="170" fontId="42" fillId="0" borderId="8" xfId="3" applyNumberFormat="1" applyFont="1" applyBorder="1" applyAlignment="1">
      <alignment horizontal="left" vertical="center"/>
    </xf>
    <xf numFmtId="172" fontId="42" fillId="0" borderId="8" xfId="3" applyNumberFormat="1" applyFont="1" applyBorder="1" applyAlignment="1">
      <alignment horizontal="left" vertical="center"/>
    </xf>
    <xf numFmtId="172" fontId="42" fillId="0" borderId="9" xfId="3" applyNumberFormat="1" applyFont="1" applyBorder="1" applyAlignment="1">
      <alignment horizontal="left" vertical="center"/>
    </xf>
    <xf numFmtId="0" fontId="24" fillId="40" borderId="12" xfId="0" applyFont="1" applyFill="1" applyBorder="1" applyAlignment="1">
      <alignment horizontal="center" vertical="center" wrapText="1"/>
    </xf>
    <xf numFmtId="0" fontId="24" fillId="40" borderId="9" xfId="0" applyFont="1" applyFill="1" applyBorder="1" applyAlignment="1">
      <alignment horizontal="center" vertical="center" wrapText="1"/>
    </xf>
    <xf numFmtId="0" fontId="58" fillId="40" borderId="3" xfId="0" applyFont="1" applyFill="1" applyBorder="1" applyAlignment="1">
      <alignment horizontal="center" vertical="center" wrapText="1"/>
    </xf>
    <xf numFmtId="0" fontId="24" fillId="40" borderId="3" xfId="0" applyFont="1" applyFill="1" applyBorder="1" applyAlignment="1">
      <alignment horizontal="center" vertical="center" wrapText="1"/>
    </xf>
    <xf numFmtId="0" fontId="57" fillId="0" borderId="0" xfId="0" applyFont="1" applyAlignment="1">
      <alignment horizontal="center" vertical="center"/>
    </xf>
    <xf numFmtId="1" fontId="57" fillId="0" borderId="3" xfId="0" applyNumberFormat="1" applyFont="1" applyBorder="1" applyAlignment="1">
      <alignment horizontal="center" vertical="center"/>
    </xf>
    <xf numFmtId="0" fontId="76" fillId="0" borderId="14" xfId="0" applyFont="1" applyBorder="1" applyAlignment="1">
      <alignment horizontal="center" vertical="center"/>
    </xf>
  </cellXfs>
  <cellStyles count="94">
    <cellStyle name="?痃%S&amp;F?_x0008_?o_x0006__x0007__x0001__x0001_" xfId="5" xr:uid="{00000000-0005-0000-0000-000000000000}"/>
    <cellStyle name="Comma" xfId="7" builtinId="3"/>
    <cellStyle name="Comma 10" xfId="33" xr:uid="{EA38FC64-447F-42CE-9EB4-5A6715EB90FB}"/>
    <cellStyle name="Comma 106" xfId="82" xr:uid="{4A6DFE2C-F23C-4F5A-B5AF-14CDD24AC1AC}"/>
    <cellStyle name="Comma 108" xfId="48" xr:uid="{8188951D-4541-424A-81A2-6842B89D2D10}"/>
    <cellStyle name="Comma 11" xfId="36" xr:uid="{4C577D83-C22A-4320-9894-F8F78AEC6521}"/>
    <cellStyle name="Comma 115" xfId="62" xr:uid="{97C10DAD-E12B-4C4A-89A0-EF6EB906F442}"/>
    <cellStyle name="Comma 12" xfId="42" xr:uid="{60F00A3A-98DA-4F76-8CE8-2D15211654A8}"/>
    <cellStyle name="Comma 12 2" xfId="53" xr:uid="{F353064F-8F86-4FA5-A1E6-B6D7684B1958}"/>
    <cellStyle name="Comma 13" xfId="66" xr:uid="{FC5CFA88-036F-4C57-BF0D-BAB2D3DD386D}"/>
    <cellStyle name="Comma 14" xfId="69" xr:uid="{6D286127-D13D-4D2F-B4A1-D609A637E8CC}"/>
    <cellStyle name="Comma 14 2" xfId="89" xr:uid="{5B0DBF80-0CA3-472B-87C9-DDA8AEC46A81}"/>
    <cellStyle name="Comma 15" xfId="72" xr:uid="{9D655E62-B465-4688-832E-7A6E18339AB8}"/>
    <cellStyle name="Comma 16" xfId="56" xr:uid="{C6D76FA8-8354-4A1D-BCA2-7DB53448F8C7}"/>
    <cellStyle name="Comma 17" xfId="91" xr:uid="{302D75F5-49A3-416C-AEAF-F0AFA6D3E56C}"/>
    <cellStyle name="Comma 2" xfId="2" xr:uid="{00000000-0005-0000-0000-000002000000}"/>
    <cellStyle name="Comma 2 10 2" xfId="47" xr:uid="{10D6B0B4-8522-4659-B5D8-932909E62392}"/>
    <cellStyle name="Comma 2 119" xfId="46" xr:uid="{6052344C-E732-4573-A3AC-D861F07473CA}"/>
    <cellStyle name="Comma 2 2" xfId="17" xr:uid="{00000000-0005-0000-0000-000003000000}"/>
    <cellStyle name="Comma 2 2 2" xfId="88" xr:uid="{117FCE53-2AE7-49DE-84BB-9D742CC7AF75}"/>
    <cellStyle name="Comma 2 3" xfId="15" xr:uid="{00000000-0005-0000-0000-000004000000}"/>
    <cellStyle name="Comma 2 3 2" xfId="80" xr:uid="{CA732713-6C8C-44EC-8F53-6D1A839B5AED}"/>
    <cellStyle name="Comma 2 4" xfId="60" xr:uid="{160A8D1E-7235-4918-B792-ECB239A97295}"/>
    <cellStyle name="Comma 2 5" xfId="92" xr:uid="{FCC1999E-D283-43C0-91C6-42073156CECE}"/>
    <cellStyle name="Comma 21" xfId="76" xr:uid="{B85C77BC-09EC-423A-8405-549C577E2A09}"/>
    <cellStyle name="Comma 3" xfId="9" xr:uid="{00000000-0005-0000-0000-000005000000}"/>
    <cellStyle name="Comma 3 2 5" xfId="44" xr:uid="{A2834B47-C12A-4FB2-927A-5123820E97D0}"/>
    <cellStyle name="Comma 4" xfId="13" xr:uid="{00000000-0005-0000-0000-000006000000}"/>
    <cellStyle name="Comma 4 2 2" xfId="45" xr:uid="{BA1A95A5-3B85-4894-B420-407A79136868}"/>
    <cellStyle name="Comma 5" xfId="18" xr:uid="{00000000-0005-0000-0000-000007000000}"/>
    <cellStyle name="Comma 6" xfId="25" xr:uid="{6C4BDF50-5A8D-4611-8399-1006F86B2FE5}"/>
    <cellStyle name="Comma 7" xfId="27" xr:uid="{0C6CE1DC-68AC-432B-9730-EDCB02D92905}"/>
    <cellStyle name="Comma 8" xfId="29" xr:uid="{7F9089DF-F300-4952-B183-129565B16C61}"/>
    <cellStyle name="Comma 9" xfId="31" xr:uid="{AD3F9B16-E8E8-40A8-A8CB-6E6AFACC63D6}"/>
    <cellStyle name="Currency 2" xfId="87" xr:uid="{8FF6F46F-2B2A-4FC3-AB06-0427CC19EF6F}"/>
    <cellStyle name="Hyperlink 2" xfId="30" xr:uid="{DEEAFAA8-FCFF-4762-A43B-6E12907C1409}"/>
    <cellStyle name="Hyperlink 3 2" xfId="24" xr:uid="{97BF9B6D-CD24-4807-88A0-238E88D735C2}"/>
    <cellStyle name="Normal" xfId="0" builtinId="0"/>
    <cellStyle name="Normal 10" xfId="38" xr:uid="{5A1C0789-F962-484A-8267-8482D891070F}"/>
    <cellStyle name="Normal 10 2" xfId="52" xr:uid="{D1ED201D-F42A-405A-A6E4-72A6BA12A2D7}"/>
    <cellStyle name="Normal 106 2 2" xfId="39" xr:uid="{37DC67D7-57B7-43A7-90EA-9ADC227D6C50}"/>
    <cellStyle name="Normal 11" xfId="37" xr:uid="{AEB0A47A-A43B-4A54-AD13-53D45DFB8909}"/>
    <cellStyle name="Normal 12" xfId="40" xr:uid="{63C0BABE-DDF0-403D-BDA6-066BBBC74F69}"/>
    <cellStyle name="Normal 12 2" xfId="77" xr:uid="{F696186F-6E32-49E6-BADC-055C0762F07A}"/>
    <cellStyle name="Normal 13" xfId="43" xr:uid="{01675FDB-6576-41DD-85A7-999DC8D53E59}"/>
    <cellStyle name="Normal 14" xfId="54" xr:uid="{E8513782-B992-434E-956D-6369846430CE}"/>
    <cellStyle name="Normal 15" xfId="55" xr:uid="{E3351FEF-BF51-418A-81CB-435C44DE476F}"/>
    <cellStyle name="Normal 16" xfId="58" xr:uid="{487912A7-BBBB-4DDE-BF3B-8BB2D208F2D1}"/>
    <cellStyle name="Normal 17" xfId="59" xr:uid="{CF2CF389-AD24-4169-BD52-5755780F1A97}"/>
    <cellStyle name="Normal 17 2" xfId="75" xr:uid="{BA974296-1F24-4058-AF4F-E75A244A6B1E}"/>
    <cellStyle name="Normal 18" xfId="65" xr:uid="{6B3904B9-ABE6-4F23-92F6-76CE691D0695}"/>
    <cellStyle name="Normal 19" xfId="68" xr:uid="{90E442C2-7E0D-4FCE-9DE2-0751BC1D6B49}"/>
    <cellStyle name="Normal 19 2" xfId="74" xr:uid="{B5EB0BC2-2183-40A6-BEE5-F3451F80DB01}"/>
    <cellStyle name="Normal 2" xfId="1" xr:uid="{00000000-0005-0000-0000-000009000000}"/>
    <cellStyle name="Normal 2 2" xfId="57" xr:uid="{EEFCF3DB-54C4-4F00-8252-CE207842BD6D}"/>
    <cellStyle name="Normal 2 2 7 2" xfId="41" xr:uid="{9BF7A811-6F6C-42F5-A534-E3D749CBE6CD}"/>
    <cellStyle name="Normal 2 3" xfId="23" xr:uid="{DF15C885-AA27-44D2-9CAA-2FAF7A6C8011}"/>
    <cellStyle name="Normal 2 4" xfId="84" xr:uid="{2D5121E3-3EF7-4FDA-8DB9-1240496F3129}"/>
    <cellStyle name="Normal 20" xfId="73" xr:uid="{7A8A4E04-479D-4960-B54C-12535DD40B1C}"/>
    <cellStyle name="Normal 21" xfId="78" xr:uid="{86BF99E0-BD9B-4478-8EF4-40B8110BA54B}"/>
    <cellStyle name="Normal 22" xfId="90" xr:uid="{3922790D-AFE9-4EFA-831B-5B4E184A3077}"/>
    <cellStyle name="Normal 3" xfId="4" xr:uid="{00000000-0005-0000-0000-00000A000000}"/>
    <cellStyle name="Normal 3 2" xfId="22" xr:uid="{B1ACEFE1-3C92-42B5-8AF9-5841BDDCE0B5}"/>
    <cellStyle name="Normal 4" xfId="8" xr:uid="{00000000-0005-0000-0000-00000B000000}"/>
    <cellStyle name="Normal 5" xfId="12" xr:uid="{00000000-0005-0000-0000-00000C000000}"/>
    <cellStyle name="Normal 5 2" xfId="20" xr:uid="{00000000-0005-0000-0000-00000D000000}"/>
    <cellStyle name="Normal 6" xfId="16" xr:uid="{00000000-0005-0000-0000-00000E000000}"/>
    <cellStyle name="Normal 7" xfId="14" xr:uid="{00000000-0005-0000-0000-00000F000000}"/>
    <cellStyle name="Normal 8" xfId="26" xr:uid="{0877F2CB-EA9F-413F-8F03-CDFF56A39508}"/>
    <cellStyle name="Normal 87 2" xfId="11" xr:uid="{00000000-0005-0000-0000-000010000000}"/>
    <cellStyle name="Normal 87 2 2" xfId="19" xr:uid="{00000000-0005-0000-0000-000011000000}"/>
    <cellStyle name="Normal 87 4" xfId="61" xr:uid="{B13D88E2-2B79-458E-8EB2-0A3760D06F57}"/>
    <cellStyle name="Normal 9" xfId="28" xr:uid="{D6C57FF7-E462-4C7A-9AE4-7B3BE070D627}"/>
    <cellStyle name="Normal_001 - DTTC che tao, van chuyen va lap dat bon 15T cho Petrogas tai An Giang" xfId="35" xr:uid="{A6EE566E-F99A-4BA8-97FF-826CD35BD7D0}"/>
    <cellStyle name="Normal_05.  Bao gia_Dat hang_NMCK_PTSC_QN_2012" xfId="67" xr:uid="{45F8CAD1-214C-41CE-AE1C-14A974971D21}"/>
    <cellStyle name="Normal_2009-Welfare Report" xfId="81" xr:uid="{74C2898C-9029-4600-8BFF-F59CD8858ACA}"/>
    <cellStyle name="Normal_BG Quoc truong" xfId="71" xr:uid="{7720828D-6801-4E32-8EFA-7A19BB11E7F8}"/>
    <cellStyle name="Normal_cty AN Cu 2 2" xfId="83" xr:uid="{9CC221F7-D345-4AD8-A9D4-3C6553CE5A4C}"/>
    <cellStyle name="Normal_Mr quan DTTC kho Yen Vien va kho Tuyen Quang" xfId="34" xr:uid="{FAC63DF0-4A07-483F-828E-E9674E40F207}"/>
    <cellStyle name="Normal_Quy toan phan to hop tai bai" xfId="86" xr:uid="{F782D028-1682-4756-AEA5-2F2552A8D1B7}"/>
    <cellStyle name="Normal_Quyet toan cong nha van hoa" xfId="85" xr:uid="{00348752-B7A1-46E8-9E60-53DE4443B672}"/>
    <cellStyle name="Percent" xfId="64" builtinId="5"/>
    <cellStyle name="Percent 10" xfId="50" xr:uid="{AAE429D9-0CD7-424F-BD97-B2AF0029D1E2}"/>
    <cellStyle name="Percent 2" xfId="10" xr:uid="{00000000-0005-0000-0000-000012000000}"/>
    <cellStyle name="Percent 2 2 4" xfId="49" xr:uid="{2C7F45E2-4D0F-4166-9695-8D0FF6D15CE5}"/>
    <cellStyle name="Percent 25" xfId="63" xr:uid="{C866298B-160A-4E48-B288-A0F3572DCB4E}"/>
    <cellStyle name="Percent 3" xfId="32" xr:uid="{CD11B869-769A-4E17-BF11-198AD50D3805}"/>
    <cellStyle name="Percent 4" xfId="51" xr:uid="{4988B396-3562-4FC7-9C91-F108F8A19979}"/>
    <cellStyle name="Percent 5" xfId="93" xr:uid="{BF613E31-A75C-419E-9BCA-16DF7C8B5FA6}"/>
    <cellStyle name="Standard 4" xfId="70" xr:uid="{277C186C-B958-4B5B-A317-F3D6DBE05D58}"/>
    <cellStyle name="Standard 4 2" xfId="79" xr:uid="{40ED8567-E469-4A85-9A65-A75F37AABF06}"/>
    <cellStyle name="표준" xfId="6" xr:uid="{00000000-0005-0000-0000-000013000000}"/>
    <cellStyle name="常规_Sheet1" xfId="3" xr:uid="{00000000-0005-0000-0000-000014000000}"/>
    <cellStyle name="常规_Sheet1_1_Sheet1" xfId="21" xr:uid="{613071DB-FB1A-4E7F-B3F0-0EA2EED30592}"/>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4" tint="0.39994506668294322"/>
        </patternFill>
      </fill>
    </dxf>
    <dxf>
      <fill>
        <patternFill>
          <bgColor theme="3" tint="0.39994506668294322"/>
        </patternFill>
      </fill>
    </dxf>
    <dxf>
      <fill>
        <patternFill>
          <bgColor theme="2"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66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3.xml"/><Relationship Id="rId117" Type="http://schemas.openxmlformats.org/officeDocument/2006/relationships/externalLink" Target="externalLinks/externalLink94.xml"/><Relationship Id="rId21" Type="http://schemas.openxmlformats.org/officeDocument/2006/relationships/worksheet" Target="worksheets/sheet2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63" Type="http://schemas.openxmlformats.org/officeDocument/2006/relationships/externalLink" Target="externalLinks/externalLink40.xml"/><Relationship Id="rId68" Type="http://schemas.openxmlformats.org/officeDocument/2006/relationships/externalLink" Target="externalLinks/externalLink45.xml"/><Relationship Id="rId84" Type="http://schemas.openxmlformats.org/officeDocument/2006/relationships/externalLink" Target="externalLinks/externalLink61.xml"/><Relationship Id="rId89" Type="http://schemas.openxmlformats.org/officeDocument/2006/relationships/externalLink" Target="externalLinks/externalLink66.xml"/><Relationship Id="rId112" Type="http://schemas.openxmlformats.org/officeDocument/2006/relationships/externalLink" Target="externalLinks/externalLink89.xml"/><Relationship Id="rId133" Type="http://schemas.openxmlformats.org/officeDocument/2006/relationships/externalLink" Target="externalLinks/externalLink110.xml"/><Relationship Id="rId138" Type="http://schemas.openxmlformats.org/officeDocument/2006/relationships/externalLink" Target="externalLinks/externalLink115.xml"/><Relationship Id="rId16" Type="http://schemas.openxmlformats.org/officeDocument/2006/relationships/worksheet" Target="worksheets/sheet16.xml"/><Relationship Id="rId107" Type="http://schemas.openxmlformats.org/officeDocument/2006/relationships/externalLink" Target="externalLinks/externalLink84.xml"/><Relationship Id="rId11" Type="http://schemas.openxmlformats.org/officeDocument/2006/relationships/worksheet" Target="worksheets/sheet1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53" Type="http://schemas.openxmlformats.org/officeDocument/2006/relationships/externalLink" Target="externalLinks/externalLink30.xml"/><Relationship Id="rId58" Type="http://schemas.openxmlformats.org/officeDocument/2006/relationships/externalLink" Target="externalLinks/externalLink35.xml"/><Relationship Id="rId74" Type="http://schemas.openxmlformats.org/officeDocument/2006/relationships/externalLink" Target="externalLinks/externalLink51.xml"/><Relationship Id="rId79" Type="http://schemas.openxmlformats.org/officeDocument/2006/relationships/externalLink" Target="externalLinks/externalLink56.xml"/><Relationship Id="rId102" Type="http://schemas.openxmlformats.org/officeDocument/2006/relationships/externalLink" Target="externalLinks/externalLink79.xml"/><Relationship Id="rId123" Type="http://schemas.openxmlformats.org/officeDocument/2006/relationships/externalLink" Target="externalLinks/externalLink100.xml"/><Relationship Id="rId128" Type="http://schemas.openxmlformats.org/officeDocument/2006/relationships/externalLink" Target="externalLinks/externalLink105.xml"/><Relationship Id="rId144" Type="http://schemas.openxmlformats.org/officeDocument/2006/relationships/externalLink" Target="externalLinks/externalLink121.xml"/><Relationship Id="rId149"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67.xml"/><Relationship Id="rId95" Type="http://schemas.openxmlformats.org/officeDocument/2006/relationships/externalLink" Target="externalLinks/externalLink72.xml"/><Relationship Id="rId22" Type="http://schemas.openxmlformats.org/officeDocument/2006/relationships/worksheet" Target="worksheets/sheet22.xml"/><Relationship Id="rId27" Type="http://schemas.openxmlformats.org/officeDocument/2006/relationships/externalLink" Target="externalLinks/externalLink4.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64" Type="http://schemas.openxmlformats.org/officeDocument/2006/relationships/externalLink" Target="externalLinks/externalLink41.xml"/><Relationship Id="rId69" Type="http://schemas.openxmlformats.org/officeDocument/2006/relationships/externalLink" Target="externalLinks/externalLink46.xml"/><Relationship Id="rId113" Type="http://schemas.openxmlformats.org/officeDocument/2006/relationships/externalLink" Target="externalLinks/externalLink90.xml"/><Relationship Id="rId118" Type="http://schemas.openxmlformats.org/officeDocument/2006/relationships/externalLink" Target="externalLinks/externalLink95.xml"/><Relationship Id="rId134" Type="http://schemas.openxmlformats.org/officeDocument/2006/relationships/externalLink" Target="externalLinks/externalLink111.xml"/><Relationship Id="rId139" Type="http://schemas.openxmlformats.org/officeDocument/2006/relationships/externalLink" Target="externalLinks/externalLink116.xml"/><Relationship Id="rId80" Type="http://schemas.openxmlformats.org/officeDocument/2006/relationships/externalLink" Target="externalLinks/externalLink57.xml"/><Relationship Id="rId85" Type="http://schemas.openxmlformats.org/officeDocument/2006/relationships/externalLink" Target="externalLinks/externalLink62.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externalLink" Target="externalLinks/externalLink36.xml"/><Relationship Id="rId67" Type="http://schemas.openxmlformats.org/officeDocument/2006/relationships/externalLink" Target="externalLinks/externalLink44.xml"/><Relationship Id="rId103" Type="http://schemas.openxmlformats.org/officeDocument/2006/relationships/externalLink" Target="externalLinks/externalLink80.xml"/><Relationship Id="rId108" Type="http://schemas.openxmlformats.org/officeDocument/2006/relationships/externalLink" Target="externalLinks/externalLink85.xml"/><Relationship Id="rId116" Type="http://schemas.openxmlformats.org/officeDocument/2006/relationships/externalLink" Target="externalLinks/externalLink93.xml"/><Relationship Id="rId124" Type="http://schemas.openxmlformats.org/officeDocument/2006/relationships/externalLink" Target="externalLinks/externalLink101.xml"/><Relationship Id="rId129" Type="http://schemas.openxmlformats.org/officeDocument/2006/relationships/externalLink" Target="externalLinks/externalLink106.xml"/><Relationship Id="rId137" Type="http://schemas.openxmlformats.org/officeDocument/2006/relationships/externalLink" Target="externalLinks/externalLink114.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externalLink" Target="externalLinks/externalLink39.xml"/><Relationship Id="rId70" Type="http://schemas.openxmlformats.org/officeDocument/2006/relationships/externalLink" Target="externalLinks/externalLink47.xml"/><Relationship Id="rId75" Type="http://schemas.openxmlformats.org/officeDocument/2006/relationships/externalLink" Target="externalLinks/externalLink52.xml"/><Relationship Id="rId83" Type="http://schemas.openxmlformats.org/officeDocument/2006/relationships/externalLink" Target="externalLinks/externalLink60.xml"/><Relationship Id="rId88" Type="http://schemas.openxmlformats.org/officeDocument/2006/relationships/externalLink" Target="externalLinks/externalLink65.xml"/><Relationship Id="rId91" Type="http://schemas.openxmlformats.org/officeDocument/2006/relationships/externalLink" Target="externalLinks/externalLink68.xml"/><Relationship Id="rId96" Type="http://schemas.openxmlformats.org/officeDocument/2006/relationships/externalLink" Target="externalLinks/externalLink73.xml"/><Relationship Id="rId111" Type="http://schemas.openxmlformats.org/officeDocument/2006/relationships/externalLink" Target="externalLinks/externalLink88.xml"/><Relationship Id="rId132" Type="http://schemas.openxmlformats.org/officeDocument/2006/relationships/externalLink" Target="externalLinks/externalLink109.xml"/><Relationship Id="rId140" Type="http://schemas.openxmlformats.org/officeDocument/2006/relationships/externalLink" Target="externalLinks/externalLink117.xml"/><Relationship Id="rId145" Type="http://schemas.openxmlformats.org/officeDocument/2006/relationships/externalLink" Target="externalLinks/externalLink1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externalLink" Target="externalLinks/externalLink34.xml"/><Relationship Id="rId106" Type="http://schemas.openxmlformats.org/officeDocument/2006/relationships/externalLink" Target="externalLinks/externalLink83.xml"/><Relationship Id="rId114" Type="http://schemas.openxmlformats.org/officeDocument/2006/relationships/externalLink" Target="externalLinks/externalLink91.xml"/><Relationship Id="rId119" Type="http://schemas.openxmlformats.org/officeDocument/2006/relationships/externalLink" Target="externalLinks/externalLink96.xml"/><Relationship Id="rId127" Type="http://schemas.openxmlformats.org/officeDocument/2006/relationships/externalLink" Target="externalLinks/externalLink104.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externalLink" Target="externalLinks/externalLink37.xml"/><Relationship Id="rId65" Type="http://schemas.openxmlformats.org/officeDocument/2006/relationships/externalLink" Target="externalLinks/externalLink42.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81" Type="http://schemas.openxmlformats.org/officeDocument/2006/relationships/externalLink" Target="externalLinks/externalLink58.xml"/><Relationship Id="rId86" Type="http://schemas.openxmlformats.org/officeDocument/2006/relationships/externalLink" Target="externalLinks/externalLink63.xml"/><Relationship Id="rId94" Type="http://schemas.openxmlformats.org/officeDocument/2006/relationships/externalLink" Target="externalLinks/externalLink71.xml"/><Relationship Id="rId99" Type="http://schemas.openxmlformats.org/officeDocument/2006/relationships/externalLink" Target="externalLinks/externalLink76.xml"/><Relationship Id="rId101" Type="http://schemas.openxmlformats.org/officeDocument/2006/relationships/externalLink" Target="externalLinks/externalLink78.xml"/><Relationship Id="rId122" Type="http://schemas.openxmlformats.org/officeDocument/2006/relationships/externalLink" Target="externalLinks/externalLink99.xml"/><Relationship Id="rId130" Type="http://schemas.openxmlformats.org/officeDocument/2006/relationships/externalLink" Target="externalLinks/externalLink107.xml"/><Relationship Id="rId135" Type="http://schemas.openxmlformats.org/officeDocument/2006/relationships/externalLink" Target="externalLinks/externalLink112.xml"/><Relationship Id="rId143" Type="http://schemas.openxmlformats.org/officeDocument/2006/relationships/externalLink" Target="externalLinks/externalLink120.xml"/><Relationship Id="rId148" Type="http://schemas.openxmlformats.org/officeDocument/2006/relationships/theme" Target="theme/theme1.xml"/><Relationship Id="rId15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109" Type="http://schemas.openxmlformats.org/officeDocument/2006/relationships/externalLink" Target="externalLinks/externalLink8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97" Type="http://schemas.openxmlformats.org/officeDocument/2006/relationships/externalLink" Target="externalLinks/externalLink74.xml"/><Relationship Id="rId104" Type="http://schemas.openxmlformats.org/officeDocument/2006/relationships/externalLink" Target="externalLinks/externalLink81.xml"/><Relationship Id="rId120" Type="http://schemas.openxmlformats.org/officeDocument/2006/relationships/externalLink" Target="externalLinks/externalLink97.xml"/><Relationship Id="rId125" Type="http://schemas.openxmlformats.org/officeDocument/2006/relationships/externalLink" Target="externalLinks/externalLink102.xml"/><Relationship Id="rId141" Type="http://schemas.openxmlformats.org/officeDocument/2006/relationships/externalLink" Target="externalLinks/externalLink118.xml"/><Relationship Id="rId146" Type="http://schemas.openxmlformats.org/officeDocument/2006/relationships/externalLink" Target="externalLinks/externalLink123.xml"/><Relationship Id="rId7" Type="http://schemas.openxmlformats.org/officeDocument/2006/relationships/worksheet" Target="worksheets/sheet7.xml"/><Relationship Id="rId71" Type="http://schemas.openxmlformats.org/officeDocument/2006/relationships/externalLink" Target="externalLinks/externalLink48.xml"/><Relationship Id="rId92"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 Id="rId87" Type="http://schemas.openxmlformats.org/officeDocument/2006/relationships/externalLink" Target="externalLinks/externalLink64.xml"/><Relationship Id="rId110" Type="http://schemas.openxmlformats.org/officeDocument/2006/relationships/externalLink" Target="externalLinks/externalLink87.xml"/><Relationship Id="rId115" Type="http://schemas.openxmlformats.org/officeDocument/2006/relationships/externalLink" Target="externalLinks/externalLink92.xml"/><Relationship Id="rId131" Type="http://schemas.openxmlformats.org/officeDocument/2006/relationships/externalLink" Target="externalLinks/externalLink108.xml"/><Relationship Id="rId136" Type="http://schemas.openxmlformats.org/officeDocument/2006/relationships/externalLink" Target="externalLinks/externalLink113.xml"/><Relationship Id="rId61" Type="http://schemas.openxmlformats.org/officeDocument/2006/relationships/externalLink" Target="externalLinks/externalLink38.xml"/><Relationship Id="rId82" Type="http://schemas.openxmlformats.org/officeDocument/2006/relationships/externalLink" Target="externalLinks/externalLink5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56" Type="http://schemas.openxmlformats.org/officeDocument/2006/relationships/externalLink" Target="externalLinks/externalLink33.xml"/><Relationship Id="rId77" Type="http://schemas.openxmlformats.org/officeDocument/2006/relationships/externalLink" Target="externalLinks/externalLink54.xml"/><Relationship Id="rId100" Type="http://schemas.openxmlformats.org/officeDocument/2006/relationships/externalLink" Target="externalLinks/externalLink77.xml"/><Relationship Id="rId105" Type="http://schemas.openxmlformats.org/officeDocument/2006/relationships/externalLink" Target="externalLinks/externalLink82.xml"/><Relationship Id="rId126" Type="http://schemas.openxmlformats.org/officeDocument/2006/relationships/externalLink" Target="externalLinks/externalLink103.xml"/><Relationship Id="rId147" Type="http://schemas.openxmlformats.org/officeDocument/2006/relationships/externalLink" Target="externalLinks/externalLink124.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93" Type="http://schemas.openxmlformats.org/officeDocument/2006/relationships/externalLink" Target="externalLinks/externalLink70.xml"/><Relationship Id="rId98" Type="http://schemas.openxmlformats.org/officeDocument/2006/relationships/externalLink" Target="externalLinks/externalLink75.xml"/><Relationship Id="rId121" Type="http://schemas.openxmlformats.org/officeDocument/2006/relationships/externalLink" Target="externalLinks/externalLink98.xml"/><Relationship Id="rId142" Type="http://schemas.openxmlformats.org/officeDocument/2006/relationships/externalLink" Target="externalLinks/externalLink119.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366433</xdr:colOff>
      <xdr:row>33</xdr:row>
      <xdr:rowOff>159684</xdr:rowOff>
    </xdr:from>
    <xdr:to>
      <xdr:col>5</xdr:col>
      <xdr:colOff>1275230</xdr:colOff>
      <xdr:row>43</xdr:row>
      <xdr:rowOff>19049</xdr:rowOff>
    </xdr:to>
    <xdr:pic>
      <xdr:nvPicPr>
        <xdr:cNvPr id="2" name="Picture 2">
          <a:extLst>
            <a:ext uri="{FF2B5EF4-FFF2-40B4-BE49-F238E27FC236}">
              <a16:creationId xmlns:a16="http://schemas.microsoft.com/office/drawing/2014/main" id="{54C16711-6A4A-450F-8066-E825F8D85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6483" y="10059334"/>
          <a:ext cx="2851897" cy="1745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03AA4724-765C-4915-8A33-AC2BC1A0A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23A2A839-A081-48DE-9F44-E77C73749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0C8C621E-0593-4DF4-ABC1-83915B4AE8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A70185AA-AA2C-4671-93DF-8A20DC96D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77256C40-10D4-4569-A007-2572DA709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3D2BBBF3-2FB0-4C31-A73C-C1583A252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D5468A24-A575-4EB8-9D81-E7F94978F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BDB1E517-B0E1-4794-8867-04919B665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D4666678-C107-4487-8C07-C993F4848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65DAABBB-9371-43B5-844D-4FB0512634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1</xdr:col>
      <xdr:colOff>895318</xdr:colOff>
      <xdr:row>2</xdr:row>
      <xdr:rowOff>220227</xdr:rowOff>
    </xdr:to>
    <xdr:pic>
      <xdr:nvPicPr>
        <xdr:cNvPr id="2" name="Picture 1">
          <a:extLst>
            <a:ext uri="{FF2B5EF4-FFF2-40B4-BE49-F238E27FC236}">
              <a16:creationId xmlns:a16="http://schemas.microsoft.com/office/drawing/2014/main" id="{F1F04EE0-C1AE-4497-B8D5-8CEF4A4A1C23}"/>
            </a:ext>
          </a:extLst>
        </xdr:cNvPr>
        <xdr:cNvPicPr>
          <a:picLocks noChangeAspect="1"/>
        </xdr:cNvPicPr>
      </xdr:nvPicPr>
      <xdr:blipFill>
        <a:blip xmlns:r="http://schemas.openxmlformats.org/officeDocument/2006/relationships" r:embed="rId1"/>
        <a:stretch>
          <a:fillRect/>
        </a:stretch>
      </xdr:blipFill>
      <xdr:spPr>
        <a:xfrm>
          <a:off x="231589" y="0"/>
          <a:ext cx="1019329" cy="5821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2</xdr:col>
      <xdr:colOff>322505</xdr:colOff>
      <xdr:row>0</xdr:row>
      <xdr:rowOff>781035</xdr:rowOff>
    </xdr:to>
    <xdr:pic>
      <xdr:nvPicPr>
        <xdr:cNvPr id="2" name="Picture 1">
          <a:extLst>
            <a:ext uri="{FF2B5EF4-FFF2-40B4-BE49-F238E27FC236}">
              <a16:creationId xmlns:a16="http://schemas.microsoft.com/office/drawing/2014/main" id="{D5DFFD07-6048-4D5D-AF69-EBD326B37E1C}"/>
            </a:ext>
          </a:extLst>
        </xdr:cNvPr>
        <xdr:cNvPicPr>
          <a:picLocks noChangeAspect="1"/>
        </xdr:cNvPicPr>
      </xdr:nvPicPr>
      <xdr:blipFill>
        <a:blip xmlns:r="http://schemas.openxmlformats.org/officeDocument/2006/relationships" r:embed="rId1"/>
        <a:stretch>
          <a:fillRect/>
        </a:stretch>
      </xdr:blipFill>
      <xdr:spPr>
        <a:xfrm>
          <a:off x="231589" y="201705"/>
          <a:ext cx="1030716" cy="57933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103910</xdr:colOff>
      <xdr:row>0</xdr:row>
      <xdr:rowOff>46182</xdr:rowOff>
    </xdr:from>
    <xdr:to>
      <xdr:col>0</xdr:col>
      <xdr:colOff>868630</xdr:colOff>
      <xdr:row>1</xdr:row>
      <xdr:rowOff>100474</xdr:rowOff>
    </xdr:to>
    <xdr:pic>
      <xdr:nvPicPr>
        <xdr:cNvPr id="2" name="Picture 1">
          <a:extLst>
            <a:ext uri="{FF2B5EF4-FFF2-40B4-BE49-F238E27FC236}">
              <a16:creationId xmlns:a16="http://schemas.microsoft.com/office/drawing/2014/main" id="{83FCE6C4-4E9D-42B2-88C0-8BE15DE53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910" y="46182"/>
          <a:ext cx="764720" cy="70834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0</xdr:colOff>
      <xdr:row>73</xdr:row>
      <xdr:rowOff>0</xdr:rowOff>
    </xdr:from>
    <xdr:to>
      <xdr:col>10</xdr:col>
      <xdr:colOff>82550</xdr:colOff>
      <xdr:row>73</xdr:row>
      <xdr:rowOff>203200</xdr:rowOff>
    </xdr:to>
    <xdr:sp macro="" textlink="">
      <xdr:nvSpPr>
        <xdr:cNvPr id="2" name="Text Box 1660">
          <a:extLst>
            <a:ext uri="{FF2B5EF4-FFF2-40B4-BE49-F238E27FC236}">
              <a16:creationId xmlns:a16="http://schemas.microsoft.com/office/drawing/2014/main" id="{247D03F0-2057-405E-9471-A8EF360795E0}"/>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3" name="Text Box 1661">
          <a:extLst>
            <a:ext uri="{FF2B5EF4-FFF2-40B4-BE49-F238E27FC236}">
              <a16:creationId xmlns:a16="http://schemas.microsoft.com/office/drawing/2014/main" id="{1D30632C-AFAF-4C91-91DC-3ADC5D07E2DE}"/>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4" name="Text Box 1662">
          <a:extLst>
            <a:ext uri="{FF2B5EF4-FFF2-40B4-BE49-F238E27FC236}">
              <a16:creationId xmlns:a16="http://schemas.microsoft.com/office/drawing/2014/main" id="{2363E324-CCF1-48A2-A01C-A430914A14DA}"/>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74</xdr:row>
      <xdr:rowOff>38103</xdr:rowOff>
    </xdr:to>
    <xdr:sp macro="" textlink="">
      <xdr:nvSpPr>
        <xdr:cNvPr id="5" name="Text Box 1663">
          <a:extLst>
            <a:ext uri="{FF2B5EF4-FFF2-40B4-BE49-F238E27FC236}">
              <a16:creationId xmlns:a16="http://schemas.microsoft.com/office/drawing/2014/main" id="{95C3CCE0-17EF-4BD5-B500-02D5D4E9A083}"/>
            </a:ext>
          </a:extLst>
        </xdr:cNvPr>
        <xdr:cNvSpPr txBox="1">
          <a:spLocks noChangeArrowheads="1"/>
        </xdr:cNvSpPr>
      </xdr:nvSpPr>
      <xdr:spPr bwMode="auto">
        <a:xfrm>
          <a:off x="7366000" y="34010600"/>
          <a:ext cx="82550" cy="266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6" name="Text Box 1664">
          <a:extLst>
            <a:ext uri="{FF2B5EF4-FFF2-40B4-BE49-F238E27FC236}">
              <a16:creationId xmlns:a16="http://schemas.microsoft.com/office/drawing/2014/main" id="{D87081E3-07F1-4D4D-B494-1EBF644D1426}"/>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1247775</xdr:colOff>
      <xdr:row>0</xdr:row>
      <xdr:rowOff>41273</xdr:rowOff>
    </xdr:from>
    <xdr:to>
      <xdr:col>9</xdr:col>
      <xdr:colOff>1314450</xdr:colOff>
      <xdr:row>4</xdr:row>
      <xdr:rowOff>57176</xdr:rowOff>
    </xdr:to>
    <xdr:sp macro="" textlink="">
      <xdr:nvSpPr>
        <xdr:cNvPr id="7" name="TextBox 6">
          <a:extLst>
            <a:ext uri="{FF2B5EF4-FFF2-40B4-BE49-F238E27FC236}">
              <a16:creationId xmlns:a16="http://schemas.microsoft.com/office/drawing/2014/main" id="{42EE9F7B-35B9-413F-A8E1-9335AF5B0A27}"/>
            </a:ext>
          </a:extLst>
        </xdr:cNvPr>
        <xdr:cNvSpPr txBox="1"/>
      </xdr:nvSpPr>
      <xdr:spPr>
        <a:xfrm>
          <a:off x="1533525" y="41273"/>
          <a:ext cx="5832475" cy="9430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50" b="1" i="0" u="none" strike="noStrike" kern="0" cap="none" spc="0" normalizeH="0" baseline="0" noProof="0">
              <a:ln w="0"/>
              <a:solidFill>
                <a:srgbClr val="1E0F7B"/>
              </a:solidFill>
              <a:effectLst>
                <a:outerShdw blurRad="38100" dist="19050" dir="2700000" algn="tl" rotWithShape="0">
                  <a:prstClr val="black">
                    <a:alpha val="40000"/>
                  </a:prstClr>
                </a:outerShdw>
              </a:effectLst>
              <a:uLnTx/>
              <a:uFillTx/>
              <a:latin typeface="+mn-lt"/>
              <a:ea typeface="+mn-ea"/>
              <a:cs typeface="+mn-cs"/>
            </a:rPr>
            <a:t>CÔNG TY TNHH SẢN XUẤT VÀ XUẤT NHẬP KHẨU HOÀNG HÀ</a:t>
          </a:r>
        </a:p>
        <a:p>
          <a:r>
            <a:rPr lang="en-US" sz="1050">
              <a:solidFill>
                <a:schemeClr val="tx1"/>
              </a:solidFill>
              <a:latin typeface="Times New Roman" pitchFamily="18" charset="0"/>
              <a:cs typeface="Times New Roman" pitchFamily="18" charset="0"/>
            </a:rPr>
            <a:t>Địa chỉ: </a:t>
          </a:r>
          <a:r>
            <a:rPr lang="en-US" sz="1050" baseline="0">
              <a:solidFill>
                <a:schemeClr val="tx1"/>
              </a:solidFill>
              <a:latin typeface="Times New Roman" pitchFamily="18" charset="0"/>
              <a:cs typeface="Times New Roman" pitchFamily="18" charset="0"/>
            </a:rPr>
            <a:t> Số 2, ngõ 1 tổ 29 A, Láng Hạ, Đống Đa, Hà Nội</a:t>
          </a:r>
        </a:p>
        <a:p>
          <a:r>
            <a:rPr lang="en-US" sz="1050">
              <a:solidFill>
                <a:schemeClr val="tx1"/>
              </a:solidFill>
              <a:latin typeface="Times New Roman" pitchFamily="18" charset="0"/>
              <a:cs typeface="Times New Roman" pitchFamily="18" charset="0"/>
            </a:rPr>
            <a:t>Điện thoại: 0944.707.888                          </a:t>
          </a:r>
          <a:r>
            <a:rPr lang="en-US" sz="1050" b="0">
              <a:solidFill>
                <a:schemeClr val="tx1"/>
              </a:solidFill>
              <a:latin typeface="Times New Roman" pitchFamily="18" charset="0"/>
              <a:cs typeface="Times New Roman" pitchFamily="18" charset="0"/>
            </a:rPr>
            <a:t>*    </a:t>
          </a:r>
          <a:r>
            <a:rPr lang="en-US" sz="1050" b="0">
              <a:solidFill>
                <a:srgbClr val="FF0000"/>
              </a:solidFill>
              <a:latin typeface="Times New Roman" pitchFamily="18" charset="0"/>
              <a:ea typeface="+mn-ea"/>
              <a:cs typeface="Times New Roman" pitchFamily="18" charset="0"/>
            </a:rPr>
            <a:t>Website : http://www.bulonghoangha.com</a:t>
          </a:r>
          <a:r>
            <a:rPr lang="en-US" sz="1050" b="0">
              <a:solidFill>
                <a:schemeClr val="tx1"/>
              </a:solidFill>
              <a:latin typeface="Times New Roman" pitchFamily="18" charset="0"/>
              <a:cs typeface="Times New Roman" pitchFamily="18" charset="0"/>
            </a:rPr>
            <a:t>	</a:t>
          </a:r>
          <a:r>
            <a:rPr lang="en-US" sz="1050" b="0" baseline="0">
              <a:solidFill>
                <a:schemeClr val="tx1"/>
              </a:solidFill>
              <a:latin typeface="Times New Roman" pitchFamily="18" charset="0"/>
              <a:cs typeface="Times New Roman" pitchFamily="18" charset="0"/>
            </a:rPr>
            <a:t>                                  </a:t>
          </a:r>
        </a:p>
        <a:p>
          <a:r>
            <a:rPr lang="en-US" sz="1050" b="0">
              <a:solidFill>
                <a:schemeClr val="tx1"/>
              </a:solidFill>
              <a:latin typeface="Times New Roman" pitchFamily="18" charset="0"/>
              <a:cs typeface="Times New Roman" pitchFamily="18" charset="0"/>
            </a:rPr>
            <a:t>Email: sales@bulonghoangha.com.vn      *    </a:t>
          </a:r>
          <a:r>
            <a:rPr lang="en-US" sz="1050" b="0">
              <a:solidFill>
                <a:srgbClr val="FF0000"/>
              </a:solidFill>
              <a:latin typeface="Times New Roman" pitchFamily="18" charset="0"/>
              <a:cs typeface="Times New Roman" pitchFamily="18" charset="0"/>
            </a:rPr>
            <a:t>Hotline    : 0985.035.888 /0944.707.888</a:t>
          </a:r>
        </a:p>
      </xdr:txBody>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8" name="Text Box 1660">
          <a:extLst>
            <a:ext uri="{FF2B5EF4-FFF2-40B4-BE49-F238E27FC236}">
              <a16:creationId xmlns:a16="http://schemas.microsoft.com/office/drawing/2014/main" id="{38AEF3C0-BCBF-49E9-A23C-93D1880A25C9}"/>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9" name="Text Box 1661">
          <a:extLst>
            <a:ext uri="{FF2B5EF4-FFF2-40B4-BE49-F238E27FC236}">
              <a16:creationId xmlns:a16="http://schemas.microsoft.com/office/drawing/2014/main" id="{DFA4485A-0C5F-4F4D-B5D2-83401C63881E}"/>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10" name="Text Box 1662">
          <a:extLst>
            <a:ext uri="{FF2B5EF4-FFF2-40B4-BE49-F238E27FC236}">
              <a16:creationId xmlns:a16="http://schemas.microsoft.com/office/drawing/2014/main" id="{29E7FB29-D3AA-46C0-9693-145AD70AC87F}"/>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74</xdr:row>
      <xdr:rowOff>38103</xdr:rowOff>
    </xdr:to>
    <xdr:sp macro="" textlink="">
      <xdr:nvSpPr>
        <xdr:cNvPr id="11" name="Text Box 1663">
          <a:extLst>
            <a:ext uri="{FF2B5EF4-FFF2-40B4-BE49-F238E27FC236}">
              <a16:creationId xmlns:a16="http://schemas.microsoft.com/office/drawing/2014/main" id="{9BEB5CF0-39D1-4FEF-A75B-6DF44F4F6933}"/>
            </a:ext>
          </a:extLst>
        </xdr:cNvPr>
        <xdr:cNvSpPr txBox="1">
          <a:spLocks noChangeArrowheads="1"/>
        </xdr:cNvSpPr>
      </xdr:nvSpPr>
      <xdr:spPr bwMode="auto">
        <a:xfrm>
          <a:off x="7366000" y="34010600"/>
          <a:ext cx="82550" cy="266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73</xdr:row>
      <xdr:rowOff>0</xdr:rowOff>
    </xdr:from>
    <xdr:to>
      <xdr:col>10</xdr:col>
      <xdr:colOff>82550</xdr:colOff>
      <xdr:row>73</xdr:row>
      <xdr:rowOff>203200</xdr:rowOff>
    </xdr:to>
    <xdr:sp macro="" textlink="">
      <xdr:nvSpPr>
        <xdr:cNvPr id="12" name="Text Box 1664">
          <a:extLst>
            <a:ext uri="{FF2B5EF4-FFF2-40B4-BE49-F238E27FC236}">
              <a16:creationId xmlns:a16="http://schemas.microsoft.com/office/drawing/2014/main" id="{944C4AB4-1C5F-437B-BD85-4F8DD46A6BD1}"/>
            </a:ext>
          </a:extLst>
        </xdr:cNvPr>
        <xdr:cNvSpPr txBox="1">
          <a:spLocks noChangeArrowheads="1"/>
        </xdr:cNvSpPr>
      </xdr:nvSpPr>
      <xdr:spPr bwMode="auto">
        <a:xfrm>
          <a:off x="7366000" y="34010600"/>
          <a:ext cx="8255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161925</xdr:colOff>
      <xdr:row>0</xdr:row>
      <xdr:rowOff>57150</xdr:rowOff>
    </xdr:from>
    <xdr:to>
      <xdr:col>1</xdr:col>
      <xdr:colOff>1347769</xdr:colOff>
      <xdr:row>4</xdr:row>
      <xdr:rowOff>3810</xdr:rowOff>
    </xdr:to>
    <xdr:pic>
      <xdr:nvPicPr>
        <xdr:cNvPr id="13" name="Picture 12">
          <a:extLst>
            <a:ext uri="{FF2B5EF4-FFF2-40B4-BE49-F238E27FC236}">
              <a16:creationId xmlns:a16="http://schemas.microsoft.com/office/drawing/2014/main" id="{3B385668-39DF-4762-A053-779FD2139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57150"/>
          <a:ext cx="1471594" cy="92456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32E6980C-6E66-4D13-9A17-E49DBF8386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6E39C74C-23F2-4146-BC07-7EF64632F2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19B03019-3813-4E80-A125-6B95610C58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E1104A08-C311-4BD1-9744-AB5FAA8D8B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E2318A5B-7776-4B35-81E6-7034EF89C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285750</xdr:colOff>
      <xdr:row>40</xdr:row>
      <xdr:rowOff>107950</xdr:rowOff>
    </xdr:to>
    <xdr:pic>
      <xdr:nvPicPr>
        <xdr:cNvPr id="7" name="图片 2" descr="_6FQELH)T%`LWLL7GY~O$V9">
          <a:extLst>
            <a:ext uri="{FF2B5EF4-FFF2-40B4-BE49-F238E27FC236}">
              <a16:creationId xmlns:a16="http://schemas.microsoft.com/office/drawing/2014/main" id="{B4EC1C2D-8A8E-4FFB-952D-15F90722565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57150</xdr:colOff>
      <xdr:row>0</xdr:row>
      <xdr:rowOff>63500</xdr:rowOff>
    </xdr:from>
    <xdr:to>
      <xdr:col>1</xdr:col>
      <xdr:colOff>850900</xdr:colOff>
      <xdr:row>2</xdr:row>
      <xdr:rowOff>19050</xdr:rowOff>
    </xdr:to>
    <xdr:pic>
      <xdr:nvPicPr>
        <xdr:cNvPr id="2" name="图片 1">
          <a:extLst>
            <a:ext uri="{FF2B5EF4-FFF2-40B4-BE49-F238E27FC236}">
              <a16:creationId xmlns:a16="http://schemas.microsoft.com/office/drawing/2014/main" id="{25BE05F3-072F-49C8-9222-F133CB2C35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3" name="图片 1">
          <a:extLst>
            <a:ext uri="{FF2B5EF4-FFF2-40B4-BE49-F238E27FC236}">
              <a16:creationId xmlns:a16="http://schemas.microsoft.com/office/drawing/2014/main" id="{FAE7B985-3B5F-4F80-95F5-D636E00644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63500</xdr:rowOff>
    </xdr:from>
    <xdr:to>
      <xdr:col>1</xdr:col>
      <xdr:colOff>850900</xdr:colOff>
      <xdr:row>2</xdr:row>
      <xdr:rowOff>19050</xdr:rowOff>
    </xdr:to>
    <xdr:pic>
      <xdr:nvPicPr>
        <xdr:cNvPr id="4" name="图片 1">
          <a:extLst>
            <a:ext uri="{FF2B5EF4-FFF2-40B4-BE49-F238E27FC236}">
              <a16:creationId xmlns:a16="http://schemas.microsoft.com/office/drawing/2014/main" id="{3EEAF52C-335D-44F0-A7C2-DEAD7E6F7F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 y="63500"/>
          <a:ext cx="79375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5" name="图片 1">
          <a:extLst>
            <a:ext uri="{FF2B5EF4-FFF2-40B4-BE49-F238E27FC236}">
              <a16:creationId xmlns:a16="http://schemas.microsoft.com/office/drawing/2014/main" id="{5A61915A-95F4-424A-AB73-4132898E39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57150</xdr:rowOff>
    </xdr:from>
    <xdr:to>
      <xdr:col>1</xdr:col>
      <xdr:colOff>850900</xdr:colOff>
      <xdr:row>2</xdr:row>
      <xdr:rowOff>19050</xdr:rowOff>
    </xdr:to>
    <xdr:pic>
      <xdr:nvPicPr>
        <xdr:cNvPr id="6" name="图片 1">
          <a:extLst>
            <a:ext uri="{FF2B5EF4-FFF2-40B4-BE49-F238E27FC236}">
              <a16:creationId xmlns:a16="http://schemas.microsoft.com/office/drawing/2014/main" id="{020443E4-62CA-468D-98B0-64DFE47745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 y="57150"/>
          <a:ext cx="79375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35</xdr:row>
      <xdr:rowOff>196850</xdr:rowOff>
    </xdr:from>
    <xdr:to>
      <xdr:col>9</xdr:col>
      <xdr:colOff>260350</xdr:colOff>
      <xdr:row>40</xdr:row>
      <xdr:rowOff>107950</xdr:rowOff>
    </xdr:to>
    <xdr:pic>
      <xdr:nvPicPr>
        <xdr:cNvPr id="7" name="图片 2" descr="_6FQELH)T%`LWLL7GY~O$V9">
          <a:extLst>
            <a:ext uri="{FF2B5EF4-FFF2-40B4-BE49-F238E27FC236}">
              <a16:creationId xmlns:a16="http://schemas.microsoft.com/office/drawing/2014/main" id="{06B4BADD-710E-4C94-8628-F9BC878A2C9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52850" y="14941550"/>
          <a:ext cx="24257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ga-1\allfiles\evgdg\san%20juan%20pipe%20mod%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HFO%20Tank%20Farm%20(Civil)\1.%20Rabigh%20VI,%20&#53664;&#47785;&#44277;&#49324;&#48708;%20Spend%20&#51221;&#47532;%20(HFO%20Tank%20Farm)%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ROJECT\BUKCHEJU\BF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20E%20Team\UAE\JebelAli%20M\Package%20D\BOQ\C%20E%20Team\SAUDI\Marafiq\BOQ\&#44397;&#45236;&#49892;&#54665;\&#50864;&#47732;&#49328;\&#51089;&#50629;&#44396;&#44032;&#49884;&#49444;&#49444;&#44228;(&#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ASV00H2\Groups2\G_fabr\Cash%20Flow\CASH%20FLO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psgrwfn46\cvlong1$\DATA\NIGERIA\ECON\BONGA6EX.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51060;&#49345;&#51312;\&#54620;&#51204;&#51648;&#50896;\My%20Documents\IMSI\&#53664;&#44148;\&#49444;&#44228;&#49436;\&#51221;&#49328;&#51312;&#49436;2\&#44592;&#51316;ITEM\&#52572;&#51333;&#51089;&#4945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UD01\!EUDC\DATA\NIGERIA\ECON\1997\NIG97MD6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ttp:\projectcontrol.mcdcorp.net\Project%20Reviews\spread%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50980;&#51116;&#50672;\aproject\skec\TDI\BM\TDIBM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51204;&#50689;&#44428;\C\WIN98\TEMP\REPORT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dongkook.kim/AppData/Local/Microsoft/Windows/Temporary%20Internet%20Files/Content.Outlook/VV12XPHX/WINDOWS/TEMP/CONDESER/EQUIP/&#44032;&#49444;T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runaway%20reaction%20psv%20-case%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WINDOWS\TEMP\XLS\ALL-XLS\ULSAN\PRIC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erver\Etisalat\Project\Data\&#47568;&#47112;&#51060;&#49884;&#50500;\Ncc\AEc&#51077;&#52272;&#44204;&#51201;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lau%20final/WINDOWS/Desktop/New%20Folder/Qo-15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51221;&#50672;&#49688;\D\DATA\LEE-SY\EXCEL\SINLIM\GAHEU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StreetTalk\data01e@projects5@sweltdmk\10101\GRP23\DATASHT\HXS\36-E-101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20&#53448;&#51656;\&#49340;&#52380;&#54252;&#54868;&#47141;%203&amp;4%20&#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T.phu\c\@K-Phu\BAOGIA\Mien_Nam\2002\Utilized_Camau\CIVIL%20BOQs\6823%20PS%2017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u91535/AppData/Local/Microsoft/Windows/INetCache/Content.Outlook/GCQDCLE7/18303%20BOQ_STACK_1.05%20R3%20Duct%20Firing_A_revised.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dell\AppData\Roaming\Foxmail7\Temp-13188-20180208090501\Attach\&#24120;&#29992;&#25991;&#26723;\&#36130;&#21153;\MCL%20Expense%20Reimbursement%20For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6041;&#51312;\SRL-HAWIYAH\Erection%20Work\&#46356;&#49828;&#53011;&#51217;&#49688;&#44277;&#45236;&#50669;\RdO\kp6800\Pbutil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EKI&#44608;&#46041;&#50865;\SOP\DATA\ULG\Ste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Plant_main\khw\DAEWOO\UPSC\&#49444;&#52824;&#44277;&#49324;\&#51077;&#52272;&#44204;&#51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Erwan\Acer%20data\PT.%20TUNAS%20DUNIA-FILE\WINDOWS\TEMP\C-EQUI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alex/Desktop/upsgrwfn46/cvlong1$/DATA/NIGERIA/ECON/BONGA6EX.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Dhanasekar\tender%20submi\Backup\DMRC%20IT%20park\project%20documents\Kuwait%20Audit%20Bureau\Rate%20Analysi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LTMfs2\Departments\Estim\E_2015\Houston\A7654%20CHIYODA%20LNG%20Project\05%20Revision%20Directores\20150410%20Actualizar\ESTIMATE\R2215A-North%20Belut%20WHP%20Topside\Topside\R2215A%20Est%20Deck%20Mhr%20Rev%20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User/Desktop/Book1%20test.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48337;&#47564;JOB\GENERAL\BASE\D202ELE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7532;&#52264;&#46300;&#44592;&#50612;\C\KWON\&#51204;&#47029;&#54924;&#51032;\97\JUN\HYUPRYUK\SANAE-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1372\&#48176;&#44288;&#44592;&#49696;\spring\VS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c.kim\dhp-project\Analysis\Toyo-Est-Method\01TEC_M_K_CO_WORK\BID_TAB\EVAL\03sumy_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DUC%20MANH/Documents/Zalo%20Received%20Files/Form%20&#272;M%20Thiet%20bi.Rev05_24.June.2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Bpa\BM\POWERB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ay3\D\Thao%20Trang\KNQ%20HANG%20ROI%202004%20CUCHI%20SHIPPING.EX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Groups/Estimate/EST97/As%20Sold/V17555%20As%20Sold%20Estimate.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s\iq65_alstom\prc_sch.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ProgramData/.efs/0caeca7c-f867-4b93-b4ca-64a2279743e0/5dba1c6c-4881-4357-8c81-90cfa6e78bc3/60da940b-0b2c-4a30-8591-28ea375d518a/P3614A%20Code%20Calcs%20rev0.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lavori\PATERNO\paterno%2075%208a616q01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v_sharma\d\PROPOSALS\PI-99031%20KOC\Inst%20cost%20summary%20based%20on%20reduced%20line%20siz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ay7\D\SOFTWARE\KAO\GP-DC\KE%20TOAN\BAO%20CAO%202003\KE%20TOAN\LE%20DINH%20TU\HUNG\DTXD\EXCEL.NOR"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YES2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Single\Office40\Temp\&#49688;&#51221;%20&#48176;&#44288;&#44277;&#49324;%20&#44204;&#51201;%20&#52572;&#51333;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44277;&#50976;\&#45347;&#50612;&#51452;&#44592;\&#50980;&#50689;&#50885;\Cable%20bom%201&#52264;(102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atacenter\STT%20PROJECT\Documents%20and%20Settings\skkundu\Local%20Settings\Temporary%20Internet%20Files\OLK5\FW%20Pump%20Spec%20&amp;%20Data%20Sht\01-MDS-0.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datacenter\STT%20PROJECT\Documents%20and%20Settings\skkundu\Local%20Settings\Temporary%20Internet%20Files\OLK5\FW%20Pump%20Spec%20&amp;%20Data%20Sht\01-MDS-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01.WORKS/02.TASK/02.Dinh%20muc%20va%20giao%20khoan/Data/Manpower%20DA%20GK%202020-2021-2022/Total%20Md%20202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seraing\hrs\salestendering\tendering\6504_SEMBCORP_TEMBUSU%20%20SIEMENS\3.PROPOSAL\BOQ\Rev%20B\BOQ_PPS_6504_000_B.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Stejasaw2000\DiscoF\DIRECTOR\Hojascal\HISTORIC\Historico%20200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99Work\&#44204;&#51201;\9905\abp\ELECabp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212629240/Box%20Sync/2019-01-DATAN%20(HYBRID%20-%204%20Units)/06.%20Internal%20Piping%20(Tuan)/01.%20E-BOM%20Separations/3.%202019T0073-SZ00-0977_RevCing(2019-08-23)_Forgign%20&amp;%20Att.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N:\MECH\3157\SPLHTLS.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http:\seraing.cmipass.net\Documents%20and%20Settings\amorian\Desktop\PressurePart_BOQ_test97.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Proposals%20in%20WORK/US%2016.59%20-%20Port%20of%20Mejillones%20-Sea%20Lion/Estimate/US%2016.59-Mejillones-Sea%20Lion-1.xlsm"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ieu\d\HONGLUONG\Nam%202003\TONG%20HOP%20Q.TOAN%202003\dulieu\BAO%20CAO%20NAM%202002\TH%20T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Fmm-2\alli\Files\Alli\1999\Metro%20Naga%20-%20water%20works\Breakdown\Files\ALLI\Metro%20Naga%20-%20water%20works\ALLI\Agno-Hyundai\Break\Civi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Document%20Mr.%20Hoan%20handing%20over/1.%20Quotation/VOGT%20POWER%20INTERNATIONAL/Q23.1xx%20Insulation%20pin/BOM%20and%20MTO_VERBIO%20EXCHANGER%20(version%201)-U%20STAMP.xlsb"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Ega-03\elvie\EGA%203\elvie\Files\2001\BISCOM\EGA%203\elvie\Files\2000\laguna%20prop\Med.%20rise%20orig.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Estimate\JSLee\98-034-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May7\D\QTTRANG\TONKHOA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K.c.kim\dhp-project\MGT-STD\ESTIMATN\FC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Project\Jebel%20Ali\&#49444;&#52824;%20Inquiry\Bill%20of%20Quantitie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Mnetender\indv-folders\Estimate\&#44204;&#51201;\98-034-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1277\lhs-son\LHS-SON\middle-east\Desal\oman\&#45812;&#49688;&#44592;&#49696;&#49892;&#51217;&#49688;\&#52572;&#51333;boq-11.30\HELP%20SAMPL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atacenter\STT%20PROJECT\WINTEMP\WINDOWS\BILAL2.XLM"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datacenter\STT%20PROJECT\WINTEMP\WINDOWS\BILAL2.XL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Thanh%20Nguyen/Downloads/RecoveredExternalLink3"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http:\dwnotes1.dwconst.co.kr\&#50684;&#50689;&#54984;\&#50629;&#47924;\WORK\SAUDI\Berri%20Gas\Rev.3\&#44228;&#51109;\MANPWER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E:\F1056\LBS\CEMENT\&#51473;&#46041;&#51648;&#50669;\ACC\&#52636;&#51109;\boq\&#51473;&#46041;&#51648;&#50669;\ACC\POWER-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MMM\Iq-17\mmm\technimount_icb_iq14\JC\Petrogal-Sines\Weldingbook\Piping%20material%20HG%20take%20off%20-%20Rev0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ossier%20de%20travail/Utile/MODELES%20D'OFFRES/P.VESSELS%20&amp;%20SEPARATORS/DT11536/DT11536%20R00.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51060;&#52285;&#49688;\&#44277;&#50976;\Temp\Cost_total_&#48176;&#44288;-&#54620;&#45224;&#5478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PROJECT\CN9642B\BACK-UP\01GENERL\EXL-SHET\EXL-WORK\KJ-KIM\PROJECTS\CYPRUS\PROJ-CST.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Users/be91867/Documents/Offre/193099%20Babcock%20Arabia/HEN%20ancienne%20offre/Revue%20devis%20pour%20ARABIA.xlsm"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Ega-03\elvie\EGA%203\elvie\Files\2001\URC\EGA%203\elvie\Files\2000\mwci%20ATD-21\mwci%20ATD-2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Users/mthomas/AppData/Local/Microsoft/Windows/Temporary%20Internet%20Files/Content.Outlook/FTIMKVXQ/turbine%20products%20FA/JinSha_TE_E_nego1_20160202-juan.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May5\d\QUANG%20HIEU\TK%20NHAP%20KHAU\QUY%20II\THANG%205\MAY%20MOC\TK%20CHIEN%20MAY%20CH%200326%2004"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OXY3\&#52397;&#47049;&#51064;&#51077;&#51452;&#48176;&#44288;\&#51648;&#51077;&#51088;&#51116;.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50948;&#46160;&#54872;\&#44277;&#49324;&#44288;&#47144;&#47928;&#49436;\&#47785;&#50857;&#44053;\MANUAL\calculation\DESIGN5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v_sharma\d\PROPOSALS\PI-99031%20KOC\Costin_99031_6.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Seraing\hrs\salestendering\Masters%20Documents\Estimates\Price_Horiz_Boiler\Old%20Pgm\Price_pres_part_Horiz_Boiler_%20%20I.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Logisticsmay6\D\LEMINH\UNICONTROL.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E:\project\Rabigh\PSM\RFP%20Document(Marine)\Rabigh%20VI_Marine%20Work%20RFP(Rev.0).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J5312\inquiry\&#44277;&#50976;\abc.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Bomb\project\2PROJECT\PLANT\Z98037\SUM-CTI.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J0920\fujairah%20pjt\&#44277;&#50976;\PGM\&#44592;&#51316;PGM\DESIGN%20OF%20BEAM.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BPA\SUMM.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J1476\&#45812;&#49688;PSM%20TFT\&#45812;&#49688;%20PSM\&#54408;&#47785;&#48324;%20&#44277;&#44553;&#50629;&#52404;%20&#54217;&#44032;%20SHEET-&#50896;&#48376;.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36234;&#21335;\&#36234;&#21335;\&#36234;&#21335;&#26448;&#26009;&#39044;&#31639;\&#39044;&#31639;2015-4-10\&#27827;&#38745;&#31649;&#36947;--&#26448;&#26009;&#35745;&#21010;--20141005.xlsx"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file:///D:\G&#243;i%20th&#7847;u%20090\TH%20PR\I-090-ENG-001-REV09%20(PR).xlsx" TargetMode="External"/><Relationship Id="rId1" Type="http://schemas.openxmlformats.org/officeDocument/2006/relationships/externalLinkPath" Target="/G&#243;i%20th&#7847;u%20090/TH%20PR/I-090-ENG-001-REV09%20(PR).xlsx"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file:///D:\G&#243;i%20th&#7847;u%20090\TH%20PR\I-090-ENG-001-REV33(PR).xlsx" TargetMode="External"/><Relationship Id="rId1" Type="http://schemas.openxmlformats.org/officeDocument/2006/relationships/externalLinkPath" Target="/G&#243;i%20th&#7847;u%20090/TH%20PR/I-090-ENG-001-REV33(PR).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3.%20SAM%202020.08.01\59.%20VOGT%20V17553\059A.%20V17553\5.%20PR\1.%20TK\I-059-ENG-001-REV%2013(PR).xlsx"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file:///\\192.168.0.200\kinh%20doanh\05.HopDong_Contracts\05.03.PhuongAnKinhDoanh_P.L\05.03.01.DuToanKinhDoanh\090%20-%2010%20Diverteer\D&#7921;%20to&#225;n%20thi%20c&#244;ng%20Braden%20I090.xlsx" TargetMode="External"/><Relationship Id="rId1" Type="http://schemas.openxmlformats.org/officeDocument/2006/relationships/externalLinkPath" Target="file:///\\192.168.0.200\kinh%20doanh\05.HopDong_Contracts\05.03.PhuongAnKinhDoanh_P.L\05.03.01.DuToanKinhDoanh\090%20-%2010%20Diverteer\D&#7921;%20to&#225;n%20thi%20c&#244;ng%20Braden%20I090.xlsx" TargetMode="External"/></Relationships>
</file>

<file path=xl/externalLinks/_rels/externalLink123.xml.rels><?xml version="1.0" encoding="UTF-8" standalone="yes"?>
<Relationships xmlns="http://schemas.openxmlformats.org/package/2006/relationships"><Relationship Id="rId2" Type="http://schemas.openxmlformats.org/officeDocument/2006/relationships/externalLinkPath" Target="file:///C:\Users\Lenovo\Desktop\Copy%20of%20090_DT%20VatTu_RevC.xlsx" TargetMode="External"/><Relationship Id="rId1" Type="http://schemas.openxmlformats.org/officeDocument/2006/relationships/externalLinkPath" Target="file:///C:\Users\Lenovo\Desktop\Copy%20of%20090_DT%20VatTu_RevC.xlsx"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file:///D:\6.%20DU%20TOAN%20THI%20CONG\104-WNC%20Nipsco\104%20DT03.04.05%20TM%20.xlsx" TargetMode="External"/><Relationship Id="rId1" Type="http://schemas.openxmlformats.org/officeDocument/2006/relationships/externalLinkPath" Target="/6.%20DU%20TOAN%20THI%20CONG/104-WNC%20Nipsco/104%20DT03.04.05%20TM%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hioua GL 1"/>
      <sheetName val="Bethioua GL2"/>
      <sheetName val="PP"/>
      <sheetName val="Corpi"/>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BOQ(onshore)"/>
      <sheetName val="4. DOR(Civil)"/>
      <sheetName val="6. Civil BOQ(Tank Farm)"/>
      <sheetName val="9.Technical Specification "/>
      <sheetName val="1"/>
    </sheetNames>
    <definedNames>
      <definedName name="___att2" refersTo="#REF!"/>
      <definedName name="___tem1" refersTo="#REF!"/>
      <definedName name="_a3" refersTo="#REF!"/>
      <definedName name="_att2" refersTo="#REF!"/>
      <definedName name="_tem1" refersTo="#REF!"/>
    </defined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출계산서"/>
      <sheetName val="xxxxxx"/>
      <sheetName val="pdrop (제출)"/>
      <sheetName val="r-curve"/>
      <sheetName val="r-curve(metric)"/>
      <sheetName val="par-load"/>
      <sheetName val="p-consumption"/>
      <sheetName val="pdrop(discharge)"/>
      <sheetName val="BFP"/>
      <sheetName val="작성기준"/>
      <sheetName val="REDUCER"/>
      <sheetName val="보일러"/>
      <sheetName val="Summary "/>
      <sheetName val="#3E1_GCR"/>
      <sheetName val="변수 정의"/>
      <sheetName val="가격분석@1100(990104)"/>
      <sheetName val="Escalation"/>
      <sheetName val="공사내역"/>
      <sheetName val="COP"/>
      <sheetName val="pdrop_(제출)1"/>
      <sheetName val="Summary_1"/>
      <sheetName val="변수_정의1"/>
      <sheetName val="pdrop_(제출)"/>
      <sheetName val="Summary_"/>
      <sheetName val="변수_정의"/>
    </sheetNames>
    <sheetDataSet>
      <sheetData sheetId="0">
        <row r="183">
          <cell r="I183">
            <v>542625</v>
          </cell>
        </row>
        <row r="185">
          <cell r="I185">
            <v>584083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계산서"/>
      <sheetName val="2.1엄지말뚝설계"/>
      <sheetName val="2.2 띠장의 설계"/>
      <sheetName val="2.2 띠장의 설계 (2)"/>
      <sheetName val="2.3 토류벽의설계"/>
      <sheetName val="철근"/>
      <sheetName val="ANCHOR1"/>
      <sheetName val="철근량산정"/>
      <sheetName val="띠장계산"/>
      <sheetName val="2.2버팀보의 검토"/>
      <sheetName val="양식"/>
      <sheetName val="연직부재계산 "/>
      <sheetName val="제출계산서"/>
    </sheetNames>
    <sheetDataSet>
      <sheetData sheetId="0"/>
      <sheetData sheetId="1"/>
      <sheetData sheetId="2"/>
      <sheetData sheetId="3">
        <row r="14">
          <cell r="G14">
            <v>2</v>
          </cell>
        </row>
        <row r="15">
          <cell r="G15">
            <v>0.9</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Joints"/>
      <sheetName val="2.2 띠장의 설계"/>
      <sheetName val="가격분석@1100(990104)"/>
      <sheetName val="Escalation"/>
      <sheetName val="DB_ET200(R. A)"/>
      <sheetName val="Database"/>
      <sheetName val="石炭性状"/>
      <sheetName val="SP&amp;ST 제출가"/>
      <sheetName val="산업"/>
      <sheetName val="제출계산서"/>
      <sheetName val="공사내역"/>
      <sheetName val="예가표"/>
      <sheetName val="Spt-BH"/>
      <sheetName val="eq_data"/>
      <sheetName val="Indices"/>
      <sheetName val="Concrete"/>
      <sheetName val="reinft"/>
      <sheetName val="glass project concrete"/>
      <sheetName val="glass project reift"/>
      <sheetName val="glass project indices"/>
      <sheetName val="TASKRSRC"/>
      <sheetName val="Boq"/>
      <sheetName val="Lab"/>
      <sheetName val="office"/>
      <sheetName val="Material&amp;equipment"/>
      <sheetName val="sept-plan"/>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ummary 0506"/>
      <sheetName val="Summary 0607- 31.MAR"/>
      <sheetName val="#REF!"/>
      <sheetName val="Rate Analysis"/>
      <sheetName val="Qty"/>
      <sheetName val="Civil Boq"/>
      <sheetName val="Table10"/>
      <sheetName val="Table11"/>
      <sheetName val="Table12"/>
      <sheetName val="Table9"/>
      <sheetName val="FitOutConfCentre"/>
      <sheetName val="Other"/>
      <sheetName val="Summary"/>
      <sheetName val="SPT_vs_PHI"/>
      <sheetName val="glass_project_concrete"/>
      <sheetName val="glass_project_reift"/>
      <sheetName val="glass_project_indices"/>
      <sheetName val="Pile cap"/>
      <sheetName val="SPT_vs_PHI1"/>
      <sheetName val="glass_project_concrete1"/>
      <sheetName val="glass_project_reift1"/>
      <sheetName val="glass_project_indices1"/>
      <sheetName val="SBC-BH_19"/>
      <sheetName val="Summary_0506"/>
      <sheetName val="Summary_0607-_31_MAR"/>
      <sheetName val="Rate_Analysis"/>
      <sheetName val="Civil_Boq"/>
      <sheetName val="Pile_cap"/>
      <sheetName val="Sheet1"/>
      <sheetName val="BH 12-11-10-13"/>
      <sheetName val="BH 12-11-10-9"/>
      <sheetName val="BH 36-15-37"/>
      <sheetName val="BH 16-35-25-17"/>
      <sheetName val="BH 35-25-17"/>
      <sheetName val="Sheet1 (2)"/>
      <sheetName val="Sheet2"/>
      <sheetName val="BH_12-11-10-13"/>
      <sheetName val="BH_12-11-10-9"/>
      <sheetName val="BH_36-15-37"/>
      <sheetName val="BH_16-35-25-17"/>
      <sheetName val="BH_35-25-17"/>
      <sheetName val="Sheet1_(2)"/>
      <sheetName val="d-safe DELUXE"/>
      <sheetName val="PRECAST lightconc-II"/>
      <sheetName val="Legal Risk Analysis"/>
      <sheetName val="Mix Design"/>
      <sheetName val="std-rates"/>
      <sheetName val="Form 6"/>
      <sheetName val="PointNo.5"/>
      <sheetName val="RCC,Ret. Wall"/>
      <sheetName val="Design"/>
      <sheetName val="Fill this out first..."/>
      <sheetName val="LABOUR"/>
      <sheetName val="REVISED4A PROG PERF-SITE 1"/>
      <sheetName val="BLK2"/>
      <sheetName val="BLK3"/>
      <sheetName val="E &amp; R"/>
      <sheetName val="radar"/>
      <sheetName val="UG"/>
      <sheetName val="Break up Sheet"/>
      <sheetName val="TBAL9697 -group wise  sdpl"/>
      <sheetName val="Abstract Sheet"/>
      <sheetName val="V.O.4 - PCC Qty"/>
      <sheetName val="BOQ_Direct_selling cost"/>
      <sheetName val="WWR"/>
      <sheetName val="BOQ (2)"/>
      <sheetName val="final abstract"/>
      <sheetName val="GBW"/>
      <sheetName val="Footings"/>
      <sheetName val="CABLE DATA"/>
      <sheetName val="Input"/>
      <sheetName val="Activity"/>
      <sheetName val="Staff Acco."/>
      <sheetName val="Crew"/>
      <sheetName val="Piping"/>
      <sheetName val="Pipe Supports"/>
      <sheetName val="8"/>
      <sheetName val="Load Details-220kV"/>
      <sheetName val="Stock-II"/>
      <sheetName val="R20_R30_work"/>
      <sheetName val="M-Book for Conc"/>
      <sheetName val="M-Book for FW"/>
      <sheetName val="Flight-1"/>
      <sheetName val="Publicbuilding"/>
      <sheetName val="FT-05-02IsoBOM"/>
      <sheetName val="Rev S1 Abstract"/>
      <sheetName val="Quantity Abstract"/>
      <sheetName val=""/>
      <sheetName val="Abstract"/>
      <sheetName val="A-General"/>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beam-reinft-IIInd floor"/>
      <sheetName val="VCH-SLC"/>
      <sheetName val="Supplier"/>
      <sheetName val="Parapet"/>
      <sheetName val="sheet6"/>
      <sheetName val="RA-markate"/>
      <sheetName val="INPUT SHEET"/>
      <sheetName val="RES-PLANNING"/>
      <sheetName val="Sump"/>
      <sheetName val="COLUMN"/>
      <sheetName val="cubes_M20"/>
      <sheetName val="Form_6"/>
      <sheetName val="B@__x005f_x0000__x005f_x0004_@_x005f_x0000__x0000"/>
      <sheetName val="Project Budget Worksheet"/>
      <sheetName val="B@_"/>
      <sheetName val="B@___x0004_@_____$__"/>
      <sheetName val="BS1"/>
      <sheetName val="#REF"/>
      <sheetName val="RA"/>
      <sheetName val="11-hsd"/>
      <sheetName val="13-septic"/>
      <sheetName val="7-ug"/>
      <sheetName val="2-utility"/>
      <sheetName val="18-misc"/>
      <sheetName val="5-pipe"/>
      <sheetName val="BOQ -II ph 2"/>
      <sheetName val="switch"/>
      <sheetName val="Fee Rate Summary"/>
      <sheetName val="STAFFSCHED "/>
      <sheetName val="SUMM"/>
      <sheetName val="DADAN-1"/>
      <sheetName val="Macro1"/>
      <sheetName val="dummy"/>
      <sheetName val="d-safe specs"/>
      <sheetName val="class &amp; category"/>
      <sheetName val="Rein-Final (Ph 1+Ph2)"/>
      <sheetName val="Sheet3"/>
      <sheetName val="Cost_any"/>
      <sheetName val="Process"/>
      <sheetName val="pt_cw"/>
      <sheetName val="Metso - Forth &amp; Slurry 11.02.10"/>
      <sheetName val="1"/>
      <sheetName val="India F&amp;S Template"/>
      <sheetName val="Basicrates"/>
      <sheetName val="B@___x005f_x0004_@_____$__"/>
      <sheetName val="B@__x005f_x005f_x005f_x0000__x005f_x005f_x005f_x0004_@_"/>
      <sheetName val="inter"/>
      <sheetName val="OVERHEADS"/>
      <sheetName val="A(Rev.3)"/>
      <sheetName val="DB_ET200(R__A)1"/>
      <sheetName val="SP&amp;ST_제출가1"/>
      <sheetName val="2_2_띠장의_설계1"/>
      <sheetName val="DB_ET200(R__A)"/>
      <sheetName val="SP&amp;ST_제출가"/>
      <sheetName val="2_2_띠장의_설계"/>
      <sheetName val="[Spt-BH.xls][Spt-BH.xls]B@[_x0000__x0004_@_x0000_"/>
      <sheetName val="[Spt-BH.xls][Spt-BH.xls]B@[?_x0004_@?"/>
      <sheetName val="[Spt-BH.xls][Spt-BH.xls]B_____2"/>
      <sheetName val="[Spt-BH.xls][Spt-BH.xls]B_____3"/>
      <sheetName val="[Spt-BH.xls][Spt-BH.xls]B_____4"/>
      <sheetName val="[Spt-BH.xls][Spt-BH.xls]B_____5"/>
      <sheetName val="[Spt-BH.xls][Spt-BH.xls]B@["/>
      <sheetName val="AOR"/>
      <sheetName val="Lead"/>
      <sheetName val="Site wise NADs"/>
      <sheetName val="col-reinft1"/>
      <sheetName val="FUNDFLOW"/>
      <sheetName val="220 11  BS "/>
      <sheetName val="Build-up"/>
      <sheetName val="TBAL9697_-group_wise__sdpl"/>
      <sheetName val="Headings"/>
      <sheetName val="Formulas"/>
      <sheetName val="SBC-BH_191"/>
      <sheetName val="2gii"/>
      <sheetName val="HPL"/>
      <sheetName val="Costing"/>
      <sheetName val="T&amp;M"/>
      <sheetName val="SOR"/>
      <sheetName val="PriceSumma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Rate_Analysis1"/>
      <sheetName val="PRECAST_lightconc-II"/>
      <sheetName val="d-safe_DELUXE"/>
      <sheetName val="Mix_Design"/>
      <sheetName val="RCC,Ret__Wall"/>
      <sheetName val="PointNo_5"/>
      <sheetName val="Abstract_Sheet"/>
      <sheetName val="E_&amp;_R"/>
      <sheetName val="Legal_Risk_Analysis"/>
      <sheetName val="Break_up_Sheet"/>
      <sheetName val="V_O_4_-_PCC_Qty"/>
      <sheetName val="maingirder"/>
      <sheetName val="basic-data"/>
      <sheetName val="Title"/>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C"/>
      <sheetName val="B"/>
      <sheetName val="Mx1012a"/>
      <sheetName val="Quote Sheet"/>
      <sheetName val="Cal"/>
      <sheetName val="Data"/>
      <sheetName val="Voucher"/>
      <sheetName val="Materials Cost(PCC)"/>
      <sheetName val="SSR &amp; NSSR Market final"/>
      <sheetName val="p&amp;m"/>
      <sheetName val="x-items"/>
      <sheetName val="BLOCK-E"/>
      <sheetName val="precast RC element"/>
      <sheetName val="Stress Calculation"/>
      <sheetName val="NPV"/>
      <sheetName val="B@[_x005f_x0000__x005f_x0004_@_x005f_x0000__x0000"/>
      <sheetName val="Coefficients"/>
      <sheetName val="IS3370"/>
      <sheetName val="IS456"/>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RA RCC F"/>
      <sheetName val="B@_@__$"/>
      <sheetName val="Qty-Opt1"/>
      <sheetName val="Assmpns"/>
      <sheetName val="Detail"/>
      <sheetName val="MGS"/>
      <sheetName val="attach(2)"/>
      <sheetName val="Abstract for Variation"/>
      <sheetName val="LBD VARIATION"/>
      <sheetName val="Debits as on 12.04.08"/>
      <sheetName val="合成単価作成表-BLDG"/>
      <sheetName val="PRRM Dashboard"/>
      <sheetName val="Mappings"/>
      <sheetName val="Fin Sum"/>
      <sheetName val="Staff Forecast spread"/>
      <sheetName val="B@__x005f_x0000__x005f_x0004_@_x005f_x0000___$_x0"/>
      <sheetName val="B@___x005f_x005f_x005f_x0004_@_____$__"/>
      <sheetName val="B@__x005f_x005f_x005f_x005f_x005f_x005f_x005f_x0000__x0"/>
      <sheetName val="IDCCALHYD-GOO"/>
      <sheetName val="Inputs &amp; Summary Output"/>
      <sheetName val="Broad Refresher Model"/>
      <sheetName val="BHANDUP"/>
      <sheetName val="Report"/>
      <sheetName val="Cost of O &amp; O"/>
      <sheetName val="Back"/>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 List "/>
      <sheetName val="LT Motor catalog"/>
      <sheetName val="Cable cat"/>
      <sheetName val="3"/>
      <sheetName val="B@["/>
      <sheetName val="inWords"/>
      <sheetName val="B@__x0000__x0004_@_x0000__x0000"/>
      <sheetName val="B@__x005f_x0000__x005f_x0004_@_"/>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ELECT"/>
      <sheetName val="pr.cal"/>
      <sheetName val="SàQa_x0005_@_x0000__x0000__x0000_²"/>
      <sheetName val="upa"/>
      <sheetName val="syndicate codes"/>
      <sheetName val="[Spt-BH.xls][Spt-BH.xls]B_____8"/>
      <sheetName val="[Spt-BH.xls][Spt-BH.xls]B_____9"/>
      <sheetName val="[Spt-BH.xls][Spt-BH.xls]B_____6"/>
      <sheetName val="[Spt-BH.xls][Spt-BH.xls]B_____7"/>
      <sheetName val="SàQa_x0005_@"/>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row r="1">
          <cell r="J1">
            <v>1.7453292519943295E-2</v>
          </cell>
        </row>
      </sheetData>
      <sheetData sheetId="31">
        <row r="1">
          <cell r="J1">
            <v>1.7453292519943295E-2</v>
          </cell>
        </row>
      </sheetData>
      <sheetData sheetId="32">
        <row r="1">
          <cell r="J1">
            <v>1.7453292519943295E-2</v>
          </cell>
        </row>
      </sheetData>
      <sheetData sheetId="33">
        <row r="1">
          <cell r="J1">
            <v>1.7453292519943295E-2</v>
          </cell>
        </row>
      </sheetData>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ow r="2">
          <cell r="B2">
            <v>1</v>
          </cell>
        </row>
      </sheetData>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2">
          <cell r="B2">
            <v>1</v>
          </cell>
        </row>
      </sheetData>
      <sheetData sheetId="266">
        <row r="2">
          <cell r="B2">
            <v>1</v>
          </cell>
        </row>
      </sheetData>
      <sheetData sheetId="267">
        <row r="2">
          <cell r="B2">
            <v>1</v>
          </cell>
        </row>
      </sheetData>
      <sheetData sheetId="268">
        <row r="2">
          <cell r="B2">
            <v>1</v>
          </cell>
        </row>
      </sheetData>
      <sheetData sheetId="269">
        <row r="2">
          <cell r="B2">
            <v>1</v>
          </cell>
        </row>
      </sheetData>
      <sheetData sheetId="270">
        <row r="1">
          <cell r="J1">
            <v>1.7453292519943295E-2</v>
          </cell>
        </row>
      </sheetData>
      <sheetData sheetId="271">
        <row r="2">
          <cell r="B2">
            <v>1</v>
          </cell>
        </row>
      </sheetData>
      <sheetData sheetId="272">
        <row r="2">
          <cell r="B2">
            <v>1</v>
          </cell>
        </row>
      </sheetData>
      <sheetData sheetId="273">
        <row r="2">
          <cell r="B2">
            <v>1</v>
          </cell>
        </row>
      </sheetData>
      <sheetData sheetId="274">
        <row r="2">
          <cell r="B2">
            <v>1</v>
          </cell>
        </row>
      </sheetData>
      <sheetData sheetId="275">
        <row r="2">
          <cell r="B2">
            <v>1</v>
          </cell>
        </row>
      </sheetData>
      <sheetData sheetId="276">
        <row r="2">
          <cell r="B2">
            <v>1</v>
          </cell>
        </row>
      </sheetData>
      <sheetData sheetId="277">
        <row r="1">
          <cell r="J1">
            <v>1.7453292519943295E-2</v>
          </cell>
        </row>
      </sheetData>
      <sheetData sheetId="278">
        <row r="2">
          <cell r="B2">
            <v>1</v>
          </cell>
        </row>
      </sheetData>
      <sheetData sheetId="279">
        <row r="2">
          <cell r="B2">
            <v>1</v>
          </cell>
        </row>
      </sheetData>
      <sheetData sheetId="280">
        <row r="2">
          <cell r="B2">
            <v>1</v>
          </cell>
        </row>
      </sheetData>
      <sheetData sheetId="281">
        <row r="2">
          <cell r="B2">
            <v>1</v>
          </cell>
        </row>
      </sheetData>
      <sheetData sheetId="282">
        <row r="2">
          <cell r="B2">
            <v>1</v>
          </cell>
        </row>
      </sheetData>
      <sheetData sheetId="283">
        <row r="2">
          <cell r="B2">
            <v>1</v>
          </cell>
        </row>
      </sheetData>
      <sheetData sheetId="284">
        <row r="2">
          <cell r="B2">
            <v>1</v>
          </cell>
        </row>
      </sheetData>
      <sheetData sheetId="285">
        <row r="2">
          <cell r="B2">
            <v>1</v>
          </cell>
        </row>
      </sheetData>
      <sheetData sheetId="286">
        <row r="1">
          <cell r="J1">
            <v>1.7453292519943295E-2</v>
          </cell>
        </row>
      </sheetData>
      <sheetData sheetId="287">
        <row r="2">
          <cell r="B2">
            <v>1</v>
          </cell>
        </row>
      </sheetData>
      <sheetData sheetId="288">
        <row r="2">
          <cell r="B2">
            <v>1</v>
          </cell>
        </row>
      </sheetData>
      <sheetData sheetId="289">
        <row r="2">
          <cell r="B2">
            <v>1</v>
          </cell>
        </row>
      </sheetData>
      <sheetData sheetId="290">
        <row r="2">
          <cell r="B2">
            <v>1</v>
          </cell>
        </row>
      </sheetData>
      <sheetData sheetId="291">
        <row r="2">
          <cell r="B2">
            <v>1</v>
          </cell>
        </row>
      </sheetData>
      <sheetData sheetId="292">
        <row r="2">
          <cell r="B2">
            <v>1</v>
          </cell>
        </row>
      </sheetData>
      <sheetData sheetId="293">
        <row r="2">
          <cell r="B2">
            <v>1</v>
          </cell>
        </row>
      </sheetData>
      <sheetData sheetId="294">
        <row r="2">
          <cell r="B2">
            <v>1</v>
          </cell>
        </row>
      </sheetData>
      <sheetData sheetId="295">
        <row r="2">
          <cell r="B2">
            <v>1</v>
          </cell>
        </row>
      </sheetData>
      <sheetData sheetId="296">
        <row r="2">
          <cell r="B2">
            <v>1</v>
          </cell>
        </row>
      </sheetData>
      <sheetData sheetId="297">
        <row r="2">
          <cell r="B2">
            <v>1</v>
          </cell>
        </row>
      </sheetData>
      <sheetData sheetId="298">
        <row r="2">
          <cell r="B2">
            <v>1</v>
          </cell>
        </row>
      </sheetData>
      <sheetData sheetId="299">
        <row r="2">
          <cell r="B2">
            <v>1</v>
          </cell>
        </row>
      </sheetData>
      <sheetData sheetId="300">
        <row r="2">
          <cell r="B2">
            <v>1</v>
          </cell>
        </row>
      </sheetData>
      <sheetData sheetId="301">
        <row r="2">
          <cell r="B2">
            <v>1</v>
          </cell>
        </row>
      </sheetData>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ow r="2">
          <cell r="B2">
            <v>1</v>
          </cell>
        </row>
      </sheetData>
      <sheetData sheetId="327">
        <row r="2">
          <cell r="B2">
            <v>1</v>
          </cell>
        </row>
      </sheetData>
      <sheetData sheetId="328">
        <row r="2">
          <cell r="B2">
            <v>1</v>
          </cell>
        </row>
      </sheetData>
      <sheetData sheetId="329">
        <row r="2">
          <cell r="B2">
            <v>1</v>
          </cell>
        </row>
      </sheetData>
      <sheetData sheetId="330">
        <row r="2">
          <cell r="B2">
            <v>1</v>
          </cell>
        </row>
      </sheetData>
      <sheetData sheetId="331">
        <row r="2">
          <cell r="B2">
            <v>1</v>
          </cell>
        </row>
      </sheetData>
      <sheetData sheetId="332">
        <row r="2">
          <cell r="B2">
            <v>1</v>
          </cell>
        </row>
      </sheetData>
      <sheetData sheetId="333">
        <row r="2">
          <cell r="B2">
            <v>1</v>
          </cell>
        </row>
      </sheetData>
      <sheetData sheetId="334">
        <row r="2">
          <cell r="B2">
            <v>1</v>
          </cell>
        </row>
      </sheetData>
      <sheetData sheetId="335">
        <row r="2">
          <cell r="B2">
            <v>1</v>
          </cell>
        </row>
      </sheetData>
      <sheetData sheetId="336">
        <row r="2">
          <cell r="B2">
            <v>1</v>
          </cell>
        </row>
      </sheetData>
      <sheetData sheetId="337">
        <row r="2">
          <cell r="B2">
            <v>1</v>
          </cell>
        </row>
      </sheetData>
      <sheetData sheetId="338">
        <row r="2">
          <cell r="B2">
            <v>1</v>
          </cell>
        </row>
      </sheetData>
      <sheetData sheetId="339">
        <row r="2">
          <cell r="B2">
            <v>1</v>
          </cell>
        </row>
      </sheetData>
      <sheetData sheetId="340">
        <row r="2">
          <cell r="B2">
            <v>1</v>
          </cell>
        </row>
      </sheetData>
      <sheetData sheetId="341">
        <row r="2">
          <cell r="B2">
            <v>1</v>
          </cell>
        </row>
      </sheetData>
      <sheetData sheetId="342">
        <row r="2">
          <cell r="B2">
            <v>1</v>
          </cell>
        </row>
      </sheetData>
      <sheetData sheetId="343">
        <row r="2">
          <cell r="C2" t="str">
            <v>LARSEN &amp; TOUBRO LIMITED</v>
          </cell>
        </row>
      </sheetData>
      <sheetData sheetId="344">
        <row r="2">
          <cell r="B2">
            <v>1</v>
          </cell>
        </row>
      </sheetData>
      <sheetData sheetId="345">
        <row r="2">
          <cell r="B2">
            <v>1</v>
          </cell>
        </row>
      </sheetData>
      <sheetData sheetId="346">
        <row r="2">
          <cell r="B2">
            <v>1</v>
          </cell>
        </row>
      </sheetData>
      <sheetData sheetId="347">
        <row r="2">
          <cell r="B2">
            <v>1</v>
          </cell>
        </row>
      </sheetData>
      <sheetData sheetId="348">
        <row r="2">
          <cell r="C2" t="str">
            <v>LARSEN &amp; TOUBRO LIMITED</v>
          </cell>
        </row>
      </sheetData>
      <sheetData sheetId="349">
        <row r="2">
          <cell r="B2">
            <v>1</v>
          </cell>
        </row>
      </sheetData>
      <sheetData sheetId="350">
        <row r="2">
          <cell r="B2">
            <v>1</v>
          </cell>
        </row>
      </sheetData>
      <sheetData sheetId="351">
        <row r="2">
          <cell r="B2">
            <v>1</v>
          </cell>
        </row>
      </sheetData>
      <sheetData sheetId="352">
        <row r="2">
          <cell r="C2" t="str">
            <v>LARSEN &amp; TOUBRO LIMITED</v>
          </cell>
        </row>
      </sheetData>
      <sheetData sheetId="353"/>
      <sheetData sheetId="354">
        <row r="2">
          <cell r="B2">
            <v>1</v>
          </cell>
        </row>
      </sheetData>
      <sheetData sheetId="355"/>
      <sheetData sheetId="356">
        <row r="2">
          <cell r="B2">
            <v>1</v>
          </cell>
        </row>
      </sheetData>
      <sheetData sheetId="357">
        <row r="2">
          <cell r="C2" t="str">
            <v>LARSEN &amp; TOUBRO LIMITED</v>
          </cell>
        </row>
      </sheetData>
      <sheetData sheetId="358">
        <row r="2">
          <cell r="C2" t="str">
            <v>LARSEN &amp; TOUBRO LIMITED</v>
          </cell>
        </row>
      </sheetData>
      <sheetData sheetId="359">
        <row r="2">
          <cell r="B2">
            <v>1</v>
          </cell>
        </row>
      </sheetData>
      <sheetData sheetId="360">
        <row r="2">
          <cell r="B2">
            <v>1</v>
          </cell>
        </row>
      </sheetData>
      <sheetData sheetId="361"/>
      <sheetData sheetId="362"/>
      <sheetData sheetId="363"/>
      <sheetData sheetId="364"/>
      <sheetData sheetId="365"/>
      <sheetData sheetId="366">
        <row r="2">
          <cell r="C2" t="str">
            <v>LARSEN &amp; TOUBRO LIMITED</v>
          </cell>
        </row>
      </sheetData>
      <sheetData sheetId="367"/>
      <sheetData sheetId="368">
        <row r="2">
          <cell r="B2">
            <v>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MOBIL"/>
      <sheetName val="SPT vs PHI"/>
      <sheetName val="Joints"/>
      <sheetName val="Attachment 1"/>
      <sheetName val="목표세부명세"/>
      <sheetName val="DB_ET200(R. A)"/>
      <sheetName val="Cash2"/>
      <sheetName val="Z"/>
      <sheetName val="공문"/>
      <sheetName val="1A-1 BLR_Material Cost"/>
      <sheetName val="Direct Labor cost"/>
      <sheetName val="BM"/>
      <sheetName val="Rate Analysis"/>
      <sheetName val="C3"/>
      <sheetName val="BQMPALOC"/>
      <sheetName val="breakdown"/>
      <sheetName val="예가표"/>
      <sheetName val="ERECTION DAHEJ"/>
      <sheetName val="MTP"/>
      <sheetName val="공사내역"/>
      <sheetName val="BAG-2"/>
      <sheetName val="4.1 dismantle"/>
      <sheetName val="Material"/>
      <sheetName val="mech"/>
      <sheetName val="PIPE"/>
      <sheetName val="VALVE"/>
      <sheetName val="FLANGE"/>
      <sheetName val="97 사업추정(WEKI)"/>
      <sheetName val="기능공_(3)"/>
      <sheetName val="연도별_자금"/>
      <sheetName val="기능공_(2)"/>
      <sheetName val="Attachment_1"/>
      <sheetName val="DB_ET200(R__A)"/>
      <sheetName val="SPT_vs_PHI"/>
      <sheetName val="1A-1_BLR_Material_Cost"/>
      <sheetName val="Direct_Labor_cost"/>
      <sheetName val="Rate_Analysis"/>
      <sheetName val="ERECTION_DAHEJ"/>
      <sheetName val="4_1_dismantle"/>
      <sheetName val="기능공_(3)1"/>
      <sheetName val="연도별_자금1"/>
      <sheetName val="기능공_(2)1"/>
      <sheetName val="Attachment_11"/>
      <sheetName val="DB_ET200(R__A)1"/>
      <sheetName val="SPT_vs_PHI1"/>
      <sheetName val="1A-1_BLR_Material_Cost1"/>
      <sheetName val="Direct_Labor_cost1"/>
      <sheetName val="Rate_Analysis1"/>
      <sheetName val="ERECTION_DAHEJ1"/>
      <sheetName val="4_1_dismantle1"/>
      <sheetName val="Setting"/>
      <sheetName val="D-623D"/>
      <sheetName val="산근"/>
      <sheetName val="DRUM"/>
      <sheetName val="costing_CV"/>
      <sheetName val="2.2 띠장의 설계"/>
      <sheetName val="MTO REV.2(ARMOR)"/>
      <sheetName val="WI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A7"/>
      <sheetName val="Unit-1"/>
      <sheetName val="감가상각비"/>
      <sheetName val="기능공_(3)2"/>
      <sheetName val="연도별_자금2"/>
      <sheetName val="기능공_(2)2"/>
      <sheetName val="SPT_vs_PHI2"/>
      <sheetName val="Attachment_12"/>
      <sheetName val="DB_ET200(R__A)2"/>
      <sheetName val="1A-1_BLR_Material_Cost2"/>
      <sheetName val="Direct_Labor_cost2"/>
      <sheetName val="Rate_Analysis2"/>
      <sheetName val="ERECTION_DAHEJ2"/>
      <sheetName val="4_1_dismantle2"/>
      <sheetName val="97_사업추정(WEKI)"/>
      <sheetName val="2_2_띠장의_설계"/>
      <sheetName val="MTO_REV_2(ARMOR)"/>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Sheet3"/>
      <sheetName val="토공"/>
      <sheetName val="제출계산서"/>
      <sheetName val="paking list 16.08"/>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O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M"/>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reakdown of wage ra"/>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breakdown_of_wage_ra"/>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_x0002_뻘N_x0001_ࠀ역서"/>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2_뻘N_"/>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breakdown_of_wage_ra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breakdown_of_wage_ra9"/>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Shee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 val="_x005f_x005f_x005f_x005f_x005f_x005f_x00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ow r="4">
          <cell r="I4">
            <v>0</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4">
          <cell r="I4">
            <v>0</v>
          </cell>
        </row>
      </sheetData>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ow r="4">
          <cell r="I4">
            <v>0</v>
          </cell>
        </row>
      </sheetData>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ow r="4">
          <cell r="I4">
            <v>0</v>
          </cell>
        </row>
      </sheetData>
      <sheetData sheetId="5259">
        <row r="4">
          <cell r="I4">
            <v>0</v>
          </cell>
        </row>
      </sheetData>
      <sheetData sheetId="5260">
        <row r="4">
          <cell r="I4">
            <v>0</v>
          </cell>
        </row>
      </sheetData>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ow r="4">
          <cell r="I4">
            <v>0</v>
          </cell>
        </row>
      </sheetData>
      <sheetData sheetId="6642" refreshError="1"/>
      <sheetData sheetId="6643" refreshError="1"/>
      <sheetData sheetId="6644" refreshError="1"/>
      <sheetData sheetId="6645" refreshError="1"/>
      <sheetData sheetId="6646" refreshError="1"/>
      <sheetData sheetId="6647">
        <row r="4">
          <cell r="I4">
            <v>0</v>
          </cell>
        </row>
      </sheetData>
      <sheetData sheetId="6648" refreshError="1"/>
      <sheetData sheetId="6649" refreshError="1"/>
      <sheetData sheetId="6650" refreshError="1"/>
      <sheetData sheetId="6651" refreshError="1"/>
      <sheetData sheetId="6652" refreshError="1"/>
      <sheetData sheetId="6653" refreshError="1"/>
      <sheetData sheetId="6654">
        <row r="4">
          <cell r="I4">
            <v>0</v>
          </cell>
        </row>
      </sheetData>
      <sheetData sheetId="6655">
        <row r="4">
          <cell r="I4">
            <v>0</v>
          </cell>
        </row>
      </sheetData>
      <sheetData sheetId="6656">
        <row r="4">
          <cell r="I4">
            <v>0</v>
          </cell>
        </row>
      </sheetData>
      <sheetData sheetId="6657" refreshError="1"/>
      <sheetData sheetId="6658" refreshError="1"/>
      <sheetData sheetId="6659" refreshError="1"/>
      <sheetData sheetId="6660" refreshError="1"/>
      <sheetData sheetId="6661">
        <row r="4">
          <cell r="I4">
            <v>0</v>
          </cell>
        </row>
      </sheetData>
      <sheetData sheetId="6662" refreshError="1"/>
      <sheetData sheetId="6663" refreshError="1"/>
      <sheetData sheetId="6664" refreshError="1"/>
      <sheetData sheetId="6665" refreshError="1"/>
      <sheetData sheetId="6666" refreshError="1"/>
      <sheetData sheetId="6667">
        <row r="4">
          <cell r="I4">
            <v>0</v>
          </cell>
        </row>
      </sheetData>
      <sheetData sheetId="6668" refreshError="1"/>
      <sheetData sheetId="6669" refreshError="1"/>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ow r="4">
          <cell r="I4">
            <v>0</v>
          </cell>
        </row>
      </sheetData>
      <sheetData sheetId="6678" refreshError="1"/>
      <sheetData sheetId="6679" refreshError="1"/>
      <sheetData sheetId="6680" refreshError="1"/>
      <sheetData sheetId="6681" refreshError="1"/>
      <sheetData sheetId="6682">
        <row r="4">
          <cell r="I4">
            <v>0</v>
          </cell>
        </row>
      </sheetData>
      <sheetData sheetId="6683">
        <row r="4">
          <cell r="I4">
            <v>0</v>
          </cell>
        </row>
      </sheetData>
      <sheetData sheetId="6684">
        <row r="4">
          <cell r="I4">
            <v>0</v>
          </cell>
        </row>
      </sheetData>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efreshError="1"/>
      <sheetData sheetId="8516" refreshError="1"/>
      <sheetData sheetId="8517" refreshError="1"/>
      <sheetData sheetId="8518" refreshError="1"/>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efreshError="1"/>
      <sheetData sheetId="8533" refreshError="1"/>
      <sheetData sheetId="8534" refreshError="1"/>
      <sheetData sheetId="8535" refreshError="1"/>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efreshError="1"/>
      <sheetData sheetId="8549" refreshError="1"/>
      <sheetData sheetId="8550" refreshError="1"/>
      <sheetData sheetId="8551" refreshError="1"/>
      <sheetData sheetId="8552" refreshError="1"/>
      <sheetData sheetId="8553" refreshError="1"/>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ow r="4">
          <cell r="I4">
            <v>0</v>
          </cell>
        </row>
      </sheetData>
      <sheetData sheetId="8596">
        <row r="4">
          <cell r="I4">
            <v>0</v>
          </cell>
        </row>
      </sheetData>
      <sheetData sheetId="8597" refreshError="1"/>
      <sheetData sheetId="8598" refreshError="1"/>
      <sheetData sheetId="8599" refreshError="1"/>
      <sheetData sheetId="8600" refreshError="1"/>
      <sheetData sheetId="8601" refreshError="1"/>
      <sheetData sheetId="8602" refreshError="1"/>
      <sheetData sheetId="8603" refreshError="1"/>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refreshError="1"/>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refreshError="1"/>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refreshError="1"/>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refreshError="1"/>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row r="4">
          <cell r="I4">
            <v>0</v>
          </cell>
        </row>
      </sheetData>
      <sheetData sheetId="9301">
        <row r="4">
          <cell r="I4">
            <v>0</v>
          </cell>
        </row>
      </sheetData>
      <sheetData sheetId="9302"/>
      <sheetData sheetId="9303"/>
      <sheetData sheetId="9304"/>
      <sheetData sheetId="9305"/>
      <sheetData sheetId="9306"/>
      <sheetData sheetId="9307"/>
      <sheetData sheetId="9308"/>
      <sheetData sheetId="9309"/>
      <sheetData sheetId="9310" refreshError="1"/>
      <sheetData sheetId="931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ow r="4">
          <cell r="I4">
            <v>0</v>
          </cell>
        </row>
      </sheetData>
      <sheetData sheetId="9326">
        <row r="4">
          <cell r="I4">
            <v>0</v>
          </cell>
        </row>
      </sheetData>
      <sheetData sheetId="9327">
        <row r="4">
          <cell r="I4">
            <v>0</v>
          </cell>
        </row>
      </sheetData>
      <sheetData sheetId="9328">
        <row r="4">
          <cell r="I4">
            <v>0</v>
          </cell>
        </row>
      </sheetData>
      <sheetData sheetId="9329" refreshError="1"/>
      <sheetData sheetId="9330">
        <row r="4">
          <cell r="I4">
            <v>0</v>
          </cell>
        </row>
      </sheetData>
      <sheetData sheetId="9331">
        <row r="4">
          <cell r="I4">
            <v>0</v>
          </cell>
        </row>
      </sheetData>
      <sheetData sheetId="9332">
        <row r="4">
          <cell r="I4">
            <v>0</v>
          </cell>
        </row>
      </sheetData>
      <sheetData sheetId="9333">
        <row r="4">
          <cell r="I4">
            <v>0</v>
          </cell>
        </row>
      </sheetData>
      <sheetData sheetId="9334" refreshError="1"/>
      <sheetData sheetId="9335">
        <row r="4">
          <cell r="I4">
            <v>0</v>
          </cell>
        </row>
      </sheetData>
      <sheetData sheetId="9336">
        <row r="4">
          <cell r="I4">
            <v>0</v>
          </cell>
        </row>
      </sheetData>
      <sheetData sheetId="9337">
        <row r="4">
          <cell r="I4">
            <v>0</v>
          </cell>
        </row>
      </sheetData>
      <sheetData sheetId="9338"/>
      <sheetData sheetId="9339"/>
      <sheetData sheetId="9340">
        <row r="4">
          <cell r="I4">
            <v>0</v>
          </cell>
        </row>
      </sheetData>
      <sheetData sheetId="9341">
        <row r="4">
          <cell r="I4">
            <v>0</v>
          </cell>
        </row>
      </sheetData>
      <sheetData sheetId="9342">
        <row r="4">
          <cell r="I4">
            <v>0</v>
          </cell>
        </row>
      </sheetData>
      <sheetData sheetId="9343">
        <row r="4">
          <cell r="I4">
            <v>0</v>
          </cell>
        </row>
      </sheetData>
      <sheetData sheetId="9344">
        <row r="4">
          <cell r="I4">
            <v>0</v>
          </cell>
        </row>
      </sheetData>
      <sheetData sheetId="9345">
        <row r="4">
          <cell r="M4">
            <v>100</v>
          </cell>
        </row>
      </sheetData>
      <sheetData sheetId="9346">
        <row r="4">
          <cell r="I4">
            <v>0</v>
          </cell>
        </row>
      </sheetData>
      <sheetData sheetId="9347">
        <row r="4">
          <cell r="I4">
            <v>0</v>
          </cell>
        </row>
      </sheetData>
      <sheetData sheetId="9348">
        <row r="4">
          <cell r="I4">
            <v>0</v>
          </cell>
        </row>
      </sheetData>
      <sheetData sheetId="9349"/>
      <sheetData sheetId="9350" refreshError="1"/>
      <sheetData sheetId="9351"/>
      <sheetData sheetId="9352"/>
      <sheetData sheetId="9353"/>
      <sheetData sheetId="9354"/>
      <sheetData sheetId="9355"/>
      <sheetData sheetId="9356"/>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sheetData sheetId="9392"/>
      <sheetData sheetId="9393"/>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ow r="4">
          <cell r="I4">
            <v>0</v>
          </cell>
        </row>
      </sheetData>
      <sheetData sheetId="9681">
        <row r="4">
          <cell r="I4">
            <v>0</v>
          </cell>
        </row>
      </sheetData>
      <sheetData sheetId="9682">
        <row r="4">
          <cell r="I4">
            <v>0</v>
          </cell>
        </row>
      </sheetData>
      <sheetData sheetId="9683">
        <row r="4">
          <cell r="I4">
            <v>0</v>
          </cell>
        </row>
      </sheetData>
      <sheetData sheetId="9684">
        <row r="4">
          <cell r="I4">
            <v>0</v>
          </cell>
        </row>
      </sheetData>
      <sheetData sheetId="9685">
        <row r="4">
          <cell r="I4">
            <v>0</v>
          </cell>
        </row>
      </sheetData>
      <sheetData sheetId="9686">
        <row r="4">
          <cell r="I4">
            <v>0</v>
          </cell>
        </row>
      </sheetData>
      <sheetData sheetId="9687">
        <row r="4">
          <cell r="I4">
            <v>0</v>
          </cell>
        </row>
      </sheetData>
      <sheetData sheetId="9688">
        <row r="4">
          <cell r="I4">
            <v>0</v>
          </cell>
        </row>
      </sheetData>
      <sheetData sheetId="9689">
        <row r="4">
          <cell r="I4">
            <v>0</v>
          </cell>
        </row>
      </sheetData>
      <sheetData sheetId="9690">
        <row r="4">
          <cell r="I4">
            <v>0</v>
          </cell>
        </row>
      </sheetData>
      <sheetData sheetId="9691">
        <row r="4">
          <cell r="I4">
            <v>0</v>
          </cell>
        </row>
      </sheetData>
      <sheetData sheetId="9692">
        <row r="4">
          <cell r="I4">
            <v>0</v>
          </cell>
        </row>
      </sheetData>
      <sheetData sheetId="9693">
        <row r="4">
          <cell r="I4">
            <v>0</v>
          </cell>
        </row>
      </sheetData>
      <sheetData sheetId="9694">
        <row r="4">
          <cell r="I4">
            <v>0</v>
          </cell>
        </row>
      </sheetData>
      <sheetData sheetId="9695">
        <row r="4">
          <cell r="I4">
            <v>0</v>
          </cell>
        </row>
      </sheetData>
      <sheetData sheetId="9696">
        <row r="4">
          <cell r="I4">
            <v>0</v>
          </cell>
        </row>
      </sheetData>
      <sheetData sheetId="9697">
        <row r="4">
          <cell r="I4">
            <v>0</v>
          </cell>
        </row>
      </sheetData>
      <sheetData sheetId="9698" refreshError="1"/>
      <sheetData sheetId="9699">
        <row r="4">
          <cell r="I4">
            <v>0</v>
          </cell>
        </row>
      </sheetData>
      <sheetData sheetId="9700" refreshError="1"/>
      <sheetData sheetId="9701" refreshError="1"/>
      <sheetData sheetId="9702">
        <row r="4">
          <cell r="I4">
            <v>0</v>
          </cell>
        </row>
      </sheetData>
      <sheetData sheetId="9703">
        <row r="4">
          <cell r="I4">
            <v>0</v>
          </cell>
        </row>
      </sheetData>
      <sheetData sheetId="9704">
        <row r="4">
          <cell r="I4">
            <v>0</v>
          </cell>
        </row>
      </sheetData>
      <sheetData sheetId="9705" refreshError="1"/>
      <sheetData sheetId="9706" refreshError="1"/>
      <sheetData sheetId="9707" refreshError="1"/>
      <sheetData sheetId="9708" refreshError="1"/>
      <sheetData sheetId="9709" refreshError="1"/>
      <sheetData sheetId="9710">
        <row r="4">
          <cell r="I4">
            <v>0</v>
          </cell>
        </row>
      </sheetData>
      <sheetData sheetId="9711">
        <row r="4">
          <cell r="I4">
            <v>0</v>
          </cell>
        </row>
      </sheetData>
      <sheetData sheetId="9712">
        <row r="4">
          <cell r="I4">
            <v>0</v>
          </cell>
        </row>
      </sheetData>
      <sheetData sheetId="9713">
        <row r="4">
          <cell r="I4">
            <v>0</v>
          </cell>
        </row>
      </sheetData>
      <sheetData sheetId="9714">
        <row r="4">
          <cell r="I4">
            <v>0</v>
          </cell>
        </row>
      </sheetData>
      <sheetData sheetId="9715">
        <row r="4">
          <cell r="I4">
            <v>0</v>
          </cell>
        </row>
      </sheetData>
      <sheetData sheetId="9716">
        <row r="4">
          <cell r="I4">
            <v>0</v>
          </cell>
        </row>
      </sheetData>
      <sheetData sheetId="9717">
        <row r="4">
          <cell r="I4">
            <v>0</v>
          </cell>
        </row>
      </sheetData>
      <sheetData sheetId="9718">
        <row r="4">
          <cell r="I4">
            <v>0</v>
          </cell>
        </row>
      </sheetData>
      <sheetData sheetId="9719">
        <row r="4">
          <cell r="I4">
            <v>0</v>
          </cell>
        </row>
      </sheetData>
      <sheetData sheetId="9720">
        <row r="4">
          <cell r="I4">
            <v>0</v>
          </cell>
        </row>
      </sheetData>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sheetData sheetId="9732" refreshError="1"/>
      <sheetData sheetId="9733">
        <row r="4">
          <cell r="I4">
            <v>0</v>
          </cell>
        </row>
      </sheetData>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ow r="4">
          <cell r="I4">
            <v>0</v>
          </cell>
        </row>
      </sheetData>
      <sheetData sheetId="9743">
        <row r="4">
          <cell r="I4">
            <v>0</v>
          </cell>
        </row>
      </sheetData>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ow r="4">
          <cell r="I4">
            <v>0</v>
          </cell>
        </row>
      </sheetData>
      <sheetData sheetId="9761">
        <row r="4">
          <cell r="I4">
            <v>0</v>
          </cell>
        </row>
      </sheetData>
      <sheetData sheetId="9762">
        <row r="4">
          <cell r="I4">
            <v>0</v>
          </cell>
        </row>
      </sheetData>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efreshError="1"/>
      <sheetData sheetId="9902" refreshError="1"/>
      <sheetData sheetId="9903">
        <row r="4">
          <cell r="I4">
            <v>0</v>
          </cell>
        </row>
      </sheetData>
      <sheetData sheetId="9904" refreshError="1"/>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ow r="4">
          <cell r="I4">
            <v>0</v>
          </cell>
        </row>
      </sheetData>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ow r="4">
          <cell r="I4">
            <v>0</v>
          </cell>
        </row>
      </sheetData>
      <sheetData sheetId="10123">
        <row r="4">
          <cell r="I4">
            <v>0</v>
          </cell>
        </row>
      </sheetData>
      <sheetData sheetId="10124">
        <row r="4">
          <cell r="I4">
            <v>0</v>
          </cell>
        </row>
      </sheetData>
      <sheetData sheetId="10125" refreshError="1"/>
      <sheetData sheetId="10126" refreshError="1"/>
      <sheetData sheetId="10127" refreshError="1"/>
      <sheetData sheetId="10128" refreshError="1"/>
      <sheetData sheetId="10129" refreshError="1"/>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efreshError="1"/>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ow r="4">
          <cell r="I4">
            <v>0</v>
          </cell>
        </row>
      </sheetData>
      <sheetData sheetId="10912">
        <row r="4">
          <cell r="I4">
            <v>0</v>
          </cell>
        </row>
      </sheetData>
      <sheetData sheetId="10913">
        <row r="4">
          <cell r="I4">
            <v>0</v>
          </cell>
        </row>
      </sheetData>
      <sheetData sheetId="10914">
        <row r="4">
          <cell r="I4">
            <v>0</v>
          </cell>
        </row>
      </sheetData>
      <sheetData sheetId="10915">
        <row r="4">
          <cell r="I4">
            <v>0</v>
          </cell>
        </row>
      </sheetData>
      <sheetData sheetId="10916">
        <row r="4">
          <cell r="I4">
            <v>0</v>
          </cell>
        </row>
      </sheetData>
      <sheetData sheetId="10917">
        <row r="4">
          <cell r="I4">
            <v>0</v>
          </cell>
        </row>
      </sheetData>
      <sheetData sheetId="10918">
        <row r="4">
          <cell r="I4">
            <v>0</v>
          </cell>
        </row>
      </sheetData>
      <sheetData sheetId="10919">
        <row r="4">
          <cell r="I4">
            <v>0</v>
          </cell>
        </row>
      </sheetData>
      <sheetData sheetId="10920">
        <row r="4">
          <cell r="I4">
            <v>0</v>
          </cell>
        </row>
      </sheetData>
      <sheetData sheetId="10921">
        <row r="4">
          <cell r="I4">
            <v>0</v>
          </cell>
        </row>
      </sheetData>
      <sheetData sheetId="10922">
        <row r="4">
          <cell r="I4">
            <v>0</v>
          </cell>
        </row>
      </sheetData>
      <sheetData sheetId="10923">
        <row r="4">
          <cell r="I4">
            <v>0</v>
          </cell>
        </row>
      </sheetData>
      <sheetData sheetId="10924">
        <row r="4">
          <cell r="I4">
            <v>0</v>
          </cell>
        </row>
      </sheetData>
      <sheetData sheetId="10925">
        <row r="4">
          <cell r="I4">
            <v>0</v>
          </cell>
        </row>
      </sheetData>
      <sheetData sheetId="10926">
        <row r="4">
          <cell r="I4">
            <v>0</v>
          </cell>
        </row>
      </sheetData>
      <sheetData sheetId="10927">
        <row r="4">
          <cell r="I4">
            <v>0</v>
          </cell>
        </row>
      </sheetData>
      <sheetData sheetId="10928">
        <row r="4">
          <cell r="I4">
            <v>0</v>
          </cell>
        </row>
      </sheetData>
      <sheetData sheetId="10929">
        <row r="4">
          <cell r="I4">
            <v>0</v>
          </cell>
        </row>
      </sheetData>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sheetData sheetId="10953"/>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ow r="4">
          <cell r="I4">
            <v>0</v>
          </cell>
        </row>
      </sheetData>
      <sheetData sheetId="11049">
        <row r="4">
          <cell r="I4">
            <v>0</v>
          </cell>
        </row>
      </sheetData>
      <sheetData sheetId="11050">
        <row r="4">
          <cell r="I4">
            <v>0</v>
          </cell>
        </row>
      </sheetData>
      <sheetData sheetId="11051">
        <row r="4">
          <cell r="I4">
            <v>0</v>
          </cell>
        </row>
      </sheetData>
      <sheetData sheetId="11052">
        <row r="4">
          <cell r="I4">
            <v>0</v>
          </cell>
        </row>
      </sheetData>
      <sheetData sheetId="11053">
        <row r="4">
          <cell r="I4">
            <v>0</v>
          </cell>
        </row>
      </sheetData>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ow r="4">
          <cell r="I4">
            <v>0</v>
          </cell>
        </row>
      </sheetData>
      <sheetData sheetId="11062">
        <row r="4">
          <cell r="I4">
            <v>0</v>
          </cell>
        </row>
      </sheetData>
      <sheetData sheetId="11063">
        <row r="4">
          <cell r="I4">
            <v>0</v>
          </cell>
        </row>
      </sheetData>
      <sheetData sheetId="11064">
        <row r="4">
          <cell r="I4">
            <v>0</v>
          </cell>
        </row>
      </sheetData>
      <sheetData sheetId="11065">
        <row r="4">
          <cell r="I4">
            <v>0</v>
          </cell>
        </row>
      </sheetData>
      <sheetData sheetId="11066">
        <row r="4">
          <cell r="I4">
            <v>0</v>
          </cell>
        </row>
      </sheetData>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ow r="4">
          <cell r="I4">
            <v>0</v>
          </cell>
        </row>
      </sheetData>
      <sheetData sheetId="11082">
        <row r="4">
          <cell r="I4">
            <v>0</v>
          </cell>
        </row>
      </sheetData>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ow r="4">
          <cell r="I4">
            <v>0</v>
          </cell>
        </row>
      </sheetData>
      <sheetData sheetId="11287">
        <row r="4">
          <cell r="I4">
            <v>0</v>
          </cell>
        </row>
      </sheetData>
      <sheetData sheetId="11288"/>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ow r="4">
          <cell r="I4">
            <v>0</v>
          </cell>
        </row>
      </sheetData>
      <sheetData sheetId="11332">
        <row r="4">
          <cell r="I4">
            <v>0</v>
          </cell>
        </row>
      </sheetData>
      <sheetData sheetId="11333">
        <row r="4">
          <cell r="I4">
            <v>0</v>
          </cell>
        </row>
      </sheetData>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ow r="4">
          <cell r="I4">
            <v>0</v>
          </cell>
        </row>
      </sheetData>
      <sheetData sheetId="11392">
        <row r="4">
          <cell r="I4">
            <v>0</v>
          </cell>
        </row>
      </sheetData>
      <sheetData sheetId="11393">
        <row r="4">
          <cell r="I4">
            <v>0</v>
          </cell>
        </row>
      </sheetData>
      <sheetData sheetId="11394">
        <row r="4">
          <cell r="I4">
            <v>0</v>
          </cell>
        </row>
      </sheetData>
      <sheetData sheetId="11395"/>
      <sheetData sheetId="11396"/>
      <sheetData sheetId="11397"/>
      <sheetData sheetId="11398"/>
      <sheetData sheetId="11399"/>
      <sheetData sheetId="11400"/>
      <sheetData sheetId="11401">
        <row r="4">
          <cell r="I4">
            <v>0</v>
          </cell>
        </row>
      </sheetData>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ow r="4">
          <cell r="I4">
            <v>0</v>
          </cell>
        </row>
      </sheetData>
      <sheetData sheetId="11415">
        <row r="4">
          <cell r="I4">
            <v>0</v>
          </cell>
        </row>
      </sheetData>
      <sheetData sheetId="11416">
        <row r="4">
          <cell r="I4">
            <v>0</v>
          </cell>
        </row>
      </sheetData>
      <sheetData sheetId="11417">
        <row r="4">
          <cell r="I4">
            <v>0</v>
          </cell>
        </row>
      </sheetData>
      <sheetData sheetId="11418">
        <row r="4">
          <cell r="I4">
            <v>0</v>
          </cell>
        </row>
      </sheetData>
      <sheetData sheetId="11419">
        <row r="4">
          <cell r="I4">
            <v>0</v>
          </cell>
        </row>
      </sheetData>
      <sheetData sheetId="11420">
        <row r="4">
          <cell r="I4">
            <v>0</v>
          </cell>
        </row>
      </sheetData>
      <sheetData sheetId="11421">
        <row r="4">
          <cell r="I4">
            <v>0</v>
          </cell>
        </row>
      </sheetData>
      <sheetData sheetId="11422">
        <row r="4">
          <cell r="I4">
            <v>0</v>
          </cell>
        </row>
      </sheetData>
      <sheetData sheetId="11423" refreshError="1"/>
      <sheetData sheetId="11424" refreshError="1"/>
      <sheetData sheetId="11425" refreshError="1"/>
      <sheetData sheetId="11426" refreshError="1"/>
      <sheetData sheetId="11427"/>
      <sheetData sheetId="11428"/>
      <sheetData sheetId="11429"/>
      <sheetData sheetId="11430"/>
      <sheetData sheetId="11431"/>
      <sheetData sheetId="11432"/>
      <sheetData sheetId="11433"/>
      <sheetData sheetId="11434"/>
      <sheetData sheetId="11435"/>
      <sheetData sheetId="11436"/>
      <sheetData sheetId="11437"/>
      <sheetData sheetId="11438">
        <row r="4">
          <cell r="I4">
            <v>0</v>
          </cell>
        </row>
      </sheetData>
      <sheetData sheetId="11439"/>
      <sheetData sheetId="11440"/>
      <sheetData sheetId="11441"/>
      <sheetData sheetId="11442"/>
      <sheetData sheetId="11443"/>
      <sheetData sheetId="11444">
        <row r="4">
          <cell r="I4">
            <v>0</v>
          </cell>
        </row>
      </sheetData>
      <sheetData sheetId="11445"/>
      <sheetData sheetId="11446"/>
      <sheetData sheetId="11447"/>
      <sheetData sheetId="11448">
        <row r="4">
          <cell r="I4">
            <v>0</v>
          </cell>
        </row>
      </sheetData>
      <sheetData sheetId="11449"/>
      <sheetData sheetId="11450"/>
      <sheetData sheetId="11451">
        <row r="4">
          <cell r="I4">
            <v>0</v>
          </cell>
        </row>
      </sheetData>
      <sheetData sheetId="11452">
        <row r="4">
          <cell r="I4">
            <v>0</v>
          </cell>
        </row>
      </sheetData>
      <sheetData sheetId="11453">
        <row r="4">
          <cell r="I4">
            <v>0</v>
          </cell>
        </row>
      </sheetData>
      <sheetData sheetId="11454">
        <row r="4">
          <cell r="M4">
            <v>100</v>
          </cell>
        </row>
      </sheetData>
      <sheetData sheetId="11455">
        <row r="4">
          <cell r="I4">
            <v>0</v>
          </cell>
        </row>
      </sheetData>
      <sheetData sheetId="11456">
        <row r="4">
          <cell r="I4">
            <v>0</v>
          </cell>
        </row>
      </sheetData>
      <sheetData sheetId="11457">
        <row r="4">
          <cell r="I4">
            <v>0</v>
          </cell>
        </row>
      </sheetData>
      <sheetData sheetId="11458"/>
      <sheetData sheetId="11459"/>
      <sheetData sheetId="11460"/>
      <sheetData sheetId="11461"/>
      <sheetData sheetId="11462"/>
      <sheetData sheetId="11463"/>
      <sheetData sheetId="11464"/>
      <sheetData sheetId="11465"/>
      <sheetData sheetId="11466"/>
      <sheetData sheetId="11467">
        <row r="4">
          <cell r="I4">
            <v>0</v>
          </cell>
        </row>
      </sheetData>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row r="4">
          <cell r="I4">
            <v>0</v>
          </cell>
        </row>
      </sheetData>
      <sheetData sheetId="11768">
        <row r="4">
          <cell r="I4">
            <v>0</v>
          </cell>
        </row>
      </sheetData>
      <sheetData sheetId="11769">
        <row r="4">
          <cell r="I4">
            <v>0</v>
          </cell>
        </row>
      </sheetData>
      <sheetData sheetId="11770"/>
      <sheetData sheetId="11771"/>
      <sheetData sheetId="11772"/>
      <sheetData sheetId="11773"/>
      <sheetData sheetId="11774"/>
      <sheetData sheetId="11775">
        <row r="4">
          <cell r="I4">
            <v>0</v>
          </cell>
        </row>
      </sheetData>
      <sheetData sheetId="11776">
        <row r="4">
          <cell r="I4">
            <v>0</v>
          </cell>
        </row>
      </sheetData>
      <sheetData sheetId="11777">
        <row r="4">
          <cell r="I4">
            <v>0</v>
          </cell>
        </row>
      </sheetData>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sheetData sheetId="11803"/>
      <sheetData sheetId="11804"/>
      <sheetData sheetId="11805"/>
      <sheetData sheetId="11806"/>
      <sheetData sheetId="11807"/>
      <sheetData sheetId="11808">
        <row r="4">
          <cell r="I4">
            <v>0</v>
          </cell>
        </row>
      </sheetData>
      <sheetData sheetId="11809">
        <row r="4">
          <cell r="I4">
            <v>0</v>
          </cell>
        </row>
      </sheetData>
      <sheetData sheetId="11810">
        <row r="4">
          <cell r="I4">
            <v>0</v>
          </cell>
        </row>
      </sheetData>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row r="4">
          <cell r="I4">
            <v>0</v>
          </cell>
        </row>
      </sheetData>
      <sheetData sheetId="11825"/>
      <sheetData sheetId="11826"/>
      <sheetData sheetId="11827"/>
      <sheetData sheetId="11828"/>
      <sheetData sheetId="11829"/>
      <sheetData sheetId="11830"/>
      <sheetData sheetId="11831"/>
      <sheetData sheetId="11832"/>
      <sheetData sheetId="11833"/>
      <sheetData sheetId="11834"/>
      <sheetData sheetId="11835"/>
      <sheetData sheetId="11836">
        <row r="4">
          <cell r="M4">
            <v>100</v>
          </cell>
        </row>
      </sheetData>
      <sheetData sheetId="11837"/>
      <sheetData sheetId="11838"/>
      <sheetData sheetId="11839"/>
      <sheetData sheetId="11840"/>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sheetData sheetId="11867"/>
      <sheetData sheetId="11868"/>
      <sheetData sheetId="11869"/>
      <sheetData sheetId="11870"/>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sheetData sheetId="11891">
        <row r="4">
          <cell r="I4">
            <v>0</v>
          </cell>
        </row>
      </sheetData>
      <sheetData sheetId="11892">
        <row r="4">
          <cell r="I4">
            <v>0</v>
          </cell>
        </row>
      </sheetData>
      <sheetData sheetId="11893">
        <row r="4">
          <cell r="I4">
            <v>0</v>
          </cell>
        </row>
      </sheetData>
      <sheetData sheetId="11894">
        <row r="4">
          <cell r="I4">
            <v>0</v>
          </cell>
        </row>
      </sheetData>
      <sheetData sheetId="11895"/>
      <sheetData sheetId="11896"/>
      <sheetData sheetId="11897"/>
      <sheetData sheetId="11898">
        <row r="4">
          <cell r="I4">
            <v>0</v>
          </cell>
        </row>
      </sheetData>
      <sheetData sheetId="11899"/>
      <sheetData sheetId="11900">
        <row r="4">
          <cell r="I4">
            <v>0</v>
          </cell>
        </row>
      </sheetData>
      <sheetData sheetId="11901">
        <row r="4">
          <cell r="I4">
            <v>0</v>
          </cell>
        </row>
      </sheetData>
      <sheetData sheetId="11902">
        <row r="4">
          <cell r="I4">
            <v>0</v>
          </cell>
        </row>
      </sheetData>
      <sheetData sheetId="11903">
        <row r="4">
          <cell r="I4">
            <v>0</v>
          </cell>
        </row>
      </sheetData>
      <sheetData sheetId="11904"/>
      <sheetData sheetId="11905"/>
      <sheetData sheetId="11906"/>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sheetData sheetId="11955">
        <row r="4">
          <cell r="I4">
            <v>0</v>
          </cell>
        </row>
      </sheetData>
      <sheetData sheetId="11956"/>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sheetData sheetId="12061"/>
      <sheetData sheetId="12062"/>
      <sheetData sheetId="12063"/>
      <sheetData sheetId="12064"/>
      <sheetData sheetId="12065"/>
      <sheetData sheetId="12066"/>
      <sheetData sheetId="12067">
        <row r="4">
          <cell r="I4">
            <v>0</v>
          </cell>
        </row>
      </sheetData>
      <sheetData sheetId="12068"/>
      <sheetData sheetId="12069"/>
      <sheetData sheetId="12070"/>
      <sheetData sheetId="12071">
        <row r="4">
          <cell r="I4">
            <v>0</v>
          </cell>
        </row>
      </sheetData>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row r="4">
          <cell r="I4">
            <v>0</v>
          </cell>
        </row>
      </sheetData>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row r="4">
          <cell r="I4">
            <v>0</v>
          </cell>
        </row>
      </sheetData>
      <sheetData sheetId="12112"/>
      <sheetData sheetId="12113"/>
      <sheetData sheetId="12114"/>
      <sheetData sheetId="12115"/>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row r="4">
          <cell r="I4">
            <v>0</v>
          </cell>
        </row>
      </sheetData>
      <sheetData sheetId="12142"/>
      <sheetData sheetId="12143"/>
      <sheetData sheetId="12144"/>
      <sheetData sheetId="12145">
        <row r="4">
          <cell r="I4">
            <v>0</v>
          </cell>
        </row>
      </sheetData>
      <sheetData sheetId="12146"/>
      <sheetData sheetId="12147"/>
      <sheetData sheetId="12148"/>
      <sheetData sheetId="12149">
        <row r="4">
          <cell r="I4">
            <v>0</v>
          </cell>
        </row>
      </sheetData>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row r="4">
          <cell r="M4">
            <v>100</v>
          </cell>
        </row>
      </sheetData>
      <sheetData sheetId="12167">
        <row r="4">
          <cell r="M4">
            <v>100</v>
          </cell>
        </row>
      </sheetData>
      <sheetData sheetId="12168">
        <row r="4">
          <cell r="M4">
            <v>100</v>
          </cell>
        </row>
      </sheetData>
      <sheetData sheetId="12169">
        <row r="4">
          <cell r="M4">
            <v>100</v>
          </cell>
        </row>
      </sheetData>
      <sheetData sheetId="12170">
        <row r="4">
          <cell r="I4">
            <v>0</v>
          </cell>
        </row>
      </sheetData>
      <sheetData sheetId="12171">
        <row r="4">
          <cell r="M4">
            <v>100</v>
          </cell>
        </row>
      </sheetData>
      <sheetData sheetId="12172">
        <row r="4">
          <cell r="I4">
            <v>0</v>
          </cell>
        </row>
      </sheetData>
      <sheetData sheetId="12173">
        <row r="4">
          <cell r="I4">
            <v>0</v>
          </cell>
        </row>
      </sheetData>
      <sheetData sheetId="12174">
        <row r="4">
          <cell r="M4">
            <v>100</v>
          </cell>
        </row>
      </sheetData>
      <sheetData sheetId="12175">
        <row r="4">
          <cell r="M4">
            <v>100</v>
          </cell>
        </row>
      </sheetData>
      <sheetData sheetId="12176">
        <row r="4">
          <cell r="M4">
            <v>100</v>
          </cell>
        </row>
      </sheetData>
      <sheetData sheetId="12177">
        <row r="4">
          <cell r="M4">
            <v>100</v>
          </cell>
        </row>
      </sheetData>
      <sheetData sheetId="12178">
        <row r="4">
          <cell r="M4">
            <v>100</v>
          </cell>
        </row>
      </sheetData>
      <sheetData sheetId="12179">
        <row r="4">
          <cell r="M4">
            <v>100</v>
          </cell>
        </row>
      </sheetData>
      <sheetData sheetId="12180">
        <row r="4">
          <cell r="M4">
            <v>100</v>
          </cell>
        </row>
      </sheetData>
      <sheetData sheetId="12181">
        <row r="4">
          <cell r="M4">
            <v>100</v>
          </cell>
        </row>
      </sheetData>
      <sheetData sheetId="12182">
        <row r="4">
          <cell r="M4">
            <v>100</v>
          </cell>
        </row>
      </sheetData>
      <sheetData sheetId="12183">
        <row r="4">
          <cell r="M4">
            <v>100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row r="4">
          <cell r="I4">
            <v>0</v>
          </cell>
        </row>
      </sheetData>
      <sheetData sheetId="12223">
        <row r="4">
          <cell r="I4">
            <v>0</v>
          </cell>
        </row>
      </sheetData>
      <sheetData sheetId="12224"/>
      <sheetData sheetId="12225"/>
      <sheetData sheetId="12226">
        <row r="4">
          <cell r="I4">
            <v>0</v>
          </cell>
        </row>
      </sheetData>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row r="4">
          <cell r="I4">
            <v>0</v>
          </cell>
        </row>
      </sheetData>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4">
          <cell r="I4">
            <v>0</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row r="4">
          <cell r="I4">
            <v>0</v>
          </cell>
        </row>
      </sheetData>
      <sheetData sheetId="12315">
        <row r="4">
          <cell r="I4">
            <v>0</v>
          </cell>
        </row>
      </sheetData>
      <sheetData sheetId="12316"/>
      <sheetData sheetId="12317"/>
      <sheetData sheetId="12318"/>
      <sheetData sheetId="12319"/>
      <sheetData sheetId="12320"/>
      <sheetData sheetId="12321"/>
      <sheetData sheetId="12322"/>
      <sheetData sheetId="12323"/>
      <sheetData sheetId="12324">
        <row r="4">
          <cell r="I4">
            <v>0</v>
          </cell>
        </row>
      </sheetData>
      <sheetData sheetId="12325"/>
      <sheetData sheetId="12326"/>
      <sheetData sheetId="12327"/>
      <sheetData sheetId="12328"/>
      <sheetData sheetId="12329">
        <row r="4">
          <cell r="M4">
            <v>100</v>
          </cell>
        </row>
      </sheetData>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sheetData sheetId="12425"/>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sheetData sheetId="12435" refreshError="1"/>
      <sheetData sheetId="12436" refreshError="1"/>
      <sheetData sheetId="12437" refreshError="1"/>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row r="4">
          <cell r="I4">
            <v>0</v>
          </cell>
        </row>
      </sheetData>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refreshError="1"/>
      <sheetData sheetId="13577" refreshError="1"/>
      <sheetData sheetId="13578"/>
      <sheetData sheetId="13579">
        <row r="4">
          <cell r="I4">
            <v>0</v>
          </cell>
        </row>
      </sheetData>
      <sheetData sheetId="13580">
        <row r="4">
          <cell r="I4">
            <v>0</v>
          </cell>
        </row>
      </sheetData>
      <sheetData sheetId="13581"/>
      <sheetData sheetId="13582"/>
      <sheetData sheetId="13583"/>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sheetData sheetId="13598"/>
      <sheetData sheetId="13599"/>
      <sheetData sheetId="13600"/>
      <sheetData sheetId="13601"/>
      <sheetData sheetId="13602"/>
      <sheetData sheetId="13603"/>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sheetData sheetId="13737" refreshError="1"/>
      <sheetData sheetId="13738"/>
      <sheetData sheetId="13739" refreshError="1"/>
      <sheetData sheetId="13740" refreshError="1"/>
      <sheetData sheetId="13741"/>
      <sheetData sheetId="13742"/>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sheetData sheetId="13788"/>
      <sheetData sheetId="13789">
        <row r="4">
          <cell r="I4">
            <v>0</v>
          </cell>
        </row>
      </sheetData>
      <sheetData sheetId="13790">
        <row r="4">
          <cell r="M4">
            <v>100</v>
          </cell>
        </row>
      </sheetData>
      <sheetData sheetId="13791">
        <row r="4">
          <cell r="I4">
            <v>0</v>
          </cell>
        </row>
      </sheetData>
      <sheetData sheetId="13792">
        <row r="4">
          <cell r="M4">
            <v>100</v>
          </cell>
        </row>
      </sheetData>
      <sheetData sheetId="13793">
        <row r="4">
          <cell r="I4">
            <v>0</v>
          </cell>
        </row>
      </sheetData>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refreshError="1"/>
      <sheetData sheetId="13864" refreshError="1"/>
      <sheetData sheetId="13865"/>
      <sheetData sheetId="13866"/>
      <sheetData sheetId="13867"/>
      <sheetData sheetId="13868"/>
      <sheetData sheetId="13869"/>
      <sheetData sheetId="13870"/>
      <sheetData sheetId="13871"/>
      <sheetData sheetId="13872" refreshError="1"/>
      <sheetData sheetId="13873" refreshError="1"/>
      <sheetData sheetId="13874" refreshError="1"/>
      <sheetData sheetId="13875" refreshError="1"/>
      <sheetData sheetId="13876" refreshError="1"/>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refreshError="1"/>
      <sheetData sheetId="13913"/>
      <sheetData sheetId="13914"/>
      <sheetData sheetId="13915"/>
      <sheetData sheetId="13916"/>
      <sheetData sheetId="13917"/>
      <sheetData sheetId="13918"/>
      <sheetData sheetId="13919"/>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sheetData sheetId="13933"/>
      <sheetData sheetId="13934"/>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sheetData sheetId="13974"/>
      <sheetData sheetId="13975" refreshError="1"/>
      <sheetData sheetId="13976" refreshError="1"/>
      <sheetData sheetId="13977" refreshError="1"/>
      <sheetData sheetId="139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 Mobilization"/>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laroux"/>
      <sheetName val="도급공사비"/>
      <sheetName val="백분율"/>
      <sheetName val="산출근거#2-4(MONORAIL)"/>
      <sheetName val="B"/>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V2701F"/>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PIPING"/>
      <sheetName val="TTL"/>
      <sheetName val="Rate Analysis"/>
    </sheetNames>
    <sheetDataSet>
      <sheetData sheetId="0">
        <row r="4">
          <cell r="D4" t="str">
            <v>대</v>
          </cell>
        </row>
        <row r="5">
          <cell r="D5" t="str">
            <v>대</v>
          </cell>
        </row>
        <row r="7">
          <cell r="D7" t="str">
            <v>대</v>
          </cell>
        </row>
        <row r="8">
          <cell r="D8" t="str">
            <v>대</v>
          </cell>
        </row>
      </sheetData>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집계표"/>
      <sheetName val="내역서"/>
      <sheetName val="총괄표"/>
      <sheetName val="CB"/>
      <sheetName val="경비"/>
      <sheetName val="Sheet3"/>
      <sheetName val="변경"/>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BID"/>
      <sheetName val=" 배관자재비-SKEC구매분"/>
      <sheetName val="108"/>
      <sheetName val="제경비"/>
      <sheetName val="EQT-ESTN"/>
      <sheetName val="abc"/>
      <sheetName val="fitting"/>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Sheet1"/>
      <sheetName val="명세서"/>
      <sheetName val="정부노임단가"/>
      <sheetName val="HVAC"/>
      <sheetName val="할증 "/>
      <sheetName val="DATA"/>
      <sheetName val="품셈"/>
      <sheetName val="Proposal"/>
      <sheetName val="WORK-VOL"/>
      <sheetName val="12CGOU"/>
      <sheetName val="입찰안"/>
      <sheetName val="직원동원SCH"/>
      <sheetName val="DB@Acess"/>
      <sheetName val="Civil"/>
      <sheetName val="연돌일위집계"/>
      <sheetName val="작성방법"/>
      <sheetName val="자격 땡겨오기"/>
      <sheetName val="bm_(2)"/>
      <sheetName val="Junction_Box"/>
      <sheetName val="JB_Final_checked"/>
      <sheetName val="F&amp;G_System"/>
      <sheetName val="F&amp;G_System_(Detail)"/>
      <sheetName val="_배관자재비-SKEC구매분"/>
      <sheetName val="General Data"/>
      <sheetName val="FAB_I"/>
      <sheetName val="조도계산서 (도서)"/>
      <sheetName val="현장지지물물량"/>
      <sheetName val="ITEM"/>
      <sheetName val="wall"/>
      <sheetName val="주요기준"/>
      <sheetName val="COVER"/>
      <sheetName val="결재판(삭제하지말아주세요)"/>
      <sheetName val="4300 UTILITY BLDG (2)"/>
      <sheetName val="EQUIP"/>
      <sheetName val="Erection"/>
      <sheetName val="공사비 내역 (가)"/>
      <sheetName val="PUMP"/>
      <sheetName val="Main"/>
      <sheetName val="적용환율"/>
      <sheetName val="기성내역"/>
      <sheetName val="공정율 기초 Data"/>
      <sheetName val="가격분석@1100(990104)"/>
      <sheetName val="Escalation"/>
      <sheetName val="예가표"/>
      <sheetName val="PIPING"/>
      <sheetName val="분뇨"/>
      <sheetName val="001"/>
      <sheetName val="BQ"/>
      <sheetName val="산근"/>
      <sheetName val="공문"/>
      <sheetName val="B"/>
      <sheetName val="Sheet6"/>
      <sheetName val="PBS"/>
      <sheetName val="D-3109"/>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일위대가목차"/>
      <sheetName val="#REF"/>
      <sheetName val="도급양식"/>
      <sheetName val="INVOICE_CERT EIV'S"/>
      <sheetName val="Factor"/>
      <sheetName val="SPT vs PHI"/>
      <sheetName val="광통신 견적내역서1"/>
      <sheetName val="DRUM"/>
      <sheetName val="Requirement(Work Crew)"/>
      <sheetName val="MODELING"/>
      <sheetName val="INPUT"/>
      <sheetName val="포장공"/>
      <sheetName val="LinerWt"/>
      <sheetName val="Sch.1"/>
      <sheetName val="운반"/>
      <sheetName val="단중"/>
      <sheetName val="품셈표"/>
      <sheetName val="Onerous Terms"/>
      <sheetName val="공통비"/>
      <sheetName val="SM1-09"/>
      <sheetName val="SM2-09"/>
      <sheetName val="BD-09"/>
      <sheetName val="MT-09"/>
      <sheetName val="1_RA_Master_절감후"/>
      <sheetName val="공사내역"/>
      <sheetName val="extensions lookup"/>
      <sheetName val="3. Piping"/>
      <sheetName val="1. Stationary"/>
      <sheetName val="COST SUMMARY"/>
      <sheetName val="Total"/>
      <sheetName val="산#2-1 (2)"/>
      <sheetName val="API Units"/>
      <sheetName val="15100"/>
      <sheetName val="#2_일위대가목록"/>
      <sheetName val="공통부대비"/>
      <sheetName val="BQMPALOC"/>
      <sheetName val="Coversheet "/>
      <sheetName val="6BPRO"/>
      <sheetName val="COS_REP.XLS"/>
      <sheetName val="POWER"/>
      <sheetName val="내역"/>
      <sheetName val="01"/>
      <sheetName val="계측 내역서"/>
      <sheetName val="결과조달"/>
      <sheetName val="견적정보"/>
      <sheetName val="FLANGE"/>
      <sheetName val="VALVE"/>
      <sheetName val="hitlin"/>
      <sheetName val="PER"/>
      <sheetName val="PIR(석유화학)"/>
      <sheetName val="silica"/>
      <sheetName val="rw"/>
      <sheetName val="gw"/>
      <sheetName val="우레탄"/>
      <sheetName val="fg"/>
      <sheetName val="iig silica(캐나다)"/>
      <sheetName val="간접비내역-1"/>
      <sheetName val="국내"/>
      <sheetName val="SOHAR(2nd)"/>
      <sheetName val="견적대비표"/>
      <sheetName val="변수 정의"/>
      <sheetName val="BSD (2)"/>
      <sheetName val="건축내역"/>
      <sheetName val="작성기준"/>
      <sheetName val="LEGEND"/>
      <sheetName val="AILC004"/>
      <sheetName val="jobhist"/>
      <sheetName val="SG"/>
      <sheetName val="RING WALL"/>
      <sheetName val="TYPE-B 평균H"/>
      <sheetName val="PRO_DCI"/>
      <sheetName val="INST_DCI"/>
      <sheetName val="HVAC_DCI"/>
      <sheetName val="PIPE_DCI"/>
      <sheetName val="AC포장수량"/>
      <sheetName val="일위대가"/>
      <sheetName val="DB_ET200(R. A)"/>
      <sheetName val="PIPE"/>
      <sheetName val="Final Summary"/>
      <sheetName val="inter"/>
      <sheetName val="조명율표"/>
      <sheetName val="갑지"/>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할증_"/>
      <sheetName val="공사비_내역_(가)"/>
      <sheetName val="General_Data"/>
      <sheetName val="XZLC003_PART1"/>
      <sheetName val="XZLC004_PART2"/>
      <sheetName val="현장관리비"/>
      <sheetName val="Inst_"/>
      <sheetName val="Piping_Design_Data"/>
      <sheetName val="실행내역"/>
      <sheetName val="CAL"/>
      <sheetName val="Piping Design Data"/>
      <sheetName val="견적을지"/>
      <sheetName val="FAB별"/>
      <sheetName val="설산1.나"/>
      <sheetName val="본사S"/>
      <sheetName val="WORK"/>
      <sheetName val="Sheet4"/>
      <sheetName val="CPM챠트"/>
      <sheetName val="Eq. Mobilization"/>
      <sheetName val="대비표"/>
      <sheetName val="잡비"/>
      <sheetName val="Units Def'n"/>
      <sheetName val="SHL"/>
      <sheetName val="영업2"/>
      <sheetName val="Precios"/>
      <sheetName val="WEIGHT LIST"/>
      <sheetName val="POL6차-PIPING"/>
      <sheetName val="산#3-1"/>
      <sheetName val="간접인원 급료산출"/>
      <sheetName val="95삼성급(본사)"/>
      <sheetName val="입찰내역 발주처 양식"/>
      <sheetName val="견적의뢰"/>
      <sheetName val="15 문제점"/>
      <sheetName val="costing_CV"/>
      <sheetName val="Spec1"/>
      <sheetName val="설계명세서"/>
      <sheetName val="Rate Analysis"/>
      <sheetName val="INSTR"/>
      <sheetName val="---FAB#1업무일지---"/>
      <sheetName val="BEND LOSS"/>
      <sheetName val="방배동내역(리라)"/>
      <sheetName val="현장경비"/>
      <sheetName val="건축공사집계표"/>
      <sheetName val="방배동내역 (총괄)"/>
      <sheetName val="부대공사총괄"/>
      <sheetName val="Steam-Sys"/>
      <sheetName val="PRICES"/>
      <sheetName val="노임9월"/>
      <sheetName val=" 갑지"/>
      <sheetName val="Cash2"/>
      <sheetName val="Z"/>
      <sheetName val="A"/>
      <sheetName val="CONTROL LIST"/>
      <sheetName val="costing_ESDV"/>
      <sheetName val="costing_Misc"/>
      <sheetName val="costing_MOV"/>
      <sheetName val="가로등내역서"/>
      <sheetName val="항목별진도율"/>
      <sheetName val="C3"/>
      <sheetName val="mech"/>
      <sheetName val="w't table"/>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계정과목 (2)"/>
      <sheetName val="계정과목"/>
      <sheetName val="EQ_E1"/>
      <sheetName val="환율"/>
      <sheetName val="산출근거#2-3"/>
      <sheetName val="#3E1_GCR"/>
      <sheetName val="cp-e1"/>
      <sheetName val="일보"/>
      <sheetName val="rate"/>
      <sheetName val="slipsumpR"/>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VUOTO"/>
      <sheetName val="Labor"/>
      <sheetName val="kode rekening"/>
      <sheetName val="name"/>
      <sheetName val="NAMES"/>
      <sheetName val="SUM_Steel-Strc"/>
      <sheetName val="COST-SUM"/>
      <sheetName val="산3_4"/>
      <sheetName val="환율change"/>
      <sheetName val="assy"/>
      <sheetName val="일반공사"/>
      <sheetName val="조도계산서_(도서)"/>
      <sheetName val="표지"/>
      <sheetName val="DTmpData"/>
      <sheetName val="건장설비"/>
      <sheetName val="ORIGINAL"/>
      <sheetName val="직재"/>
      <sheetName val="IBASE"/>
      <sheetName val="laroux"/>
      <sheetName val="자재집계"/>
      <sheetName val="N賃率-職"/>
      <sheetName val="집계표(OPTION)"/>
      <sheetName val="선택항목"/>
      <sheetName val="Sheet"/>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환산표"/>
      <sheetName val="LAB"/>
      <sheetName val="Setup"/>
      <sheetName val="판가반영"/>
      <sheetName val="Proj Cost Sumry"/>
      <sheetName val="Form 0"/>
      <sheetName val="Detail Breakdown Work"/>
      <sheetName val="품의서"/>
      <sheetName val="항목"/>
      <sheetName val="FR"/>
      <sheetName val="??"/>
      <sheetName val="기준정보"/>
      <sheetName val="L형옹벽(key)"/>
      <sheetName val="밸브설치"/>
      <sheetName val="계열사현황종합"/>
      <sheetName val="TAREC"/>
      <sheetName val="MEXICO-C"/>
      <sheetName val="HP"/>
      <sheetName val="배수공"/>
      <sheetName val="Units_Def'n"/>
      <sheetName val="TYPE-B_평균H"/>
      <sheetName val="Eq__Mobilization"/>
      <sheetName val="RING_WALL"/>
      <sheetName val="bm_(2)2"/>
      <sheetName val="Junction_Box2"/>
      <sheetName val="JB_Final_checked2"/>
      <sheetName val="F&amp;G_System2"/>
      <sheetName val="F&amp;G_System_(Detail)2"/>
      <sheetName val="_배관자재비-SKEC구매분2"/>
      <sheetName val="자격_땡겨오기1"/>
      <sheetName val="Int__Pr_-Shell1"/>
      <sheetName val="Ext__Pr_-Shell1"/>
      <sheetName val="Int__Pr_-D'End1"/>
      <sheetName val="Ext__Pr_-D'End1"/>
      <sheetName val="Reinforcement_Pad1"/>
      <sheetName val="4300_UTILITY_BLDG_(2)1"/>
      <sheetName val="할증_1"/>
      <sheetName val="공사비_내역_(가)1"/>
      <sheetName val="General_Data1"/>
      <sheetName val="공정율_기초_Data1"/>
      <sheetName val="조도계산서_(도서)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광통신_견적내역서11"/>
      <sheetName val="Requirement(Work_Crew)1"/>
      <sheetName val="SPT_vs_PHI1"/>
      <sheetName val="INVOICE_CERT_EIV'S1"/>
      <sheetName val="Onerous_Terms1"/>
      <sheetName val="extensions_lookup1"/>
      <sheetName val="3__Piping1"/>
      <sheetName val="1__Stationary1"/>
      <sheetName val="COST_SUMMARY1"/>
      <sheetName val="산#2-1_(2)1"/>
      <sheetName val="API_Units1"/>
      <sheetName val="Sch_11"/>
      <sheetName val="Coversheet_1"/>
      <sheetName val="COS_REP_XLS1"/>
      <sheetName val="계측_내역서1"/>
      <sheetName val="iig_silica(캐나다)1"/>
      <sheetName val="변수_정의1"/>
      <sheetName val="BSD_(2)1"/>
      <sheetName val="TYPE-B_평균H1"/>
      <sheetName val="Eq__Mobilization1"/>
      <sheetName val="RING_WALL1"/>
      <sheetName val="설산1_나"/>
      <sheetName val="Units_Def'n1"/>
      <sheetName val="WEIGHT_LIST"/>
      <sheetName val="DB_ET200(R__A)"/>
      <sheetName val="Final_Summary"/>
      <sheetName val="간접인원_급료산출"/>
      <sheetName val="입찰내역_발주처_양식"/>
      <sheetName val="15_문제점"/>
      <sheetName val="Rate_Analysis1"/>
      <sheetName val="BEND_LOSS"/>
      <sheetName val="방배동내역_(총괄)"/>
      <sheetName val="_갑지1"/>
      <sheetName val="Piping_Design_Data1"/>
      <sheetName val="CONTROL_LIST"/>
      <sheetName val="w't_table"/>
      <sheetName val="임율_Data"/>
      <sheetName val="HANJUNG_EQUIPMENT"/>
      <sheetName val="SPARE_PART"/>
      <sheetName val="97_사업추정(WEKI)"/>
      <sheetName val="2__집계표"/>
      <sheetName val="CF_Rev_0"/>
      <sheetName val="사업추진_조직도"/>
      <sheetName val="계정과목_(2)"/>
      <sheetName val="선적schedule_(2)"/>
      <sheetName val="kode_rekening"/>
      <sheetName val="Proj_Cost_Sumry"/>
      <sheetName val="Form_0"/>
      <sheetName val="Detail_Breakdown_Work"/>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DB_ET200(R__A)1"/>
      <sheetName val="Final_Summary1"/>
      <sheetName val="간접인원_급료산출1"/>
      <sheetName val="입찰내역_발주처_양식1"/>
      <sheetName val="15_문제점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Sheet5"/>
      <sheetName val="PipWT"/>
      <sheetName val="일위대가표"/>
      <sheetName val="Backup"/>
      <sheetName val="ITB COST"/>
      <sheetName val="Summary Sheets"/>
      <sheetName val="Calculation"/>
      <sheetName val="OD5000"/>
      <sheetName val="SUPTMTO"/>
      <sheetName val="손익분석"/>
      <sheetName val="투찰(하수)"/>
      <sheetName val="장비당단가 (1)"/>
      <sheetName val="현장투입(원장)"/>
      <sheetName val="품산출서"/>
      <sheetName val="Weather"/>
      <sheetName val="실행내역서 "/>
      <sheetName val="__"/>
      <sheetName val="원료구매"/>
      <sheetName val="DATA LISTS"/>
      <sheetName val="P3"/>
      <sheetName val="WIP"/>
      <sheetName val="ITB_COST"/>
      <sheetName val="Summary_Sheets"/>
      <sheetName val="FIRE"/>
      <sheetName val="견적집계표"/>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石炭性状"/>
      <sheetName val="교각계산"/>
      <sheetName val="sum1 (2)"/>
      <sheetName val="Confidencial "/>
      <sheetName val="COEFF"/>
      <sheetName val="Calculos Emerson"/>
      <sheetName val="1515"/>
      <sheetName val="INVOICE"/>
      <sheetName val="Others"/>
      <sheetName val="Process Piping"/>
      <sheetName val="PRICE-COMP"/>
      <sheetName val="Cover sheet"/>
      <sheetName val="6PILE  (돌출)"/>
      <sheetName val="금융비용"/>
      <sheetName val="평균환율-USD"/>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Cashflow Analysis"/>
      <sheetName val="E1"/>
      <sheetName val="ALL UNITS"/>
      <sheetName val="EQUIPMENT ERECTION BREAKDOWN"/>
      <sheetName val="Breakdown-1"/>
      <sheetName val="Add"/>
      <sheetName val="Table"/>
      <sheetName val="RPP 12 SEPT"/>
      <sheetName val="L.INDIRECT (rev.1)"/>
      <sheetName val="7.3 Table"/>
      <sheetName val="7.2 Material"/>
      <sheetName val="기술부 VENDOR LIST"/>
      <sheetName val="Testing"/>
      <sheetName val="산출"/>
      <sheetName val="낙찰표"/>
      <sheetName val="I一般比"/>
      <sheetName val="Foglio dati"/>
      <sheetName val="Settings"/>
      <sheetName val="ITB_COST1"/>
      <sheetName val="Summary_Sheets1"/>
      <sheetName val="실행내역서_"/>
      <sheetName val="7_3_Table"/>
      <sheetName val="7_2_Material"/>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RPP_12_SEPT"/>
      <sheetName val="L_INDIRECT_(rev_1)"/>
      <sheetName val="Confidencial_"/>
      <sheetName val="Calculos_Emerson"/>
      <sheetName val="Process_Piping"/>
      <sheetName val="7.5 A.C.H"/>
      <sheetName val="SUMMARY (0)"/>
      <sheetName val="8"/>
      <sheetName val="10"/>
      <sheetName val="12"/>
      <sheetName val="9"/>
      <sheetName val="11"/>
      <sheetName val="KNA1"/>
      <sheetName val="steam table"/>
      <sheetName val="단가조사"/>
      <sheetName val="수정단중"/>
      <sheetName val="노임이"/>
      <sheetName val="BOJUNGGM"/>
      <sheetName val="코드관리"/>
      <sheetName val="CABLE BULK"/>
      <sheetName val="2호맨홀공제수량"/>
      <sheetName val="공사비_NDE"/>
      <sheetName val="CTEMCOST"/>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토목주소"/>
      <sheetName val="프랜트면허"/>
      <sheetName val="ELECTRIC"/>
      <sheetName val="SCHEDULE"/>
      <sheetName val="상품원가피벗"/>
      <sheetName val="안정계산"/>
      <sheetName val="단면검토"/>
      <sheetName val="DATA for Bill"/>
      <sheetName val="BQLIST"/>
      <sheetName val="시행예산"/>
      <sheetName val="Accounting book"/>
      <sheetName val="Code"/>
      <sheetName val="가동비율"/>
      <sheetName val="Sheet13"/>
      <sheetName val=" ｹ-ﾌﾞﾙ"/>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refreshError="1"/>
      <sheetData sheetId="913" refreshError="1"/>
      <sheetData sheetId="9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찍기"/>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X"/>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실행"/>
      <sheetName val="조명시설"/>
      <sheetName val="Nhan cong"/>
      <sheetName val="Thiet bi"/>
      <sheetName val="DM.ChiPhi"/>
      <sheetName val="May TC"/>
      <sheetName val="Phan tich"/>
      <sheetName val="Bang KL"/>
      <sheetName val="TH Kinh phi"/>
      <sheetName val="DG-TNHC-85"/>
      <sheetName val="KH tai chinh khoa san"/>
      <sheetName val="MTP"/>
      <sheetName val="MTP1"/>
      <sheetName val="SL"/>
      <sheetName val="P"/>
      <sheetName val="D+W"/>
      <sheetName val="STRUCTURE.Q'TY"/>
      <sheetName val="REMAIN Q'TY - SUB"/>
      <sheetName val="Data"/>
      <sheetName val="T K"/>
      <sheetName val="FitOutConfCentre"/>
      <sheetName val="노임단가"/>
      <sheetName val="Office Tower"/>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B3A - TOWER A"/>
      <sheetName val="B-B"/>
      <sheetName val="#REF"/>
      <sheetName val="SEX"/>
      <sheetName val="Ratios"/>
      <sheetName val="NVL"/>
      <sheetName val="마감사양"/>
      <sheetName val="125x125"/>
      <sheetName val="F4-F7"/>
      <sheetName val="tifico"/>
      <sheetName val="UNIT PRICE"/>
      <sheetName val="6MONTHS"/>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Gld"/>
      <sheetName val="Gxd"/>
      <sheetName val="Giá Bê tông 2 bên"/>
      <sheetName val="6PILE  (돌출)"/>
      <sheetName val="Breech_Duct"/>
      <sheetName val="石炭性状"/>
      <sheetName val="재료비"/>
      <sheetName val="Summary"/>
      <sheetName val="Labor Sum"/>
      <sheetName val="Closing"/>
      <sheetName val="Cover"/>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Spread"/>
      <sheetName val="Lists"/>
      <sheetName val="HX"/>
      <sheetName val="List Equip"/>
      <sheetName val="LabCost"/>
      <sheetName val="MatCost"/>
      <sheetName val="Concrete"/>
      <sheetName val="Process C (1-166)"/>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inter"/>
      <sheetName val="ESTADIST(PTS.)"/>
      <sheetName val="Process Piping"/>
      <sheetName val="PriceSummary"/>
    </sheetNames>
    <sheetDataSet>
      <sheetData sheetId="0" refreshError="1"/>
      <sheetData sheetId="1" refreshError="1"/>
      <sheetData sheetId="2" refreshError="1"/>
      <sheetData sheetId="3" refreshError="1">
        <row r="64">
          <cell r="B64">
            <v>5.77</v>
          </cell>
        </row>
        <row r="65">
          <cell r="B65">
            <v>3.5052000000000003</v>
          </cell>
        </row>
        <row r="66">
          <cell r="B66">
            <v>1.5</v>
          </cell>
        </row>
        <row r="67">
          <cell r="E67">
            <v>14.440002</v>
          </cell>
        </row>
        <row r="70">
          <cell r="B70">
            <v>7.6383851068141357</v>
          </cell>
        </row>
        <row r="71">
          <cell r="B71">
            <v>4.1331851068141354</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B83">
            <v>49.059919811116004</v>
          </cell>
          <cell r="E83">
            <v>5.2601703866329013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claim"/>
      <sheetName val="Categories"/>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Dbase"/>
      <sheetName val="Page 2"/>
      <sheetName val="Transport"/>
      <sheetName val="Mtls"/>
      <sheetName val="Cost Source"/>
      <sheetName val="Curves"/>
      <sheetName val="Tables"/>
      <sheetName val="Heads"/>
      <sheetName val="Macros"/>
      <sheetName val="Macro 04"/>
      <sheetName val="Macro 07"/>
      <sheetName val="Macro 09"/>
      <sheetName val="Macro 11"/>
      <sheetName val="cover"/>
      <sheetName val="XZLC004_PART2"/>
      <sheetName val="CAT_5"/>
      <sheetName val="EQUIPMENT"/>
      <sheetName val="기본DATA"/>
      <sheetName val="Y-WORK"/>
      <sheetName val="AIR SHOWER(3인용)"/>
      <sheetName val="COA-17"/>
      <sheetName val="C-18"/>
      <sheetName val="Pbutil1"/>
      <sheetName val="Factor"/>
      <sheetName val="환율change"/>
      <sheetName val="당초"/>
      <sheetName val="01.가설-파일"/>
      <sheetName val="#REF"/>
      <sheetName val="7.6.3(B) UG Piping"/>
      <sheetName val="Sheet1"/>
      <sheetName val="XZLC003_PART1"/>
    </sheetNames>
    <sheetDataSet>
      <sheetData sheetId="0" refreshError="1"/>
      <sheetData sheetId="1" refreshError="1"/>
      <sheetData sheetId="2" refreshError="1"/>
      <sheetData sheetId="3" refreshError="1"/>
      <sheetData sheetId="4" refreshError="1"/>
      <sheetData sheetId="5" refreshError="1"/>
      <sheetData sheetId="6" refreshError="1">
        <row r="112">
          <cell r="E112" t="str">
            <v>M0101</v>
          </cell>
          <cell r="F112" t="str">
            <v>003/1828 HDS GREECE+1846 HDSU GREECE (HE CS/CS) 12-1994</v>
          </cell>
          <cell r="I112">
            <v>16.084947004724398</v>
          </cell>
          <cell r="J112">
            <v>-1.24656465790945</v>
          </cell>
          <cell r="K112">
            <v>4.9497055525748401E-2</v>
          </cell>
          <cell r="L112">
            <v>16.385051597174737</v>
          </cell>
        </row>
        <row r="113">
          <cell r="E113" t="str">
            <v>M3001</v>
          </cell>
          <cell r="F113" t="str">
            <v>004/1864 AMOCO GEEEL No. 3 PTA BELGIUM (30/30) 05-1996</v>
          </cell>
          <cell r="I113">
            <v>17.919841905717298</v>
          </cell>
          <cell r="J113">
            <v>-1.4749999467863599</v>
          </cell>
          <cell r="K113">
            <v>6.5954240247760296E-2</v>
          </cell>
          <cell r="L113">
            <v>17.868548611329746</v>
          </cell>
        </row>
        <row r="114">
          <cell r="E114" t="str">
            <v>M</v>
          </cell>
          <cell r="L114">
            <v>0</v>
          </cell>
        </row>
        <row r="115">
          <cell r="E115" t="str">
            <v>M</v>
          </cell>
          <cell r="L115">
            <v>0</v>
          </cell>
        </row>
        <row r="116">
          <cell r="E116" t="str">
            <v>M</v>
          </cell>
          <cell r="L116">
            <v>0</v>
          </cell>
        </row>
        <row r="117">
          <cell r="E117" t="str">
            <v>M</v>
          </cell>
          <cell r="L117">
            <v>0</v>
          </cell>
        </row>
        <row r="118">
          <cell r="E118" t="str">
            <v>M</v>
          </cell>
          <cell r="L118">
            <v>0</v>
          </cell>
        </row>
        <row r="119">
          <cell r="E119" t="str">
            <v>M</v>
          </cell>
          <cell r="L119">
            <v>0</v>
          </cell>
        </row>
        <row r="120">
          <cell r="E120" t="str">
            <v>M</v>
          </cell>
          <cell r="L120">
            <v>0</v>
          </cell>
        </row>
        <row r="121">
          <cell r="E121" t="str">
            <v>M</v>
          </cell>
          <cell r="L121">
            <v>0</v>
          </cell>
        </row>
        <row r="122">
          <cell r="E122" t="str">
            <v>M</v>
          </cell>
          <cell r="L122">
            <v>0</v>
          </cell>
        </row>
        <row r="123">
          <cell r="E123" t="str">
            <v>M</v>
          </cell>
          <cell r="L123">
            <v>0</v>
          </cell>
        </row>
      </sheetData>
      <sheetData sheetId="7" refreshError="1">
        <row r="2">
          <cell r="C2">
            <v>-999</v>
          </cell>
          <cell r="D2">
            <v>38</v>
          </cell>
          <cell r="E2">
            <v>93</v>
          </cell>
          <cell r="F2">
            <v>149</v>
          </cell>
          <cell r="G2">
            <v>204</v>
          </cell>
          <cell r="H2">
            <v>260</v>
          </cell>
          <cell r="I2">
            <v>316</v>
          </cell>
          <cell r="J2">
            <v>343</v>
          </cell>
          <cell r="K2">
            <v>371</v>
          </cell>
          <cell r="L2">
            <v>399</v>
          </cell>
          <cell r="M2">
            <v>427</v>
          </cell>
          <cell r="N2">
            <v>454</v>
          </cell>
          <cell r="O2">
            <v>482</v>
          </cell>
          <cell r="P2">
            <v>510</v>
          </cell>
          <cell r="Q2">
            <v>538</v>
          </cell>
          <cell r="R2">
            <v>566</v>
          </cell>
          <cell r="S2">
            <v>593</v>
          </cell>
          <cell r="T2">
            <v>621</v>
          </cell>
          <cell r="U2">
            <v>649</v>
          </cell>
          <cell r="V2">
            <v>677</v>
          </cell>
          <cell r="W2">
            <v>704</v>
          </cell>
          <cell r="X2">
            <v>732</v>
          </cell>
          <cell r="Y2">
            <v>760</v>
          </cell>
          <cell r="Z2">
            <v>788</v>
          </cell>
          <cell r="AA2">
            <v>816</v>
          </cell>
        </row>
        <row r="3">
          <cell r="C3">
            <v>12.3</v>
          </cell>
          <cell r="D3">
            <v>12.3</v>
          </cell>
          <cell r="E3">
            <v>12.3</v>
          </cell>
          <cell r="F3">
            <v>12.3</v>
          </cell>
          <cell r="G3">
            <v>12.3</v>
          </cell>
          <cell r="H3">
            <v>12.3</v>
          </cell>
          <cell r="I3">
            <v>12.3</v>
          </cell>
          <cell r="J3">
            <v>12.3</v>
          </cell>
          <cell r="K3">
            <v>11.7</v>
          </cell>
          <cell r="L3">
            <v>10.4</v>
          </cell>
          <cell r="M3">
            <v>8.4</v>
          </cell>
          <cell r="N3">
            <v>6.5</v>
          </cell>
          <cell r="O3">
            <v>4.5999999999999996</v>
          </cell>
          <cell r="P3">
            <v>3.2</v>
          </cell>
          <cell r="Q3">
            <v>1.8</v>
          </cell>
          <cell r="R3">
            <v>0</v>
          </cell>
          <cell r="S3">
            <v>0</v>
          </cell>
          <cell r="T3">
            <v>0</v>
          </cell>
          <cell r="U3">
            <v>0</v>
          </cell>
          <cell r="V3">
            <v>0</v>
          </cell>
          <cell r="W3">
            <v>0</v>
          </cell>
          <cell r="X3">
            <v>0</v>
          </cell>
          <cell r="Y3">
            <v>0</v>
          </cell>
          <cell r="Z3">
            <v>0</v>
          </cell>
          <cell r="AA3">
            <v>0</v>
          </cell>
        </row>
        <row r="4">
          <cell r="C4">
            <v>12.3</v>
          </cell>
          <cell r="D4">
            <v>12.3</v>
          </cell>
          <cell r="E4">
            <v>12.3</v>
          </cell>
          <cell r="F4">
            <v>12.3</v>
          </cell>
          <cell r="G4">
            <v>12.3</v>
          </cell>
          <cell r="H4">
            <v>12.3</v>
          </cell>
          <cell r="I4">
            <v>12.3</v>
          </cell>
          <cell r="J4">
            <v>12.3</v>
          </cell>
          <cell r="K4">
            <v>11.7</v>
          </cell>
          <cell r="L4">
            <v>10.4</v>
          </cell>
          <cell r="M4">
            <v>8.4</v>
          </cell>
          <cell r="N4">
            <v>6.5</v>
          </cell>
          <cell r="O4">
            <v>4.5999999999999996</v>
          </cell>
          <cell r="P4">
            <v>3.2</v>
          </cell>
          <cell r="Q4">
            <v>1.8</v>
          </cell>
          <cell r="R4">
            <v>0</v>
          </cell>
          <cell r="S4">
            <v>0</v>
          </cell>
          <cell r="T4">
            <v>0</v>
          </cell>
          <cell r="U4">
            <v>0</v>
          </cell>
          <cell r="V4">
            <v>0</v>
          </cell>
          <cell r="W4">
            <v>0</v>
          </cell>
          <cell r="X4">
            <v>0</v>
          </cell>
          <cell r="Y4">
            <v>0</v>
          </cell>
          <cell r="Z4">
            <v>0</v>
          </cell>
          <cell r="AA4">
            <v>0</v>
          </cell>
        </row>
        <row r="5">
          <cell r="C5">
            <v>12.3</v>
          </cell>
          <cell r="D5">
            <v>12.3</v>
          </cell>
          <cell r="E5">
            <v>12.3</v>
          </cell>
          <cell r="F5">
            <v>12.3</v>
          </cell>
          <cell r="G5">
            <v>12.3</v>
          </cell>
          <cell r="H5">
            <v>12.3</v>
          </cell>
          <cell r="I5">
            <v>12.3</v>
          </cell>
          <cell r="J5">
            <v>12.3</v>
          </cell>
          <cell r="K5">
            <v>11.7</v>
          </cell>
          <cell r="L5">
            <v>10.4</v>
          </cell>
          <cell r="M5">
            <v>8.4</v>
          </cell>
          <cell r="N5">
            <v>6.5</v>
          </cell>
          <cell r="O5">
            <v>4.5999999999999996</v>
          </cell>
          <cell r="P5">
            <v>3.2</v>
          </cell>
          <cell r="Q5">
            <v>1.8</v>
          </cell>
          <cell r="R5">
            <v>0</v>
          </cell>
          <cell r="S5">
            <v>0</v>
          </cell>
          <cell r="T5">
            <v>0</v>
          </cell>
          <cell r="U5">
            <v>0</v>
          </cell>
          <cell r="V5">
            <v>0</v>
          </cell>
          <cell r="W5">
            <v>0</v>
          </cell>
          <cell r="X5">
            <v>0</v>
          </cell>
          <cell r="Y5">
            <v>0</v>
          </cell>
          <cell r="Z5">
            <v>0</v>
          </cell>
          <cell r="AA5">
            <v>0</v>
          </cell>
        </row>
        <row r="6">
          <cell r="C6">
            <v>13.2</v>
          </cell>
          <cell r="D6">
            <v>13.2</v>
          </cell>
          <cell r="E6">
            <v>13.2</v>
          </cell>
          <cell r="F6">
            <v>13.2</v>
          </cell>
          <cell r="G6">
            <v>13.2</v>
          </cell>
          <cell r="H6">
            <v>13.2</v>
          </cell>
          <cell r="I6">
            <v>13.2</v>
          </cell>
          <cell r="J6">
            <v>13.2</v>
          </cell>
          <cell r="K6">
            <v>13.2</v>
          </cell>
          <cell r="L6">
            <v>13.2</v>
          </cell>
          <cell r="M6">
            <v>13.2</v>
          </cell>
          <cell r="N6">
            <v>12.9</v>
          </cell>
          <cell r="O6">
            <v>9.6</v>
          </cell>
          <cell r="P6">
            <v>5.8</v>
          </cell>
          <cell r="Q6">
            <v>3.4</v>
          </cell>
          <cell r="R6">
            <v>0</v>
          </cell>
          <cell r="S6">
            <v>0</v>
          </cell>
          <cell r="T6">
            <v>0</v>
          </cell>
          <cell r="U6">
            <v>0</v>
          </cell>
          <cell r="V6">
            <v>0</v>
          </cell>
          <cell r="W6">
            <v>0</v>
          </cell>
          <cell r="X6">
            <v>0</v>
          </cell>
          <cell r="Y6">
            <v>0</v>
          </cell>
          <cell r="Z6">
            <v>0</v>
          </cell>
          <cell r="AA6">
            <v>0</v>
          </cell>
        </row>
        <row r="7">
          <cell r="C7">
            <v>13.2</v>
          </cell>
          <cell r="D7">
            <v>13.2</v>
          </cell>
          <cell r="E7">
            <v>13.2</v>
          </cell>
          <cell r="F7">
            <v>13.2</v>
          </cell>
          <cell r="G7">
            <v>13.2</v>
          </cell>
          <cell r="H7">
            <v>13.2</v>
          </cell>
          <cell r="I7">
            <v>13.2</v>
          </cell>
          <cell r="J7">
            <v>13.2</v>
          </cell>
          <cell r="K7">
            <v>13.2</v>
          </cell>
          <cell r="L7">
            <v>13.2</v>
          </cell>
          <cell r="M7">
            <v>13.2</v>
          </cell>
          <cell r="N7">
            <v>12.9</v>
          </cell>
          <cell r="O7">
            <v>11.2</v>
          </cell>
          <cell r="P7">
            <v>7.7</v>
          </cell>
          <cell r="Q7">
            <v>4.9000000000000004</v>
          </cell>
          <cell r="R7">
            <v>3.2</v>
          </cell>
          <cell r="S7">
            <v>2</v>
          </cell>
          <cell r="T7">
            <v>1.5</v>
          </cell>
          <cell r="U7">
            <v>0.8</v>
          </cell>
          <cell r="V7">
            <v>0</v>
          </cell>
          <cell r="W7">
            <v>0</v>
          </cell>
          <cell r="X7">
            <v>0</v>
          </cell>
          <cell r="Y7">
            <v>0</v>
          </cell>
          <cell r="Z7">
            <v>0</v>
          </cell>
          <cell r="AA7">
            <v>0</v>
          </cell>
        </row>
        <row r="8">
          <cell r="C8">
            <v>13.2</v>
          </cell>
          <cell r="D8">
            <v>13.2</v>
          </cell>
          <cell r="E8">
            <v>13.2</v>
          </cell>
          <cell r="F8">
            <v>13.2</v>
          </cell>
          <cell r="G8">
            <v>13.2</v>
          </cell>
          <cell r="H8">
            <v>13.2</v>
          </cell>
          <cell r="I8">
            <v>13.2</v>
          </cell>
          <cell r="J8">
            <v>13.2</v>
          </cell>
          <cell r="K8">
            <v>13.2</v>
          </cell>
          <cell r="L8">
            <v>13.2</v>
          </cell>
          <cell r="M8">
            <v>13.2</v>
          </cell>
          <cell r="N8">
            <v>12.9</v>
          </cell>
          <cell r="O8">
            <v>11.2</v>
          </cell>
          <cell r="P8">
            <v>7.7</v>
          </cell>
          <cell r="Q8">
            <v>4.9000000000000004</v>
          </cell>
          <cell r="R8">
            <v>3.2</v>
          </cell>
          <cell r="S8">
            <v>2</v>
          </cell>
          <cell r="T8">
            <v>1.5</v>
          </cell>
          <cell r="U8">
            <v>0.8</v>
          </cell>
          <cell r="V8">
            <v>0</v>
          </cell>
          <cell r="W8">
            <v>0</v>
          </cell>
          <cell r="X8">
            <v>0</v>
          </cell>
          <cell r="Y8">
            <v>0</v>
          </cell>
          <cell r="Z8">
            <v>0</v>
          </cell>
          <cell r="AA8">
            <v>0</v>
          </cell>
        </row>
        <row r="9">
          <cell r="C9">
            <v>13.2</v>
          </cell>
          <cell r="D9">
            <v>13.2</v>
          </cell>
          <cell r="E9">
            <v>12.5</v>
          </cell>
          <cell r="F9">
            <v>11.7</v>
          </cell>
          <cell r="G9">
            <v>11.4</v>
          </cell>
          <cell r="H9">
            <v>11.2</v>
          </cell>
          <cell r="I9">
            <v>11.2</v>
          </cell>
          <cell r="J9">
            <v>11.2</v>
          </cell>
          <cell r="K9">
            <v>11.2</v>
          </cell>
          <cell r="L9">
            <v>10.9</v>
          </cell>
          <cell r="M9">
            <v>10.7</v>
          </cell>
          <cell r="N9">
            <v>10.5</v>
          </cell>
          <cell r="O9">
            <v>10.3</v>
          </cell>
          <cell r="P9">
            <v>10.1</v>
          </cell>
          <cell r="Q9">
            <v>9.6999999999999993</v>
          </cell>
          <cell r="R9">
            <v>8.6</v>
          </cell>
          <cell r="S9">
            <v>6.9</v>
          </cell>
          <cell r="T9">
            <v>5.4</v>
          </cell>
          <cell r="U9">
            <v>4.3</v>
          </cell>
          <cell r="V9">
            <v>3.3</v>
          </cell>
          <cell r="W9">
            <v>2.6</v>
          </cell>
          <cell r="X9">
            <v>2</v>
          </cell>
          <cell r="Y9">
            <v>1.6</v>
          </cell>
          <cell r="Z9">
            <v>1.3</v>
          </cell>
          <cell r="AA9">
            <v>1</v>
          </cell>
        </row>
        <row r="10">
          <cell r="C10">
            <v>11</v>
          </cell>
          <cell r="D10">
            <v>11</v>
          </cell>
          <cell r="E10">
            <v>11</v>
          </cell>
          <cell r="F10">
            <v>10.8</v>
          </cell>
          <cell r="G10">
            <v>10.3</v>
          </cell>
          <cell r="H10">
            <v>10.1</v>
          </cell>
          <cell r="I10">
            <v>9.8000000000000007</v>
          </cell>
          <cell r="J10">
            <v>9.6</v>
          </cell>
          <cell r="K10">
            <v>9.5</v>
          </cell>
          <cell r="L10">
            <v>9.4</v>
          </cell>
          <cell r="M10">
            <v>9.1</v>
          </cell>
          <cell r="N10">
            <v>0</v>
          </cell>
          <cell r="O10">
            <v>0</v>
          </cell>
          <cell r="P10">
            <v>0</v>
          </cell>
          <cell r="Q10">
            <v>0</v>
          </cell>
          <cell r="R10">
            <v>0</v>
          </cell>
          <cell r="S10">
            <v>0</v>
          </cell>
          <cell r="T10">
            <v>0</v>
          </cell>
          <cell r="U10">
            <v>0</v>
          </cell>
          <cell r="V10">
            <v>0</v>
          </cell>
          <cell r="W10">
            <v>0</v>
          </cell>
          <cell r="X10">
            <v>0</v>
          </cell>
          <cell r="Y10">
            <v>0</v>
          </cell>
          <cell r="Z10">
            <v>0</v>
          </cell>
          <cell r="AA10">
            <v>0</v>
          </cell>
        </row>
        <row r="11">
          <cell r="C11">
            <v>13.2</v>
          </cell>
          <cell r="D11">
            <v>13.2</v>
          </cell>
          <cell r="E11">
            <v>13.2</v>
          </cell>
          <cell r="F11">
            <v>12.9</v>
          </cell>
          <cell r="G11">
            <v>12.7</v>
          </cell>
          <cell r="H11">
            <v>12.7</v>
          </cell>
          <cell r="I11">
            <v>12</v>
          </cell>
          <cell r="J11">
            <v>11.7</v>
          </cell>
          <cell r="K11">
            <v>11.5</v>
          </cell>
          <cell r="L11">
            <v>11.3</v>
          </cell>
          <cell r="M11">
            <v>11.2</v>
          </cell>
          <cell r="N11">
            <v>11</v>
          </cell>
          <cell r="O11">
            <v>10.9</v>
          </cell>
          <cell r="P11">
            <v>10.8</v>
          </cell>
          <cell r="Q11">
            <v>10.8</v>
          </cell>
          <cell r="R11">
            <v>10.199999999999999</v>
          </cell>
          <cell r="S11">
            <v>8.6999999999999993</v>
          </cell>
          <cell r="T11">
            <v>6.9</v>
          </cell>
          <cell r="U11">
            <v>5.2</v>
          </cell>
          <cell r="V11">
            <v>3.9</v>
          </cell>
          <cell r="W11">
            <v>2.9</v>
          </cell>
          <cell r="X11">
            <v>2.2000000000000002</v>
          </cell>
          <cell r="Y11">
            <v>1.6</v>
          </cell>
          <cell r="Z11">
            <v>1.2</v>
          </cell>
          <cell r="AA11">
            <v>0.9</v>
          </cell>
        </row>
        <row r="12">
          <cell r="C12">
            <v>11</v>
          </cell>
          <cell r="D12">
            <v>11</v>
          </cell>
          <cell r="E12">
            <v>11</v>
          </cell>
          <cell r="F12">
            <v>11</v>
          </cell>
          <cell r="G12">
            <v>10.9</v>
          </cell>
          <cell r="H12">
            <v>10.1</v>
          </cell>
          <cell r="I12">
            <v>9.5</v>
          </cell>
          <cell r="J12">
            <v>9.3000000000000007</v>
          </cell>
          <cell r="K12">
            <v>9.1</v>
          </cell>
          <cell r="L12">
            <v>8.9</v>
          </cell>
          <cell r="M12">
            <v>8.6999999999999993</v>
          </cell>
          <cell r="N12">
            <v>8.5</v>
          </cell>
          <cell r="O12">
            <v>0</v>
          </cell>
          <cell r="P12">
            <v>0</v>
          </cell>
          <cell r="Q12">
            <v>0</v>
          </cell>
          <cell r="R12">
            <v>0</v>
          </cell>
          <cell r="S12">
            <v>0</v>
          </cell>
          <cell r="T12">
            <v>0</v>
          </cell>
          <cell r="U12">
            <v>0</v>
          </cell>
          <cell r="V12">
            <v>0</v>
          </cell>
          <cell r="W12">
            <v>0</v>
          </cell>
          <cell r="X12">
            <v>0</v>
          </cell>
          <cell r="Y12">
            <v>0</v>
          </cell>
          <cell r="Z12">
            <v>0</v>
          </cell>
          <cell r="AA12">
            <v>0</v>
          </cell>
        </row>
        <row r="13">
          <cell r="C13">
            <v>13.2</v>
          </cell>
          <cell r="D13">
            <v>13.2</v>
          </cell>
          <cell r="E13">
            <v>12.9</v>
          </cell>
          <cell r="F13">
            <v>12.2</v>
          </cell>
          <cell r="G13">
            <v>12</v>
          </cell>
          <cell r="H13">
            <v>12</v>
          </cell>
          <cell r="I13">
            <v>11.5</v>
          </cell>
          <cell r="J13">
            <v>11.3</v>
          </cell>
          <cell r="K13">
            <v>11.1</v>
          </cell>
          <cell r="L13">
            <v>11</v>
          </cell>
          <cell r="M13">
            <v>10.9</v>
          </cell>
          <cell r="N13">
            <v>10.8</v>
          </cell>
          <cell r="O13">
            <v>10.8</v>
          </cell>
          <cell r="P13">
            <v>10.7</v>
          </cell>
          <cell r="Q13">
            <v>9.6999999999999993</v>
          </cell>
          <cell r="R13">
            <v>6.7</v>
          </cell>
          <cell r="S13">
            <v>4.9000000000000004</v>
          </cell>
          <cell r="T13">
            <v>3.5</v>
          </cell>
          <cell r="U13">
            <v>2.5</v>
          </cell>
          <cell r="V13">
            <v>1.8</v>
          </cell>
          <cell r="W13">
            <v>1.2</v>
          </cell>
          <cell r="X13">
            <v>0.8</v>
          </cell>
          <cell r="Y13">
            <v>0.6</v>
          </cell>
          <cell r="Z13">
            <v>0.4</v>
          </cell>
          <cell r="AA13">
            <v>0.2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row>
        <row r="24">
          <cell r="B24" t="str">
            <v>AEM</v>
          </cell>
          <cell r="C24" t="str">
            <v>AES</v>
          </cell>
          <cell r="D24" t="str">
            <v>AET</v>
          </cell>
          <cell r="E24" t="str">
            <v>AEU</v>
          </cell>
          <cell r="F24" t="str">
            <v>AKM</v>
          </cell>
          <cell r="G24" t="str">
            <v>AKS</v>
          </cell>
          <cell r="H24" t="str">
            <v>AKT</v>
          </cell>
          <cell r="I24" t="str">
            <v>AKU</v>
          </cell>
          <cell r="J24" t="str">
            <v>BEM</v>
          </cell>
          <cell r="K24" t="str">
            <v>BES</v>
          </cell>
          <cell r="L24" t="str">
            <v>BET</v>
          </cell>
          <cell r="M24" t="str">
            <v>BEU</v>
          </cell>
          <cell r="N24" t="str">
            <v>BKM</v>
          </cell>
          <cell r="O24" t="str">
            <v>BKS</v>
          </cell>
          <cell r="P24" t="str">
            <v>BKT</v>
          </cell>
          <cell r="Q24" t="str">
            <v>BKU</v>
          </cell>
        </row>
        <row r="25">
          <cell r="B25">
            <v>0.92</v>
          </cell>
          <cell r="C25">
            <v>1</v>
          </cell>
          <cell r="D25">
            <v>1</v>
          </cell>
          <cell r="E25">
            <v>0.9</v>
          </cell>
          <cell r="F25">
            <v>1.1499999999999999</v>
          </cell>
          <cell r="G25">
            <v>1.25</v>
          </cell>
          <cell r="H25">
            <v>1.25</v>
          </cell>
          <cell r="I25">
            <v>0.95</v>
          </cell>
          <cell r="J25">
            <v>0.9</v>
          </cell>
          <cell r="K25">
            <v>0.95</v>
          </cell>
          <cell r="L25">
            <v>0.95</v>
          </cell>
          <cell r="M25">
            <v>0.85</v>
          </cell>
          <cell r="N25">
            <v>1.1000000000000001</v>
          </cell>
          <cell r="O25">
            <v>1.2</v>
          </cell>
          <cell r="P25">
            <v>1.2</v>
          </cell>
          <cell r="Q25">
            <v>0.9</v>
          </cell>
        </row>
        <row r="28">
          <cell r="B28" t="str">
            <v>A</v>
          </cell>
          <cell r="C28" t="str">
            <v>B</v>
          </cell>
          <cell r="D28" t="str">
            <v>C</v>
          </cell>
          <cell r="E28" t="str">
            <v>D</v>
          </cell>
          <cell r="F28" t="str">
            <v>E</v>
          </cell>
          <cell r="G28" t="str">
            <v>F</v>
          </cell>
          <cell r="H28" t="str">
            <v>G</v>
          </cell>
          <cell r="I28" t="str">
            <v>H</v>
          </cell>
          <cell r="J28" t="str">
            <v>I</v>
          </cell>
          <cell r="K28" t="str">
            <v>J</v>
          </cell>
          <cell r="L28" t="str">
            <v>K</v>
          </cell>
          <cell r="M28" t="str">
            <v>L</v>
          </cell>
          <cell r="N28" t="str">
            <v>M</v>
          </cell>
          <cell r="O28" t="str">
            <v>N</v>
          </cell>
          <cell r="P28" t="str">
            <v>O</v>
          </cell>
          <cell r="Q28" t="str">
            <v>P</v>
          </cell>
          <cell r="R28" t="str">
            <v>Q</v>
          </cell>
          <cell r="S28" t="str">
            <v>R</v>
          </cell>
          <cell r="T28" t="str">
            <v>S</v>
          </cell>
          <cell r="U28" t="str">
            <v>T</v>
          </cell>
          <cell r="V28" t="str">
            <v>U</v>
          </cell>
          <cell r="W28" t="str">
            <v>V</v>
          </cell>
          <cell r="X28" t="str">
            <v>W</v>
          </cell>
          <cell r="Y28" t="str">
            <v>X</v>
          </cell>
          <cell r="Z28" t="str">
            <v>Y</v>
          </cell>
          <cell r="AA28" t="str">
            <v>Z</v>
          </cell>
        </row>
        <row r="29">
          <cell r="B29" t="str">
            <v>A</v>
          </cell>
          <cell r="C29" t="str">
            <v>B</v>
          </cell>
          <cell r="D29" t="str">
            <v>A</v>
          </cell>
          <cell r="E29" t="str">
            <v>A</v>
          </cell>
          <cell r="F29" t="str">
            <v>.</v>
          </cell>
          <cell r="G29" t="str">
            <v>.</v>
          </cell>
          <cell r="H29" t="str">
            <v>.</v>
          </cell>
          <cell r="I29" t="str">
            <v>.</v>
          </cell>
          <cell r="J29" t="str">
            <v>.</v>
          </cell>
          <cell r="K29" t="str">
            <v>.</v>
          </cell>
          <cell r="L29" t="str">
            <v>.</v>
          </cell>
          <cell r="M29" t="str">
            <v>.</v>
          </cell>
          <cell r="N29" t="str">
            <v>.</v>
          </cell>
          <cell r="O29" t="str">
            <v>A</v>
          </cell>
          <cell r="P29" t="str">
            <v>.</v>
          </cell>
          <cell r="Q29" t="str">
            <v>.</v>
          </cell>
          <cell r="R29" t="str">
            <v>.</v>
          </cell>
          <cell r="S29" t="str">
            <v>.</v>
          </cell>
          <cell r="T29" t="str">
            <v>.</v>
          </cell>
          <cell r="U29" t="str">
            <v>.</v>
          </cell>
          <cell r="V29" t="str">
            <v>.</v>
          </cell>
          <cell r="W29" t="str">
            <v>.</v>
          </cell>
          <cell r="X29" t="str">
            <v>.</v>
          </cell>
          <cell r="Y29" t="str">
            <v>.</v>
          </cell>
          <cell r="Z29" t="str">
            <v>.</v>
          </cell>
          <cell r="AA29" t="str">
            <v>.</v>
          </cell>
        </row>
        <row r="30">
          <cell r="B30" t="str">
            <v>.</v>
          </cell>
          <cell r="C30" t="str">
            <v>.</v>
          </cell>
          <cell r="D30" t="str">
            <v>.</v>
          </cell>
          <cell r="E30" t="str">
            <v>.</v>
          </cell>
          <cell r="F30" t="str">
            <v>E</v>
          </cell>
          <cell r="G30" t="str">
            <v>E</v>
          </cell>
          <cell r="H30" t="str">
            <v>E</v>
          </cell>
          <cell r="I30" t="str">
            <v>E</v>
          </cell>
          <cell r="J30" t="str">
            <v>.</v>
          </cell>
          <cell r="K30" t="str">
            <v>E</v>
          </cell>
          <cell r="L30" t="str">
            <v>K</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E</v>
          </cell>
          <cell r="Z30" t="str">
            <v>.</v>
          </cell>
          <cell r="AA30" t="str">
            <v>.</v>
          </cell>
        </row>
        <row r="31">
          <cell r="B31" t="str">
            <v>.</v>
          </cell>
          <cell r="C31" t="str">
            <v>.</v>
          </cell>
          <cell r="D31" t="str">
            <v>.</v>
          </cell>
          <cell r="E31" t="str">
            <v>.</v>
          </cell>
          <cell r="F31" t="str">
            <v>.</v>
          </cell>
          <cell r="G31" t="str">
            <v>.</v>
          </cell>
          <cell r="H31" t="str">
            <v>.</v>
          </cell>
          <cell r="I31" t="str">
            <v>.</v>
          </cell>
          <cell r="J31" t="str">
            <v>.</v>
          </cell>
          <cell r="K31" t="str">
            <v>.</v>
          </cell>
          <cell r="L31" t="str">
            <v>.</v>
          </cell>
          <cell r="M31" t="str">
            <v>M</v>
          </cell>
          <cell r="N31" t="str">
            <v>M</v>
          </cell>
          <cell r="O31" t="str">
            <v>M</v>
          </cell>
          <cell r="P31" t="str">
            <v>.</v>
          </cell>
          <cell r="Q31" t="str">
            <v>S</v>
          </cell>
          <cell r="R31" t="str">
            <v>.</v>
          </cell>
          <cell r="S31" t="str">
            <v>.</v>
          </cell>
          <cell r="T31" t="str">
            <v>S</v>
          </cell>
          <cell r="U31" t="str">
            <v>T</v>
          </cell>
          <cell r="V31" t="str">
            <v>U</v>
          </cell>
          <cell r="W31" t="str">
            <v>.</v>
          </cell>
          <cell r="X31" t="str">
            <v>S</v>
          </cell>
          <cell r="Y31" t="str">
            <v>.</v>
          </cell>
          <cell r="Z31" t="str">
            <v>.</v>
          </cell>
          <cell r="AA31" t="str">
            <v>.</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
      <sheetName val="Summary"/>
      <sheetName val="MD근거"/>
      <sheetName val="PROCESS"/>
      <sheetName val="UTILITIES"/>
      <sheetName val="OFF-SITES"/>
      <sheetName val="REVAMPING"/>
      <sheetName val="cover"/>
      <sheetName val="Curves"/>
      <sheetName val="Tables"/>
      <sheetName val="DOC"/>
      <sheetName val="Steel"/>
      <sheetName val="RFP002"/>
      <sheetName val="piping"/>
      <sheetName val="ABUT수량-A1"/>
      <sheetName val="터널조도"/>
      <sheetName val="Graph (LGEN)"/>
      <sheetName val="out_prog"/>
      <sheetName val="선적schedule (2)"/>
      <sheetName val="Y-WORK"/>
      <sheetName val="노임"/>
      <sheetName val="Load List"/>
      <sheetName val="CBL_OD"/>
      <sheetName val="IN"/>
      <sheetName val="BEAM"/>
      <sheetName val="CAT_5"/>
      <sheetName val="COA-17"/>
      <sheetName val="C-18"/>
      <sheetName val="EQUIPMENT"/>
      <sheetName val="Sitec120"/>
      <sheetName val="당초"/>
      <sheetName val="PIPE내역(FCN)"/>
      <sheetName val="정부노임단가"/>
      <sheetName val="SELTDATA"/>
      <sheetName val="SP&amp;ST 제출가"/>
      <sheetName val="DATE"/>
      <sheetName val="현금"/>
      <sheetName val="AILC004"/>
      <sheetName val="XZLC004_PART2"/>
      <sheetName val="말뚝물량"/>
      <sheetName val="Fax"/>
      <sheetName val="Main"/>
      <sheetName val="Data"/>
      <sheetName val="MC-1"/>
      <sheetName val="작성기준"/>
      <sheetName val="Tbl 1y 4"/>
      <sheetName val="´çÃÊ"/>
      <sheetName val="Sharq mto sum"/>
      <sheetName val="XZLC003_PART1"/>
      <sheetName val="VA_code"/>
      <sheetName val="ANX3A11"/>
      <sheetName val="BQ"/>
      <sheetName val="F-302"/>
      <sheetName val="F301.303"/>
      <sheetName val="Inputs"/>
      <sheetName val="Note"/>
      <sheetName val="Heads"/>
      <sheetName val="Dbase"/>
      <sheetName val="Page 2"/>
      <sheetName val="EQUIPMENT -2"/>
      <sheetName val="SILICATE"/>
      <sheetName val="BQMPALOC"/>
      <sheetName val="기계내역서"/>
      <sheetName val="CB"/>
      <sheetName val="3. GROUNDING SYSTEM"/>
      <sheetName val="적용환율"/>
      <sheetName val="현장관리비"/>
      <sheetName val="실행내역"/>
      <sheetName val="Take-Off"/>
      <sheetName val="Piping(Methanol)"/>
      <sheetName val="basic"/>
      <sheetName val="장비비검토"/>
      <sheetName val="Bdown"/>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LIST"/>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내역서"/>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 val="Breech_Duct"/>
      <sheetName val="Lists"/>
      <sheetName val="Schedule(overall)"/>
      <sheetName val="DATA_LIST"/>
      <sheetName val="Outlet"/>
      <sheetName val="Input"/>
      <sheetName val="Base"/>
      <sheetName val="Breaching"/>
      <sheetName val="Wind"/>
      <sheetName val="Ladders"/>
      <sheetName val="IBC"/>
      <sheetName val="Seismic"/>
      <sheetName val="Vibration"/>
      <sheetName val="Shell"/>
      <sheetName val="Properties"/>
      <sheetName val="Pric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CAT_5"/>
      <sheetName val="Administrative Prices"/>
      <sheetName val="Summary"/>
      <sheetName val="XZLC003_PART1"/>
      <sheetName val="견"/>
      <sheetName val="Curves"/>
      <sheetName val="Tables"/>
      <sheetName val="산근"/>
      <sheetName val="단가비교"/>
      <sheetName val="F-302"/>
      <sheetName val="F301.303"/>
      <sheetName val="XZLC004_PART2"/>
      <sheetName val="data_dci"/>
      <sheetName val="data_mci"/>
      <sheetName val="behind"/>
      <sheetName val="Main"/>
      <sheetName val="지계"/>
      <sheetName val="Inputs"/>
      <sheetName val="BD"/>
      <sheetName val="REDUCER"/>
      <sheetName val="WE'T"/>
      <sheetName val="DATA"/>
      <sheetName val="Cash2"/>
      <sheetName val="Z"/>
      <sheetName val="EQUIPMENT -2"/>
      <sheetName val="INPUT"/>
      <sheetName val="STATIC"/>
      <sheetName val="Cost_total_배관-3차_한남현"/>
      <sheetName val="CCC"/>
      <sheetName val="MTL(AG)"/>
      <sheetName val="당초"/>
      <sheetName val="ABUT수량-A1"/>
      <sheetName val="Summary Sheets"/>
      <sheetName val="Factor"/>
      <sheetName val="갑지"/>
      <sheetName val="상수도토공집계표"/>
      <sheetName val="BOQ"/>
      <sheetName val="기계내역서"/>
      <sheetName val="Activity(new)"/>
      <sheetName val="Equipment"/>
      <sheetName val="Labor"/>
      <sheetName val="Note"/>
      <sheetName val="Heads"/>
      <sheetName val="Dbase"/>
      <sheetName val="Page 2"/>
      <sheetName val="노임"/>
      <sheetName val=" ｹ-ﾌﾞﾙ"/>
      <sheetName val="내역서"/>
      <sheetName val="투찰(하수)"/>
      <sheetName val="최종견"/>
      <sheetName val="견적"/>
      <sheetName val="계약신규"/>
      <sheetName val="C"/>
      <sheetName val="주관사업"/>
      <sheetName val="요약배부"/>
      <sheetName val="PIPE"/>
      <sheetName val="QMCT"/>
      <sheetName val="LinerWt"/>
      <sheetName val="기본DATA"/>
      <sheetName val="MTO"/>
      <sheetName val="Price Comparison"/>
      <sheetName val="Equip Sch."/>
      <sheetName val="Code03"/>
      <sheetName val="DCS"/>
      <sheetName val="ANALYSER"/>
      <sheetName val="품셈(기초)"/>
      <sheetName val="CAL(1)."/>
      <sheetName val="일위대가표"/>
      <sheetName val="6.Base"/>
      <sheetName val="Pipe Hot"/>
      <sheetName val="LV CDB"/>
      <sheetName val="SH &amp; Control"/>
      <sheetName val="Cable Schedule"/>
      <sheetName val="Motor DB"/>
      <sheetName val="Precios por Administración"/>
      <sheetName val="Resumen"/>
      <sheetName val="Precios Unitarios"/>
      <sheetName val="5-Digit"/>
      <sheetName val="RATES"/>
      <sheetName val="FPSO COST LEVEL 0"/>
      <sheetName val="11FEB"/>
      <sheetName val="ETC"/>
      <sheetName val="KAZAK"/>
      <sheetName val="Design"/>
      <sheetName val="수입"/>
      <sheetName val="BOQ_1"/>
      <sheetName val="inspecton_plan"/>
      <sheetName val="배관_공사_물량"/>
      <sheetName val="Administrative_Prices"/>
      <sheetName val="F301_303"/>
      <sheetName val="EQUIPMENT_-2"/>
      <sheetName val="Summary_Sheets"/>
      <sheetName val="Price_Comparison"/>
      <sheetName val="Equip_Sch_"/>
      <sheetName val="Page_2"/>
      <sheetName val="_ｹ-ﾌﾞﾙ"/>
      <sheetName val="CAL(1)_"/>
      <sheetName val="Precios_por_Administración"/>
      <sheetName val="Precios_Unitarios"/>
      <sheetName val="FPSO_COST_LEVEL_0"/>
      <sheetName val="入力"/>
      <sheetName val="적용환율"/>
      <sheetName val="Other ODC's"/>
      <sheetName val="Project Info"/>
      <sheetName val="Material Rates"/>
      <sheetName val="Subcontracts"/>
      <sheetName val="Salary &amp; Hr Sum"/>
      <sheetName val="Review Summary"/>
      <sheetName val="P3"/>
      <sheetName val="Total(new)"/>
      <sheetName val="BSD (2)"/>
      <sheetName val="Sheet5"/>
      <sheetName val="cal-BF"/>
      <sheetName val="FORMULA"/>
      <sheetName val="LV induction motors"/>
      <sheetName val="Airy"/>
      <sheetName val="Type"/>
      <sheetName val="Discipline"/>
      <sheetName val="Deliverable"/>
      <sheetName val="Area"/>
      <sheetName val="Phase"/>
      <sheetName val="YesNo"/>
      <sheetName val="Notes"/>
      <sheetName val="attach(2)"/>
      <sheetName val="CAMP - CONSTRUCTION"/>
      <sheetName val="Tipo Terzi"/>
      <sheetName val="lookup"/>
      <sheetName val="CBE-VSL"/>
      <sheetName val="LOCAL RATES"/>
      <sheetName val="DATA SHEET"/>
      <sheetName val="Information"/>
      <sheetName val="CalCu"/>
      <sheetName val="당진1,2호기전선관설치및접지4차공사내역서-을지"/>
      <sheetName val="inspecton_plan1"/>
      <sheetName val="배관_공사_물량1"/>
      <sheetName val="Administrative_Prices1"/>
      <sheetName val="F301_3031"/>
      <sheetName val="Summary_Sheets1"/>
      <sheetName val="EQUIPMENT_-21"/>
      <sheetName val="Page_21"/>
      <sheetName val="_ｹ-ﾌﾞﾙ1"/>
      <sheetName val="Price_Comparison1"/>
      <sheetName val="Equip_Sch_1"/>
      <sheetName val="CAL(1)_1"/>
      <sheetName val="6_Base"/>
      <sheetName val="Pipe_Hot"/>
      <sheetName val="LV_induction_motors"/>
      <sheetName val="Precios_por_Administración1"/>
      <sheetName val="Precios_Unitarios1"/>
      <sheetName val="CAMP_-_CONSTRUCTION"/>
      <sheetName val="Tipo_Terzi"/>
      <sheetName val="FPSO_COST_LEVEL_01"/>
      <sheetName val="Other_ODC's"/>
      <sheetName val="Project_Info"/>
      <sheetName val="Material_Rates"/>
      <sheetName val="Salary_&amp;_Hr_Sum"/>
      <sheetName val="Review_Summary"/>
      <sheetName val="Equipment List"/>
      <sheetName val="SILICATE"/>
      <sheetName val="Bases"/>
      <sheetName val="Input - Process"/>
      <sheetName val="Input - General"/>
      <sheetName val="Input - Exchangers"/>
      <sheetName val="B. Fiyatlar"/>
      <sheetName val="Guidance"/>
      <sheetName val="Option Lists"/>
      <sheetName val="ITB COST"/>
      <sheetName val="POWER"/>
      <sheetName val="cable data"/>
      <sheetName val="D+I (Expat)"/>
      <sheetName val="CWLIV"/>
      <sheetName val="3인도계획"/>
      <sheetName val="항목분류끌어오기"/>
      <sheetName val="집계표(OPTION)"/>
      <sheetName val="GAEYO"/>
      <sheetName val="음료실행"/>
      <sheetName val="Product-part-a"/>
      <sheetName val="inter"/>
      <sheetName val="CONCRETE"/>
      <sheetName val="찍기"/>
      <sheetName val="공사비 내역 (가)"/>
      <sheetName val="Take-Off"/>
      <sheetName val="PROCURE"/>
      <sheetName val="HVAC"/>
      <sheetName val="산출근거#2-3"/>
      <sheetName val="BFP"/>
      <sheetName val="inspecton_plan2"/>
      <sheetName val="배관_공사_물량2"/>
      <sheetName val="Administrative_Prices2"/>
      <sheetName val="F301_3032"/>
      <sheetName val="EQUIPMENT_-22"/>
      <sheetName val="Summary_Sheets2"/>
      <sheetName val="Price_Comparison2"/>
      <sheetName val="Equip_Sch_2"/>
      <sheetName val="Page_22"/>
      <sheetName val="_ｹ-ﾌﾞﾙ2"/>
      <sheetName val="CAL(1)_2"/>
      <sheetName val="Precios_por_Administración2"/>
      <sheetName val="Precios_Unitarios2"/>
      <sheetName val="FPSO_COST_LEVEL_02"/>
      <sheetName val="6_Base1"/>
      <sheetName val="Pipe_Hot1"/>
      <sheetName val="LV_induction_motors1"/>
      <sheetName val="Other_ODC's1"/>
      <sheetName val="Project_Info1"/>
      <sheetName val="Material_Rates1"/>
      <sheetName val="Salary_&amp;_Hr_Sum1"/>
      <sheetName val="Review_Summary1"/>
      <sheetName val="CAMP_-_CONSTRUCTION1"/>
      <sheetName val="Tipo_Terzi1"/>
      <sheetName val="BSD_(2)"/>
      <sheetName val="LOCAL_RATES"/>
      <sheetName val="DATA_SHEET"/>
      <sheetName val="Equipment_List"/>
      <sheetName val="Input_-_Process"/>
      <sheetName val="Input_-_General"/>
      <sheetName val="Input_-_Exchangers"/>
      <sheetName val="B__Fiyatlar"/>
      <sheetName val="Option_Lists"/>
      <sheetName val="ITB_COST"/>
      <sheetName val="Tut 1"/>
      <sheetName val="BM"/>
    </sheetNames>
    <sheetDataSet>
      <sheetData sheetId="0" refreshError="1">
        <row r="20">
          <cell r="C20">
            <v>18572.5</v>
          </cell>
        </row>
        <row r="21">
          <cell r="C21">
            <v>24034.999999999996</v>
          </cell>
        </row>
        <row r="23">
          <cell r="C23">
            <v>22643.5</v>
          </cell>
        </row>
        <row r="25">
          <cell r="C25">
            <v>25690.999999999996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Cash2"/>
      <sheetName val="R2564AHDTS"/>
      <sheetName val="Z"/>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TEMP POWER(X)"/>
      <sheetName val="BQ"/>
      <sheetName val="Pivot"/>
      <sheetName val="SUMMARY"/>
      <sheetName val="작성기준"/>
      <sheetName val="costing_CV"/>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BSD (2)"/>
      <sheetName val="Alum."/>
      <sheetName val="Factor"/>
      <sheetName val="Summary Sheets"/>
      <sheetName val="LEGEND"/>
      <sheetName val="AILC004"/>
      <sheetName val="BLDG_DCI"/>
      <sheetName val="BLDG_MCI"/>
      <sheetName val="GC_1_4,000"/>
      <sheetName val="ASME B 36.10 M"/>
      <sheetName val="Joints"/>
      <sheetName val="Cash2"/>
      <sheetName val="Z"/>
      <sheetName val="Electrical (2)"/>
      <sheetName val="Data"/>
      <sheetName val="Calc"/>
      <sheetName val="Main"/>
      <sheetName val="Cost_total_배관-이창수2차"/>
      <sheetName val="look-up"/>
      <sheetName val="Fax"/>
      <sheetName val="´çÃÊ"/>
      <sheetName val="CAT_5"/>
      <sheetName val="ANX3A11"/>
      <sheetName val="BQ"/>
      <sheetName val="F-302"/>
      <sheetName val="F301.303"/>
      <sheetName val="Inputs"/>
      <sheetName val="손익분석"/>
      <sheetName val="LIST"/>
      <sheetName val="Engrg Est"/>
      <sheetName val="S0"/>
      <sheetName val="송라터널총괄"/>
      <sheetName val="SILICATE"/>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parts-V2"/>
      <sheetName val="적용환율"/>
      <sheetName val="계화배수(3대)"/>
      <sheetName val="DESIGN"/>
      <sheetName val="대치판정"/>
      <sheetName val="표지"/>
      <sheetName val="CBS"/>
      <sheetName val="FLANGE"/>
      <sheetName val="VALVE"/>
      <sheetName val="csdim"/>
      <sheetName val="cdsload"/>
      <sheetName val="chsload"/>
      <sheetName val="대비표"/>
      <sheetName val="내역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5-Digit"/>
      <sheetName val="간접비내역-1"/>
      <sheetName val="교각1"/>
      <sheetName val="간선계산"/>
      <sheetName val="Notes"/>
      <sheetName val="003"/>
      <sheetName val="COST-SUM"/>
      <sheetName val="Kode"/>
      <sheetName val="사기도장"/>
      <sheetName val="General Data"/>
      <sheetName val="Bill of QuantityCIVL"/>
      <sheetName val="Prec.OTS"/>
      <sheetName val="Summary_Sheets"/>
      <sheetName val="Alum_"/>
      <sheetName val="BSD_(2)"/>
      <sheetName val="Electrical_(2)"/>
      <sheetName val="Engrg_Est"/>
      <sheetName val="ITB_COST"/>
      <sheetName val="Price_Sheet"/>
      <sheetName val="F301_303"/>
      <sheetName val="203_Eqpt_r1"/>
      <sheetName val="공정계획(내부계획25%,내부w_f)"/>
      <sheetName val="B31_1"/>
      <sheetName val="Prec_OTS"/>
      <sheetName val="Walls"/>
      <sheetName val="Estimate"/>
      <sheetName val="CAL(1)."/>
      <sheetName val="DATE"/>
      <sheetName val="TYPE-B 평균H"/>
      <sheetName val="95신규호표"/>
      <sheetName val="cable"/>
      <sheetName val="기기리스트"/>
      <sheetName val="Rates"/>
      <sheetName val="MCCSUM"/>
      <sheetName val="HVAC"/>
      <sheetName val="EPC"/>
      <sheetName val="GTG"/>
      <sheetName val="camp"/>
      <sheetName val="CAL"/>
      <sheetName val="CABLE DATA"/>
      <sheetName val="7422CW00"/>
      <sheetName val="#3E1_GCR"/>
      <sheetName val="jobhist"/>
      <sheetName val="BB ATV A 131 "/>
      <sheetName val="PAGE 2"/>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Final(1)summary"/>
      <sheetName val="Alum_1"/>
      <sheetName val="Summary_Sheets1"/>
      <sheetName val="BSD_(2)1"/>
      <sheetName val="Engrg_Est1"/>
      <sheetName val="Electrical_(2)1"/>
      <sheetName val="F301_3031"/>
      <sheetName val="203_Eqpt_r11"/>
      <sheetName val="B31_11"/>
      <sheetName val="공정계획(내부계획25%,내부w_f)1"/>
      <sheetName val="ASME_B_36_10_M"/>
      <sheetName val="ITB_COST1"/>
      <sheetName val="Price_Sheet1"/>
      <sheetName val="DNT_OSBL"/>
      <sheetName val="Prec_OTS1"/>
      <sheetName val="General_Data"/>
      <sheetName val="Bill_of_QuantityCIVL"/>
      <sheetName val="CAL(1)_"/>
      <sheetName val="간접비내역_1"/>
      <sheetName val="Y-WORK"/>
      <sheetName val="Units"/>
      <sheetName val="Pump Matls."/>
      <sheetName val="15100"/>
      <sheetName val="일위대가 "/>
      <sheetName val="spec"/>
      <sheetName val="studbolt no."/>
      <sheetName val="studbolt size"/>
      <sheetName val="item sort no"/>
      <sheetName val="program"/>
      <sheetName val="MixBed"/>
      <sheetName val="Reference"/>
      <sheetName val="Chart"/>
      <sheetName val="PUMP"/>
      <sheetName val="Summary_Sheets2"/>
      <sheetName val="Summary_Sheets3"/>
      <sheetName val="Summary_Sheets4"/>
      <sheetName val=" ｹ-ﾌﾞﾙ"/>
      <sheetName val="INS-Piping"/>
      <sheetName val="도급양식"/>
    </sheetNames>
    <sheetDataSet>
      <sheetData sheetId="0" refreshError="1">
        <row r="19">
          <cell r="C19">
            <v>15524.999999999998</v>
          </cell>
        </row>
        <row r="22">
          <cell r="C22">
            <v>7762.4999999999991</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 sheetId="220" refreshError="1"/>
      <sheetData sheetId="2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일러"/>
      <sheetName val="수처리"/>
      <sheetName val="GGH"/>
      <sheetName val="집진기"/>
      <sheetName val="북제주내부매출"/>
      <sheetName val="취수설비"/>
      <sheetName val="탈황"/>
      <sheetName val="ash"/>
      <sheetName val="소각로"/>
      <sheetName val="매출TOTAL"/>
      <sheetName val="표지 및 목차"/>
      <sheetName val="정량목표계획"/>
      <sheetName val="PJT매출계획"/>
      <sheetName val="PJT기성계획"/>
      <sheetName val="목표분석"/>
      <sheetName val="목표할당"/>
      <sheetName val="과제분석서_매출"/>
      <sheetName val="과제분석서_매출원가율"/>
      <sheetName val="과제분석서_품질손실비용"/>
      <sheetName val="과제분석서_원가절감"/>
      <sheetName val="과제분석서_기성"/>
      <sheetName val="시책도출매트릭스"/>
      <sheetName val="담당 MAP카드"/>
      <sheetName val="상하MAP조정표"/>
      <sheetName val="관리항목 일람표"/>
      <sheetName val="시책전개표"/>
      <sheetName val="과제분석표 챠트 DATA"/>
      <sheetName val="pjt별계획실적"/>
      <sheetName val="매출계획map전후"/>
      <sheetName val="매출계획 map후"/>
      <sheetName val="부서별 원가절감 계획"/>
      <sheetName val="매출2안"/>
      <sheetName val="기성2안"/>
      <sheetName val="map전매출"/>
      <sheetName val="Sheet1"/>
      <sheetName val="당진포함(사내)"/>
      <sheetName val="SANAE-3"/>
      <sheetName val="부하전망"/>
      <sheetName val="부하"/>
      <sheetName val="기성"/>
      <sheetName val="Sheet4"/>
      <sheetName val="기성 (2)"/>
      <sheetName val="문제점,대책 (2)"/>
      <sheetName val="Invoice(016)"/>
      <sheetName val="Pkg(A)"/>
      <sheetName val="Pkg(B)"/>
      <sheetName val="Sheet5"/>
      <sheetName val="Cash2"/>
      <sheetName val="Z"/>
    </sheetNames>
    <definedNames>
      <definedName name="BULYANGPNT"/>
      <definedName name="GUESTPNT"/>
      <definedName name="MONITORPNT"/>
      <definedName name="RTPNT"/>
      <definedName name="UTPNT"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dim"/>
      <sheetName val="SUPTYPE"/>
      <sheetName val="Sheet1"/>
      <sheetName val="cdsload"/>
      <sheetName val="chsload"/>
      <sheetName val="cvsload"/>
      <sheetName val="csdim"/>
      <sheetName val="CLAMP"/>
      <sheetName val="pipe"/>
      <sheetName val="Cash2"/>
      <sheetName val="Z"/>
      <sheetName val="Code03"/>
      <sheetName val="Summary"/>
      <sheetName val="MixBed"/>
      <sheetName val="CondPol"/>
      <sheetName val="eq_data"/>
      <sheetName val="Testing"/>
      <sheetName val="BLR 1"/>
      <sheetName val="GEN"/>
      <sheetName val="GAS"/>
      <sheetName val="DEAE"/>
      <sheetName val="BLR2"/>
      <sheetName val="BLR3"/>
      <sheetName val="BLR4"/>
      <sheetName val="BLR5"/>
      <sheetName val="DEM"/>
      <sheetName val="SAM"/>
      <sheetName val="CHEM"/>
      <sheetName val="COP"/>
      <sheetName val="환산표"/>
      <sheetName val="VSDATA"/>
      <sheetName val="보일러"/>
      <sheetName val="TTL"/>
      <sheetName val="S N"/>
      <sheetName val="Sheet3"/>
      <sheetName val="RFP007"/>
      <sheetName val="RFP006"/>
      <sheetName val="RFP005"/>
      <sheetName val="RFP009"/>
      <sheetName val="QMCT"/>
      <sheetName val="제출계산서"/>
      <sheetName val="insulation"/>
      <sheetName val="변수 정의"/>
      <sheetName val="18 BL 배관 내역"/>
      <sheetName val="#3E1_GCR"/>
      <sheetName val="B31.1"/>
      <sheetName val="PSIZE"/>
      <sheetName val="ITEM-LIST"/>
      <sheetName val="변수정리"/>
      <sheetName val="공정율(기초자료)"/>
      <sheetName val="환율표"/>
      <sheetName val="BQ"/>
      <sheetName val="TABLE"/>
      <sheetName val="Desal-E&amp;I"/>
      <sheetName val="BOQ for HRSG &amp; BOP-mech."/>
      <sheetName val="손익현황"/>
      <sheetName val="현황CODE"/>
      <sheetName val="CBE-VSL"/>
      <sheetName val="당초"/>
      <sheetName val="내역서"/>
      <sheetName val="IT-BAT"/>
      <sheetName val="SAN"/>
      <sheetName val="2. 집계표"/>
      <sheetName val="CF Rev.0"/>
      <sheetName val="견적"/>
      <sheetName val="C3"/>
      <sheetName val="견적서을"/>
      <sheetName val="FWBS7000,8000"/>
      <sheetName val="ANALYSER"/>
      <sheetName val="산근"/>
      <sheetName val="SPT vs PHI"/>
      <sheetName val="石炭性状"/>
      <sheetName val="가격분석@1100(990104)"/>
      <sheetName val="Escalation"/>
      <sheetName val="NCCALC11"/>
      <sheetName val="-15.0"/>
      <sheetName val="노임단가"/>
      <sheetName val="자재단가"/>
      <sheetName val="36신설수량"/>
      <sheetName val="물가대비표"/>
      <sheetName val="Sheet6"/>
      <sheetName val="Sheet1 (2)"/>
      <sheetName val="#REF"/>
      <sheetName val="출력X"/>
      <sheetName val="1.설계조건"/>
      <sheetName val="5-Digit"/>
      <sheetName val="교각1"/>
      <sheetName val="점수계산1-2"/>
      <sheetName val="건축내역"/>
      <sheetName val="DCS"/>
      <sheetName val="갑지"/>
      <sheetName val="작성기준"/>
      <sheetName val="REDUCER"/>
      <sheetName val="WE'T"/>
      <sheetName val="co-no.2"/>
    </sheetNames>
    <sheetDataSet>
      <sheetData sheetId="0">
        <row r="2">
          <cell r="A2" t="str">
            <v>CD05001</v>
          </cell>
        </row>
      </sheetData>
      <sheetData sheetId="1">
        <row r="2">
          <cell r="A2" t="str">
            <v>NPCX-L-020</v>
          </cell>
        </row>
      </sheetData>
      <sheetData sheetId="2">
        <row r="3">
          <cell r="A3">
            <v>0.75</v>
          </cell>
        </row>
      </sheetData>
      <sheetData sheetId="3"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sheetData>
      <sheetData sheetId="4"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sheetData>
      <sheetData sheetId="5" refreshError="1"/>
      <sheetData sheetId="6" refreshError="1">
        <row r="2">
          <cell r="A2" t="str">
            <v>CD05001</v>
          </cell>
        </row>
        <row r="3">
          <cell r="A3" t="str">
            <v>CD05002</v>
          </cell>
        </row>
        <row r="4">
          <cell r="A4" t="str">
            <v>CD05003</v>
          </cell>
        </row>
        <row r="5">
          <cell r="A5" t="str">
            <v>CD05004</v>
          </cell>
        </row>
        <row r="6">
          <cell r="A6" t="str">
            <v>CD05005</v>
          </cell>
        </row>
        <row r="7">
          <cell r="A7" t="str">
            <v>CD05006</v>
          </cell>
        </row>
        <row r="8">
          <cell r="A8" t="str">
            <v>CD05007</v>
          </cell>
        </row>
        <row r="9">
          <cell r="A9" t="str">
            <v>CD05008</v>
          </cell>
        </row>
        <row r="10">
          <cell r="A10" t="str">
            <v>CD05009</v>
          </cell>
        </row>
        <row r="11">
          <cell r="A11" t="str">
            <v>CD05010</v>
          </cell>
        </row>
        <row r="12">
          <cell r="A12" t="str">
            <v>CD05011</v>
          </cell>
        </row>
        <row r="13">
          <cell r="A13" t="str">
            <v>CD05012</v>
          </cell>
        </row>
        <row r="14">
          <cell r="A14" t="str">
            <v>CD06001</v>
          </cell>
        </row>
        <row r="15">
          <cell r="A15" t="str">
            <v>CD06002</v>
          </cell>
        </row>
        <row r="16">
          <cell r="A16" t="str">
            <v>CD06003</v>
          </cell>
        </row>
        <row r="17">
          <cell r="A17" t="str">
            <v>CD06004</v>
          </cell>
        </row>
        <row r="18">
          <cell r="A18" t="str">
            <v>CD06005</v>
          </cell>
        </row>
        <row r="19">
          <cell r="A19" t="str">
            <v>CD06006</v>
          </cell>
        </row>
        <row r="20">
          <cell r="A20" t="str">
            <v>CD06007</v>
          </cell>
        </row>
        <row r="21">
          <cell r="A21" t="str">
            <v>CD06008</v>
          </cell>
        </row>
        <row r="22">
          <cell r="A22" t="str">
            <v>CD06009</v>
          </cell>
        </row>
        <row r="23">
          <cell r="A23" t="str">
            <v>CD06010</v>
          </cell>
        </row>
        <row r="24">
          <cell r="A24" t="str">
            <v>CD06011</v>
          </cell>
        </row>
        <row r="25">
          <cell r="A25" t="str">
            <v>CD06012</v>
          </cell>
        </row>
        <row r="26">
          <cell r="A26" t="str">
            <v>CD06013</v>
          </cell>
        </row>
        <row r="27">
          <cell r="A27" t="str">
            <v>CD06014</v>
          </cell>
        </row>
        <row r="28">
          <cell r="A28" t="str">
            <v>CD06015</v>
          </cell>
        </row>
        <row r="29">
          <cell r="A29" t="str">
            <v>CD06016</v>
          </cell>
        </row>
        <row r="30">
          <cell r="A30" t="str">
            <v>CD06017</v>
          </cell>
        </row>
        <row r="31">
          <cell r="A31" t="str">
            <v>CD06018</v>
          </cell>
        </row>
        <row r="32">
          <cell r="A32" t="str">
            <v>CD06019</v>
          </cell>
        </row>
        <row r="33">
          <cell r="A33" t="str">
            <v>CD06020</v>
          </cell>
        </row>
        <row r="34">
          <cell r="A34" t="str">
            <v>CD06021</v>
          </cell>
        </row>
        <row r="35">
          <cell r="A35" t="str">
            <v>CD06022</v>
          </cell>
        </row>
        <row r="36">
          <cell r="A36" t="str">
            <v>CD06023</v>
          </cell>
        </row>
        <row r="37">
          <cell r="A37" t="str">
            <v>CD06024</v>
          </cell>
        </row>
        <row r="38">
          <cell r="A38" t="str">
            <v>CD06025</v>
          </cell>
        </row>
        <row r="39">
          <cell r="A39" t="str">
            <v>CD06026</v>
          </cell>
        </row>
        <row r="40">
          <cell r="A40" t="str">
            <v>CD06027</v>
          </cell>
        </row>
        <row r="41">
          <cell r="A41" t="str">
            <v>CD06028</v>
          </cell>
        </row>
        <row r="42">
          <cell r="A42" t="str">
            <v>CD07001</v>
          </cell>
        </row>
        <row r="43">
          <cell r="A43" t="str">
            <v>CD07002</v>
          </cell>
        </row>
        <row r="44">
          <cell r="A44" t="str">
            <v>CD07003</v>
          </cell>
        </row>
        <row r="45">
          <cell r="A45" t="str">
            <v>CD07004</v>
          </cell>
        </row>
        <row r="46">
          <cell r="A46" t="str">
            <v>CD07005</v>
          </cell>
        </row>
        <row r="47">
          <cell r="A47" t="str">
            <v>CD07006</v>
          </cell>
        </row>
        <row r="48">
          <cell r="A48" t="str">
            <v>CD07007</v>
          </cell>
        </row>
        <row r="49">
          <cell r="A49" t="str">
            <v>CD07008</v>
          </cell>
        </row>
        <row r="50">
          <cell r="A50" t="str">
            <v>CD07009</v>
          </cell>
        </row>
        <row r="51">
          <cell r="A51" t="str">
            <v>CD07010</v>
          </cell>
        </row>
        <row r="52">
          <cell r="A52" t="str">
            <v>CD07011</v>
          </cell>
        </row>
        <row r="53">
          <cell r="A53" t="str">
            <v>CD07012</v>
          </cell>
        </row>
        <row r="54">
          <cell r="A54" t="str">
            <v>CD07013</v>
          </cell>
        </row>
        <row r="55">
          <cell r="A55" t="str">
            <v>CD07014</v>
          </cell>
        </row>
        <row r="56">
          <cell r="A56" t="str">
            <v>CD07015</v>
          </cell>
        </row>
        <row r="57">
          <cell r="A57" t="str">
            <v>CD07016</v>
          </cell>
        </row>
        <row r="58">
          <cell r="A58" t="str">
            <v>CD07017</v>
          </cell>
        </row>
        <row r="59">
          <cell r="A59" t="str">
            <v>CD07018</v>
          </cell>
        </row>
        <row r="60">
          <cell r="A60" t="str">
            <v>CD07019</v>
          </cell>
        </row>
        <row r="61">
          <cell r="A61" t="str">
            <v>CD07020</v>
          </cell>
        </row>
        <row r="62">
          <cell r="A62" t="str">
            <v>CD07021</v>
          </cell>
        </row>
        <row r="63">
          <cell r="A63" t="str">
            <v>CD07022</v>
          </cell>
        </row>
        <row r="64">
          <cell r="A64" t="str">
            <v>CD07023</v>
          </cell>
        </row>
        <row r="65">
          <cell r="A65" t="str">
            <v>CD07024</v>
          </cell>
        </row>
        <row r="66">
          <cell r="A66" t="str">
            <v>CD07025</v>
          </cell>
        </row>
        <row r="67">
          <cell r="A67" t="str">
            <v>CD07026</v>
          </cell>
        </row>
        <row r="68">
          <cell r="A68" t="str">
            <v>CD07027</v>
          </cell>
        </row>
        <row r="69">
          <cell r="A69" t="str">
            <v>CD07028</v>
          </cell>
        </row>
        <row r="70">
          <cell r="A70" t="str">
            <v>CD08001</v>
          </cell>
        </row>
        <row r="71">
          <cell r="A71" t="str">
            <v>CD08002</v>
          </cell>
        </row>
        <row r="72">
          <cell r="A72" t="str">
            <v>CD08003</v>
          </cell>
        </row>
        <row r="73">
          <cell r="A73" t="str">
            <v>CD08004</v>
          </cell>
        </row>
        <row r="74">
          <cell r="A74" t="str">
            <v>CD08005</v>
          </cell>
        </row>
        <row r="75">
          <cell r="A75" t="str">
            <v>CD08006</v>
          </cell>
        </row>
        <row r="76">
          <cell r="A76" t="str">
            <v>CD08007</v>
          </cell>
        </row>
        <row r="77">
          <cell r="A77" t="str">
            <v>CD08008</v>
          </cell>
        </row>
        <row r="78">
          <cell r="A78" t="str">
            <v>CD08009</v>
          </cell>
        </row>
        <row r="79">
          <cell r="A79" t="str">
            <v>CD08010</v>
          </cell>
        </row>
        <row r="80">
          <cell r="A80" t="str">
            <v>CD08011</v>
          </cell>
        </row>
        <row r="81">
          <cell r="A81" t="str">
            <v>CD08012</v>
          </cell>
        </row>
        <row r="82">
          <cell r="A82" t="str">
            <v>CD08013</v>
          </cell>
        </row>
        <row r="83">
          <cell r="A83" t="str">
            <v>CD08014</v>
          </cell>
        </row>
        <row r="84">
          <cell r="A84" t="str">
            <v>CD08015</v>
          </cell>
        </row>
        <row r="85">
          <cell r="A85" t="str">
            <v>CD08016</v>
          </cell>
        </row>
        <row r="86">
          <cell r="A86" t="str">
            <v>CD08017</v>
          </cell>
        </row>
        <row r="87">
          <cell r="A87" t="str">
            <v>CD08018</v>
          </cell>
        </row>
        <row r="88">
          <cell r="A88" t="str">
            <v>CD08019</v>
          </cell>
        </row>
        <row r="89">
          <cell r="A89" t="str">
            <v>CD08020</v>
          </cell>
        </row>
        <row r="90">
          <cell r="A90" t="str">
            <v>CD08021</v>
          </cell>
        </row>
        <row r="91">
          <cell r="A91" t="str">
            <v>CD08022</v>
          </cell>
        </row>
        <row r="92">
          <cell r="A92" t="str">
            <v>CD08023</v>
          </cell>
        </row>
        <row r="93">
          <cell r="A93" t="str">
            <v>CD08024</v>
          </cell>
        </row>
        <row r="94">
          <cell r="A94" t="str">
            <v>CD08025</v>
          </cell>
        </row>
        <row r="95">
          <cell r="A95" t="str">
            <v>CD08026</v>
          </cell>
        </row>
        <row r="96">
          <cell r="A96" t="str">
            <v>CD08027</v>
          </cell>
        </row>
        <row r="97">
          <cell r="A97" t="str">
            <v>CD08028</v>
          </cell>
        </row>
        <row r="98">
          <cell r="A98" t="str">
            <v>CD08029</v>
          </cell>
        </row>
        <row r="99">
          <cell r="A99" t="str">
            <v>CD08030</v>
          </cell>
        </row>
        <row r="100">
          <cell r="A100" t="str">
            <v>CD08031</v>
          </cell>
        </row>
        <row r="101">
          <cell r="A101" t="str">
            <v>CD08032</v>
          </cell>
        </row>
        <row r="102">
          <cell r="A102" t="str">
            <v>CD08033</v>
          </cell>
        </row>
        <row r="103">
          <cell r="A103" t="str">
            <v>CD08034</v>
          </cell>
        </row>
        <row r="104">
          <cell r="A104" t="str">
            <v>CD08035</v>
          </cell>
        </row>
        <row r="105">
          <cell r="A105" t="str">
            <v>CD08036</v>
          </cell>
        </row>
        <row r="106">
          <cell r="A106" t="str">
            <v>CD09001</v>
          </cell>
        </row>
        <row r="107">
          <cell r="A107" t="str">
            <v>CD09002</v>
          </cell>
        </row>
        <row r="108">
          <cell r="A108" t="str">
            <v>CD09003</v>
          </cell>
        </row>
        <row r="109">
          <cell r="A109" t="str">
            <v>CD09004</v>
          </cell>
        </row>
        <row r="110">
          <cell r="A110" t="str">
            <v>CD09005</v>
          </cell>
        </row>
        <row r="111">
          <cell r="A111" t="str">
            <v>CD09006</v>
          </cell>
        </row>
        <row r="112">
          <cell r="A112" t="str">
            <v>CD09007</v>
          </cell>
        </row>
        <row r="113">
          <cell r="A113" t="str">
            <v>CD09008</v>
          </cell>
        </row>
        <row r="114">
          <cell r="A114" t="str">
            <v>CD09009</v>
          </cell>
        </row>
        <row r="115">
          <cell r="A115" t="str">
            <v>CD09010</v>
          </cell>
        </row>
        <row r="116">
          <cell r="A116" t="str">
            <v>CD09011</v>
          </cell>
        </row>
        <row r="117">
          <cell r="A117" t="str">
            <v>CD09012</v>
          </cell>
        </row>
        <row r="118">
          <cell r="A118" t="str">
            <v>CD09013</v>
          </cell>
        </row>
        <row r="119">
          <cell r="A119" t="str">
            <v>CD09014</v>
          </cell>
        </row>
        <row r="120">
          <cell r="A120" t="str">
            <v>CD09015</v>
          </cell>
        </row>
        <row r="121">
          <cell r="A121" t="str">
            <v>CD09016</v>
          </cell>
        </row>
        <row r="122">
          <cell r="A122" t="str">
            <v>CD09017</v>
          </cell>
        </row>
        <row r="123">
          <cell r="A123" t="str">
            <v>CD09018</v>
          </cell>
        </row>
        <row r="124">
          <cell r="A124" t="str">
            <v>CD09019</v>
          </cell>
        </row>
        <row r="125">
          <cell r="A125" t="str">
            <v>CD09020</v>
          </cell>
        </row>
        <row r="126">
          <cell r="A126" t="str">
            <v>CD09021</v>
          </cell>
        </row>
        <row r="127">
          <cell r="A127" t="str">
            <v>CD09022</v>
          </cell>
        </row>
        <row r="128">
          <cell r="A128" t="str">
            <v>CD09023</v>
          </cell>
        </row>
        <row r="129">
          <cell r="A129" t="str">
            <v>CD09024</v>
          </cell>
        </row>
        <row r="130">
          <cell r="A130" t="str">
            <v>CD09025</v>
          </cell>
        </row>
        <row r="131">
          <cell r="A131" t="str">
            <v>CD09026</v>
          </cell>
        </row>
        <row r="132">
          <cell r="A132" t="str">
            <v>CD09027</v>
          </cell>
        </row>
        <row r="133">
          <cell r="A133" t="str">
            <v>CD09028</v>
          </cell>
        </row>
        <row r="134">
          <cell r="A134" t="str">
            <v>CD09029</v>
          </cell>
        </row>
        <row r="135">
          <cell r="A135" t="str">
            <v>CD09030</v>
          </cell>
        </row>
        <row r="136">
          <cell r="A136" t="str">
            <v>CD09031</v>
          </cell>
        </row>
        <row r="137">
          <cell r="A137" t="str">
            <v>CD09032</v>
          </cell>
        </row>
        <row r="138">
          <cell r="A138" t="str">
            <v>CD09033</v>
          </cell>
        </row>
        <row r="139">
          <cell r="A139" t="str">
            <v>CD09034</v>
          </cell>
        </row>
        <row r="140">
          <cell r="A140" t="str">
            <v>CD09035</v>
          </cell>
        </row>
        <row r="141">
          <cell r="A141" t="str">
            <v>CD09036</v>
          </cell>
        </row>
        <row r="142">
          <cell r="A142" t="str">
            <v>CD10001</v>
          </cell>
        </row>
        <row r="143">
          <cell r="A143" t="str">
            <v>CD10002</v>
          </cell>
        </row>
        <row r="144">
          <cell r="A144" t="str">
            <v>CD10003</v>
          </cell>
        </row>
        <row r="145">
          <cell r="A145" t="str">
            <v>CD10004</v>
          </cell>
        </row>
        <row r="146">
          <cell r="A146" t="str">
            <v>CD10005</v>
          </cell>
        </row>
        <row r="147">
          <cell r="A147" t="str">
            <v>CD10006</v>
          </cell>
        </row>
        <row r="148">
          <cell r="A148" t="str">
            <v>CD10007</v>
          </cell>
        </row>
        <row r="149">
          <cell r="A149" t="str">
            <v>CD10008</v>
          </cell>
        </row>
        <row r="150">
          <cell r="A150" t="str">
            <v>CD10009</v>
          </cell>
        </row>
        <row r="151">
          <cell r="A151" t="str">
            <v>CD10010</v>
          </cell>
        </row>
        <row r="152">
          <cell r="A152" t="str">
            <v>CD10011</v>
          </cell>
        </row>
        <row r="153">
          <cell r="A153" t="str">
            <v>CD10012</v>
          </cell>
        </row>
        <row r="154">
          <cell r="A154" t="str">
            <v>CD10013</v>
          </cell>
        </row>
        <row r="155">
          <cell r="A155" t="str">
            <v>CD10014</v>
          </cell>
        </row>
        <row r="156">
          <cell r="A156" t="str">
            <v>CD10015</v>
          </cell>
        </row>
        <row r="157">
          <cell r="A157" t="str">
            <v>CD10016</v>
          </cell>
        </row>
        <row r="158">
          <cell r="A158" t="str">
            <v>CD10017</v>
          </cell>
        </row>
        <row r="159">
          <cell r="A159" t="str">
            <v>CD10018</v>
          </cell>
        </row>
        <row r="160">
          <cell r="A160" t="str">
            <v>CD10019</v>
          </cell>
        </row>
        <row r="161">
          <cell r="A161" t="str">
            <v>CD10020</v>
          </cell>
        </row>
        <row r="162">
          <cell r="A162" t="str">
            <v>CD10021</v>
          </cell>
        </row>
        <row r="163">
          <cell r="A163" t="str">
            <v>CD10022</v>
          </cell>
        </row>
        <row r="164">
          <cell r="A164" t="str">
            <v>CD10023</v>
          </cell>
        </row>
        <row r="165">
          <cell r="A165" t="str">
            <v>CD10024</v>
          </cell>
        </row>
        <row r="166">
          <cell r="A166" t="str">
            <v>CD10025</v>
          </cell>
        </row>
        <row r="167">
          <cell r="A167" t="str">
            <v>CD10026</v>
          </cell>
        </row>
        <row r="168">
          <cell r="A168" t="str">
            <v>CD10027</v>
          </cell>
        </row>
        <row r="169">
          <cell r="A169" t="str">
            <v>CD10028</v>
          </cell>
        </row>
        <row r="170">
          <cell r="A170" t="str">
            <v>CD10029</v>
          </cell>
        </row>
        <row r="171">
          <cell r="A171" t="str">
            <v>CD10030</v>
          </cell>
        </row>
        <row r="172">
          <cell r="A172" t="str">
            <v>CD10031</v>
          </cell>
        </row>
        <row r="173">
          <cell r="A173" t="str">
            <v>CD10032</v>
          </cell>
        </row>
        <row r="174">
          <cell r="A174" t="str">
            <v>CD10033</v>
          </cell>
        </row>
        <row r="175">
          <cell r="A175" t="str">
            <v>CD10034</v>
          </cell>
        </row>
        <row r="176">
          <cell r="A176" t="str">
            <v>CD10035</v>
          </cell>
        </row>
        <row r="177">
          <cell r="A177" t="str">
            <v>CD10036</v>
          </cell>
        </row>
        <row r="178">
          <cell r="A178" t="str">
            <v>CD10037</v>
          </cell>
        </row>
        <row r="179">
          <cell r="A179" t="str">
            <v>CD10038</v>
          </cell>
        </row>
        <row r="180">
          <cell r="A180" t="str">
            <v>CD10039</v>
          </cell>
        </row>
        <row r="181">
          <cell r="A181" t="str">
            <v>CD10040</v>
          </cell>
        </row>
        <row r="182">
          <cell r="A182" t="str">
            <v>CD10041</v>
          </cell>
        </row>
        <row r="183">
          <cell r="A183" t="str">
            <v>CD10042</v>
          </cell>
        </row>
        <row r="184">
          <cell r="A184" t="str">
            <v>CD10043</v>
          </cell>
        </row>
        <row r="185">
          <cell r="A185" t="str">
            <v>CD10044</v>
          </cell>
        </row>
        <row r="186">
          <cell r="A186" t="str">
            <v>CD10045</v>
          </cell>
        </row>
        <row r="187">
          <cell r="A187" t="str">
            <v>CD10046</v>
          </cell>
        </row>
        <row r="188">
          <cell r="A188" t="str">
            <v>CD11001</v>
          </cell>
        </row>
        <row r="189">
          <cell r="A189" t="str">
            <v>CD11002</v>
          </cell>
        </row>
        <row r="190">
          <cell r="A190" t="str">
            <v>CD11003</v>
          </cell>
        </row>
        <row r="191">
          <cell r="A191" t="str">
            <v>CD11004</v>
          </cell>
        </row>
        <row r="192">
          <cell r="A192" t="str">
            <v>CD11005</v>
          </cell>
        </row>
        <row r="193">
          <cell r="A193" t="str">
            <v>CD11006</v>
          </cell>
        </row>
        <row r="194">
          <cell r="A194" t="str">
            <v>CD11007</v>
          </cell>
        </row>
        <row r="195">
          <cell r="A195" t="str">
            <v>CD11008</v>
          </cell>
        </row>
        <row r="196">
          <cell r="A196" t="str">
            <v>CD11009</v>
          </cell>
        </row>
        <row r="197">
          <cell r="A197" t="str">
            <v>CD11010</v>
          </cell>
        </row>
        <row r="198">
          <cell r="A198" t="str">
            <v>CD11011</v>
          </cell>
        </row>
        <row r="199">
          <cell r="A199" t="str">
            <v>CD11012</v>
          </cell>
        </row>
        <row r="200">
          <cell r="A200" t="str">
            <v>CD11013</v>
          </cell>
        </row>
        <row r="201">
          <cell r="A201" t="str">
            <v>CD11014</v>
          </cell>
        </row>
        <row r="202">
          <cell r="A202" t="str">
            <v>CD11015</v>
          </cell>
        </row>
        <row r="203">
          <cell r="A203" t="str">
            <v>CD11016</v>
          </cell>
        </row>
        <row r="204">
          <cell r="A204" t="str">
            <v>CD11017</v>
          </cell>
        </row>
        <row r="205">
          <cell r="A205" t="str">
            <v>CD11018</v>
          </cell>
        </row>
        <row r="206">
          <cell r="A206" t="str">
            <v>CD11019</v>
          </cell>
        </row>
        <row r="207">
          <cell r="A207" t="str">
            <v>CD11020</v>
          </cell>
        </row>
        <row r="208">
          <cell r="A208" t="str">
            <v>CD11021</v>
          </cell>
        </row>
        <row r="209">
          <cell r="A209" t="str">
            <v>CD11022</v>
          </cell>
        </row>
        <row r="210">
          <cell r="A210" t="str">
            <v>CD11023</v>
          </cell>
        </row>
        <row r="211">
          <cell r="A211" t="str">
            <v>CD11024</v>
          </cell>
        </row>
        <row r="212">
          <cell r="A212" t="str">
            <v>CD11025</v>
          </cell>
        </row>
        <row r="213">
          <cell r="A213" t="str">
            <v>CD11026</v>
          </cell>
        </row>
        <row r="214">
          <cell r="A214" t="str">
            <v>CD11027</v>
          </cell>
        </row>
        <row r="215">
          <cell r="A215" t="str">
            <v>CD11028</v>
          </cell>
        </row>
        <row r="216">
          <cell r="A216" t="str">
            <v>CD11029</v>
          </cell>
        </row>
        <row r="217">
          <cell r="A217" t="str">
            <v>CD11030</v>
          </cell>
        </row>
        <row r="218">
          <cell r="A218" t="str">
            <v>CD11031</v>
          </cell>
        </row>
        <row r="219">
          <cell r="A219" t="str">
            <v>CD11032</v>
          </cell>
        </row>
        <row r="220">
          <cell r="A220" t="str">
            <v>CD11033</v>
          </cell>
        </row>
        <row r="221">
          <cell r="A221" t="str">
            <v>CD11034</v>
          </cell>
        </row>
        <row r="222">
          <cell r="A222" t="str">
            <v>CD11035</v>
          </cell>
        </row>
        <row r="223">
          <cell r="A223" t="str">
            <v>CD11036</v>
          </cell>
        </row>
        <row r="224">
          <cell r="A224" t="str">
            <v>CD11037</v>
          </cell>
        </row>
        <row r="225">
          <cell r="A225" t="str">
            <v>CD11038</v>
          </cell>
        </row>
        <row r="226">
          <cell r="A226" t="str">
            <v>CD11039</v>
          </cell>
        </row>
        <row r="227">
          <cell r="A227" t="str">
            <v>CD11040</v>
          </cell>
        </row>
        <row r="228">
          <cell r="A228" t="str">
            <v>CD11041</v>
          </cell>
        </row>
        <row r="229">
          <cell r="A229" t="str">
            <v>CD11042</v>
          </cell>
        </row>
        <row r="230">
          <cell r="A230" t="str">
            <v>CD11043</v>
          </cell>
        </row>
        <row r="231">
          <cell r="A231" t="str">
            <v>CD11044</v>
          </cell>
        </row>
        <row r="232">
          <cell r="A232" t="str">
            <v>CD11045</v>
          </cell>
        </row>
        <row r="233">
          <cell r="A233" t="str">
            <v>CD11046</v>
          </cell>
        </row>
        <row r="234">
          <cell r="A234" t="str">
            <v>CD11047</v>
          </cell>
        </row>
        <row r="235">
          <cell r="A235" t="str">
            <v>CD11048</v>
          </cell>
        </row>
        <row r="236">
          <cell r="A236" t="str">
            <v>CD11049</v>
          </cell>
        </row>
        <row r="237">
          <cell r="A237" t="str">
            <v>CD11050</v>
          </cell>
        </row>
        <row r="238">
          <cell r="A238" t="str">
            <v>CD11051</v>
          </cell>
        </row>
        <row r="239">
          <cell r="A239" t="str">
            <v>CD11052</v>
          </cell>
        </row>
        <row r="240">
          <cell r="A240" t="str">
            <v>CD11053</v>
          </cell>
        </row>
        <row r="241">
          <cell r="A241" t="str">
            <v>CD11054</v>
          </cell>
        </row>
        <row r="242">
          <cell r="A242" t="str">
            <v>CD11055</v>
          </cell>
        </row>
        <row r="243">
          <cell r="A243" t="str">
            <v>CD11056</v>
          </cell>
        </row>
        <row r="244">
          <cell r="A244" t="str">
            <v>CD11057</v>
          </cell>
        </row>
        <row r="245">
          <cell r="A245" t="str">
            <v>CD11058</v>
          </cell>
        </row>
        <row r="246">
          <cell r="A246" t="str">
            <v>CD11059</v>
          </cell>
        </row>
        <row r="247">
          <cell r="A247" t="str">
            <v>CD11060</v>
          </cell>
        </row>
        <row r="248">
          <cell r="A248" t="str">
            <v>CD12001</v>
          </cell>
        </row>
        <row r="249">
          <cell r="A249" t="str">
            <v>CD12002</v>
          </cell>
        </row>
        <row r="250">
          <cell r="A250" t="str">
            <v>CD12003</v>
          </cell>
        </row>
        <row r="251">
          <cell r="A251" t="str">
            <v>CD12004</v>
          </cell>
        </row>
        <row r="252">
          <cell r="A252" t="str">
            <v>CD12005</v>
          </cell>
        </row>
        <row r="253">
          <cell r="A253" t="str">
            <v>CD12006</v>
          </cell>
        </row>
        <row r="254">
          <cell r="A254" t="str">
            <v>CD12007</v>
          </cell>
        </row>
        <row r="255">
          <cell r="A255" t="str">
            <v>CD12008</v>
          </cell>
        </row>
        <row r="256">
          <cell r="A256" t="str">
            <v>CD12009</v>
          </cell>
        </row>
        <row r="257">
          <cell r="A257" t="str">
            <v>CD12010</v>
          </cell>
        </row>
        <row r="258">
          <cell r="A258" t="str">
            <v>CD12011</v>
          </cell>
        </row>
        <row r="259">
          <cell r="A259" t="str">
            <v>CD12012</v>
          </cell>
        </row>
        <row r="260">
          <cell r="A260" t="str">
            <v>CD12013</v>
          </cell>
        </row>
        <row r="261">
          <cell r="A261" t="str">
            <v>CD12014</v>
          </cell>
        </row>
        <row r="262">
          <cell r="A262" t="str">
            <v>CD12015</v>
          </cell>
        </row>
        <row r="263">
          <cell r="A263" t="str">
            <v>CD12016</v>
          </cell>
        </row>
        <row r="264">
          <cell r="A264" t="str">
            <v>CD12017</v>
          </cell>
        </row>
        <row r="265">
          <cell r="A265" t="str">
            <v>CD12018</v>
          </cell>
        </row>
        <row r="266">
          <cell r="A266" t="str">
            <v>CD12019</v>
          </cell>
        </row>
        <row r="267">
          <cell r="A267" t="str">
            <v>CD12020</v>
          </cell>
        </row>
        <row r="268">
          <cell r="A268" t="str">
            <v>CD12021</v>
          </cell>
        </row>
        <row r="269">
          <cell r="A269" t="str">
            <v>CD12022</v>
          </cell>
        </row>
        <row r="270">
          <cell r="A270" t="str">
            <v>CD12023</v>
          </cell>
        </row>
        <row r="271">
          <cell r="A271" t="str">
            <v>CD12024</v>
          </cell>
        </row>
        <row r="272">
          <cell r="A272" t="str">
            <v>CD12025</v>
          </cell>
        </row>
        <row r="273">
          <cell r="A273" t="str">
            <v>CD12026</v>
          </cell>
        </row>
        <row r="274">
          <cell r="A274" t="str">
            <v>CD12027</v>
          </cell>
        </row>
        <row r="275">
          <cell r="A275" t="str">
            <v>CD12028</v>
          </cell>
        </row>
        <row r="276">
          <cell r="A276" t="str">
            <v>CD12029</v>
          </cell>
        </row>
        <row r="277">
          <cell r="A277" t="str">
            <v>CD12030</v>
          </cell>
        </row>
        <row r="278">
          <cell r="A278" t="str">
            <v>CD12031</v>
          </cell>
        </row>
        <row r="279">
          <cell r="A279" t="str">
            <v>CD12032</v>
          </cell>
        </row>
        <row r="280">
          <cell r="A280" t="str">
            <v>CD12033</v>
          </cell>
        </row>
        <row r="281">
          <cell r="A281" t="str">
            <v>CD12034</v>
          </cell>
        </row>
        <row r="282">
          <cell r="A282" t="str">
            <v>CD12035</v>
          </cell>
        </row>
        <row r="283">
          <cell r="A283" t="str">
            <v>CD12036</v>
          </cell>
        </row>
        <row r="284">
          <cell r="A284" t="str">
            <v>CD12037</v>
          </cell>
        </row>
        <row r="285">
          <cell r="A285" t="str">
            <v>CD12038</v>
          </cell>
        </row>
        <row r="286">
          <cell r="A286" t="str">
            <v>CD12039</v>
          </cell>
        </row>
        <row r="287">
          <cell r="A287" t="str">
            <v>CD12040</v>
          </cell>
        </row>
        <row r="288">
          <cell r="A288" t="str">
            <v>CD12041</v>
          </cell>
        </row>
        <row r="289">
          <cell r="A289" t="str">
            <v>CD12042</v>
          </cell>
        </row>
        <row r="290">
          <cell r="A290" t="str">
            <v>CD12043</v>
          </cell>
        </row>
        <row r="291">
          <cell r="A291" t="str">
            <v>CD12044</v>
          </cell>
        </row>
        <row r="292">
          <cell r="A292" t="str">
            <v>CD12045</v>
          </cell>
        </row>
        <row r="293">
          <cell r="A293" t="str">
            <v>CD12046</v>
          </cell>
        </row>
        <row r="294">
          <cell r="A294" t="str">
            <v>CD12047</v>
          </cell>
        </row>
        <row r="295">
          <cell r="A295" t="str">
            <v>CD12048</v>
          </cell>
        </row>
        <row r="296">
          <cell r="A296" t="str">
            <v>CD12049</v>
          </cell>
        </row>
        <row r="297">
          <cell r="A297" t="str">
            <v>CD12050</v>
          </cell>
        </row>
        <row r="298">
          <cell r="A298" t="str">
            <v>CD12051</v>
          </cell>
        </row>
        <row r="299">
          <cell r="A299" t="str">
            <v>CD12052</v>
          </cell>
        </row>
        <row r="300">
          <cell r="A300" t="str">
            <v>CD12053</v>
          </cell>
        </row>
        <row r="301">
          <cell r="A301" t="str">
            <v>CD12054</v>
          </cell>
        </row>
        <row r="302">
          <cell r="A302" t="str">
            <v>CD12055</v>
          </cell>
        </row>
        <row r="303">
          <cell r="A303" t="str">
            <v>CD12056</v>
          </cell>
        </row>
        <row r="304">
          <cell r="A304" t="str">
            <v>CD12057</v>
          </cell>
        </row>
        <row r="305">
          <cell r="A305" t="str">
            <v>CD12058</v>
          </cell>
        </row>
        <row r="306">
          <cell r="A306" t="str">
            <v>CD12059</v>
          </cell>
        </row>
        <row r="307">
          <cell r="A307" t="str">
            <v>CD12060</v>
          </cell>
        </row>
        <row r="308">
          <cell r="A308" t="str">
            <v>CD13001</v>
          </cell>
        </row>
        <row r="309">
          <cell r="A309" t="str">
            <v>CD13002</v>
          </cell>
        </row>
        <row r="310">
          <cell r="A310" t="str">
            <v>CD13003</v>
          </cell>
        </row>
        <row r="311">
          <cell r="A311" t="str">
            <v>CD13004</v>
          </cell>
        </row>
        <row r="312">
          <cell r="A312" t="str">
            <v>CD13005</v>
          </cell>
        </row>
        <row r="313">
          <cell r="A313" t="str">
            <v>CD13006</v>
          </cell>
        </row>
        <row r="314">
          <cell r="A314" t="str">
            <v>CD13007</v>
          </cell>
        </row>
        <row r="315">
          <cell r="A315" t="str">
            <v>CD13008</v>
          </cell>
        </row>
        <row r="316">
          <cell r="A316" t="str">
            <v>CD13009</v>
          </cell>
        </row>
        <row r="317">
          <cell r="A317" t="str">
            <v>CD13010</v>
          </cell>
        </row>
        <row r="318">
          <cell r="A318" t="str">
            <v>CD13011</v>
          </cell>
        </row>
        <row r="319">
          <cell r="A319" t="str">
            <v>CD13012</v>
          </cell>
        </row>
        <row r="320">
          <cell r="A320" t="str">
            <v>CD13013</v>
          </cell>
        </row>
        <row r="321">
          <cell r="A321" t="str">
            <v>CD13014</v>
          </cell>
        </row>
        <row r="322">
          <cell r="A322" t="str">
            <v>CD13015</v>
          </cell>
        </row>
        <row r="323">
          <cell r="A323" t="str">
            <v>CD13016</v>
          </cell>
        </row>
        <row r="324">
          <cell r="A324" t="str">
            <v>CD13017</v>
          </cell>
        </row>
        <row r="325">
          <cell r="A325" t="str">
            <v>CD13018</v>
          </cell>
        </row>
        <row r="326">
          <cell r="A326" t="str">
            <v>CD13019</v>
          </cell>
        </row>
        <row r="327">
          <cell r="A327" t="str">
            <v>CD13020</v>
          </cell>
        </row>
        <row r="328">
          <cell r="A328" t="str">
            <v>CD13021</v>
          </cell>
        </row>
        <row r="329">
          <cell r="A329" t="str">
            <v>CD13022</v>
          </cell>
        </row>
        <row r="330">
          <cell r="A330" t="str">
            <v>CD13023</v>
          </cell>
        </row>
        <row r="331">
          <cell r="A331" t="str">
            <v>CD13024</v>
          </cell>
        </row>
        <row r="332">
          <cell r="A332" t="str">
            <v>CD13025</v>
          </cell>
        </row>
        <row r="333">
          <cell r="A333" t="str">
            <v>CD13026</v>
          </cell>
        </row>
        <row r="334">
          <cell r="A334" t="str">
            <v>CD13027</v>
          </cell>
        </row>
        <row r="335">
          <cell r="A335" t="str">
            <v>CD13028</v>
          </cell>
        </row>
        <row r="336">
          <cell r="A336" t="str">
            <v>CD13029</v>
          </cell>
        </row>
        <row r="337">
          <cell r="A337" t="str">
            <v>CD13030</v>
          </cell>
        </row>
        <row r="338">
          <cell r="A338" t="str">
            <v>CD13031</v>
          </cell>
        </row>
        <row r="339">
          <cell r="A339" t="str">
            <v>CD13032</v>
          </cell>
        </row>
        <row r="340">
          <cell r="A340" t="str">
            <v>CD13033</v>
          </cell>
        </row>
        <row r="341">
          <cell r="A341" t="str">
            <v>CD13034</v>
          </cell>
        </row>
        <row r="342">
          <cell r="A342" t="str">
            <v>CD13035</v>
          </cell>
        </row>
        <row r="343">
          <cell r="A343" t="str">
            <v>CD13036</v>
          </cell>
        </row>
        <row r="344">
          <cell r="A344" t="str">
            <v>CD13037</v>
          </cell>
        </row>
        <row r="345">
          <cell r="A345" t="str">
            <v>CD13038</v>
          </cell>
        </row>
        <row r="346">
          <cell r="A346" t="str">
            <v>CD13039</v>
          </cell>
        </row>
        <row r="347">
          <cell r="A347" t="str">
            <v>CD13040</v>
          </cell>
        </row>
        <row r="348">
          <cell r="A348" t="str">
            <v>CD13041</v>
          </cell>
        </row>
        <row r="349">
          <cell r="A349" t="str">
            <v>CD13042</v>
          </cell>
        </row>
        <row r="350">
          <cell r="A350" t="str">
            <v>CD13043</v>
          </cell>
        </row>
        <row r="351">
          <cell r="A351" t="str">
            <v>CD13044</v>
          </cell>
        </row>
        <row r="352">
          <cell r="A352" t="str">
            <v>CD13045</v>
          </cell>
        </row>
        <row r="353">
          <cell r="A353" t="str">
            <v>CD13046</v>
          </cell>
        </row>
        <row r="354">
          <cell r="A354" t="str">
            <v>CD13047</v>
          </cell>
        </row>
        <row r="355">
          <cell r="A355" t="str">
            <v>CD13048</v>
          </cell>
        </row>
        <row r="356">
          <cell r="A356" t="str">
            <v>CD13049</v>
          </cell>
        </row>
        <row r="357">
          <cell r="A357" t="str">
            <v>CD13050</v>
          </cell>
        </row>
        <row r="358">
          <cell r="A358" t="str">
            <v>CD13051</v>
          </cell>
        </row>
        <row r="359">
          <cell r="A359" t="str">
            <v>CD13052</v>
          </cell>
        </row>
        <row r="360">
          <cell r="A360" t="str">
            <v>CD13053</v>
          </cell>
        </row>
        <row r="361">
          <cell r="A361" t="str">
            <v>CD13054</v>
          </cell>
        </row>
        <row r="362">
          <cell r="A362" t="str">
            <v>CD13055</v>
          </cell>
        </row>
        <row r="363">
          <cell r="A363" t="str">
            <v>CD13056</v>
          </cell>
        </row>
        <row r="364">
          <cell r="A364" t="str">
            <v>CD13057</v>
          </cell>
        </row>
        <row r="365">
          <cell r="A365" t="str">
            <v>CD13058</v>
          </cell>
        </row>
        <row r="366">
          <cell r="A366" t="str">
            <v>CD13059</v>
          </cell>
        </row>
        <row r="367">
          <cell r="A367" t="str">
            <v>CD13060</v>
          </cell>
        </row>
        <row r="368">
          <cell r="A368" t="str">
            <v>CD13061</v>
          </cell>
        </row>
        <row r="369">
          <cell r="A369" t="str">
            <v>CD13062</v>
          </cell>
        </row>
        <row r="370">
          <cell r="A370" t="str">
            <v>CD13063</v>
          </cell>
        </row>
        <row r="371">
          <cell r="A371" t="str">
            <v>CD13064</v>
          </cell>
        </row>
        <row r="372">
          <cell r="A372" t="str">
            <v>CD14001</v>
          </cell>
        </row>
        <row r="373">
          <cell r="A373" t="str">
            <v>CD14002</v>
          </cell>
        </row>
        <row r="374">
          <cell r="A374" t="str">
            <v>CD14003</v>
          </cell>
        </row>
        <row r="375">
          <cell r="A375" t="str">
            <v>CD14004</v>
          </cell>
        </row>
        <row r="376">
          <cell r="A376" t="str">
            <v>CD14005</v>
          </cell>
        </row>
        <row r="377">
          <cell r="A377" t="str">
            <v>CD14006</v>
          </cell>
        </row>
        <row r="378">
          <cell r="A378" t="str">
            <v>CD14007</v>
          </cell>
        </row>
        <row r="379">
          <cell r="A379" t="str">
            <v>CD14008</v>
          </cell>
        </row>
        <row r="380">
          <cell r="A380" t="str">
            <v>CD14009</v>
          </cell>
        </row>
        <row r="381">
          <cell r="A381" t="str">
            <v>CD14010</v>
          </cell>
        </row>
        <row r="382">
          <cell r="A382" t="str">
            <v>CD14011</v>
          </cell>
        </row>
        <row r="383">
          <cell r="A383" t="str">
            <v>CD14012</v>
          </cell>
        </row>
        <row r="384">
          <cell r="A384" t="str">
            <v>CD14013</v>
          </cell>
        </row>
        <row r="385">
          <cell r="A385" t="str">
            <v>CD14014</v>
          </cell>
        </row>
        <row r="386">
          <cell r="A386" t="str">
            <v>CD14015</v>
          </cell>
        </row>
        <row r="387">
          <cell r="A387" t="str">
            <v>CD14016</v>
          </cell>
        </row>
        <row r="388">
          <cell r="A388" t="str">
            <v>CD14017</v>
          </cell>
        </row>
        <row r="389">
          <cell r="A389" t="str">
            <v>CD14018</v>
          </cell>
        </row>
        <row r="390">
          <cell r="A390" t="str">
            <v>CD14019</v>
          </cell>
        </row>
        <row r="391">
          <cell r="A391" t="str">
            <v>CD14020</v>
          </cell>
        </row>
        <row r="392">
          <cell r="A392" t="str">
            <v>CD14021</v>
          </cell>
        </row>
        <row r="393">
          <cell r="A393" t="str">
            <v>CD14022</v>
          </cell>
        </row>
        <row r="394">
          <cell r="A394" t="str">
            <v>CD14023</v>
          </cell>
        </row>
        <row r="395">
          <cell r="A395" t="str">
            <v>CD14024</v>
          </cell>
        </row>
        <row r="396">
          <cell r="A396" t="str">
            <v>CD14025</v>
          </cell>
        </row>
        <row r="397">
          <cell r="A397" t="str">
            <v>CD14026</v>
          </cell>
        </row>
        <row r="398">
          <cell r="A398" t="str">
            <v>CD14027</v>
          </cell>
        </row>
        <row r="399">
          <cell r="A399" t="str">
            <v>CD14028</v>
          </cell>
        </row>
        <row r="400">
          <cell r="A400" t="str">
            <v>CD14029</v>
          </cell>
        </row>
        <row r="401">
          <cell r="A401" t="str">
            <v>CD14030</v>
          </cell>
        </row>
        <row r="402">
          <cell r="A402" t="str">
            <v>CD14031</v>
          </cell>
        </row>
        <row r="403">
          <cell r="A403" t="str">
            <v>CD14032</v>
          </cell>
        </row>
        <row r="404">
          <cell r="A404" t="str">
            <v>CD14033</v>
          </cell>
        </row>
        <row r="405">
          <cell r="A405" t="str">
            <v>CD14034</v>
          </cell>
        </row>
        <row r="406">
          <cell r="A406" t="str">
            <v>CD14035</v>
          </cell>
        </row>
        <row r="407">
          <cell r="A407" t="str">
            <v>CD14036</v>
          </cell>
        </row>
        <row r="408">
          <cell r="A408" t="str">
            <v>CD14037</v>
          </cell>
        </row>
        <row r="409">
          <cell r="A409" t="str">
            <v>CD14038</v>
          </cell>
        </row>
        <row r="410">
          <cell r="A410" t="str">
            <v>CD14039</v>
          </cell>
        </row>
        <row r="411">
          <cell r="A411" t="str">
            <v>CD14040</v>
          </cell>
        </row>
        <row r="412">
          <cell r="A412" t="str">
            <v>CD14041</v>
          </cell>
        </row>
        <row r="413">
          <cell r="A413" t="str">
            <v>CD14042</v>
          </cell>
        </row>
        <row r="414">
          <cell r="A414" t="str">
            <v>CD14043</v>
          </cell>
        </row>
        <row r="415">
          <cell r="A415" t="str">
            <v>CD14044</v>
          </cell>
        </row>
        <row r="416">
          <cell r="A416" t="str">
            <v>CD14045</v>
          </cell>
        </row>
        <row r="417">
          <cell r="A417" t="str">
            <v>CD14046</v>
          </cell>
        </row>
        <row r="418">
          <cell r="A418" t="str">
            <v>CD14047</v>
          </cell>
        </row>
        <row r="419">
          <cell r="A419" t="str">
            <v>CD14048</v>
          </cell>
        </row>
        <row r="420">
          <cell r="A420" t="str">
            <v>CD14049</v>
          </cell>
        </row>
        <row r="421">
          <cell r="A421" t="str">
            <v>CD14050</v>
          </cell>
        </row>
        <row r="422">
          <cell r="A422" t="str">
            <v>CD14051</v>
          </cell>
        </row>
        <row r="423">
          <cell r="A423" t="str">
            <v>CD14052</v>
          </cell>
        </row>
        <row r="424">
          <cell r="A424" t="str">
            <v>CD14053</v>
          </cell>
        </row>
        <row r="425">
          <cell r="A425" t="str">
            <v>CD14054</v>
          </cell>
        </row>
        <row r="426">
          <cell r="A426" t="str">
            <v>CD14055</v>
          </cell>
        </row>
        <row r="427">
          <cell r="A427" t="str">
            <v>CD14056</v>
          </cell>
        </row>
        <row r="428">
          <cell r="A428" t="str">
            <v>CD14057</v>
          </cell>
        </row>
        <row r="429">
          <cell r="A429" t="str">
            <v>CD14058</v>
          </cell>
        </row>
        <row r="430">
          <cell r="A430" t="str">
            <v>CD14059</v>
          </cell>
        </row>
        <row r="431">
          <cell r="A431" t="str">
            <v>CD14060</v>
          </cell>
        </row>
        <row r="432">
          <cell r="A432" t="str">
            <v>CD14061</v>
          </cell>
        </row>
        <row r="433">
          <cell r="A433" t="str">
            <v>CD14062</v>
          </cell>
        </row>
        <row r="434">
          <cell r="A434" t="str">
            <v>CD14063</v>
          </cell>
        </row>
        <row r="435">
          <cell r="A435" t="str">
            <v>CD14064</v>
          </cell>
        </row>
        <row r="436">
          <cell r="A436" t="str">
            <v>CD15001</v>
          </cell>
        </row>
        <row r="437">
          <cell r="A437" t="str">
            <v>CD15002</v>
          </cell>
        </row>
        <row r="438">
          <cell r="A438" t="str">
            <v>CD15003</v>
          </cell>
        </row>
        <row r="439">
          <cell r="A439" t="str">
            <v>CD15004</v>
          </cell>
        </row>
        <row r="440">
          <cell r="A440" t="str">
            <v>CD15005</v>
          </cell>
        </row>
        <row r="441">
          <cell r="A441" t="str">
            <v>CD15006</v>
          </cell>
        </row>
        <row r="442">
          <cell r="A442" t="str">
            <v>CD15007</v>
          </cell>
        </row>
        <row r="443">
          <cell r="A443" t="str">
            <v>CD15008</v>
          </cell>
        </row>
        <row r="444">
          <cell r="A444" t="str">
            <v>CD15009</v>
          </cell>
        </row>
        <row r="445">
          <cell r="A445" t="str">
            <v>CD15010</v>
          </cell>
        </row>
        <row r="446">
          <cell r="A446" t="str">
            <v>CD15011</v>
          </cell>
        </row>
        <row r="447">
          <cell r="A447" t="str">
            <v>CD15012</v>
          </cell>
        </row>
        <row r="448">
          <cell r="A448" t="str">
            <v>CD15013</v>
          </cell>
        </row>
        <row r="449">
          <cell r="A449" t="str">
            <v>CD15014</v>
          </cell>
        </row>
        <row r="450">
          <cell r="A450" t="str">
            <v>CD15015</v>
          </cell>
        </row>
        <row r="451">
          <cell r="A451" t="str">
            <v>CD15016</v>
          </cell>
        </row>
        <row r="452">
          <cell r="A452" t="str">
            <v>CD15017</v>
          </cell>
        </row>
        <row r="453">
          <cell r="A453" t="str">
            <v>CD15018</v>
          </cell>
        </row>
        <row r="454">
          <cell r="A454" t="str">
            <v>CD15019</v>
          </cell>
        </row>
        <row r="455">
          <cell r="A455" t="str">
            <v>CD15020</v>
          </cell>
        </row>
        <row r="456">
          <cell r="A456" t="str">
            <v>CD15021</v>
          </cell>
        </row>
        <row r="457">
          <cell r="A457" t="str">
            <v>CD15022</v>
          </cell>
        </row>
        <row r="458">
          <cell r="A458" t="str">
            <v>CD15023</v>
          </cell>
        </row>
        <row r="459">
          <cell r="A459" t="str">
            <v>CD15024</v>
          </cell>
        </row>
        <row r="460">
          <cell r="A460" t="str">
            <v>CD15025</v>
          </cell>
        </row>
        <row r="461">
          <cell r="A461" t="str">
            <v>CD15026</v>
          </cell>
        </row>
        <row r="462">
          <cell r="A462" t="str">
            <v>CD15027</v>
          </cell>
        </row>
        <row r="463">
          <cell r="A463" t="str">
            <v>CD15028</v>
          </cell>
        </row>
        <row r="464">
          <cell r="A464" t="str">
            <v>CD15029</v>
          </cell>
        </row>
        <row r="465">
          <cell r="A465" t="str">
            <v>CD15030</v>
          </cell>
        </row>
        <row r="466">
          <cell r="A466" t="str">
            <v>CD15031</v>
          </cell>
        </row>
        <row r="467">
          <cell r="A467" t="str">
            <v>CD15032</v>
          </cell>
        </row>
        <row r="468">
          <cell r="A468" t="str">
            <v>CD15033</v>
          </cell>
        </row>
        <row r="469">
          <cell r="A469" t="str">
            <v>CD15034</v>
          </cell>
        </row>
        <row r="470">
          <cell r="A470" t="str">
            <v>CD15035</v>
          </cell>
        </row>
        <row r="471">
          <cell r="A471" t="str">
            <v>CD15036</v>
          </cell>
        </row>
        <row r="472">
          <cell r="A472" t="str">
            <v>CD15037</v>
          </cell>
        </row>
        <row r="473">
          <cell r="A473" t="str">
            <v>CD15038</v>
          </cell>
        </row>
        <row r="474">
          <cell r="A474" t="str">
            <v>CD15039</v>
          </cell>
        </row>
        <row r="475">
          <cell r="A475" t="str">
            <v>CD15040</v>
          </cell>
        </row>
        <row r="476">
          <cell r="A476" t="str">
            <v>CD15041</v>
          </cell>
        </row>
        <row r="477">
          <cell r="A477" t="str">
            <v>CD15042</v>
          </cell>
        </row>
        <row r="478">
          <cell r="A478" t="str">
            <v>CD15043</v>
          </cell>
        </row>
        <row r="479">
          <cell r="A479" t="str">
            <v>CD15044</v>
          </cell>
        </row>
        <row r="480">
          <cell r="A480" t="str">
            <v>CD15045</v>
          </cell>
        </row>
        <row r="481">
          <cell r="A481" t="str">
            <v>CD15046</v>
          </cell>
        </row>
        <row r="482">
          <cell r="A482" t="str">
            <v>CD15047</v>
          </cell>
        </row>
        <row r="483">
          <cell r="A483" t="str">
            <v>CD15048</v>
          </cell>
        </row>
        <row r="484">
          <cell r="A484" t="str">
            <v>CD15049</v>
          </cell>
        </row>
        <row r="485">
          <cell r="A485" t="str">
            <v>CD15050</v>
          </cell>
        </row>
        <row r="486">
          <cell r="A486" t="str">
            <v>CD15051</v>
          </cell>
        </row>
        <row r="487">
          <cell r="A487" t="str">
            <v>CD15052</v>
          </cell>
        </row>
        <row r="488">
          <cell r="A488" t="str">
            <v>CD15053</v>
          </cell>
        </row>
        <row r="489">
          <cell r="A489" t="str">
            <v>CD15054</v>
          </cell>
        </row>
        <row r="490">
          <cell r="A490" t="str">
            <v>CD15055</v>
          </cell>
        </row>
        <row r="491">
          <cell r="A491" t="str">
            <v>CD15056</v>
          </cell>
        </row>
        <row r="492">
          <cell r="A492" t="str">
            <v>CD15057</v>
          </cell>
        </row>
        <row r="493">
          <cell r="A493" t="str">
            <v>CD15058</v>
          </cell>
        </row>
        <row r="494">
          <cell r="A494" t="str">
            <v>CD15059</v>
          </cell>
        </row>
        <row r="495">
          <cell r="A495" t="str">
            <v>CD15060</v>
          </cell>
        </row>
        <row r="496">
          <cell r="A496" t="str">
            <v>CD15061</v>
          </cell>
        </row>
        <row r="497">
          <cell r="A497" t="str">
            <v>CD15062</v>
          </cell>
        </row>
        <row r="498">
          <cell r="A498" t="str">
            <v>CD15063</v>
          </cell>
        </row>
        <row r="499">
          <cell r="A499" t="str">
            <v>CD15064</v>
          </cell>
        </row>
        <row r="500">
          <cell r="A500" t="str">
            <v>CD16001</v>
          </cell>
        </row>
        <row r="501">
          <cell r="A501" t="str">
            <v>CD16002</v>
          </cell>
        </row>
        <row r="502">
          <cell r="A502" t="str">
            <v>CD16003</v>
          </cell>
        </row>
        <row r="503">
          <cell r="A503" t="str">
            <v>CD16004</v>
          </cell>
        </row>
        <row r="504">
          <cell r="A504" t="str">
            <v>CD16005</v>
          </cell>
        </row>
        <row r="505">
          <cell r="A505" t="str">
            <v>CD16006</v>
          </cell>
        </row>
        <row r="506">
          <cell r="A506" t="str">
            <v>CD16007</v>
          </cell>
        </row>
        <row r="507">
          <cell r="A507" t="str">
            <v>CD16008</v>
          </cell>
        </row>
        <row r="508">
          <cell r="A508" t="str">
            <v>CD16009</v>
          </cell>
        </row>
        <row r="509">
          <cell r="A509" t="str">
            <v>CD16010</v>
          </cell>
        </row>
        <row r="510">
          <cell r="A510" t="str">
            <v>CD16011</v>
          </cell>
        </row>
        <row r="511">
          <cell r="A511" t="str">
            <v>CD16012</v>
          </cell>
        </row>
        <row r="512">
          <cell r="A512" t="str">
            <v>CD16013</v>
          </cell>
        </row>
        <row r="513">
          <cell r="A513" t="str">
            <v>CD16014</v>
          </cell>
        </row>
        <row r="514">
          <cell r="A514" t="str">
            <v>CD16015</v>
          </cell>
        </row>
        <row r="515">
          <cell r="A515" t="str">
            <v>CD16016</v>
          </cell>
        </row>
        <row r="516">
          <cell r="A516" t="str">
            <v>CD16017</v>
          </cell>
        </row>
        <row r="517">
          <cell r="A517" t="str">
            <v>CD16018</v>
          </cell>
        </row>
        <row r="518">
          <cell r="A518" t="str">
            <v>CD16019</v>
          </cell>
        </row>
        <row r="519">
          <cell r="A519" t="str">
            <v>CD16020</v>
          </cell>
        </row>
        <row r="520">
          <cell r="A520" t="str">
            <v>CD16021</v>
          </cell>
        </row>
        <row r="521">
          <cell r="A521" t="str">
            <v>CD16022</v>
          </cell>
        </row>
        <row r="522">
          <cell r="A522" t="str">
            <v>CD16023</v>
          </cell>
        </row>
        <row r="523">
          <cell r="A523" t="str">
            <v>CD16024</v>
          </cell>
        </row>
        <row r="524">
          <cell r="A524" t="str">
            <v>CD16025</v>
          </cell>
        </row>
        <row r="525">
          <cell r="A525" t="str">
            <v>CD16026</v>
          </cell>
        </row>
        <row r="526">
          <cell r="A526" t="str">
            <v>CD16027</v>
          </cell>
        </row>
        <row r="527">
          <cell r="A527" t="str">
            <v>CD16028</v>
          </cell>
        </row>
        <row r="528">
          <cell r="A528" t="str">
            <v>CD16029</v>
          </cell>
        </row>
        <row r="529">
          <cell r="A529" t="str">
            <v>CD16030</v>
          </cell>
        </row>
        <row r="530">
          <cell r="A530" t="str">
            <v>CD16031</v>
          </cell>
        </row>
        <row r="531">
          <cell r="A531" t="str">
            <v>CD16032</v>
          </cell>
        </row>
        <row r="532">
          <cell r="A532" t="str">
            <v>CD16033</v>
          </cell>
        </row>
        <row r="533">
          <cell r="A533" t="str">
            <v>CD16034</v>
          </cell>
        </row>
        <row r="534">
          <cell r="A534" t="str">
            <v>CD16035</v>
          </cell>
        </row>
        <row r="535">
          <cell r="A535" t="str">
            <v>CD16036</v>
          </cell>
        </row>
        <row r="536">
          <cell r="A536" t="str">
            <v>CD16037</v>
          </cell>
        </row>
        <row r="537">
          <cell r="A537" t="str">
            <v>CD16038</v>
          </cell>
        </row>
        <row r="538">
          <cell r="A538" t="str">
            <v>CD16039</v>
          </cell>
        </row>
        <row r="539">
          <cell r="A539" t="str">
            <v>CD16040</v>
          </cell>
        </row>
        <row r="540">
          <cell r="A540" t="str">
            <v>CD16041</v>
          </cell>
        </row>
        <row r="541">
          <cell r="A541" t="str">
            <v>CD16042</v>
          </cell>
        </row>
        <row r="542">
          <cell r="A542" t="str">
            <v>CD16043</v>
          </cell>
        </row>
        <row r="543">
          <cell r="A543" t="str">
            <v>CD16044</v>
          </cell>
        </row>
        <row r="544">
          <cell r="A544" t="str">
            <v>CD16045</v>
          </cell>
        </row>
        <row r="545">
          <cell r="A545" t="str">
            <v>CD16046</v>
          </cell>
        </row>
        <row r="546">
          <cell r="A546" t="str">
            <v>CD16047</v>
          </cell>
        </row>
        <row r="547">
          <cell r="A547" t="str">
            <v>CD16048</v>
          </cell>
        </row>
        <row r="548">
          <cell r="A548" t="str">
            <v>CD16049</v>
          </cell>
        </row>
        <row r="549">
          <cell r="A549" t="str">
            <v>CD16050</v>
          </cell>
        </row>
        <row r="550">
          <cell r="A550" t="str">
            <v>CD16051</v>
          </cell>
        </row>
        <row r="551">
          <cell r="A551" t="str">
            <v>CD16052</v>
          </cell>
        </row>
        <row r="552">
          <cell r="A552" t="str">
            <v>CD16053</v>
          </cell>
        </row>
        <row r="553">
          <cell r="A553" t="str">
            <v>CD16054</v>
          </cell>
        </row>
        <row r="554">
          <cell r="A554" t="str">
            <v>CD16055</v>
          </cell>
        </row>
        <row r="555">
          <cell r="A555" t="str">
            <v>CD16056</v>
          </cell>
        </row>
        <row r="556">
          <cell r="A556" t="str">
            <v>CD16057</v>
          </cell>
        </row>
        <row r="557">
          <cell r="A557" t="str">
            <v>CD16058</v>
          </cell>
        </row>
        <row r="558">
          <cell r="A558" t="str">
            <v>CD16059</v>
          </cell>
        </row>
        <row r="559">
          <cell r="A559" t="str">
            <v>CD16060</v>
          </cell>
        </row>
        <row r="560">
          <cell r="A560" t="str">
            <v>CD16061</v>
          </cell>
        </row>
        <row r="561">
          <cell r="A561" t="str">
            <v>CD16062</v>
          </cell>
        </row>
        <row r="562">
          <cell r="A562" t="str">
            <v>CD16063</v>
          </cell>
        </row>
        <row r="563">
          <cell r="A563" t="str">
            <v>CD16064</v>
          </cell>
        </row>
        <row r="564">
          <cell r="A564" t="str">
            <v>CD17001</v>
          </cell>
        </row>
        <row r="565">
          <cell r="A565" t="str">
            <v>CD17002</v>
          </cell>
        </row>
        <row r="566">
          <cell r="A566" t="str">
            <v>CD17003</v>
          </cell>
        </row>
        <row r="567">
          <cell r="A567" t="str">
            <v>CD17004</v>
          </cell>
        </row>
        <row r="568">
          <cell r="A568" t="str">
            <v>CD17005</v>
          </cell>
        </row>
        <row r="569">
          <cell r="A569" t="str">
            <v>CD17006</v>
          </cell>
        </row>
        <row r="570">
          <cell r="A570" t="str">
            <v>CD17007</v>
          </cell>
        </row>
        <row r="571">
          <cell r="A571" t="str">
            <v>CD17008</v>
          </cell>
        </row>
        <row r="572">
          <cell r="A572" t="str">
            <v>CD17009</v>
          </cell>
        </row>
        <row r="573">
          <cell r="A573" t="str">
            <v>CD17010</v>
          </cell>
        </row>
        <row r="574">
          <cell r="A574" t="str">
            <v>CD17011</v>
          </cell>
        </row>
        <row r="575">
          <cell r="A575" t="str">
            <v>CD17012</v>
          </cell>
        </row>
        <row r="576">
          <cell r="A576" t="str">
            <v>CD17013</v>
          </cell>
        </row>
        <row r="577">
          <cell r="A577" t="str">
            <v>CD17014</v>
          </cell>
        </row>
        <row r="578">
          <cell r="A578" t="str">
            <v>CD17015</v>
          </cell>
        </row>
        <row r="579">
          <cell r="A579" t="str">
            <v>CD17016</v>
          </cell>
        </row>
        <row r="580">
          <cell r="A580" t="str">
            <v>CD17017</v>
          </cell>
        </row>
        <row r="581">
          <cell r="A581" t="str">
            <v>CD17018</v>
          </cell>
        </row>
        <row r="582">
          <cell r="A582" t="str">
            <v>CD17019</v>
          </cell>
        </row>
        <row r="583">
          <cell r="A583" t="str">
            <v>CD17020</v>
          </cell>
        </row>
        <row r="584">
          <cell r="A584" t="str">
            <v>CD17021</v>
          </cell>
        </row>
        <row r="585">
          <cell r="A585" t="str">
            <v>CD17022</v>
          </cell>
        </row>
        <row r="586">
          <cell r="A586" t="str">
            <v>CD17023</v>
          </cell>
        </row>
        <row r="587">
          <cell r="A587" t="str">
            <v>CD17024</v>
          </cell>
        </row>
        <row r="588">
          <cell r="A588" t="str">
            <v>CD17025</v>
          </cell>
        </row>
        <row r="589">
          <cell r="A589" t="str">
            <v>CD17026</v>
          </cell>
        </row>
        <row r="590">
          <cell r="A590" t="str">
            <v>CD17027</v>
          </cell>
        </row>
        <row r="591">
          <cell r="A591" t="str">
            <v>CD17028</v>
          </cell>
        </row>
        <row r="592">
          <cell r="A592" t="str">
            <v>CD17029</v>
          </cell>
        </row>
        <row r="593">
          <cell r="A593" t="str">
            <v>CD17030</v>
          </cell>
        </row>
        <row r="594">
          <cell r="A594" t="str">
            <v>CD17031</v>
          </cell>
        </row>
        <row r="595">
          <cell r="A595" t="str">
            <v>CD17032</v>
          </cell>
        </row>
        <row r="596">
          <cell r="A596" t="str">
            <v>CD17033</v>
          </cell>
        </row>
        <row r="597">
          <cell r="A597" t="str">
            <v>CD17034</v>
          </cell>
        </row>
        <row r="598">
          <cell r="A598" t="str">
            <v>CD17035</v>
          </cell>
        </row>
        <row r="599">
          <cell r="A599" t="str">
            <v>CD17036</v>
          </cell>
        </row>
        <row r="600">
          <cell r="A600" t="str">
            <v>CD17037</v>
          </cell>
        </row>
        <row r="601">
          <cell r="A601" t="str">
            <v>CD17038</v>
          </cell>
        </row>
        <row r="602">
          <cell r="A602" t="str">
            <v>CD17039</v>
          </cell>
        </row>
        <row r="603">
          <cell r="A603" t="str">
            <v>CD17040</v>
          </cell>
        </row>
        <row r="604">
          <cell r="A604" t="str">
            <v>CD17041</v>
          </cell>
        </row>
        <row r="605">
          <cell r="A605" t="str">
            <v>CD17042</v>
          </cell>
        </row>
        <row r="606">
          <cell r="A606" t="str">
            <v>CD17043</v>
          </cell>
        </row>
        <row r="607">
          <cell r="A607" t="str">
            <v>CD17044</v>
          </cell>
        </row>
        <row r="608">
          <cell r="A608" t="str">
            <v>CD17045</v>
          </cell>
        </row>
        <row r="609">
          <cell r="A609" t="str">
            <v>CD17046</v>
          </cell>
        </row>
        <row r="610">
          <cell r="A610" t="str">
            <v>CD17047</v>
          </cell>
        </row>
        <row r="611">
          <cell r="A611" t="str">
            <v>CD17048</v>
          </cell>
        </row>
        <row r="612">
          <cell r="A612" t="str">
            <v>CD17049</v>
          </cell>
        </row>
        <row r="613">
          <cell r="A613" t="str">
            <v>CD17050</v>
          </cell>
        </row>
        <row r="614">
          <cell r="A614" t="str">
            <v>CD17051</v>
          </cell>
        </row>
        <row r="615">
          <cell r="A615" t="str">
            <v>CD17052</v>
          </cell>
        </row>
        <row r="616">
          <cell r="A616" t="str">
            <v>CD17053</v>
          </cell>
        </row>
        <row r="617">
          <cell r="A617" t="str">
            <v>CD17054</v>
          </cell>
        </row>
        <row r="618">
          <cell r="A618" t="str">
            <v>CD17055</v>
          </cell>
        </row>
        <row r="619">
          <cell r="A619" t="str">
            <v>CD17056</v>
          </cell>
        </row>
        <row r="620">
          <cell r="A620" t="str">
            <v>CD17057</v>
          </cell>
        </row>
        <row r="621">
          <cell r="A621" t="str">
            <v>CD17058</v>
          </cell>
        </row>
        <row r="622">
          <cell r="A622" t="str">
            <v>CD17059</v>
          </cell>
        </row>
        <row r="623">
          <cell r="A623" t="str">
            <v>CD17060</v>
          </cell>
        </row>
        <row r="624">
          <cell r="A624" t="str">
            <v>CD17061</v>
          </cell>
        </row>
        <row r="625">
          <cell r="A625" t="str">
            <v>CD17062</v>
          </cell>
        </row>
        <row r="626">
          <cell r="A626" t="str">
            <v>CD17063</v>
          </cell>
        </row>
        <row r="627">
          <cell r="A627" t="str">
            <v>CD17064</v>
          </cell>
        </row>
        <row r="628">
          <cell r="A628" t="str">
            <v>CD18001</v>
          </cell>
        </row>
        <row r="629">
          <cell r="A629" t="str">
            <v>CD18002</v>
          </cell>
        </row>
        <row r="630">
          <cell r="A630" t="str">
            <v>CD18003</v>
          </cell>
        </row>
        <row r="631">
          <cell r="A631" t="str">
            <v>CD18004</v>
          </cell>
        </row>
        <row r="632">
          <cell r="A632" t="str">
            <v>CD18005</v>
          </cell>
        </row>
        <row r="633">
          <cell r="A633" t="str">
            <v>CD18006</v>
          </cell>
        </row>
        <row r="634">
          <cell r="A634" t="str">
            <v>CD18007</v>
          </cell>
        </row>
        <row r="635">
          <cell r="A635" t="str">
            <v>CD18008</v>
          </cell>
        </row>
        <row r="636">
          <cell r="A636" t="str">
            <v>CD18009</v>
          </cell>
        </row>
        <row r="637">
          <cell r="A637" t="str">
            <v>CD18010</v>
          </cell>
        </row>
        <row r="638">
          <cell r="A638" t="str">
            <v>CD18011</v>
          </cell>
        </row>
        <row r="639">
          <cell r="A639" t="str">
            <v>CD18012</v>
          </cell>
        </row>
        <row r="640">
          <cell r="A640" t="str">
            <v>CD18013</v>
          </cell>
        </row>
        <row r="641">
          <cell r="A641" t="str">
            <v>CD18014</v>
          </cell>
        </row>
        <row r="642">
          <cell r="A642" t="str">
            <v>CD18015</v>
          </cell>
        </row>
        <row r="643">
          <cell r="A643" t="str">
            <v>CD18016</v>
          </cell>
        </row>
        <row r="644">
          <cell r="A644" t="str">
            <v>CD18017</v>
          </cell>
        </row>
        <row r="645">
          <cell r="A645" t="str">
            <v>CD18018</v>
          </cell>
        </row>
        <row r="646">
          <cell r="A646" t="str">
            <v>CD18019</v>
          </cell>
        </row>
        <row r="647">
          <cell r="A647" t="str">
            <v>CD18020</v>
          </cell>
        </row>
        <row r="648">
          <cell r="A648" t="str">
            <v>CD18021</v>
          </cell>
        </row>
        <row r="649">
          <cell r="A649" t="str">
            <v>CD18022</v>
          </cell>
        </row>
        <row r="650">
          <cell r="A650" t="str">
            <v>CD18023</v>
          </cell>
        </row>
        <row r="651">
          <cell r="A651" t="str">
            <v>CD18024</v>
          </cell>
        </row>
        <row r="652">
          <cell r="A652" t="str">
            <v>CD18025</v>
          </cell>
        </row>
        <row r="653">
          <cell r="A653" t="str">
            <v>CD18026</v>
          </cell>
        </row>
        <row r="654">
          <cell r="A654" t="str">
            <v>CD18027</v>
          </cell>
        </row>
        <row r="655">
          <cell r="A655" t="str">
            <v>CD18028</v>
          </cell>
        </row>
        <row r="656">
          <cell r="A656" t="str">
            <v>CD18029</v>
          </cell>
        </row>
        <row r="657">
          <cell r="A657" t="str">
            <v>CD18030</v>
          </cell>
        </row>
        <row r="658">
          <cell r="A658" t="str">
            <v>CD18031</v>
          </cell>
        </row>
        <row r="659">
          <cell r="A659" t="str">
            <v>CD18032</v>
          </cell>
        </row>
        <row r="660">
          <cell r="A660" t="str">
            <v>CD18033</v>
          </cell>
        </row>
        <row r="661">
          <cell r="A661" t="str">
            <v>CD18034</v>
          </cell>
        </row>
        <row r="662">
          <cell r="A662" t="str">
            <v>CD18035</v>
          </cell>
        </row>
        <row r="663">
          <cell r="A663" t="str">
            <v>CD18036</v>
          </cell>
        </row>
        <row r="664">
          <cell r="A664" t="str">
            <v>CD18037</v>
          </cell>
        </row>
        <row r="665">
          <cell r="A665" t="str">
            <v>CD18038</v>
          </cell>
        </row>
        <row r="666">
          <cell r="A666" t="str">
            <v>CD18039</v>
          </cell>
        </row>
        <row r="667">
          <cell r="A667" t="str">
            <v>CD18040</v>
          </cell>
        </row>
        <row r="668">
          <cell r="A668" t="str">
            <v>CD18041</v>
          </cell>
        </row>
        <row r="669">
          <cell r="A669" t="str">
            <v>CD18042</v>
          </cell>
        </row>
        <row r="670">
          <cell r="A670" t="str">
            <v>CD18043</v>
          </cell>
        </row>
        <row r="671">
          <cell r="A671" t="str">
            <v>CD18044</v>
          </cell>
        </row>
        <row r="672">
          <cell r="A672" t="str">
            <v>CD18045</v>
          </cell>
        </row>
        <row r="673">
          <cell r="A673" t="str">
            <v>CD18046</v>
          </cell>
        </row>
        <row r="674">
          <cell r="A674" t="str">
            <v>CD18047</v>
          </cell>
        </row>
        <row r="675">
          <cell r="A675" t="str">
            <v>CD18048</v>
          </cell>
        </row>
        <row r="676">
          <cell r="A676" t="str">
            <v>CD18049</v>
          </cell>
        </row>
        <row r="677">
          <cell r="A677" t="str">
            <v>CD18050</v>
          </cell>
        </row>
        <row r="678">
          <cell r="A678" t="str">
            <v>CD18051</v>
          </cell>
        </row>
        <row r="679">
          <cell r="A679" t="str">
            <v>CD18052</v>
          </cell>
        </row>
        <row r="680">
          <cell r="A680" t="str">
            <v>CD18053</v>
          </cell>
        </row>
        <row r="681">
          <cell r="A681" t="str">
            <v>CD18054</v>
          </cell>
        </row>
        <row r="682">
          <cell r="A682" t="str">
            <v>CD18055</v>
          </cell>
        </row>
        <row r="683">
          <cell r="A683" t="str">
            <v>CD18056</v>
          </cell>
        </row>
        <row r="684">
          <cell r="A684" t="str">
            <v>CD18057</v>
          </cell>
        </row>
        <row r="685">
          <cell r="A685" t="str">
            <v>CD18058</v>
          </cell>
        </row>
        <row r="686">
          <cell r="A686" t="str">
            <v>CD18059</v>
          </cell>
        </row>
        <row r="687">
          <cell r="A687" t="str">
            <v>CD18060</v>
          </cell>
        </row>
        <row r="688">
          <cell r="A688" t="str">
            <v>CD18061</v>
          </cell>
        </row>
        <row r="689">
          <cell r="A689" t="str">
            <v>CD18062</v>
          </cell>
        </row>
        <row r="690">
          <cell r="A690" t="str">
            <v>CD18063</v>
          </cell>
        </row>
        <row r="691">
          <cell r="A691" t="str">
            <v>CD18064</v>
          </cell>
        </row>
        <row r="692">
          <cell r="A692" t="str">
            <v>CD18065</v>
          </cell>
        </row>
        <row r="693">
          <cell r="A693" t="str">
            <v>CD18066</v>
          </cell>
        </row>
        <row r="694">
          <cell r="A694" t="str">
            <v>CD18067</v>
          </cell>
        </row>
        <row r="695">
          <cell r="A695" t="str">
            <v>CD18068</v>
          </cell>
        </row>
        <row r="696">
          <cell r="A696" t="str">
            <v>CD19001</v>
          </cell>
        </row>
        <row r="697">
          <cell r="A697" t="str">
            <v>CD19002</v>
          </cell>
        </row>
        <row r="698">
          <cell r="A698" t="str">
            <v>CD19003</v>
          </cell>
        </row>
        <row r="699">
          <cell r="A699" t="str">
            <v>CD19004</v>
          </cell>
        </row>
        <row r="700">
          <cell r="A700" t="str">
            <v>CD19005</v>
          </cell>
        </row>
        <row r="701">
          <cell r="A701" t="str">
            <v>CD19006</v>
          </cell>
        </row>
        <row r="702">
          <cell r="A702" t="str">
            <v>CD19007</v>
          </cell>
        </row>
        <row r="703">
          <cell r="A703" t="str">
            <v>CD19008</v>
          </cell>
        </row>
        <row r="704">
          <cell r="A704" t="str">
            <v>CD19009</v>
          </cell>
        </row>
        <row r="705">
          <cell r="A705" t="str">
            <v>CD19010</v>
          </cell>
        </row>
        <row r="706">
          <cell r="A706" t="str">
            <v>CD19011</v>
          </cell>
        </row>
        <row r="707">
          <cell r="A707" t="str">
            <v>CD19012</v>
          </cell>
        </row>
        <row r="708">
          <cell r="A708" t="str">
            <v>CD19013</v>
          </cell>
        </row>
        <row r="709">
          <cell r="A709" t="str">
            <v>CD19014</v>
          </cell>
        </row>
        <row r="710">
          <cell r="A710" t="str">
            <v>CD19015</v>
          </cell>
        </row>
        <row r="711">
          <cell r="A711" t="str">
            <v>CD19016</v>
          </cell>
        </row>
        <row r="712">
          <cell r="A712" t="str">
            <v>CD19017</v>
          </cell>
        </row>
        <row r="713">
          <cell r="A713" t="str">
            <v>CD19018</v>
          </cell>
        </row>
        <row r="714">
          <cell r="A714" t="str">
            <v>CD19019</v>
          </cell>
        </row>
        <row r="715">
          <cell r="A715" t="str">
            <v>CD19020</v>
          </cell>
        </row>
        <row r="716">
          <cell r="A716" t="str">
            <v>CD19021</v>
          </cell>
        </row>
        <row r="717">
          <cell r="A717" t="str">
            <v>CD19022</v>
          </cell>
        </row>
        <row r="718">
          <cell r="A718" t="str">
            <v>CD19023</v>
          </cell>
        </row>
        <row r="719">
          <cell r="A719" t="str">
            <v>CD19024</v>
          </cell>
        </row>
        <row r="720">
          <cell r="A720" t="str">
            <v>CD19025</v>
          </cell>
        </row>
        <row r="721">
          <cell r="A721" t="str">
            <v>CD19026</v>
          </cell>
        </row>
        <row r="722">
          <cell r="A722" t="str">
            <v>CD19027</v>
          </cell>
        </row>
        <row r="723">
          <cell r="A723" t="str">
            <v>CD19028</v>
          </cell>
        </row>
        <row r="724">
          <cell r="A724" t="str">
            <v>CD19029</v>
          </cell>
        </row>
        <row r="725">
          <cell r="A725" t="str">
            <v>CD19030</v>
          </cell>
        </row>
        <row r="726">
          <cell r="A726" t="str">
            <v>CD19031</v>
          </cell>
        </row>
        <row r="727">
          <cell r="A727" t="str">
            <v>CD19032</v>
          </cell>
        </row>
        <row r="728">
          <cell r="A728" t="str">
            <v>CD19033</v>
          </cell>
        </row>
        <row r="729">
          <cell r="A729" t="str">
            <v>CD19034</v>
          </cell>
        </row>
        <row r="730">
          <cell r="A730" t="str">
            <v>CD19035</v>
          </cell>
        </row>
        <row r="731">
          <cell r="A731" t="str">
            <v>CD19036</v>
          </cell>
        </row>
        <row r="732">
          <cell r="A732" t="str">
            <v>CD19037</v>
          </cell>
        </row>
        <row r="733">
          <cell r="A733" t="str">
            <v>CD19038</v>
          </cell>
        </row>
        <row r="734">
          <cell r="A734" t="str">
            <v>CD19039</v>
          </cell>
        </row>
        <row r="735">
          <cell r="A735" t="str">
            <v>CD19040</v>
          </cell>
        </row>
        <row r="736">
          <cell r="A736" t="str">
            <v>CD19041</v>
          </cell>
        </row>
        <row r="737">
          <cell r="A737" t="str">
            <v>CD19042</v>
          </cell>
        </row>
        <row r="738">
          <cell r="A738" t="str">
            <v>CD19043</v>
          </cell>
        </row>
        <row r="739">
          <cell r="A739" t="str">
            <v>CD19044</v>
          </cell>
        </row>
        <row r="740">
          <cell r="A740" t="str">
            <v>CD19045</v>
          </cell>
        </row>
        <row r="741">
          <cell r="A741" t="str">
            <v>CD19046</v>
          </cell>
        </row>
        <row r="742">
          <cell r="A742" t="str">
            <v>CD19047</v>
          </cell>
        </row>
        <row r="743">
          <cell r="A743" t="str">
            <v>CD19048</v>
          </cell>
        </row>
        <row r="744">
          <cell r="A744" t="str">
            <v>CD19049</v>
          </cell>
        </row>
        <row r="745">
          <cell r="A745" t="str">
            <v>CD19050</v>
          </cell>
        </row>
        <row r="746">
          <cell r="A746" t="str">
            <v>CD19051</v>
          </cell>
        </row>
        <row r="747">
          <cell r="A747" t="str">
            <v>CD19052</v>
          </cell>
        </row>
        <row r="748">
          <cell r="A748" t="str">
            <v>CD19053</v>
          </cell>
        </row>
        <row r="749">
          <cell r="A749" t="str">
            <v>CD19054</v>
          </cell>
        </row>
        <row r="750">
          <cell r="A750" t="str">
            <v>CD19055</v>
          </cell>
        </row>
        <row r="751">
          <cell r="A751" t="str">
            <v>CD19056</v>
          </cell>
        </row>
        <row r="752">
          <cell r="A752" t="str">
            <v>CD19057</v>
          </cell>
        </row>
        <row r="753">
          <cell r="A753" t="str">
            <v>CD19058</v>
          </cell>
        </row>
        <row r="754">
          <cell r="A754" t="str">
            <v>CD19059</v>
          </cell>
        </row>
        <row r="755">
          <cell r="A755" t="str">
            <v>CD19060</v>
          </cell>
        </row>
        <row r="756">
          <cell r="A756" t="str">
            <v>CD19061</v>
          </cell>
        </row>
        <row r="757">
          <cell r="A757" t="str">
            <v>CD19062</v>
          </cell>
        </row>
        <row r="758">
          <cell r="A758" t="str">
            <v>CD19063</v>
          </cell>
        </row>
        <row r="759">
          <cell r="A759" t="str">
            <v>CD19064</v>
          </cell>
        </row>
        <row r="760">
          <cell r="A760" t="str">
            <v>CD19065</v>
          </cell>
        </row>
        <row r="761">
          <cell r="A761" t="str">
            <v>CD19066</v>
          </cell>
        </row>
        <row r="762">
          <cell r="A762" t="str">
            <v>CD19067</v>
          </cell>
        </row>
        <row r="763">
          <cell r="A763" t="str">
            <v>CD19068</v>
          </cell>
        </row>
        <row r="764">
          <cell r="A764" t="str">
            <v>CD20001</v>
          </cell>
        </row>
        <row r="765">
          <cell r="A765" t="str">
            <v>CD20002</v>
          </cell>
        </row>
        <row r="766">
          <cell r="A766" t="str">
            <v>CD20003</v>
          </cell>
        </row>
        <row r="767">
          <cell r="A767" t="str">
            <v>CD20004</v>
          </cell>
        </row>
        <row r="768">
          <cell r="A768" t="str">
            <v>CD20005</v>
          </cell>
        </row>
        <row r="769">
          <cell r="A769" t="str">
            <v>CD20006</v>
          </cell>
        </row>
        <row r="770">
          <cell r="A770" t="str">
            <v>CD20007</v>
          </cell>
        </row>
        <row r="771">
          <cell r="A771" t="str">
            <v>CD20008</v>
          </cell>
        </row>
        <row r="772">
          <cell r="A772" t="str">
            <v>CD20009</v>
          </cell>
        </row>
        <row r="773">
          <cell r="A773" t="str">
            <v>CD20010</v>
          </cell>
        </row>
        <row r="774">
          <cell r="A774" t="str">
            <v>CD20011</v>
          </cell>
        </row>
        <row r="775">
          <cell r="A775" t="str">
            <v>CD20012</v>
          </cell>
        </row>
        <row r="776">
          <cell r="A776" t="str">
            <v>CD20013</v>
          </cell>
        </row>
        <row r="777">
          <cell r="A777" t="str">
            <v>CD20014</v>
          </cell>
        </row>
        <row r="778">
          <cell r="A778" t="str">
            <v>CD20015</v>
          </cell>
        </row>
        <row r="779">
          <cell r="A779" t="str">
            <v>CD20016</v>
          </cell>
        </row>
        <row r="780">
          <cell r="A780" t="str">
            <v>CD20017</v>
          </cell>
        </row>
        <row r="781">
          <cell r="A781" t="str">
            <v>CD20018</v>
          </cell>
        </row>
        <row r="782">
          <cell r="A782" t="str">
            <v>CD20019</v>
          </cell>
        </row>
        <row r="783">
          <cell r="A783" t="str">
            <v>CD20020</v>
          </cell>
        </row>
        <row r="784">
          <cell r="A784" t="str">
            <v>CD20021</v>
          </cell>
        </row>
        <row r="785">
          <cell r="A785" t="str">
            <v>CD20022</v>
          </cell>
        </row>
        <row r="786">
          <cell r="A786" t="str">
            <v>CD20023</v>
          </cell>
        </row>
        <row r="787">
          <cell r="A787" t="str">
            <v>CD20024</v>
          </cell>
        </row>
        <row r="788">
          <cell r="A788" t="str">
            <v>CD20025</v>
          </cell>
        </row>
        <row r="789">
          <cell r="A789" t="str">
            <v>CD20026</v>
          </cell>
        </row>
        <row r="790">
          <cell r="A790" t="str">
            <v>CD20027</v>
          </cell>
        </row>
        <row r="791">
          <cell r="A791" t="str">
            <v>CD20028</v>
          </cell>
        </row>
        <row r="792">
          <cell r="A792" t="str">
            <v>CD20029</v>
          </cell>
        </row>
        <row r="793">
          <cell r="A793" t="str">
            <v>CD20030</v>
          </cell>
        </row>
        <row r="794">
          <cell r="A794" t="str">
            <v>CD20031</v>
          </cell>
        </row>
        <row r="795">
          <cell r="A795" t="str">
            <v>CD20032</v>
          </cell>
        </row>
        <row r="796">
          <cell r="A796" t="str">
            <v>CD20033</v>
          </cell>
        </row>
        <row r="797">
          <cell r="A797" t="str">
            <v>CD20034</v>
          </cell>
        </row>
        <row r="798">
          <cell r="A798" t="str">
            <v>CD20035</v>
          </cell>
        </row>
        <row r="799">
          <cell r="A799" t="str">
            <v>CD20036</v>
          </cell>
        </row>
        <row r="800">
          <cell r="A800" t="str">
            <v>CD20037</v>
          </cell>
        </row>
        <row r="801">
          <cell r="A801" t="str">
            <v>CD20038</v>
          </cell>
        </row>
        <row r="802">
          <cell r="A802" t="str">
            <v>CD20039</v>
          </cell>
        </row>
        <row r="803">
          <cell r="A803" t="str">
            <v>CD20040</v>
          </cell>
        </row>
        <row r="804">
          <cell r="A804" t="str">
            <v>CD20041</v>
          </cell>
        </row>
        <row r="805">
          <cell r="A805" t="str">
            <v>CD20042</v>
          </cell>
        </row>
        <row r="806">
          <cell r="A806" t="str">
            <v>CD20043</v>
          </cell>
        </row>
        <row r="807">
          <cell r="A807" t="str">
            <v>CD20044</v>
          </cell>
        </row>
        <row r="808">
          <cell r="A808" t="str">
            <v>CD20045</v>
          </cell>
        </row>
        <row r="809">
          <cell r="A809" t="str">
            <v>CD20046</v>
          </cell>
        </row>
        <row r="810">
          <cell r="A810" t="str">
            <v>CD20047</v>
          </cell>
        </row>
        <row r="811">
          <cell r="A811" t="str">
            <v>CD20048</v>
          </cell>
        </row>
        <row r="812">
          <cell r="A812" t="str">
            <v>CD20049</v>
          </cell>
        </row>
        <row r="813">
          <cell r="A813" t="str">
            <v>CD20050</v>
          </cell>
        </row>
        <row r="814">
          <cell r="A814" t="str">
            <v>CD20051</v>
          </cell>
        </row>
        <row r="815">
          <cell r="A815" t="str">
            <v>CD20052</v>
          </cell>
        </row>
        <row r="816">
          <cell r="A816" t="str">
            <v>CD20053</v>
          </cell>
        </row>
        <row r="817">
          <cell r="A817" t="str">
            <v>CD20054</v>
          </cell>
        </row>
        <row r="818">
          <cell r="A818" t="str">
            <v>CD20055</v>
          </cell>
        </row>
        <row r="819">
          <cell r="A819" t="str">
            <v>CD20056</v>
          </cell>
        </row>
        <row r="820">
          <cell r="A820" t="str">
            <v>CD20057</v>
          </cell>
        </row>
        <row r="821">
          <cell r="A821" t="str">
            <v>CD20058</v>
          </cell>
        </row>
        <row r="822">
          <cell r="A822" t="str">
            <v>CD20059</v>
          </cell>
        </row>
        <row r="823">
          <cell r="A823" t="str">
            <v>CD20060</v>
          </cell>
        </row>
        <row r="824">
          <cell r="A824" t="str">
            <v>CD20061</v>
          </cell>
        </row>
        <row r="825">
          <cell r="A825" t="str">
            <v>CD20062</v>
          </cell>
        </row>
        <row r="826">
          <cell r="A826" t="str">
            <v>CD20063</v>
          </cell>
        </row>
        <row r="827">
          <cell r="A827" t="str">
            <v>CD20064</v>
          </cell>
        </row>
        <row r="828">
          <cell r="A828" t="str">
            <v>CD20065</v>
          </cell>
        </row>
        <row r="829">
          <cell r="A829" t="str">
            <v>CD20066</v>
          </cell>
        </row>
        <row r="830">
          <cell r="A830" t="str">
            <v>CD20067</v>
          </cell>
        </row>
        <row r="831">
          <cell r="A831" t="str">
            <v>CD20068</v>
          </cell>
        </row>
        <row r="832">
          <cell r="A832" t="str">
            <v>CD22007</v>
          </cell>
        </row>
        <row r="833">
          <cell r="A833" t="str">
            <v>CD22008</v>
          </cell>
        </row>
        <row r="834">
          <cell r="A834" t="str">
            <v>CD22009</v>
          </cell>
        </row>
        <row r="835">
          <cell r="A835" t="str">
            <v>CD22010</v>
          </cell>
        </row>
        <row r="836">
          <cell r="A836" t="str">
            <v>CD22011</v>
          </cell>
        </row>
        <row r="837">
          <cell r="A837" t="str">
            <v>CD22012</v>
          </cell>
        </row>
        <row r="838">
          <cell r="A838" t="str">
            <v>CD22013</v>
          </cell>
        </row>
        <row r="839">
          <cell r="A839" t="str">
            <v>CD22014</v>
          </cell>
        </row>
        <row r="840">
          <cell r="A840" t="str">
            <v>CD22015</v>
          </cell>
        </row>
        <row r="841">
          <cell r="A841" t="str">
            <v>CD22016</v>
          </cell>
        </row>
        <row r="842">
          <cell r="A842" t="str">
            <v>CD22017</v>
          </cell>
        </row>
        <row r="843">
          <cell r="A843" t="str">
            <v>CD22018</v>
          </cell>
        </row>
        <row r="844">
          <cell r="A844" t="str">
            <v>CD22019</v>
          </cell>
        </row>
        <row r="845">
          <cell r="A845" t="str">
            <v>CD22020</v>
          </cell>
        </row>
        <row r="846">
          <cell r="A846" t="str">
            <v>CD22021</v>
          </cell>
        </row>
        <row r="847">
          <cell r="A847" t="str">
            <v>CD22022</v>
          </cell>
        </row>
        <row r="848">
          <cell r="A848" t="str">
            <v>CD22023</v>
          </cell>
        </row>
        <row r="849">
          <cell r="A849" t="str">
            <v>CD22024</v>
          </cell>
        </row>
        <row r="850">
          <cell r="A850" t="str">
            <v>CD22025</v>
          </cell>
        </row>
        <row r="851">
          <cell r="A851" t="str">
            <v>CD22026</v>
          </cell>
        </row>
        <row r="852">
          <cell r="A852" t="str">
            <v>CD22027</v>
          </cell>
        </row>
        <row r="853">
          <cell r="A853" t="str">
            <v>CD22028</v>
          </cell>
        </row>
        <row r="854">
          <cell r="A854" t="str">
            <v>CD22029</v>
          </cell>
        </row>
        <row r="855">
          <cell r="A855" t="str">
            <v>CD22030</v>
          </cell>
        </row>
        <row r="856">
          <cell r="A856" t="str">
            <v>CD22031</v>
          </cell>
        </row>
        <row r="857">
          <cell r="A857" t="str">
            <v>CD22032</v>
          </cell>
        </row>
        <row r="858">
          <cell r="A858" t="str">
            <v>CD22033</v>
          </cell>
        </row>
        <row r="859">
          <cell r="A859" t="str">
            <v>CD22034</v>
          </cell>
        </row>
        <row r="860">
          <cell r="A860" t="str">
            <v>CD22035</v>
          </cell>
        </row>
        <row r="861">
          <cell r="A861" t="str">
            <v>CD22036</v>
          </cell>
        </row>
        <row r="862">
          <cell r="A862" t="str">
            <v>CD22037</v>
          </cell>
        </row>
        <row r="863">
          <cell r="A863" t="str">
            <v>CD22038</v>
          </cell>
        </row>
        <row r="864">
          <cell r="A864" t="str">
            <v>CD22039</v>
          </cell>
        </row>
        <row r="865">
          <cell r="A865" t="str">
            <v>CD22040</v>
          </cell>
        </row>
        <row r="866">
          <cell r="A866" t="str">
            <v>CD22041</v>
          </cell>
        </row>
        <row r="867">
          <cell r="A867" t="str">
            <v>CD22042</v>
          </cell>
        </row>
        <row r="868">
          <cell r="A868" t="str">
            <v>CD22043</v>
          </cell>
        </row>
        <row r="869">
          <cell r="A869" t="str">
            <v>CD22044</v>
          </cell>
        </row>
        <row r="870">
          <cell r="A870" t="str">
            <v>CD22045</v>
          </cell>
        </row>
        <row r="871">
          <cell r="A871" t="str">
            <v>CD22046</v>
          </cell>
        </row>
        <row r="872">
          <cell r="A872" t="str">
            <v>CD22047</v>
          </cell>
        </row>
        <row r="873">
          <cell r="A873" t="str">
            <v>CD22048</v>
          </cell>
        </row>
        <row r="874">
          <cell r="A874" t="str">
            <v>CD22049</v>
          </cell>
        </row>
        <row r="875">
          <cell r="A875" t="str">
            <v>CD22050</v>
          </cell>
        </row>
        <row r="876">
          <cell r="A876" t="str">
            <v>CD22051</v>
          </cell>
        </row>
        <row r="877">
          <cell r="A877" t="str">
            <v>CD22052</v>
          </cell>
        </row>
        <row r="878">
          <cell r="A878" t="str">
            <v>CD22053</v>
          </cell>
        </row>
        <row r="879">
          <cell r="A879" t="str">
            <v>CD22054</v>
          </cell>
        </row>
        <row r="880">
          <cell r="A880" t="str">
            <v>CD22055</v>
          </cell>
        </row>
        <row r="881">
          <cell r="A881" t="str">
            <v>CD22056</v>
          </cell>
        </row>
        <row r="882">
          <cell r="A882" t="str">
            <v>CD22057</v>
          </cell>
        </row>
        <row r="883">
          <cell r="A883" t="str">
            <v>CD22058</v>
          </cell>
        </row>
        <row r="884">
          <cell r="A884" t="str">
            <v>CD22059</v>
          </cell>
        </row>
        <row r="885">
          <cell r="A885" t="str">
            <v>CD22060</v>
          </cell>
        </row>
        <row r="886">
          <cell r="A886" t="str">
            <v>CD22061</v>
          </cell>
        </row>
        <row r="887">
          <cell r="A887" t="str">
            <v>CD22062</v>
          </cell>
        </row>
        <row r="888">
          <cell r="A888" t="str">
            <v>CD22063</v>
          </cell>
        </row>
        <row r="889">
          <cell r="A889" t="str">
            <v>CD22064</v>
          </cell>
        </row>
        <row r="890">
          <cell r="A890" t="str">
            <v>CD22065</v>
          </cell>
        </row>
        <row r="891">
          <cell r="A891" t="str">
            <v>CD22066</v>
          </cell>
        </row>
        <row r="892">
          <cell r="A892" t="str">
            <v>CD22067</v>
          </cell>
        </row>
        <row r="893">
          <cell r="A893" t="str">
            <v>CD22068</v>
          </cell>
        </row>
        <row r="894">
          <cell r="A894" t="str">
            <v>CD24007</v>
          </cell>
        </row>
        <row r="895">
          <cell r="A895" t="str">
            <v>CD24008</v>
          </cell>
        </row>
        <row r="896">
          <cell r="A896" t="str">
            <v>CD24009</v>
          </cell>
        </row>
        <row r="897">
          <cell r="A897" t="str">
            <v>CD24010</v>
          </cell>
        </row>
        <row r="898">
          <cell r="A898" t="str">
            <v>CD24011</v>
          </cell>
        </row>
        <row r="899">
          <cell r="A899" t="str">
            <v>CD24012</v>
          </cell>
        </row>
        <row r="900">
          <cell r="A900" t="str">
            <v>CD24013</v>
          </cell>
        </row>
        <row r="901">
          <cell r="A901" t="str">
            <v>CD24014</v>
          </cell>
        </row>
        <row r="902">
          <cell r="A902" t="str">
            <v>CD24015</v>
          </cell>
        </row>
        <row r="903">
          <cell r="A903" t="str">
            <v>CD24016</v>
          </cell>
        </row>
        <row r="904">
          <cell r="A904" t="str">
            <v>CD24017</v>
          </cell>
        </row>
        <row r="905">
          <cell r="A905" t="str">
            <v>CD24018</v>
          </cell>
        </row>
        <row r="906">
          <cell r="A906" t="str">
            <v>CD24019</v>
          </cell>
        </row>
        <row r="907">
          <cell r="A907" t="str">
            <v>CD24020</v>
          </cell>
        </row>
        <row r="908">
          <cell r="A908" t="str">
            <v>CD24021</v>
          </cell>
        </row>
        <row r="909">
          <cell r="A909" t="str">
            <v>CD24022</v>
          </cell>
        </row>
        <row r="910">
          <cell r="A910" t="str">
            <v>CD24023</v>
          </cell>
        </row>
        <row r="911">
          <cell r="A911" t="str">
            <v>CD24024</v>
          </cell>
        </row>
        <row r="912">
          <cell r="A912" t="str">
            <v>CD24025</v>
          </cell>
        </row>
        <row r="913">
          <cell r="A913" t="str">
            <v>CD24026</v>
          </cell>
        </row>
        <row r="914">
          <cell r="A914" t="str">
            <v>CD24027</v>
          </cell>
        </row>
        <row r="915">
          <cell r="A915" t="str">
            <v>CD24028</v>
          </cell>
        </row>
        <row r="916">
          <cell r="A916" t="str">
            <v>CD24029</v>
          </cell>
        </row>
        <row r="917">
          <cell r="A917" t="str">
            <v>CD24030</v>
          </cell>
        </row>
        <row r="918">
          <cell r="A918" t="str">
            <v>CD24031</v>
          </cell>
        </row>
        <row r="919">
          <cell r="A919" t="str">
            <v>CD24032</v>
          </cell>
        </row>
        <row r="920">
          <cell r="A920" t="str">
            <v>CD24033</v>
          </cell>
        </row>
        <row r="921">
          <cell r="A921" t="str">
            <v>CD24034</v>
          </cell>
        </row>
        <row r="922">
          <cell r="A922" t="str">
            <v>CD24035</v>
          </cell>
        </row>
        <row r="923">
          <cell r="A923" t="str">
            <v>CD24036</v>
          </cell>
        </row>
        <row r="924">
          <cell r="A924" t="str">
            <v>CD24037</v>
          </cell>
        </row>
        <row r="925">
          <cell r="A925" t="str">
            <v>CD24038</v>
          </cell>
        </row>
        <row r="926">
          <cell r="A926" t="str">
            <v>CD24039</v>
          </cell>
        </row>
        <row r="927">
          <cell r="A927" t="str">
            <v>CD24040</v>
          </cell>
        </row>
        <row r="928">
          <cell r="A928" t="str">
            <v>CD24041</v>
          </cell>
        </row>
        <row r="929">
          <cell r="A929" t="str">
            <v>CD24042</v>
          </cell>
        </row>
        <row r="930">
          <cell r="A930" t="str">
            <v>CD24043</v>
          </cell>
        </row>
        <row r="931">
          <cell r="A931" t="str">
            <v>CD24044</v>
          </cell>
        </row>
        <row r="932">
          <cell r="A932" t="str">
            <v>CD24045</v>
          </cell>
        </row>
        <row r="933">
          <cell r="A933" t="str">
            <v>CD24046</v>
          </cell>
        </row>
        <row r="934">
          <cell r="A934" t="str">
            <v>CD24047</v>
          </cell>
        </row>
        <row r="935">
          <cell r="A935" t="str">
            <v>CD24048</v>
          </cell>
        </row>
        <row r="936">
          <cell r="A936" t="str">
            <v>CD24049</v>
          </cell>
        </row>
        <row r="937">
          <cell r="A937" t="str">
            <v>CD24050</v>
          </cell>
        </row>
        <row r="938">
          <cell r="A938" t="str">
            <v>CD24051</v>
          </cell>
        </row>
        <row r="939">
          <cell r="A939" t="str">
            <v>CD24052</v>
          </cell>
        </row>
        <row r="940">
          <cell r="A940" t="str">
            <v>CD24053</v>
          </cell>
        </row>
        <row r="941">
          <cell r="A941" t="str">
            <v>CD24054</v>
          </cell>
        </row>
        <row r="942">
          <cell r="A942" t="str">
            <v>CD24055</v>
          </cell>
        </row>
        <row r="943">
          <cell r="A943" t="str">
            <v>CD24056</v>
          </cell>
        </row>
        <row r="944">
          <cell r="A944" t="str">
            <v>CD24057</v>
          </cell>
        </row>
        <row r="945">
          <cell r="A945" t="str">
            <v>CD24058</v>
          </cell>
        </row>
        <row r="946">
          <cell r="A946" t="str">
            <v>CD24059</v>
          </cell>
        </row>
        <row r="947">
          <cell r="A947" t="str">
            <v>CD24060</v>
          </cell>
        </row>
        <row r="948">
          <cell r="A948" t="str">
            <v>CD24061</v>
          </cell>
        </row>
        <row r="949">
          <cell r="A949" t="str">
            <v>CD24062</v>
          </cell>
        </row>
        <row r="950">
          <cell r="A950" t="str">
            <v>CD24063</v>
          </cell>
        </row>
        <row r="951">
          <cell r="A951" t="str">
            <v>CD24064</v>
          </cell>
        </row>
        <row r="952">
          <cell r="A952" t="str">
            <v>CD24065</v>
          </cell>
        </row>
        <row r="953">
          <cell r="A953" t="str">
            <v>CD24066</v>
          </cell>
        </row>
        <row r="954">
          <cell r="A954" t="str">
            <v>CD24067</v>
          </cell>
        </row>
        <row r="955">
          <cell r="A955" t="str">
            <v>CD24068</v>
          </cell>
        </row>
        <row r="956">
          <cell r="A956" t="str">
            <v>CD26013</v>
          </cell>
        </row>
        <row r="957">
          <cell r="A957" t="str">
            <v>CD26014</v>
          </cell>
        </row>
        <row r="958">
          <cell r="A958" t="str">
            <v>CD26015</v>
          </cell>
        </row>
        <row r="959">
          <cell r="A959" t="str">
            <v>CD26016</v>
          </cell>
        </row>
        <row r="960">
          <cell r="A960" t="str">
            <v>CD26017</v>
          </cell>
        </row>
        <row r="961">
          <cell r="A961" t="str">
            <v>CD26018</v>
          </cell>
        </row>
        <row r="962">
          <cell r="A962" t="str">
            <v>CD26019</v>
          </cell>
        </row>
        <row r="963">
          <cell r="A963" t="str">
            <v>CD26020</v>
          </cell>
        </row>
        <row r="964">
          <cell r="A964" t="str">
            <v>CD26021</v>
          </cell>
        </row>
        <row r="965">
          <cell r="A965" t="str">
            <v>CD26022</v>
          </cell>
        </row>
        <row r="966">
          <cell r="A966" t="str">
            <v>CD26023</v>
          </cell>
        </row>
        <row r="967">
          <cell r="A967" t="str">
            <v>CD26024</v>
          </cell>
        </row>
        <row r="968">
          <cell r="A968" t="str">
            <v>CD26025</v>
          </cell>
        </row>
        <row r="969">
          <cell r="A969" t="str">
            <v>CD26026</v>
          </cell>
        </row>
        <row r="970">
          <cell r="A970" t="str">
            <v>CD26027</v>
          </cell>
        </row>
        <row r="971">
          <cell r="A971" t="str">
            <v>CD26028</v>
          </cell>
        </row>
        <row r="972">
          <cell r="A972" t="str">
            <v>CD26029</v>
          </cell>
        </row>
        <row r="973">
          <cell r="A973" t="str">
            <v>CD26030</v>
          </cell>
        </row>
        <row r="974">
          <cell r="A974" t="str">
            <v>CD26031</v>
          </cell>
        </row>
        <row r="975">
          <cell r="A975" t="str">
            <v>CD26032</v>
          </cell>
        </row>
        <row r="976">
          <cell r="A976" t="str">
            <v>CD26033</v>
          </cell>
        </row>
        <row r="977">
          <cell r="A977" t="str">
            <v>CD26034</v>
          </cell>
        </row>
        <row r="978">
          <cell r="A978" t="str">
            <v>CD26035</v>
          </cell>
        </row>
        <row r="979">
          <cell r="A979" t="str">
            <v>CD26036</v>
          </cell>
        </row>
        <row r="980">
          <cell r="A980" t="str">
            <v>CD26037</v>
          </cell>
        </row>
        <row r="981">
          <cell r="A981" t="str">
            <v>CD26038</v>
          </cell>
        </row>
        <row r="982">
          <cell r="A982" t="str">
            <v>CD26039</v>
          </cell>
        </row>
        <row r="983">
          <cell r="A983" t="str">
            <v>CD26040</v>
          </cell>
        </row>
        <row r="984">
          <cell r="A984" t="str">
            <v>CD26041</v>
          </cell>
        </row>
        <row r="985">
          <cell r="A985" t="str">
            <v>CD26042</v>
          </cell>
        </row>
        <row r="986">
          <cell r="A986" t="str">
            <v>CD26043</v>
          </cell>
        </row>
        <row r="987">
          <cell r="A987" t="str">
            <v>CD26044</v>
          </cell>
        </row>
        <row r="988">
          <cell r="A988" t="str">
            <v>CD26045</v>
          </cell>
        </row>
        <row r="989">
          <cell r="A989" t="str">
            <v>CD26046</v>
          </cell>
        </row>
        <row r="990">
          <cell r="A990" t="str">
            <v>CD26047</v>
          </cell>
        </row>
        <row r="991">
          <cell r="A991" t="str">
            <v>CD26048</v>
          </cell>
        </row>
        <row r="992">
          <cell r="A992" t="str">
            <v>CD26049</v>
          </cell>
        </row>
        <row r="993">
          <cell r="A993" t="str">
            <v>CD26050</v>
          </cell>
        </row>
        <row r="994">
          <cell r="A994" t="str">
            <v>CD26051</v>
          </cell>
        </row>
        <row r="995">
          <cell r="A995" t="str">
            <v>CD26052</v>
          </cell>
        </row>
        <row r="996">
          <cell r="A996" t="str">
            <v>CD26053</v>
          </cell>
        </row>
        <row r="997">
          <cell r="A997" t="str">
            <v>CD26054</v>
          </cell>
        </row>
        <row r="998">
          <cell r="A998" t="str">
            <v>CD26055</v>
          </cell>
        </row>
        <row r="999">
          <cell r="A999" t="str">
            <v>CD26056</v>
          </cell>
        </row>
        <row r="1000">
          <cell r="A1000" t="str">
            <v>CD26057</v>
          </cell>
        </row>
        <row r="1001">
          <cell r="A1001" t="str">
            <v>CD26058</v>
          </cell>
        </row>
        <row r="1002">
          <cell r="A1002" t="str">
            <v>CD26059</v>
          </cell>
        </row>
        <row r="1003">
          <cell r="A1003" t="str">
            <v>CD26060</v>
          </cell>
        </row>
        <row r="1004">
          <cell r="A1004" t="str">
            <v>CD26061</v>
          </cell>
        </row>
        <row r="1005">
          <cell r="A1005" t="str">
            <v>CD26062</v>
          </cell>
        </row>
        <row r="1006">
          <cell r="A1006" t="str">
            <v>CD26063</v>
          </cell>
        </row>
        <row r="1007">
          <cell r="A1007" t="str">
            <v>CD26064</v>
          </cell>
        </row>
        <row r="1008">
          <cell r="A1008" t="str">
            <v>CD26065</v>
          </cell>
        </row>
        <row r="1009">
          <cell r="A1009" t="str">
            <v>CD26066</v>
          </cell>
        </row>
        <row r="1010">
          <cell r="A1010" t="str">
            <v>CD26067</v>
          </cell>
        </row>
        <row r="1011">
          <cell r="A1011" t="str">
            <v>CD26068</v>
          </cell>
        </row>
        <row r="1012">
          <cell r="A1012" t="str">
            <v>CD28013</v>
          </cell>
        </row>
        <row r="1013">
          <cell r="A1013" t="str">
            <v>CD28014</v>
          </cell>
        </row>
        <row r="1014">
          <cell r="A1014" t="str">
            <v>CD28015</v>
          </cell>
        </row>
        <row r="1015">
          <cell r="A1015" t="str">
            <v>CD28016</v>
          </cell>
        </row>
        <row r="1016">
          <cell r="A1016" t="str">
            <v>CD28017</v>
          </cell>
        </row>
        <row r="1017">
          <cell r="A1017" t="str">
            <v>CD28018</v>
          </cell>
        </row>
        <row r="1018">
          <cell r="A1018" t="str">
            <v>CD28019</v>
          </cell>
        </row>
        <row r="1019">
          <cell r="A1019" t="str">
            <v>CD28020</v>
          </cell>
        </row>
        <row r="1020">
          <cell r="A1020" t="str">
            <v>CD28021</v>
          </cell>
        </row>
        <row r="1021">
          <cell r="A1021" t="str">
            <v>CD28022</v>
          </cell>
        </row>
        <row r="1022">
          <cell r="A1022" t="str">
            <v>CD28023</v>
          </cell>
        </row>
        <row r="1023">
          <cell r="A1023" t="str">
            <v>CD28024</v>
          </cell>
        </row>
        <row r="1024">
          <cell r="A1024" t="str">
            <v>CD28025</v>
          </cell>
        </row>
        <row r="1025">
          <cell r="A1025" t="str">
            <v>CD28026</v>
          </cell>
        </row>
        <row r="1026">
          <cell r="A1026" t="str">
            <v>CD28027</v>
          </cell>
        </row>
        <row r="1027">
          <cell r="A1027" t="str">
            <v>CD28028</v>
          </cell>
        </row>
        <row r="1028">
          <cell r="A1028" t="str">
            <v>CD28029</v>
          </cell>
        </row>
        <row r="1029">
          <cell r="A1029" t="str">
            <v>CD28030</v>
          </cell>
        </row>
        <row r="1030">
          <cell r="A1030" t="str">
            <v>CD28031</v>
          </cell>
        </row>
        <row r="1031">
          <cell r="A1031" t="str">
            <v>CD28032</v>
          </cell>
        </row>
        <row r="1032">
          <cell r="A1032" t="str">
            <v>CD28033</v>
          </cell>
        </row>
        <row r="1033">
          <cell r="A1033" t="str">
            <v>CD28034</v>
          </cell>
        </row>
        <row r="1034">
          <cell r="A1034" t="str">
            <v>CD28035</v>
          </cell>
        </row>
        <row r="1035">
          <cell r="A1035" t="str">
            <v>CD28036</v>
          </cell>
        </row>
        <row r="1036">
          <cell r="A1036" t="str">
            <v>CD28037</v>
          </cell>
        </row>
        <row r="1037">
          <cell r="A1037" t="str">
            <v>CD28038</v>
          </cell>
        </row>
        <row r="1038">
          <cell r="A1038" t="str">
            <v>CD28039</v>
          </cell>
        </row>
        <row r="1039">
          <cell r="A1039" t="str">
            <v>CD28040</v>
          </cell>
        </row>
        <row r="1040">
          <cell r="A1040" t="str">
            <v>CD28041</v>
          </cell>
        </row>
        <row r="1041">
          <cell r="A1041" t="str">
            <v>CD28042</v>
          </cell>
        </row>
        <row r="1042">
          <cell r="A1042" t="str">
            <v>CD28043</v>
          </cell>
        </row>
        <row r="1043">
          <cell r="A1043" t="str">
            <v>CD28044</v>
          </cell>
        </row>
        <row r="1044">
          <cell r="A1044" t="str">
            <v>CD28045</v>
          </cell>
        </row>
        <row r="1045">
          <cell r="A1045" t="str">
            <v>CD28046</v>
          </cell>
        </row>
        <row r="1046">
          <cell r="A1046" t="str">
            <v>CD28047</v>
          </cell>
        </row>
        <row r="1047">
          <cell r="A1047" t="str">
            <v>CD28048</v>
          </cell>
        </row>
        <row r="1048">
          <cell r="A1048" t="str">
            <v>CD28049</v>
          </cell>
        </row>
        <row r="1049">
          <cell r="A1049" t="str">
            <v>CD28050</v>
          </cell>
        </row>
        <row r="1050">
          <cell r="A1050" t="str">
            <v>CD28051</v>
          </cell>
        </row>
        <row r="1051">
          <cell r="A1051" t="str">
            <v>CD28052</v>
          </cell>
        </row>
        <row r="1052">
          <cell r="A1052" t="str">
            <v>CD28053</v>
          </cell>
        </row>
        <row r="1053">
          <cell r="A1053" t="str">
            <v>CD28054</v>
          </cell>
        </row>
        <row r="1054">
          <cell r="A1054" t="str">
            <v>CD28055</v>
          </cell>
        </row>
        <row r="1055">
          <cell r="A1055" t="str">
            <v>CD28056</v>
          </cell>
        </row>
        <row r="1056">
          <cell r="A1056" t="str">
            <v>CD28057</v>
          </cell>
        </row>
        <row r="1057">
          <cell r="A1057" t="str">
            <v>CD28058</v>
          </cell>
        </row>
        <row r="1058">
          <cell r="A1058" t="str">
            <v>CD28059</v>
          </cell>
        </row>
        <row r="1059">
          <cell r="A1059" t="str">
            <v>CD28060</v>
          </cell>
        </row>
        <row r="1060">
          <cell r="A1060" t="str">
            <v>CD28061</v>
          </cell>
        </row>
        <row r="1061">
          <cell r="A1061" t="str">
            <v>CD28062</v>
          </cell>
        </row>
        <row r="1062">
          <cell r="A1062" t="str">
            <v>CD28063</v>
          </cell>
        </row>
        <row r="1063">
          <cell r="A1063" t="str">
            <v>CD28064</v>
          </cell>
        </row>
        <row r="1064">
          <cell r="A1064" t="str">
            <v>CD28065</v>
          </cell>
        </row>
        <row r="1065">
          <cell r="A1065" t="str">
            <v>CD28066</v>
          </cell>
        </row>
        <row r="1066">
          <cell r="A1066" t="str">
            <v>CD28067</v>
          </cell>
        </row>
        <row r="1067">
          <cell r="A1067" t="str">
            <v>CD28068</v>
          </cell>
        </row>
        <row r="1068">
          <cell r="A1068" t="str">
            <v>CD30013</v>
          </cell>
        </row>
        <row r="1069">
          <cell r="A1069" t="str">
            <v>CD30014</v>
          </cell>
        </row>
        <row r="1070">
          <cell r="A1070" t="str">
            <v>CD30015</v>
          </cell>
        </row>
        <row r="1071">
          <cell r="A1071" t="str">
            <v>CD30016</v>
          </cell>
        </row>
        <row r="1072">
          <cell r="A1072" t="str">
            <v>CD30017</v>
          </cell>
        </row>
        <row r="1073">
          <cell r="A1073" t="str">
            <v>CD30018</v>
          </cell>
        </row>
        <row r="1074">
          <cell r="A1074" t="str">
            <v>CD30019</v>
          </cell>
        </row>
        <row r="1075">
          <cell r="A1075" t="str">
            <v>CD30020</v>
          </cell>
        </row>
        <row r="1076">
          <cell r="A1076" t="str">
            <v>CD30021</v>
          </cell>
        </row>
        <row r="1077">
          <cell r="A1077" t="str">
            <v>CD30022</v>
          </cell>
        </row>
        <row r="1078">
          <cell r="A1078" t="str">
            <v>CD30023</v>
          </cell>
        </row>
        <row r="1079">
          <cell r="A1079" t="str">
            <v>CD30024</v>
          </cell>
        </row>
        <row r="1080">
          <cell r="A1080" t="str">
            <v>CD30025</v>
          </cell>
        </row>
        <row r="1081">
          <cell r="A1081" t="str">
            <v>CD30026</v>
          </cell>
        </row>
        <row r="1082">
          <cell r="A1082" t="str">
            <v>CD30027</v>
          </cell>
        </row>
        <row r="1083">
          <cell r="A1083" t="str">
            <v>CD30028</v>
          </cell>
        </row>
        <row r="1084">
          <cell r="A1084" t="str">
            <v>CD30029</v>
          </cell>
        </row>
        <row r="1085">
          <cell r="A1085" t="str">
            <v>CD30030</v>
          </cell>
        </row>
        <row r="1086">
          <cell r="A1086" t="str">
            <v>CD30031</v>
          </cell>
        </row>
        <row r="1087">
          <cell r="A1087" t="str">
            <v>CD30032</v>
          </cell>
        </row>
        <row r="1088">
          <cell r="A1088" t="str">
            <v>CD30033</v>
          </cell>
        </row>
        <row r="1089">
          <cell r="A1089" t="str">
            <v>CD30034</v>
          </cell>
        </row>
        <row r="1090">
          <cell r="A1090" t="str">
            <v>CD30035</v>
          </cell>
        </row>
        <row r="1091">
          <cell r="A1091" t="str">
            <v>CD30036</v>
          </cell>
        </row>
        <row r="1092">
          <cell r="A1092" t="str">
            <v>CD30037</v>
          </cell>
        </row>
        <row r="1093">
          <cell r="A1093" t="str">
            <v>CD30038</v>
          </cell>
        </row>
        <row r="1094">
          <cell r="A1094" t="str">
            <v>CD30039</v>
          </cell>
        </row>
        <row r="1095">
          <cell r="A1095" t="str">
            <v>CD30040</v>
          </cell>
        </row>
        <row r="1096">
          <cell r="A1096" t="str">
            <v>CD30041</v>
          </cell>
        </row>
        <row r="1097">
          <cell r="A1097" t="str">
            <v>CD30042</v>
          </cell>
        </row>
        <row r="1098">
          <cell r="A1098" t="str">
            <v>CD30043</v>
          </cell>
        </row>
        <row r="1099">
          <cell r="A1099" t="str">
            <v>CD30044</v>
          </cell>
        </row>
        <row r="1100">
          <cell r="A1100" t="str">
            <v>CD30045</v>
          </cell>
        </row>
        <row r="1101">
          <cell r="A1101" t="str">
            <v>CD30046</v>
          </cell>
        </row>
        <row r="1102">
          <cell r="A1102" t="str">
            <v>CD30047</v>
          </cell>
        </row>
        <row r="1103">
          <cell r="A1103" t="str">
            <v>CD30048</v>
          </cell>
        </row>
        <row r="1104">
          <cell r="A1104" t="str">
            <v>CD30049</v>
          </cell>
        </row>
        <row r="1105">
          <cell r="A1105" t="str">
            <v>CD30050</v>
          </cell>
        </row>
        <row r="1106">
          <cell r="A1106" t="str">
            <v>CD30051</v>
          </cell>
        </row>
        <row r="1107">
          <cell r="A1107" t="str">
            <v>CD30052</v>
          </cell>
        </row>
        <row r="1108">
          <cell r="A1108" t="str">
            <v>CD30053</v>
          </cell>
        </row>
        <row r="1109">
          <cell r="A1109" t="str">
            <v>CD30054</v>
          </cell>
        </row>
        <row r="1110">
          <cell r="A1110" t="str">
            <v>CD30055</v>
          </cell>
        </row>
        <row r="1111">
          <cell r="A1111" t="str">
            <v>CD30056</v>
          </cell>
        </row>
        <row r="1112">
          <cell r="A1112" t="str">
            <v>CD30057</v>
          </cell>
        </row>
        <row r="1113">
          <cell r="A1113" t="str">
            <v>CD30058</v>
          </cell>
        </row>
        <row r="1114">
          <cell r="A1114" t="str">
            <v>CD30059</v>
          </cell>
        </row>
        <row r="1115">
          <cell r="A1115" t="str">
            <v>CD30060</v>
          </cell>
        </row>
        <row r="1116">
          <cell r="A1116" t="str">
            <v>CD30061</v>
          </cell>
        </row>
        <row r="1117">
          <cell r="A1117" t="str">
            <v>CD30062</v>
          </cell>
        </row>
        <row r="1118">
          <cell r="A1118" t="str">
            <v>CD30063</v>
          </cell>
        </row>
        <row r="1119">
          <cell r="A1119" t="str">
            <v>CD30064</v>
          </cell>
        </row>
        <row r="1120">
          <cell r="A1120" t="str">
            <v>CD30065</v>
          </cell>
        </row>
        <row r="1121">
          <cell r="A1121" t="str">
            <v>CD30066</v>
          </cell>
        </row>
        <row r="1122">
          <cell r="A1122" t="str">
            <v>CD30067</v>
          </cell>
        </row>
        <row r="1123">
          <cell r="A1123" t="str">
            <v>CD30068</v>
          </cell>
        </row>
        <row r="1124">
          <cell r="A1124" t="str">
            <v>CD33029</v>
          </cell>
        </row>
        <row r="1125">
          <cell r="A1125" t="str">
            <v>CD33030</v>
          </cell>
        </row>
        <row r="1126">
          <cell r="A1126" t="str">
            <v>CD33031</v>
          </cell>
        </row>
        <row r="1127">
          <cell r="A1127" t="str">
            <v>CD33032</v>
          </cell>
        </row>
        <row r="1128">
          <cell r="A1128" t="str">
            <v>CD33033</v>
          </cell>
        </row>
        <row r="1129">
          <cell r="A1129" t="str">
            <v>CD33034</v>
          </cell>
        </row>
        <row r="1130">
          <cell r="A1130" t="str">
            <v>CD33035</v>
          </cell>
        </row>
        <row r="1131">
          <cell r="A1131" t="str">
            <v>CD33036</v>
          </cell>
        </row>
        <row r="1132">
          <cell r="A1132" t="str">
            <v>CD33037</v>
          </cell>
        </row>
        <row r="1133">
          <cell r="A1133" t="str">
            <v>CD33038</v>
          </cell>
        </row>
        <row r="1134">
          <cell r="A1134" t="str">
            <v>CD33039</v>
          </cell>
        </row>
        <row r="1135">
          <cell r="A1135" t="str">
            <v>CD33040</v>
          </cell>
        </row>
        <row r="1136">
          <cell r="A1136" t="str">
            <v>CD33041</v>
          </cell>
        </row>
        <row r="1137">
          <cell r="A1137" t="str">
            <v>CD33042</v>
          </cell>
        </row>
        <row r="1138">
          <cell r="A1138" t="str">
            <v>CD33043</v>
          </cell>
        </row>
        <row r="1139">
          <cell r="A1139" t="str">
            <v>CD33044</v>
          </cell>
        </row>
        <row r="1140">
          <cell r="A1140" t="str">
            <v>CD33045</v>
          </cell>
        </row>
        <row r="1141">
          <cell r="A1141" t="str">
            <v>CD33046</v>
          </cell>
        </row>
        <row r="1142">
          <cell r="A1142" t="str">
            <v>CD33047</v>
          </cell>
        </row>
        <row r="1143">
          <cell r="A1143" t="str">
            <v>CD33048</v>
          </cell>
        </row>
        <row r="1144">
          <cell r="A1144" t="str">
            <v>CD33049</v>
          </cell>
        </row>
        <row r="1145">
          <cell r="A1145" t="str">
            <v>CD33050</v>
          </cell>
        </row>
        <row r="1146">
          <cell r="A1146" t="str">
            <v>CD33051</v>
          </cell>
        </row>
        <row r="1147">
          <cell r="A1147" t="str">
            <v>CD33052</v>
          </cell>
        </row>
        <row r="1148">
          <cell r="A1148" t="str">
            <v>CD33053</v>
          </cell>
        </row>
        <row r="1149">
          <cell r="A1149" t="str">
            <v>CD33054</v>
          </cell>
        </row>
        <row r="1150">
          <cell r="A1150" t="str">
            <v>CD33055</v>
          </cell>
        </row>
        <row r="1151">
          <cell r="A1151" t="str">
            <v>CD33056</v>
          </cell>
        </row>
        <row r="1152">
          <cell r="A1152" t="str">
            <v>CD33057</v>
          </cell>
        </row>
        <row r="1153">
          <cell r="A1153" t="str">
            <v>CD33058</v>
          </cell>
        </row>
        <row r="1154">
          <cell r="A1154" t="str">
            <v>CD33059</v>
          </cell>
        </row>
        <row r="1155">
          <cell r="A1155" t="str">
            <v>CD33060</v>
          </cell>
        </row>
        <row r="1156">
          <cell r="A1156" t="str">
            <v>CD33061</v>
          </cell>
        </row>
        <row r="1157">
          <cell r="A1157" t="str">
            <v>CD33062</v>
          </cell>
        </row>
        <row r="1158">
          <cell r="A1158" t="str">
            <v>CD33063</v>
          </cell>
        </row>
        <row r="1159">
          <cell r="A1159" t="str">
            <v>CD33064</v>
          </cell>
        </row>
        <row r="1160">
          <cell r="A1160" t="str">
            <v>CD33065</v>
          </cell>
        </row>
        <row r="1161">
          <cell r="A1161" t="str">
            <v>CD33066</v>
          </cell>
        </row>
        <row r="1162">
          <cell r="A1162" t="str">
            <v>CD33067</v>
          </cell>
        </row>
        <row r="1163">
          <cell r="A1163" t="str">
            <v>CD33068</v>
          </cell>
        </row>
        <row r="1164">
          <cell r="A1164" t="str">
            <v>CD36029</v>
          </cell>
        </row>
        <row r="1165">
          <cell r="A1165" t="str">
            <v>CD36030</v>
          </cell>
        </row>
        <row r="1166">
          <cell r="A1166" t="str">
            <v>CD36031</v>
          </cell>
        </row>
        <row r="1167">
          <cell r="A1167" t="str">
            <v>CD36032</v>
          </cell>
        </row>
        <row r="1168">
          <cell r="A1168" t="str">
            <v>CD36033</v>
          </cell>
        </row>
        <row r="1169">
          <cell r="A1169" t="str">
            <v>CD36034</v>
          </cell>
        </row>
        <row r="1170">
          <cell r="A1170" t="str">
            <v>CD36035</v>
          </cell>
        </row>
        <row r="1171">
          <cell r="A1171" t="str">
            <v>CD36036</v>
          </cell>
        </row>
        <row r="1172">
          <cell r="A1172" t="str">
            <v>CD36037</v>
          </cell>
        </row>
        <row r="1173">
          <cell r="A1173" t="str">
            <v>CD36038</v>
          </cell>
        </row>
        <row r="1174">
          <cell r="A1174" t="str">
            <v>CD36039</v>
          </cell>
        </row>
        <row r="1175">
          <cell r="A1175" t="str">
            <v>CD36040</v>
          </cell>
        </row>
        <row r="1176">
          <cell r="A1176" t="str">
            <v>CD36041</v>
          </cell>
        </row>
        <row r="1177">
          <cell r="A1177" t="str">
            <v>CD36042</v>
          </cell>
        </row>
        <row r="1178">
          <cell r="A1178" t="str">
            <v>CD36043</v>
          </cell>
        </row>
        <row r="1179">
          <cell r="A1179" t="str">
            <v>CD36044</v>
          </cell>
        </row>
        <row r="1180">
          <cell r="A1180" t="str">
            <v>CD36045</v>
          </cell>
        </row>
        <row r="1181">
          <cell r="A1181" t="str">
            <v>CD36046</v>
          </cell>
        </row>
        <row r="1182">
          <cell r="A1182" t="str">
            <v>CD36047</v>
          </cell>
        </row>
        <row r="1183">
          <cell r="A1183" t="str">
            <v>CD36048</v>
          </cell>
        </row>
        <row r="1184">
          <cell r="A1184" t="str">
            <v>CD36049</v>
          </cell>
        </row>
        <row r="1185">
          <cell r="A1185" t="str">
            <v>CD36050</v>
          </cell>
        </row>
        <row r="1186">
          <cell r="A1186" t="str">
            <v>CD36051</v>
          </cell>
        </row>
        <row r="1187">
          <cell r="A1187" t="str">
            <v>CD36052</v>
          </cell>
        </row>
        <row r="1188">
          <cell r="A1188" t="str">
            <v>CD36053</v>
          </cell>
        </row>
        <row r="1189">
          <cell r="A1189" t="str">
            <v>CD36054</v>
          </cell>
        </row>
        <row r="1190">
          <cell r="A1190" t="str">
            <v>CD36055</v>
          </cell>
        </row>
        <row r="1191">
          <cell r="A1191" t="str">
            <v>CD36056</v>
          </cell>
        </row>
        <row r="1192">
          <cell r="A1192" t="str">
            <v>CD36057</v>
          </cell>
        </row>
        <row r="1193">
          <cell r="A1193" t="str">
            <v>CD36058</v>
          </cell>
        </row>
        <row r="1194">
          <cell r="A1194" t="str">
            <v>CD36059</v>
          </cell>
        </row>
        <row r="1195">
          <cell r="A1195" t="str">
            <v>CD36060</v>
          </cell>
        </row>
        <row r="1196">
          <cell r="A1196" t="str">
            <v>CD36061</v>
          </cell>
        </row>
        <row r="1197">
          <cell r="A1197" t="str">
            <v>CD36062</v>
          </cell>
        </row>
        <row r="1198">
          <cell r="A1198" t="str">
            <v>CD36063</v>
          </cell>
        </row>
        <row r="1199">
          <cell r="A1199" t="str">
            <v>CD36064</v>
          </cell>
        </row>
        <row r="1200">
          <cell r="A1200" t="str">
            <v>CD36065</v>
          </cell>
        </row>
        <row r="1201">
          <cell r="A1201" t="str">
            <v>CD36066</v>
          </cell>
        </row>
        <row r="1202">
          <cell r="A1202" t="str">
            <v>CD36067</v>
          </cell>
        </row>
        <row r="1203">
          <cell r="A1203" t="str">
            <v>CD36068</v>
          </cell>
        </row>
        <row r="1204">
          <cell r="A1204" t="str">
            <v>CD40029</v>
          </cell>
        </row>
        <row r="1205">
          <cell r="A1205" t="str">
            <v>CD40030</v>
          </cell>
        </row>
        <row r="1206">
          <cell r="A1206" t="str">
            <v>CD40031</v>
          </cell>
        </row>
        <row r="1207">
          <cell r="A1207" t="str">
            <v>CD40032</v>
          </cell>
        </row>
        <row r="1208">
          <cell r="A1208" t="str">
            <v>CD40033</v>
          </cell>
        </row>
        <row r="1209">
          <cell r="A1209" t="str">
            <v>CD40034</v>
          </cell>
        </row>
        <row r="1210">
          <cell r="A1210" t="str">
            <v>CD40035</v>
          </cell>
        </row>
        <row r="1211">
          <cell r="A1211" t="str">
            <v>CD40036</v>
          </cell>
        </row>
        <row r="1212">
          <cell r="A1212" t="str">
            <v>CD40037</v>
          </cell>
        </row>
        <row r="1213">
          <cell r="A1213" t="str">
            <v>CD40038</v>
          </cell>
        </row>
        <row r="1214">
          <cell r="A1214" t="str">
            <v>CD40039</v>
          </cell>
        </row>
        <row r="1215">
          <cell r="A1215" t="str">
            <v>CD40040</v>
          </cell>
        </row>
        <row r="1216">
          <cell r="A1216" t="str">
            <v>CD40041</v>
          </cell>
        </row>
        <row r="1217">
          <cell r="A1217" t="str">
            <v>CD40042</v>
          </cell>
        </row>
        <row r="1218">
          <cell r="A1218" t="str">
            <v>CD40043</v>
          </cell>
        </row>
        <row r="1219">
          <cell r="A1219" t="str">
            <v>CD40044</v>
          </cell>
        </row>
        <row r="1220">
          <cell r="A1220" t="str">
            <v>CD40045</v>
          </cell>
        </row>
        <row r="1221">
          <cell r="A1221" t="str">
            <v>CD40046</v>
          </cell>
        </row>
        <row r="1222">
          <cell r="A1222" t="str">
            <v>CD40047</v>
          </cell>
        </row>
        <row r="1223">
          <cell r="A1223" t="str">
            <v>CD40048</v>
          </cell>
        </row>
        <row r="1224">
          <cell r="A1224" t="str">
            <v>CD40049</v>
          </cell>
        </row>
        <row r="1225">
          <cell r="A1225" t="str">
            <v>CD40050</v>
          </cell>
        </row>
        <row r="1226">
          <cell r="A1226" t="str">
            <v>CD40051</v>
          </cell>
        </row>
        <row r="1227">
          <cell r="A1227" t="str">
            <v>CD40052</v>
          </cell>
        </row>
        <row r="1228">
          <cell r="A1228" t="str">
            <v>CD40053</v>
          </cell>
        </row>
        <row r="1229">
          <cell r="A1229" t="str">
            <v>CD40054</v>
          </cell>
        </row>
        <row r="1230">
          <cell r="A1230" t="str">
            <v>CD40055</v>
          </cell>
        </row>
        <row r="1231">
          <cell r="A1231" t="str">
            <v>CD40056</v>
          </cell>
        </row>
        <row r="1232">
          <cell r="A1232" t="str">
            <v>CD40057</v>
          </cell>
        </row>
        <row r="1233">
          <cell r="A1233" t="str">
            <v>CD40058</v>
          </cell>
        </row>
        <row r="1234">
          <cell r="A1234" t="str">
            <v>CD40059</v>
          </cell>
        </row>
        <row r="1235">
          <cell r="A1235" t="str">
            <v>CD40060</v>
          </cell>
        </row>
        <row r="1236">
          <cell r="A1236" t="str">
            <v>CD40061</v>
          </cell>
        </row>
        <row r="1237">
          <cell r="A1237" t="str">
            <v>CD40062</v>
          </cell>
        </row>
        <row r="1238">
          <cell r="A1238" t="str">
            <v>CD40063</v>
          </cell>
        </row>
        <row r="1239">
          <cell r="A1239" t="str">
            <v>CD40064</v>
          </cell>
        </row>
        <row r="1240">
          <cell r="A1240" t="str">
            <v>CD40065</v>
          </cell>
        </row>
        <row r="1241">
          <cell r="A1241" t="str">
            <v>CD40066</v>
          </cell>
        </row>
        <row r="1242">
          <cell r="A1242" t="str">
            <v>CD40067</v>
          </cell>
        </row>
        <row r="1243">
          <cell r="A1243" t="str">
            <v>CD40068</v>
          </cell>
        </row>
        <row r="1244">
          <cell r="A1244" t="str">
            <v>CH05001</v>
          </cell>
        </row>
        <row r="1245">
          <cell r="A1245" t="str">
            <v>CH05002</v>
          </cell>
        </row>
        <row r="1246">
          <cell r="A1246" t="str">
            <v>CH05003</v>
          </cell>
        </row>
        <row r="1247">
          <cell r="A1247" t="str">
            <v>CH05004</v>
          </cell>
        </row>
        <row r="1248">
          <cell r="A1248" t="str">
            <v>CH05005</v>
          </cell>
        </row>
        <row r="1249">
          <cell r="A1249" t="str">
            <v>CH05006</v>
          </cell>
        </row>
        <row r="1250">
          <cell r="A1250" t="str">
            <v>CH05007</v>
          </cell>
        </row>
        <row r="1251">
          <cell r="A1251" t="str">
            <v>CH05008</v>
          </cell>
        </row>
        <row r="1252">
          <cell r="A1252" t="str">
            <v>CH05009</v>
          </cell>
        </row>
        <row r="1253">
          <cell r="A1253" t="str">
            <v>CH05010</v>
          </cell>
        </row>
        <row r="1254">
          <cell r="A1254" t="str">
            <v>CH05011</v>
          </cell>
        </row>
        <row r="1255">
          <cell r="A1255" t="str">
            <v>CH05012</v>
          </cell>
        </row>
        <row r="1256">
          <cell r="A1256" t="str">
            <v>CH06001</v>
          </cell>
        </row>
        <row r="1257">
          <cell r="A1257" t="str">
            <v>CH06002</v>
          </cell>
        </row>
        <row r="1258">
          <cell r="A1258" t="str">
            <v>CH06003</v>
          </cell>
        </row>
        <row r="1259">
          <cell r="A1259" t="str">
            <v>CH06004</v>
          </cell>
        </row>
        <row r="1260">
          <cell r="A1260" t="str">
            <v>CH06005</v>
          </cell>
        </row>
        <row r="1261">
          <cell r="A1261" t="str">
            <v>CH06006</v>
          </cell>
        </row>
        <row r="1262">
          <cell r="A1262" t="str">
            <v>CH06007</v>
          </cell>
        </row>
        <row r="1263">
          <cell r="A1263" t="str">
            <v>CH06008</v>
          </cell>
        </row>
        <row r="1264">
          <cell r="A1264" t="str">
            <v>CH06009</v>
          </cell>
        </row>
        <row r="1265">
          <cell r="A1265" t="str">
            <v>CH06010</v>
          </cell>
        </row>
        <row r="1266">
          <cell r="A1266" t="str">
            <v>CH06011</v>
          </cell>
        </row>
        <row r="1267">
          <cell r="A1267" t="str">
            <v>CH06012</v>
          </cell>
        </row>
        <row r="1268">
          <cell r="A1268" t="str">
            <v>CH06013</v>
          </cell>
        </row>
        <row r="1269">
          <cell r="A1269" t="str">
            <v>CH06014</v>
          </cell>
        </row>
        <row r="1270">
          <cell r="A1270" t="str">
            <v>CH06015</v>
          </cell>
        </row>
        <row r="1271">
          <cell r="A1271" t="str">
            <v>CH06016</v>
          </cell>
        </row>
        <row r="1272">
          <cell r="A1272" t="str">
            <v>CH06017</v>
          </cell>
        </row>
        <row r="1273">
          <cell r="A1273" t="str">
            <v>CH06018</v>
          </cell>
        </row>
        <row r="1274">
          <cell r="A1274" t="str">
            <v>CH06019</v>
          </cell>
        </row>
        <row r="1275">
          <cell r="A1275" t="str">
            <v>CH06020</v>
          </cell>
        </row>
        <row r="1276">
          <cell r="A1276" t="str">
            <v>CH06021</v>
          </cell>
        </row>
        <row r="1277">
          <cell r="A1277" t="str">
            <v>CH06022</v>
          </cell>
        </row>
        <row r="1278">
          <cell r="A1278" t="str">
            <v>CH06023</v>
          </cell>
        </row>
        <row r="1279">
          <cell r="A1279" t="str">
            <v>CH06024</v>
          </cell>
        </row>
        <row r="1280">
          <cell r="A1280" t="str">
            <v>CH06025</v>
          </cell>
        </row>
        <row r="1281">
          <cell r="A1281" t="str">
            <v>CH06026</v>
          </cell>
        </row>
        <row r="1282">
          <cell r="A1282" t="str">
            <v>CH06027</v>
          </cell>
        </row>
        <row r="1283">
          <cell r="A1283" t="str">
            <v>CH06028</v>
          </cell>
        </row>
        <row r="1284">
          <cell r="A1284" t="str">
            <v>CH07001</v>
          </cell>
        </row>
        <row r="1285">
          <cell r="A1285" t="str">
            <v>CH07002</v>
          </cell>
        </row>
        <row r="1286">
          <cell r="A1286" t="str">
            <v>CH07003</v>
          </cell>
        </row>
        <row r="1287">
          <cell r="A1287" t="str">
            <v>CH07004</v>
          </cell>
        </row>
        <row r="1288">
          <cell r="A1288" t="str">
            <v>CH07005</v>
          </cell>
        </row>
        <row r="1289">
          <cell r="A1289" t="str">
            <v>CH07006</v>
          </cell>
        </row>
        <row r="1290">
          <cell r="A1290" t="str">
            <v>CH07007</v>
          </cell>
        </row>
        <row r="1291">
          <cell r="A1291" t="str">
            <v>CH07008</v>
          </cell>
        </row>
        <row r="1292">
          <cell r="A1292" t="str">
            <v>CH07009</v>
          </cell>
        </row>
        <row r="1293">
          <cell r="A1293" t="str">
            <v>CH07010</v>
          </cell>
        </row>
        <row r="1294">
          <cell r="A1294" t="str">
            <v>CH07011</v>
          </cell>
        </row>
        <row r="1295">
          <cell r="A1295" t="str">
            <v>CH07012</v>
          </cell>
        </row>
        <row r="1296">
          <cell r="A1296" t="str">
            <v>CH07013</v>
          </cell>
        </row>
        <row r="1297">
          <cell r="A1297" t="str">
            <v>CH07014</v>
          </cell>
        </row>
        <row r="1298">
          <cell r="A1298" t="str">
            <v>CH07015</v>
          </cell>
        </row>
        <row r="1299">
          <cell r="A1299" t="str">
            <v>CH07016</v>
          </cell>
        </row>
        <row r="1300">
          <cell r="A1300" t="str">
            <v>CH07017</v>
          </cell>
        </row>
        <row r="1301">
          <cell r="A1301" t="str">
            <v>CH07018</v>
          </cell>
        </row>
        <row r="1302">
          <cell r="A1302" t="str">
            <v>CH07019</v>
          </cell>
        </row>
        <row r="1303">
          <cell r="A1303" t="str">
            <v>CH07020</v>
          </cell>
        </row>
        <row r="1304">
          <cell r="A1304" t="str">
            <v>CH07021</v>
          </cell>
        </row>
        <row r="1305">
          <cell r="A1305" t="str">
            <v>CH07022</v>
          </cell>
        </row>
        <row r="1306">
          <cell r="A1306" t="str">
            <v>CH07023</v>
          </cell>
        </row>
        <row r="1307">
          <cell r="A1307" t="str">
            <v>CH07024</v>
          </cell>
        </row>
        <row r="1308">
          <cell r="A1308" t="str">
            <v>CH07025</v>
          </cell>
        </row>
        <row r="1309">
          <cell r="A1309" t="str">
            <v>CH07026</v>
          </cell>
        </row>
        <row r="1310">
          <cell r="A1310" t="str">
            <v>CH07027</v>
          </cell>
        </row>
        <row r="1311">
          <cell r="A1311" t="str">
            <v>CH07028</v>
          </cell>
        </row>
        <row r="1312">
          <cell r="A1312" t="str">
            <v>CH08001</v>
          </cell>
        </row>
        <row r="1313">
          <cell r="A1313" t="str">
            <v>CH08002</v>
          </cell>
        </row>
        <row r="1314">
          <cell r="A1314" t="str">
            <v>CH08003</v>
          </cell>
        </row>
        <row r="1315">
          <cell r="A1315" t="str">
            <v>CH08004</v>
          </cell>
        </row>
        <row r="1316">
          <cell r="A1316" t="str">
            <v>CH08005</v>
          </cell>
        </row>
        <row r="1317">
          <cell r="A1317" t="str">
            <v>CH08006</v>
          </cell>
        </row>
        <row r="1318">
          <cell r="A1318" t="str">
            <v>CH08007</v>
          </cell>
        </row>
        <row r="1319">
          <cell r="A1319" t="str">
            <v>CH08008</v>
          </cell>
        </row>
        <row r="1320">
          <cell r="A1320" t="str">
            <v>CH08009</v>
          </cell>
        </row>
        <row r="1321">
          <cell r="A1321" t="str">
            <v>CH08010</v>
          </cell>
        </row>
        <row r="1322">
          <cell r="A1322" t="str">
            <v>CH08011</v>
          </cell>
        </row>
        <row r="1323">
          <cell r="A1323" t="str">
            <v>CH08012</v>
          </cell>
        </row>
        <row r="1324">
          <cell r="A1324" t="str">
            <v>CH08013</v>
          </cell>
        </row>
        <row r="1325">
          <cell r="A1325" t="str">
            <v>CH08014</v>
          </cell>
        </row>
        <row r="1326">
          <cell r="A1326" t="str">
            <v>CH08015</v>
          </cell>
        </row>
        <row r="1327">
          <cell r="A1327" t="str">
            <v>CH08016</v>
          </cell>
        </row>
        <row r="1328">
          <cell r="A1328" t="str">
            <v>CH08017</v>
          </cell>
        </row>
        <row r="1329">
          <cell r="A1329" t="str">
            <v>CH08018</v>
          </cell>
        </row>
        <row r="1330">
          <cell r="A1330" t="str">
            <v>CH08019</v>
          </cell>
        </row>
        <row r="1331">
          <cell r="A1331" t="str">
            <v>CH08020</v>
          </cell>
        </row>
        <row r="1332">
          <cell r="A1332" t="str">
            <v>CH08021</v>
          </cell>
        </row>
        <row r="1333">
          <cell r="A1333" t="str">
            <v>CH08022</v>
          </cell>
        </row>
        <row r="1334">
          <cell r="A1334" t="str">
            <v>CH08023</v>
          </cell>
        </row>
        <row r="1335">
          <cell r="A1335" t="str">
            <v>CH08024</v>
          </cell>
        </row>
        <row r="1336">
          <cell r="A1336" t="str">
            <v>CH08025</v>
          </cell>
        </row>
        <row r="1337">
          <cell r="A1337" t="str">
            <v>CH08026</v>
          </cell>
        </row>
        <row r="1338">
          <cell r="A1338" t="str">
            <v>CH08027</v>
          </cell>
        </row>
        <row r="1339">
          <cell r="A1339" t="str">
            <v>CH08028</v>
          </cell>
        </row>
        <row r="1340">
          <cell r="A1340" t="str">
            <v>CH08029</v>
          </cell>
        </row>
        <row r="1341">
          <cell r="A1341" t="str">
            <v>CH08030</v>
          </cell>
        </row>
        <row r="1342">
          <cell r="A1342" t="str">
            <v>CH08031</v>
          </cell>
        </row>
        <row r="1343">
          <cell r="A1343" t="str">
            <v>CH08032</v>
          </cell>
        </row>
        <row r="1344">
          <cell r="A1344" t="str">
            <v>CH08033</v>
          </cell>
        </row>
        <row r="1345">
          <cell r="A1345" t="str">
            <v>CH08034</v>
          </cell>
        </row>
        <row r="1346">
          <cell r="A1346" t="str">
            <v>CH08035</v>
          </cell>
        </row>
        <row r="1347">
          <cell r="A1347" t="str">
            <v>CH08036</v>
          </cell>
        </row>
        <row r="1348">
          <cell r="A1348" t="str">
            <v>CH09001</v>
          </cell>
        </row>
        <row r="1349">
          <cell r="A1349" t="str">
            <v>CH09002</v>
          </cell>
        </row>
        <row r="1350">
          <cell r="A1350" t="str">
            <v>CH09003</v>
          </cell>
        </row>
        <row r="1351">
          <cell r="A1351" t="str">
            <v>CH09004</v>
          </cell>
        </row>
        <row r="1352">
          <cell r="A1352" t="str">
            <v>CH09005</v>
          </cell>
        </row>
        <row r="1353">
          <cell r="A1353" t="str">
            <v>CH09006</v>
          </cell>
        </row>
        <row r="1354">
          <cell r="A1354" t="str">
            <v>CH09007</v>
          </cell>
        </row>
        <row r="1355">
          <cell r="A1355" t="str">
            <v>CH09008</v>
          </cell>
        </row>
        <row r="1356">
          <cell r="A1356" t="str">
            <v>CH09009</v>
          </cell>
        </row>
        <row r="1357">
          <cell r="A1357" t="str">
            <v>CH09010</v>
          </cell>
        </row>
        <row r="1358">
          <cell r="A1358" t="str">
            <v>CH09011</v>
          </cell>
        </row>
        <row r="1359">
          <cell r="A1359" t="str">
            <v>CH09012</v>
          </cell>
        </row>
        <row r="1360">
          <cell r="A1360" t="str">
            <v>CH09013</v>
          </cell>
        </row>
        <row r="1361">
          <cell r="A1361" t="str">
            <v>CH09014</v>
          </cell>
        </row>
        <row r="1362">
          <cell r="A1362" t="str">
            <v>CH09015</v>
          </cell>
        </row>
        <row r="1363">
          <cell r="A1363" t="str">
            <v>CH09016</v>
          </cell>
        </row>
        <row r="1364">
          <cell r="A1364" t="str">
            <v>CH09017</v>
          </cell>
        </row>
        <row r="1365">
          <cell r="A1365" t="str">
            <v>CH09018</v>
          </cell>
        </row>
        <row r="1366">
          <cell r="A1366" t="str">
            <v>CH09019</v>
          </cell>
        </row>
        <row r="1367">
          <cell r="A1367" t="str">
            <v>CH09020</v>
          </cell>
        </row>
        <row r="1368">
          <cell r="A1368" t="str">
            <v>CH09021</v>
          </cell>
        </row>
        <row r="1369">
          <cell r="A1369" t="str">
            <v>CH09022</v>
          </cell>
        </row>
        <row r="1370">
          <cell r="A1370" t="str">
            <v>CH09023</v>
          </cell>
        </row>
        <row r="1371">
          <cell r="A1371" t="str">
            <v>CH09024</v>
          </cell>
        </row>
        <row r="1372">
          <cell r="A1372" t="str">
            <v>CH09025</v>
          </cell>
        </row>
        <row r="1373">
          <cell r="A1373" t="str">
            <v>CH09026</v>
          </cell>
        </row>
        <row r="1374">
          <cell r="A1374" t="str">
            <v>CH09027</v>
          </cell>
        </row>
        <row r="1375">
          <cell r="A1375" t="str">
            <v>CH09028</v>
          </cell>
        </row>
        <row r="1376">
          <cell r="A1376" t="str">
            <v>CH09029</v>
          </cell>
        </row>
        <row r="1377">
          <cell r="A1377" t="str">
            <v>CH09030</v>
          </cell>
        </row>
        <row r="1378">
          <cell r="A1378" t="str">
            <v>CH09031</v>
          </cell>
        </row>
        <row r="1379">
          <cell r="A1379" t="str">
            <v>CH09032</v>
          </cell>
        </row>
        <row r="1380">
          <cell r="A1380" t="str">
            <v>CH09033</v>
          </cell>
        </row>
        <row r="1381">
          <cell r="A1381" t="str">
            <v>CH09034</v>
          </cell>
        </row>
        <row r="1382">
          <cell r="A1382" t="str">
            <v>CH09035</v>
          </cell>
        </row>
        <row r="1383">
          <cell r="A1383" t="str">
            <v>CH09036</v>
          </cell>
        </row>
        <row r="1384">
          <cell r="A1384" t="str">
            <v>CH10001</v>
          </cell>
        </row>
        <row r="1385">
          <cell r="A1385" t="str">
            <v>CH10002</v>
          </cell>
        </row>
        <row r="1386">
          <cell r="A1386" t="str">
            <v>CH10003</v>
          </cell>
        </row>
        <row r="1387">
          <cell r="A1387" t="str">
            <v>CH10004</v>
          </cell>
        </row>
        <row r="1388">
          <cell r="A1388" t="str">
            <v>CH10005</v>
          </cell>
        </row>
        <row r="1389">
          <cell r="A1389" t="str">
            <v>CH10006</v>
          </cell>
        </row>
        <row r="1390">
          <cell r="A1390" t="str">
            <v>CH10007</v>
          </cell>
        </row>
        <row r="1391">
          <cell r="A1391" t="str">
            <v>CH10008</v>
          </cell>
        </row>
        <row r="1392">
          <cell r="A1392" t="str">
            <v>CH10009</v>
          </cell>
        </row>
        <row r="1393">
          <cell r="A1393" t="str">
            <v>CH10010</v>
          </cell>
        </row>
        <row r="1394">
          <cell r="A1394" t="str">
            <v>CH10011</v>
          </cell>
        </row>
        <row r="1395">
          <cell r="A1395" t="str">
            <v>CH10012</v>
          </cell>
        </row>
        <row r="1396">
          <cell r="A1396" t="str">
            <v>CH10013</v>
          </cell>
        </row>
        <row r="1397">
          <cell r="A1397" t="str">
            <v>CH10014</v>
          </cell>
        </row>
        <row r="1398">
          <cell r="A1398" t="str">
            <v>CH10015</v>
          </cell>
        </row>
        <row r="1399">
          <cell r="A1399" t="str">
            <v>CH10016</v>
          </cell>
        </row>
        <row r="1400">
          <cell r="A1400" t="str">
            <v>CH10017</v>
          </cell>
        </row>
        <row r="1401">
          <cell r="A1401" t="str">
            <v>CH10018</v>
          </cell>
        </row>
        <row r="1402">
          <cell r="A1402" t="str">
            <v>CH10019</v>
          </cell>
        </row>
        <row r="1403">
          <cell r="A1403" t="str">
            <v>CH10020</v>
          </cell>
        </row>
        <row r="1404">
          <cell r="A1404" t="str">
            <v>CH10021</v>
          </cell>
        </row>
        <row r="1405">
          <cell r="A1405" t="str">
            <v>CH10022</v>
          </cell>
        </row>
        <row r="1406">
          <cell r="A1406" t="str">
            <v>CH10023</v>
          </cell>
        </row>
        <row r="1407">
          <cell r="A1407" t="str">
            <v>CH10024</v>
          </cell>
        </row>
        <row r="1408">
          <cell r="A1408" t="str">
            <v>CH10025</v>
          </cell>
        </row>
        <row r="1409">
          <cell r="A1409" t="str">
            <v>CH10026</v>
          </cell>
        </row>
        <row r="1410">
          <cell r="A1410" t="str">
            <v>CH10027</v>
          </cell>
        </row>
        <row r="1411">
          <cell r="A1411" t="str">
            <v>CH10028</v>
          </cell>
        </row>
        <row r="1412">
          <cell r="A1412" t="str">
            <v>CH10029</v>
          </cell>
        </row>
        <row r="1413">
          <cell r="A1413" t="str">
            <v>CH10030</v>
          </cell>
        </row>
        <row r="1414">
          <cell r="A1414" t="str">
            <v>CH10031</v>
          </cell>
        </row>
        <row r="1415">
          <cell r="A1415" t="str">
            <v>CH10032</v>
          </cell>
        </row>
        <row r="1416">
          <cell r="A1416" t="str">
            <v>CH10033</v>
          </cell>
        </row>
        <row r="1417">
          <cell r="A1417" t="str">
            <v>CH10034</v>
          </cell>
        </row>
        <row r="1418">
          <cell r="A1418" t="str">
            <v>CH10035</v>
          </cell>
        </row>
        <row r="1419">
          <cell r="A1419" t="str">
            <v>CH10036</v>
          </cell>
        </row>
        <row r="1420">
          <cell r="A1420" t="str">
            <v>CH10037</v>
          </cell>
        </row>
        <row r="1421">
          <cell r="A1421" t="str">
            <v>CH10038</v>
          </cell>
        </row>
        <row r="1422">
          <cell r="A1422" t="str">
            <v>CH10039</v>
          </cell>
        </row>
        <row r="1423">
          <cell r="A1423" t="str">
            <v>CH10040</v>
          </cell>
        </row>
        <row r="1424">
          <cell r="A1424" t="str">
            <v>CH10041</v>
          </cell>
        </row>
        <row r="1425">
          <cell r="A1425" t="str">
            <v>CH10042</v>
          </cell>
        </row>
        <row r="1426">
          <cell r="A1426" t="str">
            <v>CH10043</v>
          </cell>
        </row>
        <row r="1427">
          <cell r="A1427" t="str">
            <v>CH10044</v>
          </cell>
        </row>
        <row r="1428">
          <cell r="A1428" t="str">
            <v>CH10045</v>
          </cell>
        </row>
        <row r="1429">
          <cell r="A1429" t="str">
            <v>CH10046</v>
          </cell>
        </row>
        <row r="1430">
          <cell r="A1430" t="str">
            <v>CH11001</v>
          </cell>
        </row>
        <row r="1431">
          <cell r="A1431" t="str">
            <v>CH11002</v>
          </cell>
        </row>
        <row r="1432">
          <cell r="A1432" t="str">
            <v>CH11003</v>
          </cell>
        </row>
        <row r="1433">
          <cell r="A1433" t="str">
            <v>CH11004</v>
          </cell>
        </row>
        <row r="1434">
          <cell r="A1434" t="str">
            <v>CH11005</v>
          </cell>
        </row>
        <row r="1435">
          <cell r="A1435" t="str">
            <v>CH11006</v>
          </cell>
        </row>
        <row r="1436">
          <cell r="A1436" t="str">
            <v>CH11007</v>
          </cell>
        </row>
        <row r="1437">
          <cell r="A1437" t="str">
            <v>CH11008</v>
          </cell>
        </row>
        <row r="1438">
          <cell r="A1438" t="str">
            <v>CH11009</v>
          </cell>
        </row>
        <row r="1439">
          <cell r="A1439" t="str">
            <v>CH11010</v>
          </cell>
        </row>
        <row r="1440">
          <cell r="A1440" t="str">
            <v>CH11011</v>
          </cell>
        </row>
        <row r="1441">
          <cell r="A1441" t="str">
            <v>CH11012</v>
          </cell>
        </row>
        <row r="1442">
          <cell r="A1442" t="str">
            <v>CH11013</v>
          </cell>
        </row>
        <row r="1443">
          <cell r="A1443" t="str">
            <v>CH11014</v>
          </cell>
        </row>
        <row r="1444">
          <cell r="A1444" t="str">
            <v>CH11015</v>
          </cell>
        </row>
        <row r="1445">
          <cell r="A1445" t="str">
            <v>CH11016</v>
          </cell>
        </row>
        <row r="1446">
          <cell r="A1446" t="str">
            <v>CH11017</v>
          </cell>
        </row>
        <row r="1447">
          <cell r="A1447" t="str">
            <v>CH11018</v>
          </cell>
        </row>
        <row r="1448">
          <cell r="A1448" t="str">
            <v>CH11019</v>
          </cell>
        </row>
        <row r="1449">
          <cell r="A1449" t="str">
            <v>CH11020</v>
          </cell>
        </row>
        <row r="1450">
          <cell r="A1450" t="str">
            <v>CH11021</v>
          </cell>
        </row>
        <row r="1451">
          <cell r="A1451" t="str">
            <v>CH11022</v>
          </cell>
        </row>
        <row r="1452">
          <cell r="A1452" t="str">
            <v>CH11023</v>
          </cell>
        </row>
        <row r="1453">
          <cell r="A1453" t="str">
            <v>CH11024</v>
          </cell>
        </row>
        <row r="1454">
          <cell r="A1454" t="str">
            <v>CH11025</v>
          </cell>
        </row>
        <row r="1455">
          <cell r="A1455" t="str">
            <v>CH11026</v>
          </cell>
        </row>
        <row r="1456">
          <cell r="A1456" t="str">
            <v>CH11027</v>
          </cell>
        </row>
        <row r="1457">
          <cell r="A1457" t="str">
            <v>CH11028</v>
          </cell>
        </row>
        <row r="1458">
          <cell r="A1458" t="str">
            <v>CH11029</v>
          </cell>
        </row>
        <row r="1459">
          <cell r="A1459" t="str">
            <v>CH11030</v>
          </cell>
        </row>
        <row r="1460">
          <cell r="A1460" t="str">
            <v>CH11031</v>
          </cell>
        </row>
        <row r="1461">
          <cell r="A1461" t="str">
            <v>CH11032</v>
          </cell>
        </row>
        <row r="1462">
          <cell r="A1462" t="str">
            <v>CH11033</v>
          </cell>
        </row>
        <row r="1463">
          <cell r="A1463" t="str">
            <v>CH11034</v>
          </cell>
        </row>
        <row r="1464">
          <cell r="A1464" t="str">
            <v>CH11035</v>
          </cell>
        </row>
        <row r="1465">
          <cell r="A1465" t="str">
            <v>CH11036</v>
          </cell>
        </row>
        <row r="1466">
          <cell r="A1466" t="str">
            <v>CH11037</v>
          </cell>
        </row>
        <row r="1467">
          <cell r="A1467" t="str">
            <v>CH11038</v>
          </cell>
        </row>
        <row r="1468">
          <cell r="A1468" t="str">
            <v>CH11039</v>
          </cell>
        </row>
        <row r="1469">
          <cell r="A1469" t="str">
            <v>CH11040</v>
          </cell>
        </row>
        <row r="1470">
          <cell r="A1470" t="str">
            <v>CH11041</v>
          </cell>
        </row>
        <row r="1471">
          <cell r="A1471" t="str">
            <v>CH11042</v>
          </cell>
        </row>
        <row r="1472">
          <cell r="A1472" t="str">
            <v>CH11043</v>
          </cell>
        </row>
        <row r="1473">
          <cell r="A1473" t="str">
            <v>CH11044</v>
          </cell>
        </row>
        <row r="1474">
          <cell r="A1474" t="str">
            <v>CH11045</v>
          </cell>
        </row>
        <row r="1475">
          <cell r="A1475" t="str">
            <v>CH11046</v>
          </cell>
        </row>
        <row r="1476">
          <cell r="A1476" t="str">
            <v>CH11047</v>
          </cell>
        </row>
        <row r="1477">
          <cell r="A1477" t="str">
            <v>CH11048</v>
          </cell>
        </row>
        <row r="1478">
          <cell r="A1478" t="str">
            <v>CH11049</v>
          </cell>
        </row>
        <row r="1479">
          <cell r="A1479" t="str">
            <v>CH11050</v>
          </cell>
        </row>
        <row r="1480">
          <cell r="A1480" t="str">
            <v>CH11051</v>
          </cell>
        </row>
        <row r="1481">
          <cell r="A1481" t="str">
            <v>CH11052</v>
          </cell>
        </row>
        <row r="1482">
          <cell r="A1482" t="str">
            <v>CH11053</v>
          </cell>
        </row>
        <row r="1483">
          <cell r="A1483" t="str">
            <v>CH11054</v>
          </cell>
        </row>
        <row r="1484">
          <cell r="A1484" t="str">
            <v>CH11055</v>
          </cell>
        </row>
        <row r="1485">
          <cell r="A1485" t="str">
            <v>CH11056</v>
          </cell>
        </row>
        <row r="1486">
          <cell r="A1486" t="str">
            <v>CH11057</v>
          </cell>
        </row>
        <row r="1487">
          <cell r="A1487" t="str">
            <v>CH11058</v>
          </cell>
        </row>
        <row r="1488">
          <cell r="A1488" t="str">
            <v>CH11059</v>
          </cell>
        </row>
        <row r="1489">
          <cell r="A1489" t="str">
            <v>CH11060</v>
          </cell>
        </row>
        <row r="1490">
          <cell r="A1490" t="str">
            <v>CH12001</v>
          </cell>
        </row>
        <row r="1491">
          <cell r="A1491" t="str">
            <v>CH12002</v>
          </cell>
        </row>
        <row r="1492">
          <cell r="A1492" t="str">
            <v>CH12003</v>
          </cell>
        </row>
        <row r="1493">
          <cell r="A1493" t="str">
            <v>CH12004</v>
          </cell>
        </row>
        <row r="1494">
          <cell r="A1494" t="str">
            <v>CH12005</v>
          </cell>
        </row>
        <row r="1495">
          <cell r="A1495" t="str">
            <v>CH12006</v>
          </cell>
        </row>
        <row r="1496">
          <cell r="A1496" t="str">
            <v>CH12007</v>
          </cell>
        </row>
        <row r="1497">
          <cell r="A1497" t="str">
            <v>CH12008</v>
          </cell>
        </row>
        <row r="1498">
          <cell r="A1498" t="str">
            <v>CH12009</v>
          </cell>
        </row>
        <row r="1499">
          <cell r="A1499" t="str">
            <v>CH12010</v>
          </cell>
        </row>
        <row r="1500">
          <cell r="A1500" t="str">
            <v>CH12011</v>
          </cell>
        </row>
        <row r="1501">
          <cell r="A1501" t="str">
            <v>CH12012</v>
          </cell>
        </row>
        <row r="1502">
          <cell r="A1502" t="str">
            <v>CH12013</v>
          </cell>
        </row>
        <row r="1503">
          <cell r="A1503" t="str">
            <v>CH12014</v>
          </cell>
        </row>
        <row r="1504">
          <cell r="A1504" t="str">
            <v>CH12015</v>
          </cell>
        </row>
        <row r="1505">
          <cell r="A1505" t="str">
            <v>CH12016</v>
          </cell>
        </row>
        <row r="1506">
          <cell r="A1506" t="str">
            <v>CH12017</v>
          </cell>
        </row>
        <row r="1507">
          <cell r="A1507" t="str">
            <v>CH12018</v>
          </cell>
        </row>
        <row r="1508">
          <cell r="A1508" t="str">
            <v>CH12019</v>
          </cell>
        </row>
        <row r="1509">
          <cell r="A1509" t="str">
            <v>CH12020</v>
          </cell>
        </row>
        <row r="1510">
          <cell r="A1510" t="str">
            <v>CH12021</v>
          </cell>
        </row>
        <row r="1511">
          <cell r="A1511" t="str">
            <v>CH12022</v>
          </cell>
        </row>
        <row r="1512">
          <cell r="A1512" t="str">
            <v>CH12023</v>
          </cell>
        </row>
        <row r="1513">
          <cell r="A1513" t="str">
            <v>CH12024</v>
          </cell>
        </row>
        <row r="1514">
          <cell r="A1514" t="str">
            <v>CH12025</v>
          </cell>
        </row>
        <row r="1515">
          <cell r="A1515" t="str">
            <v>CH12026</v>
          </cell>
        </row>
        <row r="1516">
          <cell r="A1516" t="str">
            <v>CH12027</v>
          </cell>
        </row>
        <row r="1517">
          <cell r="A1517" t="str">
            <v>CH12028</v>
          </cell>
        </row>
        <row r="1518">
          <cell r="A1518" t="str">
            <v>CH12029</v>
          </cell>
        </row>
        <row r="1519">
          <cell r="A1519" t="str">
            <v>CH12030</v>
          </cell>
        </row>
        <row r="1520">
          <cell r="A1520" t="str">
            <v>CH12031</v>
          </cell>
        </row>
        <row r="1521">
          <cell r="A1521" t="str">
            <v>CH12032</v>
          </cell>
        </row>
        <row r="1522">
          <cell r="A1522" t="str">
            <v>CH12033</v>
          </cell>
        </row>
        <row r="1523">
          <cell r="A1523" t="str">
            <v>CH12034</v>
          </cell>
        </row>
        <row r="1524">
          <cell r="A1524" t="str">
            <v>CH12035</v>
          </cell>
        </row>
        <row r="1525">
          <cell r="A1525" t="str">
            <v>CH12036</v>
          </cell>
        </row>
        <row r="1526">
          <cell r="A1526" t="str">
            <v>CH12037</v>
          </cell>
        </row>
        <row r="1527">
          <cell r="A1527" t="str">
            <v>CH12038</v>
          </cell>
        </row>
        <row r="1528">
          <cell r="A1528" t="str">
            <v>CH12039</v>
          </cell>
        </row>
        <row r="1529">
          <cell r="A1529" t="str">
            <v>CH12040</v>
          </cell>
        </row>
        <row r="1530">
          <cell r="A1530" t="str">
            <v>CH12041</v>
          </cell>
        </row>
        <row r="1531">
          <cell r="A1531" t="str">
            <v>CH12042</v>
          </cell>
        </row>
        <row r="1532">
          <cell r="A1532" t="str">
            <v>CH12043</v>
          </cell>
        </row>
        <row r="1533">
          <cell r="A1533" t="str">
            <v>CH12044</v>
          </cell>
        </row>
        <row r="1534">
          <cell r="A1534" t="str">
            <v>CH12045</v>
          </cell>
        </row>
        <row r="1535">
          <cell r="A1535" t="str">
            <v>CH12046</v>
          </cell>
        </row>
        <row r="1536">
          <cell r="A1536" t="str">
            <v>CH12047</v>
          </cell>
        </row>
        <row r="1537">
          <cell r="A1537" t="str">
            <v>CH12048</v>
          </cell>
        </row>
        <row r="1538">
          <cell r="A1538" t="str">
            <v>CH12049</v>
          </cell>
        </row>
        <row r="1539">
          <cell r="A1539" t="str">
            <v>CH12050</v>
          </cell>
        </row>
        <row r="1540">
          <cell r="A1540" t="str">
            <v>CH12051</v>
          </cell>
        </row>
        <row r="1541">
          <cell r="A1541" t="str">
            <v>CH12052</v>
          </cell>
        </row>
        <row r="1542">
          <cell r="A1542" t="str">
            <v>CH12053</v>
          </cell>
        </row>
        <row r="1543">
          <cell r="A1543" t="str">
            <v>CH12054</v>
          </cell>
        </row>
        <row r="1544">
          <cell r="A1544" t="str">
            <v>CH12055</v>
          </cell>
        </row>
        <row r="1545">
          <cell r="A1545" t="str">
            <v>CH12056</v>
          </cell>
        </row>
        <row r="1546">
          <cell r="A1546" t="str">
            <v>CH12057</v>
          </cell>
        </row>
        <row r="1547">
          <cell r="A1547" t="str">
            <v>CH12058</v>
          </cell>
        </row>
        <row r="1548">
          <cell r="A1548" t="str">
            <v>CH12059</v>
          </cell>
        </row>
        <row r="1549">
          <cell r="A1549" t="str">
            <v>CH12060</v>
          </cell>
        </row>
        <row r="1550">
          <cell r="A1550" t="str">
            <v>CH13001</v>
          </cell>
        </row>
        <row r="1551">
          <cell r="A1551" t="str">
            <v>CH13002</v>
          </cell>
        </row>
        <row r="1552">
          <cell r="A1552" t="str">
            <v>CH13003</v>
          </cell>
        </row>
        <row r="1553">
          <cell r="A1553" t="str">
            <v>CH13004</v>
          </cell>
        </row>
        <row r="1554">
          <cell r="A1554" t="str">
            <v>CH13005</v>
          </cell>
        </row>
        <row r="1555">
          <cell r="A1555" t="str">
            <v>CH13006</v>
          </cell>
        </row>
        <row r="1556">
          <cell r="A1556" t="str">
            <v>CH13007</v>
          </cell>
        </row>
        <row r="1557">
          <cell r="A1557" t="str">
            <v>CH13008</v>
          </cell>
        </row>
        <row r="1558">
          <cell r="A1558" t="str">
            <v>CH13009</v>
          </cell>
        </row>
        <row r="1559">
          <cell r="A1559" t="str">
            <v>CH13010</v>
          </cell>
        </row>
        <row r="1560">
          <cell r="A1560" t="str">
            <v>CH13011</v>
          </cell>
        </row>
        <row r="1561">
          <cell r="A1561" t="str">
            <v>CH13012</v>
          </cell>
        </row>
        <row r="1562">
          <cell r="A1562" t="str">
            <v>CH13013</v>
          </cell>
        </row>
        <row r="1563">
          <cell r="A1563" t="str">
            <v>CH13014</v>
          </cell>
        </row>
        <row r="1564">
          <cell r="A1564" t="str">
            <v>CH13015</v>
          </cell>
        </row>
        <row r="1565">
          <cell r="A1565" t="str">
            <v>CH13016</v>
          </cell>
        </row>
        <row r="1566">
          <cell r="A1566" t="str">
            <v>CH13017</v>
          </cell>
        </row>
        <row r="1567">
          <cell r="A1567" t="str">
            <v>CH13018</v>
          </cell>
        </row>
        <row r="1568">
          <cell r="A1568" t="str">
            <v>CH13019</v>
          </cell>
        </row>
        <row r="1569">
          <cell r="A1569" t="str">
            <v>CH13020</v>
          </cell>
        </row>
        <row r="1570">
          <cell r="A1570" t="str">
            <v>CH13021</v>
          </cell>
        </row>
        <row r="1571">
          <cell r="A1571" t="str">
            <v>CH13022</v>
          </cell>
        </row>
        <row r="1572">
          <cell r="A1572" t="str">
            <v>CH13023</v>
          </cell>
        </row>
        <row r="1573">
          <cell r="A1573" t="str">
            <v>CH13024</v>
          </cell>
        </row>
        <row r="1574">
          <cell r="A1574" t="str">
            <v>CH13025</v>
          </cell>
        </row>
        <row r="1575">
          <cell r="A1575" t="str">
            <v>CH13026</v>
          </cell>
        </row>
        <row r="1576">
          <cell r="A1576" t="str">
            <v>CH13027</v>
          </cell>
        </row>
        <row r="1577">
          <cell r="A1577" t="str">
            <v>CH13028</v>
          </cell>
        </row>
        <row r="1578">
          <cell r="A1578" t="str">
            <v>CH13029</v>
          </cell>
        </row>
        <row r="1579">
          <cell r="A1579" t="str">
            <v>CH13030</v>
          </cell>
        </row>
        <row r="1580">
          <cell r="A1580" t="str">
            <v>CH13031</v>
          </cell>
        </row>
        <row r="1581">
          <cell r="A1581" t="str">
            <v>CH13032</v>
          </cell>
        </row>
        <row r="1582">
          <cell r="A1582" t="str">
            <v>CH13033</v>
          </cell>
        </row>
        <row r="1583">
          <cell r="A1583" t="str">
            <v>CH13034</v>
          </cell>
        </row>
        <row r="1584">
          <cell r="A1584" t="str">
            <v>CH13035</v>
          </cell>
        </row>
        <row r="1585">
          <cell r="A1585" t="str">
            <v>CH13036</v>
          </cell>
        </row>
        <row r="1586">
          <cell r="A1586" t="str">
            <v>CH13037</v>
          </cell>
        </row>
        <row r="1587">
          <cell r="A1587" t="str">
            <v>CH13038</v>
          </cell>
        </row>
        <row r="1588">
          <cell r="A1588" t="str">
            <v>CH13039</v>
          </cell>
        </row>
        <row r="1589">
          <cell r="A1589" t="str">
            <v>CH13040</v>
          </cell>
        </row>
        <row r="1590">
          <cell r="A1590" t="str">
            <v>CH13041</v>
          </cell>
        </row>
        <row r="1591">
          <cell r="A1591" t="str">
            <v>CH13042</v>
          </cell>
        </row>
        <row r="1592">
          <cell r="A1592" t="str">
            <v>CH13043</v>
          </cell>
        </row>
        <row r="1593">
          <cell r="A1593" t="str">
            <v>CH13044</v>
          </cell>
        </row>
        <row r="1594">
          <cell r="A1594" t="str">
            <v>CH13045</v>
          </cell>
        </row>
        <row r="1595">
          <cell r="A1595" t="str">
            <v>CH13046</v>
          </cell>
        </row>
        <row r="1596">
          <cell r="A1596" t="str">
            <v>CH13047</v>
          </cell>
        </row>
        <row r="1597">
          <cell r="A1597" t="str">
            <v>CH13048</v>
          </cell>
        </row>
        <row r="1598">
          <cell r="A1598" t="str">
            <v>CH13049</v>
          </cell>
        </row>
        <row r="1599">
          <cell r="A1599" t="str">
            <v>CH13050</v>
          </cell>
        </row>
        <row r="1600">
          <cell r="A1600" t="str">
            <v>CH13051</v>
          </cell>
        </row>
        <row r="1601">
          <cell r="A1601" t="str">
            <v>CH13052</v>
          </cell>
        </row>
        <row r="1602">
          <cell r="A1602" t="str">
            <v>CH13053</v>
          </cell>
        </row>
        <row r="1603">
          <cell r="A1603" t="str">
            <v>CH13054</v>
          </cell>
        </row>
        <row r="1604">
          <cell r="A1604" t="str">
            <v>CH13055</v>
          </cell>
        </row>
        <row r="1605">
          <cell r="A1605" t="str">
            <v>CH13056</v>
          </cell>
        </row>
        <row r="1606">
          <cell r="A1606" t="str">
            <v>CH13057</v>
          </cell>
        </row>
        <row r="1607">
          <cell r="A1607" t="str">
            <v>CH13058</v>
          </cell>
        </row>
        <row r="1608">
          <cell r="A1608" t="str">
            <v>CH13059</v>
          </cell>
        </row>
        <row r="1609">
          <cell r="A1609" t="str">
            <v>CH13060</v>
          </cell>
        </row>
        <row r="1610">
          <cell r="A1610" t="str">
            <v>CH14001</v>
          </cell>
        </row>
        <row r="1611">
          <cell r="A1611" t="str">
            <v>CH14002</v>
          </cell>
        </row>
        <row r="1612">
          <cell r="A1612" t="str">
            <v>CH14003</v>
          </cell>
        </row>
        <row r="1613">
          <cell r="A1613" t="str">
            <v>CH14004</v>
          </cell>
        </row>
        <row r="1614">
          <cell r="A1614" t="str">
            <v>CH14005</v>
          </cell>
        </row>
        <row r="1615">
          <cell r="A1615" t="str">
            <v>CH14006</v>
          </cell>
        </row>
        <row r="1616">
          <cell r="A1616" t="str">
            <v>CH14007</v>
          </cell>
        </row>
        <row r="1617">
          <cell r="A1617" t="str">
            <v>CH14008</v>
          </cell>
        </row>
        <row r="1618">
          <cell r="A1618" t="str">
            <v>CH14009</v>
          </cell>
        </row>
        <row r="1619">
          <cell r="A1619" t="str">
            <v>CH14010</v>
          </cell>
        </row>
        <row r="1620">
          <cell r="A1620" t="str">
            <v>CH14011</v>
          </cell>
        </row>
        <row r="1621">
          <cell r="A1621" t="str">
            <v>CH14012</v>
          </cell>
        </row>
        <row r="1622">
          <cell r="A1622" t="str">
            <v>CH14013</v>
          </cell>
        </row>
        <row r="1623">
          <cell r="A1623" t="str">
            <v>CH14014</v>
          </cell>
        </row>
        <row r="1624">
          <cell r="A1624" t="str">
            <v>CH14015</v>
          </cell>
        </row>
        <row r="1625">
          <cell r="A1625" t="str">
            <v>CH14016</v>
          </cell>
        </row>
        <row r="1626">
          <cell r="A1626" t="str">
            <v>CH14017</v>
          </cell>
        </row>
        <row r="1627">
          <cell r="A1627" t="str">
            <v>CH14018</v>
          </cell>
        </row>
        <row r="1628">
          <cell r="A1628" t="str">
            <v>CH14019</v>
          </cell>
        </row>
        <row r="1629">
          <cell r="A1629" t="str">
            <v>CH14020</v>
          </cell>
        </row>
        <row r="1630">
          <cell r="A1630" t="str">
            <v>CH14021</v>
          </cell>
        </row>
        <row r="1631">
          <cell r="A1631" t="str">
            <v>CH14022</v>
          </cell>
        </row>
        <row r="1632">
          <cell r="A1632" t="str">
            <v>CH14023</v>
          </cell>
        </row>
        <row r="1633">
          <cell r="A1633" t="str">
            <v>CH14024</v>
          </cell>
        </row>
        <row r="1634">
          <cell r="A1634" t="str">
            <v>CH14025</v>
          </cell>
        </row>
        <row r="1635">
          <cell r="A1635" t="str">
            <v>CH14026</v>
          </cell>
        </row>
        <row r="1636">
          <cell r="A1636" t="str">
            <v>CH14027</v>
          </cell>
        </row>
        <row r="1637">
          <cell r="A1637" t="str">
            <v>CH14028</v>
          </cell>
        </row>
        <row r="1638">
          <cell r="A1638" t="str">
            <v>CH14029</v>
          </cell>
        </row>
        <row r="1639">
          <cell r="A1639" t="str">
            <v>CH14030</v>
          </cell>
        </row>
        <row r="1640">
          <cell r="A1640" t="str">
            <v>CH14031</v>
          </cell>
        </row>
        <row r="1641">
          <cell r="A1641" t="str">
            <v>CH14032</v>
          </cell>
        </row>
        <row r="1642">
          <cell r="A1642" t="str">
            <v>CH14033</v>
          </cell>
        </row>
        <row r="1643">
          <cell r="A1643" t="str">
            <v>CH14034</v>
          </cell>
        </row>
        <row r="1644">
          <cell r="A1644" t="str">
            <v>CH14035</v>
          </cell>
        </row>
        <row r="1645">
          <cell r="A1645" t="str">
            <v>CH14036</v>
          </cell>
        </row>
        <row r="1646">
          <cell r="A1646" t="str">
            <v>CH14037</v>
          </cell>
        </row>
        <row r="1647">
          <cell r="A1647" t="str">
            <v>CH14038</v>
          </cell>
        </row>
        <row r="1648">
          <cell r="A1648" t="str">
            <v>CH14039</v>
          </cell>
        </row>
        <row r="1649">
          <cell r="A1649" t="str">
            <v>CH14040</v>
          </cell>
        </row>
        <row r="1650">
          <cell r="A1650" t="str">
            <v>CH14041</v>
          </cell>
        </row>
        <row r="1651">
          <cell r="A1651" t="str">
            <v>CH14042</v>
          </cell>
        </row>
        <row r="1652">
          <cell r="A1652" t="str">
            <v>CH14043</v>
          </cell>
        </row>
        <row r="1653">
          <cell r="A1653" t="str">
            <v>CH14044</v>
          </cell>
        </row>
        <row r="1654">
          <cell r="A1654" t="str">
            <v>CH14045</v>
          </cell>
        </row>
        <row r="1655">
          <cell r="A1655" t="str">
            <v>CH14046</v>
          </cell>
        </row>
        <row r="1656">
          <cell r="A1656" t="str">
            <v>CH14047</v>
          </cell>
        </row>
        <row r="1657">
          <cell r="A1657" t="str">
            <v>CH14048</v>
          </cell>
        </row>
        <row r="1658">
          <cell r="A1658" t="str">
            <v>CH14049</v>
          </cell>
        </row>
        <row r="1659">
          <cell r="A1659" t="str">
            <v>CH14050</v>
          </cell>
        </row>
        <row r="1660">
          <cell r="A1660" t="str">
            <v>CH14051</v>
          </cell>
        </row>
        <row r="1661">
          <cell r="A1661" t="str">
            <v>CH14052</v>
          </cell>
        </row>
        <row r="1662">
          <cell r="A1662" t="str">
            <v>CH14053</v>
          </cell>
        </row>
        <row r="1663">
          <cell r="A1663" t="str">
            <v>CH14054</v>
          </cell>
        </row>
        <row r="1664">
          <cell r="A1664" t="str">
            <v>CH14055</v>
          </cell>
        </row>
        <row r="1665">
          <cell r="A1665" t="str">
            <v>CH14056</v>
          </cell>
        </row>
        <row r="1666">
          <cell r="A1666" t="str">
            <v>CH14057</v>
          </cell>
        </row>
        <row r="1667">
          <cell r="A1667" t="str">
            <v>CH14058</v>
          </cell>
        </row>
        <row r="1668">
          <cell r="A1668" t="str">
            <v>CH14059</v>
          </cell>
        </row>
        <row r="1669">
          <cell r="A1669" t="str">
            <v>CH14060</v>
          </cell>
        </row>
        <row r="1670">
          <cell r="A1670" t="str">
            <v>CH15001</v>
          </cell>
        </row>
        <row r="1671">
          <cell r="A1671" t="str">
            <v>CH15002</v>
          </cell>
        </row>
        <row r="1672">
          <cell r="A1672" t="str">
            <v>CH15003</v>
          </cell>
        </row>
        <row r="1673">
          <cell r="A1673" t="str">
            <v>CH15004</v>
          </cell>
        </row>
        <row r="1674">
          <cell r="A1674" t="str">
            <v>CH15005</v>
          </cell>
        </row>
        <row r="1675">
          <cell r="A1675" t="str">
            <v>CH15006</v>
          </cell>
        </row>
        <row r="1676">
          <cell r="A1676" t="str">
            <v>CH15007</v>
          </cell>
        </row>
        <row r="1677">
          <cell r="A1677" t="str">
            <v>CH15008</v>
          </cell>
        </row>
        <row r="1678">
          <cell r="A1678" t="str">
            <v>CH15009</v>
          </cell>
        </row>
        <row r="1679">
          <cell r="A1679" t="str">
            <v>CH15010</v>
          </cell>
        </row>
        <row r="1680">
          <cell r="A1680" t="str">
            <v>CH15011</v>
          </cell>
        </row>
        <row r="1681">
          <cell r="A1681" t="str">
            <v>CH15012</v>
          </cell>
        </row>
        <row r="1682">
          <cell r="A1682" t="str">
            <v>CH15013</v>
          </cell>
        </row>
        <row r="1683">
          <cell r="A1683" t="str">
            <v>CH15014</v>
          </cell>
        </row>
        <row r="1684">
          <cell r="A1684" t="str">
            <v>CH15015</v>
          </cell>
        </row>
        <row r="1685">
          <cell r="A1685" t="str">
            <v>CH15016</v>
          </cell>
        </row>
        <row r="1686">
          <cell r="A1686" t="str">
            <v>CH15017</v>
          </cell>
        </row>
        <row r="1687">
          <cell r="A1687" t="str">
            <v>CH15018</v>
          </cell>
        </row>
        <row r="1688">
          <cell r="A1688" t="str">
            <v>CH15019</v>
          </cell>
        </row>
        <row r="1689">
          <cell r="A1689" t="str">
            <v>CH15020</v>
          </cell>
        </row>
        <row r="1690">
          <cell r="A1690" t="str">
            <v>CH15021</v>
          </cell>
        </row>
        <row r="1691">
          <cell r="A1691" t="str">
            <v>CH15022</v>
          </cell>
        </row>
        <row r="1692">
          <cell r="A1692" t="str">
            <v>CH15023</v>
          </cell>
        </row>
        <row r="1693">
          <cell r="A1693" t="str">
            <v>CH15024</v>
          </cell>
        </row>
        <row r="1694">
          <cell r="A1694" t="str">
            <v>CH15025</v>
          </cell>
        </row>
        <row r="1695">
          <cell r="A1695" t="str">
            <v>CH15026</v>
          </cell>
        </row>
        <row r="1696">
          <cell r="A1696" t="str">
            <v>CH15027</v>
          </cell>
        </row>
        <row r="1697">
          <cell r="A1697" t="str">
            <v>CH15028</v>
          </cell>
        </row>
        <row r="1698">
          <cell r="A1698" t="str">
            <v>CH15029</v>
          </cell>
        </row>
        <row r="1699">
          <cell r="A1699" t="str">
            <v>CH15030</v>
          </cell>
        </row>
        <row r="1700">
          <cell r="A1700" t="str">
            <v>CH15031</v>
          </cell>
        </row>
        <row r="1701">
          <cell r="A1701" t="str">
            <v>CH15032</v>
          </cell>
        </row>
        <row r="1702">
          <cell r="A1702" t="str">
            <v>CH15033</v>
          </cell>
        </row>
        <row r="1703">
          <cell r="A1703" t="str">
            <v>CH15034</v>
          </cell>
        </row>
        <row r="1704">
          <cell r="A1704" t="str">
            <v>CH15035</v>
          </cell>
        </row>
        <row r="1705">
          <cell r="A1705" t="str">
            <v>CH15036</v>
          </cell>
        </row>
        <row r="1706">
          <cell r="A1706" t="str">
            <v>CH15037</v>
          </cell>
        </row>
        <row r="1707">
          <cell r="A1707" t="str">
            <v>CH15038</v>
          </cell>
        </row>
        <row r="1708">
          <cell r="A1708" t="str">
            <v>CH15039</v>
          </cell>
        </row>
        <row r="1709">
          <cell r="A1709" t="str">
            <v>CH15040</v>
          </cell>
        </row>
        <row r="1710">
          <cell r="A1710" t="str">
            <v>CH15041</v>
          </cell>
        </row>
        <row r="1711">
          <cell r="A1711" t="str">
            <v>CH15042</v>
          </cell>
        </row>
        <row r="1712">
          <cell r="A1712" t="str">
            <v>CH15043</v>
          </cell>
        </row>
        <row r="1713">
          <cell r="A1713" t="str">
            <v>CH15044</v>
          </cell>
        </row>
        <row r="1714">
          <cell r="A1714" t="str">
            <v>CH15045</v>
          </cell>
        </row>
        <row r="1715">
          <cell r="A1715" t="str">
            <v>CH15046</v>
          </cell>
        </row>
        <row r="1716">
          <cell r="A1716" t="str">
            <v>CH15047</v>
          </cell>
        </row>
        <row r="1717">
          <cell r="A1717" t="str">
            <v>CH15048</v>
          </cell>
        </row>
        <row r="1718">
          <cell r="A1718" t="str">
            <v>CH15049</v>
          </cell>
        </row>
        <row r="1719">
          <cell r="A1719" t="str">
            <v>CH15050</v>
          </cell>
        </row>
        <row r="1720">
          <cell r="A1720" t="str">
            <v>CH15051</v>
          </cell>
        </row>
        <row r="1721">
          <cell r="A1721" t="str">
            <v>CH15052</v>
          </cell>
        </row>
        <row r="1722">
          <cell r="A1722" t="str">
            <v>CH15053</v>
          </cell>
        </row>
        <row r="1723">
          <cell r="A1723" t="str">
            <v>CH15054</v>
          </cell>
        </row>
        <row r="1724">
          <cell r="A1724" t="str">
            <v>CH15055</v>
          </cell>
        </row>
        <row r="1725">
          <cell r="A1725" t="str">
            <v>CH15056</v>
          </cell>
        </row>
        <row r="1726">
          <cell r="A1726" t="str">
            <v>CH15057</v>
          </cell>
        </row>
        <row r="1727">
          <cell r="A1727" t="str">
            <v>CH15058</v>
          </cell>
        </row>
        <row r="1728">
          <cell r="A1728" t="str">
            <v>CH15059</v>
          </cell>
        </row>
        <row r="1729">
          <cell r="A1729" t="str">
            <v>CH15060</v>
          </cell>
        </row>
        <row r="1730">
          <cell r="A1730" t="str">
            <v>CH16001</v>
          </cell>
        </row>
        <row r="1731">
          <cell r="A1731" t="str">
            <v>CH16002</v>
          </cell>
        </row>
        <row r="1732">
          <cell r="A1732" t="str">
            <v>CH16003</v>
          </cell>
        </row>
        <row r="1733">
          <cell r="A1733" t="str">
            <v>CH16004</v>
          </cell>
        </row>
        <row r="1734">
          <cell r="A1734" t="str">
            <v>CH16005</v>
          </cell>
        </row>
        <row r="1735">
          <cell r="A1735" t="str">
            <v>CH16006</v>
          </cell>
        </row>
        <row r="1736">
          <cell r="A1736" t="str">
            <v>CH16007</v>
          </cell>
        </row>
        <row r="1737">
          <cell r="A1737" t="str">
            <v>CH16008</v>
          </cell>
        </row>
        <row r="1738">
          <cell r="A1738" t="str">
            <v>CH16009</v>
          </cell>
        </row>
        <row r="1739">
          <cell r="A1739" t="str">
            <v>CH16010</v>
          </cell>
        </row>
        <row r="1740">
          <cell r="A1740" t="str">
            <v>CH16011</v>
          </cell>
        </row>
        <row r="1741">
          <cell r="A1741" t="str">
            <v>CH16012</v>
          </cell>
        </row>
        <row r="1742">
          <cell r="A1742" t="str">
            <v>CH16013</v>
          </cell>
        </row>
        <row r="1743">
          <cell r="A1743" t="str">
            <v>CH16014</v>
          </cell>
        </row>
        <row r="1744">
          <cell r="A1744" t="str">
            <v>CH16015</v>
          </cell>
        </row>
        <row r="1745">
          <cell r="A1745" t="str">
            <v>CH16016</v>
          </cell>
        </row>
        <row r="1746">
          <cell r="A1746" t="str">
            <v>CH16017</v>
          </cell>
        </row>
        <row r="1747">
          <cell r="A1747" t="str">
            <v>CH16018</v>
          </cell>
        </row>
        <row r="1748">
          <cell r="A1748" t="str">
            <v>CH16019</v>
          </cell>
        </row>
        <row r="1749">
          <cell r="A1749" t="str">
            <v>CH16020</v>
          </cell>
        </row>
        <row r="1750">
          <cell r="A1750" t="str">
            <v>CH16021</v>
          </cell>
        </row>
        <row r="1751">
          <cell r="A1751" t="str">
            <v>CH16022</v>
          </cell>
        </row>
        <row r="1752">
          <cell r="A1752" t="str">
            <v>CH16023</v>
          </cell>
        </row>
        <row r="1753">
          <cell r="A1753" t="str">
            <v>CH16024</v>
          </cell>
        </row>
        <row r="1754">
          <cell r="A1754" t="str">
            <v>CH16025</v>
          </cell>
        </row>
        <row r="1755">
          <cell r="A1755" t="str">
            <v>CH16026</v>
          </cell>
        </row>
        <row r="1756">
          <cell r="A1756" t="str">
            <v>CH16027</v>
          </cell>
        </row>
        <row r="1757">
          <cell r="A1757" t="str">
            <v>CH16028</v>
          </cell>
        </row>
        <row r="1758">
          <cell r="A1758" t="str">
            <v>CH16029</v>
          </cell>
        </row>
        <row r="1759">
          <cell r="A1759" t="str">
            <v>CH16030</v>
          </cell>
        </row>
        <row r="1760">
          <cell r="A1760" t="str">
            <v>CH16031</v>
          </cell>
        </row>
        <row r="1761">
          <cell r="A1761" t="str">
            <v>CH16032</v>
          </cell>
        </row>
        <row r="1762">
          <cell r="A1762" t="str">
            <v>CH16033</v>
          </cell>
        </row>
        <row r="1763">
          <cell r="A1763" t="str">
            <v>CH16034</v>
          </cell>
        </row>
        <row r="1764">
          <cell r="A1764" t="str">
            <v>CH16035</v>
          </cell>
        </row>
        <row r="1765">
          <cell r="A1765" t="str">
            <v>CH16036</v>
          </cell>
        </row>
        <row r="1766">
          <cell r="A1766" t="str">
            <v>CH16037</v>
          </cell>
        </row>
        <row r="1767">
          <cell r="A1767" t="str">
            <v>CH16038</v>
          </cell>
        </row>
        <row r="1768">
          <cell r="A1768" t="str">
            <v>CH16039</v>
          </cell>
        </row>
        <row r="1769">
          <cell r="A1769" t="str">
            <v>CH16040</v>
          </cell>
        </row>
        <row r="1770">
          <cell r="A1770" t="str">
            <v>CH16041</v>
          </cell>
        </row>
        <row r="1771">
          <cell r="A1771" t="str">
            <v>CH16042</v>
          </cell>
        </row>
        <row r="1772">
          <cell r="A1772" t="str">
            <v>CH16043</v>
          </cell>
        </row>
        <row r="1773">
          <cell r="A1773" t="str">
            <v>CH16044</v>
          </cell>
        </row>
        <row r="1774">
          <cell r="A1774" t="str">
            <v>CH16045</v>
          </cell>
        </row>
        <row r="1775">
          <cell r="A1775" t="str">
            <v>CH16046</v>
          </cell>
        </row>
        <row r="1776">
          <cell r="A1776" t="str">
            <v>CH16047</v>
          </cell>
        </row>
        <row r="1777">
          <cell r="A1777" t="str">
            <v>CH16048</v>
          </cell>
        </row>
        <row r="1778">
          <cell r="A1778" t="str">
            <v>CH16049</v>
          </cell>
        </row>
        <row r="1779">
          <cell r="A1779" t="str">
            <v>CH16050</v>
          </cell>
        </row>
        <row r="1780">
          <cell r="A1780" t="str">
            <v>CH16051</v>
          </cell>
        </row>
        <row r="1781">
          <cell r="A1781" t="str">
            <v>CH16052</v>
          </cell>
        </row>
        <row r="1782">
          <cell r="A1782" t="str">
            <v>CH16053</v>
          </cell>
        </row>
        <row r="1783">
          <cell r="A1783" t="str">
            <v>CH16054</v>
          </cell>
        </row>
        <row r="1784">
          <cell r="A1784" t="str">
            <v>CH16055</v>
          </cell>
        </row>
        <row r="1785">
          <cell r="A1785" t="str">
            <v>CH16056</v>
          </cell>
        </row>
        <row r="1786">
          <cell r="A1786" t="str">
            <v>CH16057</v>
          </cell>
        </row>
        <row r="1787">
          <cell r="A1787" t="str">
            <v>CH16058</v>
          </cell>
        </row>
        <row r="1788">
          <cell r="A1788" t="str">
            <v>CH16059</v>
          </cell>
        </row>
        <row r="1789">
          <cell r="A1789" t="str">
            <v>CH16060</v>
          </cell>
        </row>
        <row r="1790">
          <cell r="A1790" t="str">
            <v>CH17001</v>
          </cell>
        </row>
        <row r="1791">
          <cell r="A1791" t="str">
            <v>CH17002</v>
          </cell>
        </row>
        <row r="1792">
          <cell r="A1792" t="str">
            <v>CH17003</v>
          </cell>
        </row>
        <row r="1793">
          <cell r="A1793" t="str">
            <v>CH17004</v>
          </cell>
        </row>
        <row r="1794">
          <cell r="A1794" t="str">
            <v>CH17005</v>
          </cell>
        </row>
        <row r="1795">
          <cell r="A1795" t="str">
            <v>CH17006</v>
          </cell>
        </row>
        <row r="1796">
          <cell r="A1796" t="str">
            <v>CH17007</v>
          </cell>
        </row>
        <row r="1797">
          <cell r="A1797" t="str">
            <v>CH17008</v>
          </cell>
        </row>
        <row r="1798">
          <cell r="A1798" t="str">
            <v>CH17009</v>
          </cell>
        </row>
        <row r="1799">
          <cell r="A1799" t="str">
            <v>CH17010</v>
          </cell>
        </row>
        <row r="1800">
          <cell r="A1800" t="str">
            <v>CH17011</v>
          </cell>
        </row>
        <row r="1801">
          <cell r="A1801" t="str">
            <v>CH17012</v>
          </cell>
        </row>
        <row r="1802">
          <cell r="A1802" t="str">
            <v>CH17013</v>
          </cell>
        </row>
        <row r="1803">
          <cell r="A1803" t="str">
            <v>CH17014</v>
          </cell>
        </row>
        <row r="1804">
          <cell r="A1804" t="str">
            <v>CH17015</v>
          </cell>
        </row>
        <row r="1805">
          <cell r="A1805" t="str">
            <v>CH17016</v>
          </cell>
        </row>
        <row r="1806">
          <cell r="A1806" t="str">
            <v>CH17017</v>
          </cell>
        </row>
        <row r="1807">
          <cell r="A1807" t="str">
            <v>CH17018</v>
          </cell>
        </row>
        <row r="1808">
          <cell r="A1808" t="str">
            <v>CH17019</v>
          </cell>
        </row>
        <row r="1809">
          <cell r="A1809" t="str">
            <v>CH17020</v>
          </cell>
        </row>
        <row r="1810">
          <cell r="A1810" t="str">
            <v>CH17021</v>
          </cell>
        </row>
        <row r="1811">
          <cell r="A1811" t="str">
            <v>CH17022</v>
          </cell>
        </row>
        <row r="1812">
          <cell r="A1812" t="str">
            <v>CH17023</v>
          </cell>
        </row>
        <row r="1813">
          <cell r="A1813" t="str">
            <v>CH17024</v>
          </cell>
        </row>
        <row r="1814">
          <cell r="A1814" t="str">
            <v>CH17025</v>
          </cell>
        </row>
        <row r="1815">
          <cell r="A1815" t="str">
            <v>CH17026</v>
          </cell>
        </row>
        <row r="1816">
          <cell r="A1816" t="str">
            <v>CH17027</v>
          </cell>
        </row>
        <row r="1817">
          <cell r="A1817" t="str">
            <v>CH17028</v>
          </cell>
        </row>
        <row r="1818">
          <cell r="A1818" t="str">
            <v>CH17029</v>
          </cell>
        </row>
        <row r="1819">
          <cell r="A1819" t="str">
            <v>CH17030</v>
          </cell>
        </row>
        <row r="1820">
          <cell r="A1820" t="str">
            <v>CH17031</v>
          </cell>
        </row>
        <row r="1821">
          <cell r="A1821" t="str">
            <v>CH17032</v>
          </cell>
        </row>
        <row r="1822">
          <cell r="A1822" t="str">
            <v>CH17033</v>
          </cell>
        </row>
        <row r="1823">
          <cell r="A1823" t="str">
            <v>CH17034</v>
          </cell>
        </row>
        <row r="1824">
          <cell r="A1824" t="str">
            <v>CH17035</v>
          </cell>
        </row>
        <row r="1825">
          <cell r="A1825" t="str">
            <v>CH17036</v>
          </cell>
        </row>
        <row r="1826">
          <cell r="A1826" t="str">
            <v>CH17037</v>
          </cell>
        </row>
        <row r="1827">
          <cell r="A1827" t="str">
            <v>CH17038</v>
          </cell>
        </row>
        <row r="1828">
          <cell r="A1828" t="str">
            <v>CH17039</v>
          </cell>
        </row>
        <row r="1829">
          <cell r="A1829" t="str">
            <v>CH17040</v>
          </cell>
        </row>
        <row r="1830">
          <cell r="A1830" t="str">
            <v>CH17041</v>
          </cell>
        </row>
        <row r="1831">
          <cell r="A1831" t="str">
            <v>CH17042</v>
          </cell>
        </row>
        <row r="1832">
          <cell r="A1832" t="str">
            <v>CH17043</v>
          </cell>
        </row>
        <row r="1833">
          <cell r="A1833" t="str">
            <v>CH17044</v>
          </cell>
        </row>
        <row r="1834">
          <cell r="A1834" t="str">
            <v>CH17045</v>
          </cell>
        </row>
        <row r="1835">
          <cell r="A1835" t="str">
            <v>CH17046</v>
          </cell>
        </row>
        <row r="1836">
          <cell r="A1836" t="str">
            <v>CH17047</v>
          </cell>
        </row>
        <row r="1837">
          <cell r="A1837" t="str">
            <v>CH17048</v>
          </cell>
        </row>
        <row r="1838">
          <cell r="A1838" t="str">
            <v>CH17049</v>
          </cell>
        </row>
        <row r="1839">
          <cell r="A1839" t="str">
            <v>CH17050</v>
          </cell>
        </row>
        <row r="1840">
          <cell r="A1840" t="str">
            <v>CH17051</v>
          </cell>
        </row>
        <row r="1841">
          <cell r="A1841" t="str">
            <v>CH17052</v>
          </cell>
        </row>
        <row r="1842">
          <cell r="A1842" t="str">
            <v>CH17053</v>
          </cell>
        </row>
        <row r="1843">
          <cell r="A1843" t="str">
            <v>CH17054</v>
          </cell>
        </row>
        <row r="1844">
          <cell r="A1844" t="str">
            <v>CH17055</v>
          </cell>
        </row>
        <row r="1845">
          <cell r="A1845" t="str">
            <v>CH17056</v>
          </cell>
        </row>
        <row r="1846">
          <cell r="A1846" t="str">
            <v>CH17057</v>
          </cell>
        </row>
        <row r="1847">
          <cell r="A1847" t="str">
            <v>CH17058</v>
          </cell>
        </row>
        <row r="1848">
          <cell r="A1848" t="str">
            <v>CH17059</v>
          </cell>
        </row>
        <row r="1849">
          <cell r="A1849" t="str">
            <v>CH17060</v>
          </cell>
        </row>
        <row r="1850">
          <cell r="A1850" t="str">
            <v>CH18001</v>
          </cell>
        </row>
        <row r="1851">
          <cell r="A1851" t="str">
            <v>CH18002</v>
          </cell>
        </row>
        <row r="1852">
          <cell r="A1852" t="str">
            <v>CH18003</v>
          </cell>
        </row>
        <row r="1853">
          <cell r="A1853" t="str">
            <v>CH18004</v>
          </cell>
        </row>
        <row r="1854">
          <cell r="A1854" t="str">
            <v>CH18005</v>
          </cell>
        </row>
        <row r="1855">
          <cell r="A1855" t="str">
            <v>CH18006</v>
          </cell>
        </row>
        <row r="1856">
          <cell r="A1856" t="str">
            <v>CH18007</v>
          </cell>
        </row>
        <row r="1857">
          <cell r="A1857" t="str">
            <v>CH18008</v>
          </cell>
        </row>
        <row r="1858">
          <cell r="A1858" t="str">
            <v>CH18009</v>
          </cell>
        </row>
        <row r="1859">
          <cell r="A1859" t="str">
            <v>CH18010</v>
          </cell>
        </row>
        <row r="1860">
          <cell r="A1860" t="str">
            <v>CH18011</v>
          </cell>
        </row>
        <row r="1861">
          <cell r="A1861" t="str">
            <v>CH18012</v>
          </cell>
        </row>
        <row r="1862">
          <cell r="A1862" t="str">
            <v>CH18013</v>
          </cell>
        </row>
        <row r="1863">
          <cell r="A1863" t="str">
            <v>CH18014</v>
          </cell>
        </row>
        <row r="1864">
          <cell r="A1864" t="str">
            <v>CH18015</v>
          </cell>
        </row>
        <row r="1865">
          <cell r="A1865" t="str">
            <v>CH18016</v>
          </cell>
        </row>
        <row r="1866">
          <cell r="A1866" t="str">
            <v>CH18017</v>
          </cell>
        </row>
        <row r="1867">
          <cell r="A1867" t="str">
            <v>CH18018</v>
          </cell>
        </row>
        <row r="1868">
          <cell r="A1868" t="str">
            <v>CH18019</v>
          </cell>
        </row>
        <row r="1869">
          <cell r="A1869" t="str">
            <v>CH18020</v>
          </cell>
        </row>
        <row r="1870">
          <cell r="A1870" t="str">
            <v>CH18021</v>
          </cell>
        </row>
        <row r="1871">
          <cell r="A1871" t="str">
            <v>CH18022</v>
          </cell>
        </row>
        <row r="1872">
          <cell r="A1872" t="str">
            <v>CH18023</v>
          </cell>
        </row>
        <row r="1873">
          <cell r="A1873" t="str">
            <v>CH18024</v>
          </cell>
        </row>
        <row r="1874">
          <cell r="A1874" t="str">
            <v>CH18025</v>
          </cell>
        </row>
        <row r="1875">
          <cell r="A1875" t="str">
            <v>CH18026</v>
          </cell>
        </row>
        <row r="1876">
          <cell r="A1876" t="str">
            <v>CH18027</v>
          </cell>
        </row>
        <row r="1877">
          <cell r="A1877" t="str">
            <v>CH18028</v>
          </cell>
        </row>
        <row r="1878">
          <cell r="A1878" t="str">
            <v>CH18029</v>
          </cell>
        </row>
        <row r="1879">
          <cell r="A1879" t="str">
            <v>CH18030</v>
          </cell>
        </row>
        <row r="1880">
          <cell r="A1880" t="str">
            <v>CH18031</v>
          </cell>
        </row>
        <row r="1881">
          <cell r="A1881" t="str">
            <v>CH18032</v>
          </cell>
        </row>
        <row r="1882">
          <cell r="A1882" t="str">
            <v>CH18033</v>
          </cell>
        </row>
        <row r="1883">
          <cell r="A1883" t="str">
            <v>CH18034</v>
          </cell>
        </row>
        <row r="1884">
          <cell r="A1884" t="str">
            <v>CH18035</v>
          </cell>
        </row>
        <row r="1885">
          <cell r="A1885" t="str">
            <v>CH18036</v>
          </cell>
        </row>
        <row r="1886">
          <cell r="A1886" t="str">
            <v>CH18037</v>
          </cell>
        </row>
        <row r="1887">
          <cell r="A1887" t="str">
            <v>CH18038</v>
          </cell>
        </row>
        <row r="1888">
          <cell r="A1888" t="str">
            <v>CH18039</v>
          </cell>
        </row>
        <row r="1889">
          <cell r="A1889" t="str">
            <v>CH18040</v>
          </cell>
        </row>
        <row r="1890">
          <cell r="A1890" t="str">
            <v>CH18041</v>
          </cell>
        </row>
        <row r="1891">
          <cell r="A1891" t="str">
            <v>CH18042</v>
          </cell>
        </row>
        <row r="1892">
          <cell r="A1892" t="str">
            <v>CH18043</v>
          </cell>
        </row>
        <row r="1893">
          <cell r="A1893" t="str">
            <v>CH18044</v>
          </cell>
        </row>
        <row r="1894">
          <cell r="A1894" t="str">
            <v>CH18045</v>
          </cell>
        </row>
        <row r="1895">
          <cell r="A1895" t="str">
            <v>CH18046</v>
          </cell>
        </row>
        <row r="1896">
          <cell r="A1896" t="str">
            <v>CH18047</v>
          </cell>
        </row>
        <row r="1897">
          <cell r="A1897" t="str">
            <v>CH18048</v>
          </cell>
        </row>
        <row r="1898">
          <cell r="A1898" t="str">
            <v>CH18049</v>
          </cell>
        </row>
        <row r="1899">
          <cell r="A1899" t="str">
            <v>CH18050</v>
          </cell>
        </row>
        <row r="1900">
          <cell r="A1900" t="str">
            <v>CH18051</v>
          </cell>
        </row>
        <row r="1901">
          <cell r="A1901" t="str">
            <v>CH18052</v>
          </cell>
        </row>
        <row r="1902">
          <cell r="A1902" t="str">
            <v>CH18053</v>
          </cell>
        </row>
        <row r="1903">
          <cell r="A1903" t="str">
            <v>CH18054</v>
          </cell>
        </row>
        <row r="1904">
          <cell r="A1904" t="str">
            <v>CH18055</v>
          </cell>
        </row>
        <row r="1905">
          <cell r="A1905" t="str">
            <v>CH18056</v>
          </cell>
        </row>
        <row r="1906">
          <cell r="A1906" t="str">
            <v>CH18057</v>
          </cell>
        </row>
        <row r="1907">
          <cell r="A1907" t="str">
            <v>CH18058</v>
          </cell>
        </row>
        <row r="1908">
          <cell r="A1908" t="str">
            <v>CH18059</v>
          </cell>
        </row>
        <row r="1909">
          <cell r="A1909" t="str">
            <v>CH18060</v>
          </cell>
        </row>
        <row r="1910">
          <cell r="A1910" t="str">
            <v>CH19001</v>
          </cell>
        </row>
        <row r="1911">
          <cell r="A1911" t="str">
            <v>CH19002</v>
          </cell>
        </row>
        <row r="1912">
          <cell r="A1912" t="str">
            <v>CH19003</v>
          </cell>
        </row>
        <row r="1913">
          <cell r="A1913" t="str">
            <v>CH19004</v>
          </cell>
        </row>
        <row r="1914">
          <cell r="A1914" t="str">
            <v>CH19005</v>
          </cell>
        </row>
        <row r="1915">
          <cell r="A1915" t="str">
            <v>CH19006</v>
          </cell>
        </row>
        <row r="1916">
          <cell r="A1916" t="str">
            <v>CH19007</v>
          </cell>
        </row>
        <row r="1917">
          <cell r="A1917" t="str">
            <v>CH19008</v>
          </cell>
        </row>
        <row r="1918">
          <cell r="A1918" t="str">
            <v>CH19009</v>
          </cell>
        </row>
        <row r="1919">
          <cell r="A1919" t="str">
            <v>CH19010</v>
          </cell>
        </row>
        <row r="1920">
          <cell r="A1920" t="str">
            <v>CH19011</v>
          </cell>
        </row>
        <row r="1921">
          <cell r="A1921" t="str">
            <v>CH19012</v>
          </cell>
        </row>
        <row r="1922">
          <cell r="A1922" t="str">
            <v>CH19013</v>
          </cell>
        </row>
        <row r="1923">
          <cell r="A1923" t="str">
            <v>CH19014</v>
          </cell>
        </row>
        <row r="1924">
          <cell r="A1924" t="str">
            <v>CH19015</v>
          </cell>
        </row>
        <row r="1925">
          <cell r="A1925" t="str">
            <v>CH19016</v>
          </cell>
        </row>
        <row r="1926">
          <cell r="A1926" t="str">
            <v>CH19017</v>
          </cell>
        </row>
        <row r="1927">
          <cell r="A1927" t="str">
            <v>CH19018</v>
          </cell>
        </row>
        <row r="1928">
          <cell r="A1928" t="str">
            <v>CH19019</v>
          </cell>
        </row>
        <row r="1929">
          <cell r="A1929" t="str">
            <v>CH19020</v>
          </cell>
        </row>
        <row r="1930">
          <cell r="A1930" t="str">
            <v>CH19021</v>
          </cell>
        </row>
        <row r="1931">
          <cell r="A1931" t="str">
            <v>CH19022</v>
          </cell>
        </row>
        <row r="1932">
          <cell r="A1932" t="str">
            <v>CH19023</v>
          </cell>
        </row>
        <row r="1933">
          <cell r="A1933" t="str">
            <v>CH19024</v>
          </cell>
        </row>
        <row r="1934">
          <cell r="A1934" t="str">
            <v>CH19025</v>
          </cell>
        </row>
        <row r="1935">
          <cell r="A1935" t="str">
            <v>CH19026</v>
          </cell>
        </row>
        <row r="1936">
          <cell r="A1936" t="str">
            <v>CH19027</v>
          </cell>
        </row>
        <row r="1937">
          <cell r="A1937" t="str">
            <v>CH19028</v>
          </cell>
        </row>
        <row r="1938">
          <cell r="A1938" t="str">
            <v>CH19029</v>
          </cell>
        </row>
        <row r="1939">
          <cell r="A1939" t="str">
            <v>CH19030</v>
          </cell>
        </row>
        <row r="1940">
          <cell r="A1940" t="str">
            <v>CH19031</v>
          </cell>
        </row>
        <row r="1941">
          <cell r="A1941" t="str">
            <v>CH19032</v>
          </cell>
        </row>
        <row r="1942">
          <cell r="A1942" t="str">
            <v>CH19033</v>
          </cell>
        </row>
        <row r="1943">
          <cell r="A1943" t="str">
            <v>CH19034</v>
          </cell>
        </row>
        <row r="1944">
          <cell r="A1944" t="str">
            <v>CH19035</v>
          </cell>
        </row>
        <row r="1945">
          <cell r="A1945" t="str">
            <v>CH19036</v>
          </cell>
        </row>
        <row r="1946">
          <cell r="A1946" t="str">
            <v>CH19037</v>
          </cell>
        </row>
        <row r="1947">
          <cell r="A1947" t="str">
            <v>CH19038</v>
          </cell>
        </row>
        <row r="1948">
          <cell r="A1948" t="str">
            <v>CH19039</v>
          </cell>
        </row>
        <row r="1949">
          <cell r="A1949" t="str">
            <v>CH19040</v>
          </cell>
        </row>
        <row r="1950">
          <cell r="A1950" t="str">
            <v>CH19041</v>
          </cell>
        </row>
        <row r="1951">
          <cell r="A1951" t="str">
            <v>CH19042</v>
          </cell>
        </row>
        <row r="1952">
          <cell r="A1952" t="str">
            <v>CH19043</v>
          </cell>
        </row>
        <row r="1953">
          <cell r="A1953" t="str">
            <v>CH19044</v>
          </cell>
        </row>
        <row r="1954">
          <cell r="A1954" t="str">
            <v>CH19045</v>
          </cell>
        </row>
        <row r="1955">
          <cell r="A1955" t="str">
            <v>CH19046</v>
          </cell>
        </row>
        <row r="1956">
          <cell r="A1956" t="str">
            <v>CH19047</v>
          </cell>
        </row>
        <row r="1957">
          <cell r="A1957" t="str">
            <v>CH19048</v>
          </cell>
        </row>
        <row r="1958">
          <cell r="A1958" t="str">
            <v>CH19049</v>
          </cell>
        </row>
        <row r="1959">
          <cell r="A1959" t="str">
            <v>CH19050</v>
          </cell>
        </row>
        <row r="1960">
          <cell r="A1960" t="str">
            <v>CH19051</v>
          </cell>
        </row>
        <row r="1961">
          <cell r="A1961" t="str">
            <v>CH19052</v>
          </cell>
        </row>
        <row r="1962">
          <cell r="A1962" t="str">
            <v>CH19053</v>
          </cell>
        </row>
        <row r="1963">
          <cell r="A1963" t="str">
            <v>CH19054</v>
          </cell>
        </row>
        <row r="1964">
          <cell r="A1964" t="str">
            <v>CH19055</v>
          </cell>
        </row>
        <row r="1965">
          <cell r="A1965" t="str">
            <v>CH19056</v>
          </cell>
        </row>
        <row r="1966">
          <cell r="A1966" t="str">
            <v>CH19057</v>
          </cell>
        </row>
        <row r="1967">
          <cell r="A1967" t="str">
            <v>CH19058</v>
          </cell>
        </row>
        <row r="1968">
          <cell r="A1968" t="str">
            <v>CH19059</v>
          </cell>
        </row>
        <row r="1969">
          <cell r="A1969" t="str">
            <v>CH19060</v>
          </cell>
        </row>
        <row r="1970">
          <cell r="A1970" t="str">
            <v>CH20001</v>
          </cell>
        </row>
        <row r="1971">
          <cell r="A1971" t="str">
            <v>CH20002</v>
          </cell>
        </row>
        <row r="1972">
          <cell r="A1972" t="str">
            <v>CH20003</v>
          </cell>
        </row>
        <row r="1973">
          <cell r="A1973" t="str">
            <v>CH20004</v>
          </cell>
        </row>
        <row r="1974">
          <cell r="A1974" t="str">
            <v>CH20005</v>
          </cell>
        </row>
        <row r="1975">
          <cell r="A1975" t="str">
            <v>CH20006</v>
          </cell>
        </row>
        <row r="1976">
          <cell r="A1976" t="str">
            <v>CH20007</v>
          </cell>
        </row>
        <row r="1977">
          <cell r="A1977" t="str">
            <v>CH20008</v>
          </cell>
        </row>
        <row r="1978">
          <cell r="A1978" t="str">
            <v>CH20009</v>
          </cell>
        </row>
        <row r="1979">
          <cell r="A1979" t="str">
            <v>CH20010</v>
          </cell>
        </row>
        <row r="1980">
          <cell r="A1980" t="str">
            <v>CH20011</v>
          </cell>
        </row>
        <row r="1981">
          <cell r="A1981" t="str">
            <v>CH20012</v>
          </cell>
        </row>
        <row r="1982">
          <cell r="A1982" t="str">
            <v>CH20013</v>
          </cell>
        </row>
        <row r="1983">
          <cell r="A1983" t="str">
            <v>CH20014</v>
          </cell>
        </row>
        <row r="1984">
          <cell r="A1984" t="str">
            <v>CH20015</v>
          </cell>
        </row>
        <row r="1985">
          <cell r="A1985" t="str">
            <v>CH20016</v>
          </cell>
        </row>
        <row r="1986">
          <cell r="A1986" t="str">
            <v>CH20017</v>
          </cell>
        </row>
        <row r="1987">
          <cell r="A1987" t="str">
            <v>CH20018</v>
          </cell>
        </row>
        <row r="1988">
          <cell r="A1988" t="str">
            <v>CH20019</v>
          </cell>
        </row>
        <row r="1989">
          <cell r="A1989" t="str">
            <v>CH20020</v>
          </cell>
        </row>
        <row r="1990">
          <cell r="A1990" t="str">
            <v>CH20021</v>
          </cell>
        </row>
        <row r="1991">
          <cell r="A1991" t="str">
            <v>CH20022</v>
          </cell>
        </row>
        <row r="1992">
          <cell r="A1992" t="str">
            <v>CH20023</v>
          </cell>
        </row>
        <row r="1993">
          <cell r="A1993" t="str">
            <v>CH20024</v>
          </cell>
        </row>
        <row r="1994">
          <cell r="A1994" t="str">
            <v>CH20025</v>
          </cell>
        </row>
        <row r="1995">
          <cell r="A1995" t="str">
            <v>CH20026</v>
          </cell>
        </row>
        <row r="1996">
          <cell r="A1996" t="str">
            <v>CH20027</v>
          </cell>
        </row>
        <row r="1997">
          <cell r="A1997" t="str">
            <v>CH20028</v>
          </cell>
        </row>
        <row r="1998">
          <cell r="A1998" t="str">
            <v>CH20029</v>
          </cell>
        </row>
        <row r="1999">
          <cell r="A1999" t="str">
            <v>CH20030</v>
          </cell>
        </row>
        <row r="2000">
          <cell r="A2000" t="str">
            <v>CH20031</v>
          </cell>
        </row>
        <row r="2001">
          <cell r="A2001" t="str">
            <v>CH20032</v>
          </cell>
        </row>
        <row r="2002">
          <cell r="A2002" t="str">
            <v>CH20033</v>
          </cell>
        </row>
        <row r="2003">
          <cell r="A2003" t="str">
            <v>CH20034</v>
          </cell>
        </row>
        <row r="2004">
          <cell r="A2004" t="str">
            <v>CH20035</v>
          </cell>
        </row>
        <row r="2005">
          <cell r="A2005" t="str">
            <v>CH20036</v>
          </cell>
        </row>
        <row r="2006">
          <cell r="A2006" t="str">
            <v>CH20037</v>
          </cell>
        </row>
        <row r="2007">
          <cell r="A2007" t="str">
            <v>CH20038</v>
          </cell>
        </row>
        <row r="2008">
          <cell r="A2008" t="str">
            <v>CH20039</v>
          </cell>
        </row>
        <row r="2009">
          <cell r="A2009" t="str">
            <v>CH20040</v>
          </cell>
        </row>
        <row r="2010">
          <cell r="A2010" t="str">
            <v>CH20041</v>
          </cell>
        </row>
        <row r="2011">
          <cell r="A2011" t="str">
            <v>CH20042</v>
          </cell>
        </row>
        <row r="2012">
          <cell r="A2012" t="str">
            <v>CH20043</v>
          </cell>
        </row>
        <row r="2013">
          <cell r="A2013" t="str">
            <v>CH20044</v>
          </cell>
        </row>
        <row r="2014">
          <cell r="A2014" t="str">
            <v>CH20045</v>
          </cell>
        </row>
        <row r="2015">
          <cell r="A2015" t="str">
            <v>CH20046</v>
          </cell>
        </row>
        <row r="2016">
          <cell r="A2016" t="str">
            <v>CH20047</v>
          </cell>
        </row>
        <row r="2017">
          <cell r="A2017" t="str">
            <v>CH20048</v>
          </cell>
        </row>
        <row r="2018">
          <cell r="A2018" t="str">
            <v>CH20049</v>
          </cell>
        </row>
        <row r="2019">
          <cell r="A2019" t="str">
            <v>CH20050</v>
          </cell>
        </row>
        <row r="2020">
          <cell r="A2020" t="str">
            <v>CH20051</v>
          </cell>
        </row>
        <row r="2021">
          <cell r="A2021" t="str">
            <v>CH20052</v>
          </cell>
        </row>
        <row r="2022">
          <cell r="A2022" t="str">
            <v>CH20053</v>
          </cell>
        </row>
        <row r="2023">
          <cell r="A2023" t="str">
            <v>CH20054</v>
          </cell>
        </row>
        <row r="2024">
          <cell r="A2024" t="str">
            <v>CH20055</v>
          </cell>
        </row>
        <row r="2025">
          <cell r="A2025" t="str">
            <v>CH20056</v>
          </cell>
        </row>
        <row r="2026">
          <cell r="A2026" t="str">
            <v>CH20057</v>
          </cell>
        </row>
        <row r="2027">
          <cell r="A2027" t="str">
            <v>CH20058</v>
          </cell>
        </row>
        <row r="2028">
          <cell r="A2028" t="str">
            <v>CH20059</v>
          </cell>
        </row>
        <row r="2029">
          <cell r="A2029" t="str">
            <v>CH20060</v>
          </cell>
        </row>
        <row r="2030">
          <cell r="A2030" t="str">
            <v>CH22007</v>
          </cell>
        </row>
        <row r="2031">
          <cell r="A2031" t="str">
            <v>CH22008</v>
          </cell>
        </row>
        <row r="2032">
          <cell r="A2032" t="str">
            <v>CH22009</v>
          </cell>
        </row>
        <row r="2033">
          <cell r="A2033" t="str">
            <v>CH22010</v>
          </cell>
        </row>
        <row r="2034">
          <cell r="A2034" t="str">
            <v>CH22011</v>
          </cell>
        </row>
        <row r="2035">
          <cell r="A2035" t="str">
            <v>CH22012</v>
          </cell>
        </row>
        <row r="2036">
          <cell r="A2036" t="str">
            <v>CH22013</v>
          </cell>
        </row>
        <row r="2037">
          <cell r="A2037" t="str">
            <v>CH22014</v>
          </cell>
        </row>
        <row r="2038">
          <cell r="A2038" t="str">
            <v>CH22015</v>
          </cell>
        </row>
        <row r="2039">
          <cell r="A2039" t="str">
            <v>CH22016</v>
          </cell>
        </row>
        <row r="2040">
          <cell r="A2040" t="str">
            <v>CH22017</v>
          </cell>
        </row>
        <row r="2041">
          <cell r="A2041" t="str">
            <v>CH22018</v>
          </cell>
        </row>
        <row r="2042">
          <cell r="A2042" t="str">
            <v>CH22019</v>
          </cell>
        </row>
        <row r="2043">
          <cell r="A2043" t="str">
            <v>CH22020</v>
          </cell>
        </row>
        <row r="2044">
          <cell r="A2044" t="str">
            <v>CH22021</v>
          </cell>
        </row>
        <row r="2045">
          <cell r="A2045" t="str">
            <v>CH22022</v>
          </cell>
        </row>
        <row r="2046">
          <cell r="A2046" t="str">
            <v>CH22023</v>
          </cell>
        </row>
        <row r="2047">
          <cell r="A2047" t="str">
            <v>CH22024</v>
          </cell>
        </row>
        <row r="2048">
          <cell r="A2048" t="str">
            <v>CH22025</v>
          </cell>
        </row>
        <row r="2049">
          <cell r="A2049" t="str">
            <v>CH22026</v>
          </cell>
        </row>
        <row r="2050">
          <cell r="A2050" t="str">
            <v>CH22027</v>
          </cell>
        </row>
        <row r="2051">
          <cell r="A2051" t="str">
            <v>CH22028</v>
          </cell>
        </row>
        <row r="2052">
          <cell r="A2052" t="str">
            <v>CH22029</v>
          </cell>
        </row>
        <row r="2053">
          <cell r="A2053" t="str">
            <v>CH22030</v>
          </cell>
        </row>
        <row r="2054">
          <cell r="A2054" t="str">
            <v>CH22031</v>
          </cell>
        </row>
        <row r="2055">
          <cell r="A2055" t="str">
            <v>CH22032</v>
          </cell>
        </row>
        <row r="2056">
          <cell r="A2056" t="str">
            <v>CH22033</v>
          </cell>
        </row>
        <row r="2057">
          <cell r="A2057" t="str">
            <v>CH22034</v>
          </cell>
        </row>
        <row r="2058">
          <cell r="A2058" t="str">
            <v>CH22035</v>
          </cell>
        </row>
        <row r="2059">
          <cell r="A2059" t="str">
            <v>CH22036</v>
          </cell>
        </row>
        <row r="2060">
          <cell r="A2060" t="str">
            <v>CH22037</v>
          </cell>
        </row>
        <row r="2061">
          <cell r="A2061" t="str">
            <v>CH22038</v>
          </cell>
        </row>
        <row r="2062">
          <cell r="A2062" t="str">
            <v>CH22039</v>
          </cell>
        </row>
        <row r="2063">
          <cell r="A2063" t="str">
            <v>CH22040</v>
          </cell>
        </row>
        <row r="2064">
          <cell r="A2064" t="str">
            <v>CH22041</v>
          </cell>
        </row>
        <row r="2065">
          <cell r="A2065" t="str">
            <v>CH22042</v>
          </cell>
        </row>
        <row r="2066">
          <cell r="A2066" t="str">
            <v>CH22043</v>
          </cell>
        </row>
        <row r="2067">
          <cell r="A2067" t="str">
            <v>CH22044</v>
          </cell>
        </row>
        <row r="2068">
          <cell r="A2068" t="str">
            <v>CH22045</v>
          </cell>
        </row>
        <row r="2069">
          <cell r="A2069" t="str">
            <v>CH22046</v>
          </cell>
        </row>
        <row r="2070">
          <cell r="A2070" t="str">
            <v>CH22047</v>
          </cell>
        </row>
        <row r="2071">
          <cell r="A2071" t="str">
            <v>CH22048</v>
          </cell>
        </row>
        <row r="2072">
          <cell r="A2072" t="str">
            <v>CH22049</v>
          </cell>
        </row>
        <row r="2073">
          <cell r="A2073" t="str">
            <v>CH22050</v>
          </cell>
        </row>
        <row r="2074">
          <cell r="A2074" t="str">
            <v>CH22051</v>
          </cell>
        </row>
        <row r="2075">
          <cell r="A2075" t="str">
            <v>CH22052</v>
          </cell>
        </row>
        <row r="2076">
          <cell r="A2076" t="str">
            <v>CH22053</v>
          </cell>
        </row>
        <row r="2077">
          <cell r="A2077" t="str">
            <v>CH22054</v>
          </cell>
        </row>
        <row r="2078">
          <cell r="A2078" t="str">
            <v>CH22055</v>
          </cell>
        </row>
        <row r="2079">
          <cell r="A2079" t="str">
            <v>CH22056</v>
          </cell>
        </row>
        <row r="2080">
          <cell r="A2080" t="str">
            <v>CH22057</v>
          </cell>
        </row>
        <row r="2081">
          <cell r="A2081" t="str">
            <v>CH22058</v>
          </cell>
        </row>
        <row r="2082">
          <cell r="A2082" t="str">
            <v>CH22059</v>
          </cell>
        </row>
        <row r="2083">
          <cell r="A2083" t="str">
            <v>CH22060</v>
          </cell>
        </row>
        <row r="2084">
          <cell r="A2084" t="str">
            <v>CH24007</v>
          </cell>
        </row>
        <row r="2085">
          <cell r="A2085" t="str">
            <v>CH24008</v>
          </cell>
        </row>
        <row r="2086">
          <cell r="A2086" t="str">
            <v>CH24009</v>
          </cell>
        </row>
        <row r="2087">
          <cell r="A2087" t="str">
            <v>CH24010</v>
          </cell>
        </row>
        <row r="2088">
          <cell r="A2088" t="str">
            <v>CH24011</v>
          </cell>
        </row>
        <row r="2089">
          <cell r="A2089" t="str">
            <v>CH24012</v>
          </cell>
        </row>
        <row r="2090">
          <cell r="A2090" t="str">
            <v>CH24013</v>
          </cell>
        </row>
        <row r="2091">
          <cell r="A2091" t="str">
            <v>CH24014</v>
          </cell>
        </row>
        <row r="2092">
          <cell r="A2092" t="str">
            <v>CH24015</v>
          </cell>
        </row>
        <row r="2093">
          <cell r="A2093" t="str">
            <v>CH24016</v>
          </cell>
        </row>
        <row r="2094">
          <cell r="A2094" t="str">
            <v>CH24017</v>
          </cell>
        </row>
        <row r="2095">
          <cell r="A2095" t="str">
            <v>CH24018</v>
          </cell>
        </row>
        <row r="2096">
          <cell r="A2096" t="str">
            <v>CH24019</v>
          </cell>
        </row>
        <row r="2097">
          <cell r="A2097" t="str">
            <v>CH24020</v>
          </cell>
        </row>
        <row r="2098">
          <cell r="A2098" t="str">
            <v>CH24021</v>
          </cell>
        </row>
        <row r="2099">
          <cell r="A2099" t="str">
            <v>CH24022</v>
          </cell>
        </row>
        <row r="2100">
          <cell r="A2100" t="str">
            <v>CH24023</v>
          </cell>
        </row>
        <row r="2101">
          <cell r="A2101" t="str">
            <v>CH24024</v>
          </cell>
        </row>
        <row r="2102">
          <cell r="A2102" t="str">
            <v>CH24025</v>
          </cell>
        </row>
        <row r="2103">
          <cell r="A2103" t="str">
            <v>CH24026</v>
          </cell>
        </row>
        <row r="2104">
          <cell r="A2104" t="str">
            <v>CH24027</v>
          </cell>
        </row>
        <row r="2105">
          <cell r="A2105" t="str">
            <v>CH24028</v>
          </cell>
        </row>
        <row r="2106">
          <cell r="A2106" t="str">
            <v>CH24029</v>
          </cell>
        </row>
        <row r="2107">
          <cell r="A2107" t="str">
            <v>CH24030</v>
          </cell>
        </row>
        <row r="2108">
          <cell r="A2108" t="str">
            <v>CH24031</v>
          </cell>
        </row>
        <row r="2109">
          <cell r="A2109" t="str">
            <v>CH24032</v>
          </cell>
        </row>
        <row r="2110">
          <cell r="A2110" t="str">
            <v>CH24033</v>
          </cell>
        </row>
        <row r="2111">
          <cell r="A2111" t="str">
            <v>CH24034</v>
          </cell>
        </row>
        <row r="2112">
          <cell r="A2112" t="str">
            <v>CH24035</v>
          </cell>
        </row>
        <row r="2113">
          <cell r="A2113" t="str">
            <v>CH24036</v>
          </cell>
        </row>
        <row r="2114">
          <cell r="A2114" t="str">
            <v>CH24037</v>
          </cell>
        </row>
        <row r="2115">
          <cell r="A2115" t="str">
            <v>CH24038</v>
          </cell>
        </row>
        <row r="2116">
          <cell r="A2116" t="str">
            <v>CH24039</v>
          </cell>
        </row>
        <row r="2117">
          <cell r="A2117" t="str">
            <v>CH24040</v>
          </cell>
        </row>
        <row r="2118">
          <cell r="A2118" t="str">
            <v>CH24041</v>
          </cell>
        </row>
        <row r="2119">
          <cell r="A2119" t="str">
            <v>CH24042</v>
          </cell>
        </row>
        <row r="2120">
          <cell r="A2120" t="str">
            <v>CH24043</v>
          </cell>
        </row>
        <row r="2121">
          <cell r="A2121" t="str">
            <v>CH24044</v>
          </cell>
        </row>
        <row r="2122">
          <cell r="A2122" t="str">
            <v>CH24045</v>
          </cell>
        </row>
        <row r="2123">
          <cell r="A2123" t="str">
            <v>CH24046</v>
          </cell>
        </row>
        <row r="2124">
          <cell r="A2124" t="str">
            <v>CH24047</v>
          </cell>
        </row>
        <row r="2125">
          <cell r="A2125" t="str">
            <v>CH24048</v>
          </cell>
        </row>
        <row r="2126">
          <cell r="A2126" t="str">
            <v>CH24049</v>
          </cell>
        </row>
        <row r="2127">
          <cell r="A2127" t="str">
            <v>CH24050</v>
          </cell>
        </row>
        <row r="2128">
          <cell r="A2128" t="str">
            <v>CH24051</v>
          </cell>
        </row>
        <row r="2129">
          <cell r="A2129" t="str">
            <v>CH24052</v>
          </cell>
        </row>
        <row r="2130">
          <cell r="A2130" t="str">
            <v>CH24053</v>
          </cell>
        </row>
        <row r="2131">
          <cell r="A2131" t="str">
            <v>CH24054</v>
          </cell>
        </row>
        <row r="2132">
          <cell r="A2132" t="str">
            <v>CH24055</v>
          </cell>
        </row>
        <row r="2133">
          <cell r="A2133" t="str">
            <v>CH24056</v>
          </cell>
        </row>
        <row r="2134">
          <cell r="A2134" t="str">
            <v>CH24057</v>
          </cell>
        </row>
        <row r="2135">
          <cell r="A2135" t="str">
            <v>CH24058</v>
          </cell>
        </row>
        <row r="2136">
          <cell r="A2136" t="str">
            <v>CH24059</v>
          </cell>
        </row>
        <row r="2137">
          <cell r="A2137" t="str">
            <v>CH24060</v>
          </cell>
        </row>
        <row r="2138">
          <cell r="A2138" t="str">
            <v>CH26013</v>
          </cell>
        </row>
        <row r="2139">
          <cell r="A2139" t="str">
            <v>CH26014</v>
          </cell>
        </row>
        <row r="2140">
          <cell r="A2140" t="str">
            <v>CH26015</v>
          </cell>
        </row>
        <row r="2141">
          <cell r="A2141" t="str">
            <v>CH26016</v>
          </cell>
        </row>
        <row r="2142">
          <cell r="A2142" t="str">
            <v>CH26017</v>
          </cell>
        </row>
        <row r="2143">
          <cell r="A2143" t="str">
            <v>CH26018</v>
          </cell>
        </row>
        <row r="2144">
          <cell r="A2144" t="str">
            <v>CH26019</v>
          </cell>
        </row>
        <row r="2145">
          <cell r="A2145" t="str">
            <v>CH26020</v>
          </cell>
        </row>
        <row r="2146">
          <cell r="A2146" t="str">
            <v>CH26021</v>
          </cell>
        </row>
        <row r="2147">
          <cell r="A2147" t="str">
            <v>CH26022</v>
          </cell>
        </row>
        <row r="2148">
          <cell r="A2148" t="str">
            <v>CH26023</v>
          </cell>
        </row>
        <row r="2149">
          <cell r="A2149" t="str">
            <v>CH26024</v>
          </cell>
        </row>
        <row r="2150">
          <cell r="A2150" t="str">
            <v>CH26025</v>
          </cell>
        </row>
        <row r="2151">
          <cell r="A2151" t="str">
            <v>CH26026</v>
          </cell>
        </row>
        <row r="2152">
          <cell r="A2152" t="str">
            <v>CH26027</v>
          </cell>
        </row>
        <row r="2153">
          <cell r="A2153" t="str">
            <v>CH26028</v>
          </cell>
        </row>
        <row r="2154">
          <cell r="A2154" t="str">
            <v>CH26029</v>
          </cell>
        </row>
        <row r="2155">
          <cell r="A2155" t="str">
            <v>CH26030</v>
          </cell>
        </row>
        <row r="2156">
          <cell r="A2156" t="str">
            <v>CH26031</v>
          </cell>
        </row>
        <row r="2157">
          <cell r="A2157" t="str">
            <v>CH26032</v>
          </cell>
        </row>
        <row r="2158">
          <cell r="A2158" t="str">
            <v>CH26033</v>
          </cell>
        </row>
        <row r="2159">
          <cell r="A2159" t="str">
            <v>CH26034</v>
          </cell>
        </row>
        <row r="2160">
          <cell r="A2160" t="str">
            <v>CH26035</v>
          </cell>
        </row>
        <row r="2161">
          <cell r="A2161" t="str">
            <v>CH26036</v>
          </cell>
        </row>
        <row r="2162">
          <cell r="A2162" t="str">
            <v>CH26037</v>
          </cell>
        </row>
        <row r="2163">
          <cell r="A2163" t="str">
            <v>CH26038</v>
          </cell>
        </row>
        <row r="2164">
          <cell r="A2164" t="str">
            <v>CH26039</v>
          </cell>
        </row>
        <row r="2165">
          <cell r="A2165" t="str">
            <v>CH26040</v>
          </cell>
        </row>
        <row r="2166">
          <cell r="A2166" t="str">
            <v>CH26041</v>
          </cell>
        </row>
        <row r="2167">
          <cell r="A2167" t="str">
            <v>CH26042</v>
          </cell>
        </row>
        <row r="2168">
          <cell r="A2168" t="str">
            <v>CH26043</v>
          </cell>
        </row>
        <row r="2169">
          <cell r="A2169" t="str">
            <v>CH26044</v>
          </cell>
        </row>
        <row r="2170">
          <cell r="A2170" t="str">
            <v>CH26045</v>
          </cell>
        </row>
        <row r="2171">
          <cell r="A2171" t="str">
            <v>CH26046</v>
          </cell>
        </row>
        <row r="2172">
          <cell r="A2172" t="str">
            <v>CH26047</v>
          </cell>
        </row>
        <row r="2173">
          <cell r="A2173" t="str">
            <v>CH26048</v>
          </cell>
        </row>
        <row r="2174">
          <cell r="A2174" t="str">
            <v>CH26049</v>
          </cell>
        </row>
        <row r="2175">
          <cell r="A2175" t="str">
            <v>CH26050</v>
          </cell>
        </row>
        <row r="2176">
          <cell r="A2176" t="str">
            <v>CH26051</v>
          </cell>
        </row>
        <row r="2177">
          <cell r="A2177" t="str">
            <v>CH26052</v>
          </cell>
        </row>
        <row r="2178">
          <cell r="A2178" t="str">
            <v>CH26053</v>
          </cell>
        </row>
        <row r="2179">
          <cell r="A2179" t="str">
            <v>CH26054</v>
          </cell>
        </row>
        <row r="2180">
          <cell r="A2180" t="str">
            <v>CH26055</v>
          </cell>
        </row>
        <row r="2181">
          <cell r="A2181" t="str">
            <v>CH26056</v>
          </cell>
        </row>
        <row r="2182">
          <cell r="A2182" t="str">
            <v>CH26057</v>
          </cell>
        </row>
        <row r="2183">
          <cell r="A2183" t="str">
            <v>CH26058</v>
          </cell>
        </row>
        <row r="2184">
          <cell r="A2184" t="str">
            <v>CH26059</v>
          </cell>
        </row>
        <row r="2185">
          <cell r="A2185" t="str">
            <v>CH26060</v>
          </cell>
        </row>
        <row r="2186">
          <cell r="A2186" t="str">
            <v>CH28013</v>
          </cell>
        </row>
        <row r="2187">
          <cell r="A2187" t="str">
            <v>CH28014</v>
          </cell>
        </row>
        <row r="2188">
          <cell r="A2188" t="str">
            <v>CH28015</v>
          </cell>
        </row>
        <row r="2189">
          <cell r="A2189" t="str">
            <v>CH28016</v>
          </cell>
        </row>
        <row r="2190">
          <cell r="A2190" t="str">
            <v>CH28017</v>
          </cell>
        </row>
        <row r="2191">
          <cell r="A2191" t="str">
            <v>CH28018</v>
          </cell>
        </row>
        <row r="2192">
          <cell r="A2192" t="str">
            <v>CH28019</v>
          </cell>
        </row>
        <row r="2193">
          <cell r="A2193" t="str">
            <v>CH28020</v>
          </cell>
        </row>
        <row r="2194">
          <cell r="A2194" t="str">
            <v>CH28021</v>
          </cell>
        </row>
        <row r="2195">
          <cell r="A2195" t="str">
            <v>CH28022</v>
          </cell>
        </row>
        <row r="2196">
          <cell r="A2196" t="str">
            <v>CH28023</v>
          </cell>
        </row>
        <row r="2197">
          <cell r="A2197" t="str">
            <v>CH28024</v>
          </cell>
        </row>
        <row r="2198">
          <cell r="A2198" t="str">
            <v>CH28025</v>
          </cell>
        </row>
        <row r="2199">
          <cell r="A2199" t="str">
            <v>CH28026</v>
          </cell>
        </row>
        <row r="2200">
          <cell r="A2200" t="str">
            <v>CH28027</v>
          </cell>
        </row>
        <row r="2201">
          <cell r="A2201" t="str">
            <v>CH28028</v>
          </cell>
        </row>
        <row r="2202">
          <cell r="A2202" t="str">
            <v>CH28029</v>
          </cell>
        </row>
        <row r="2203">
          <cell r="A2203" t="str">
            <v>CH28030</v>
          </cell>
        </row>
        <row r="2204">
          <cell r="A2204" t="str">
            <v>CH28031</v>
          </cell>
        </row>
        <row r="2205">
          <cell r="A2205" t="str">
            <v>CH28032</v>
          </cell>
        </row>
        <row r="2206">
          <cell r="A2206" t="str">
            <v>CH28033</v>
          </cell>
        </row>
        <row r="2207">
          <cell r="A2207" t="str">
            <v>CH28034</v>
          </cell>
        </row>
        <row r="2208">
          <cell r="A2208" t="str">
            <v>CH28035</v>
          </cell>
        </row>
        <row r="2209">
          <cell r="A2209" t="str">
            <v>CH28036</v>
          </cell>
        </row>
        <row r="2210">
          <cell r="A2210" t="str">
            <v>CH28037</v>
          </cell>
        </row>
        <row r="2211">
          <cell r="A2211" t="str">
            <v>CH28038</v>
          </cell>
        </row>
        <row r="2212">
          <cell r="A2212" t="str">
            <v>CH28039</v>
          </cell>
        </row>
        <row r="2213">
          <cell r="A2213" t="str">
            <v>CH28040</v>
          </cell>
        </row>
        <row r="2214">
          <cell r="A2214" t="str">
            <v>CH28041</v>
          </cell>
        </row>
        <row r="2215">
          <cell r="A2215" t="str">
            <v>CH28042</v>
          </cell>
        </row>
        <row r="2216">
          <cell r="A2216" t="str">
            <v>CH28043</v>
          </cell>
        </row>
        <row r="2217">
          <cell r="A2217" t="str">
            <v>CH28044</v>
          </cell>
        </row>
        <row r="2218">
          <cell r="A2218" t="str">
            <v>CH28045</v>
          </cell>
        </row>
        <row r="2219">
          <cell r="A2219" t="str">
            <v>CH28046</v>
          </cell>
        </row>
        <row r="2220">
          <cell r="A2220" t="str">
            <v>CH28047</v>
          </cell>
        </row>
        <row r="2221">
          <cell r="A2221" t="str">
            <v>CH28048</v>
          </cell>
        </row>
        <row r="2222">
          <cell r="A2222" t="str">
            <v>CH28049</v>
          </cell>
        </row>
        <row r="2223">
          <cell r="A2223" t="str">
            <v>CH28050</v>
          </cell>
        </row>
        <row r="2224">
          <cell r="A2224" t="str">
            <v>CH28051</v>
          </cell>
        </row>
        <row r="2225">
          <cell r="A2225" t="str">
            <v>CH28052</v>
          </cell>
        </row>
        <row r="2226">
          <cell r="A2226" t="str">
            <v>CH28053</v>
          </cell>
        </row>
        <row r="2227">
          <cell r="A2227" t="str">
            <v>CH28054</v>
          </cell>
        </row>
        <row r="2228">
          <cell r="A2228" t="str">
            <v>CH28055</v>
          </cell>
        </row>
        <row r="2229">
          <cell r="A2229" t="str">
            <v>CH28056</v>
          </cell>
        </row>
        <row r="2230">
          <cell r="A2230" t="str">
            <v>CH28057</v>
          </cell>
        </row>
        <row r="2231">
          <cell r="A2231" t="str">
            <v>CH28058</v>
          </cell>
        </row>
        <row r="2232">
          <cell r="A2232" t="str">
            <v>CH28059</v>
          </cell>
        </row>
        <row r="2233">
          <cell r="A2233" t="str">
            <v>CH28060</v>
          </cell>
        </row>
        <row r="2234">
          <cell r="A2234" t="str">
            <v>CH30013</v>
          </cell>
        </row>
        <row r="2235">
          <cell r="A2235" t="str">
            <v>CH30014</v>
          </cell>
        </row>
        <row r="2236">
          <cell r="A2236" t="str">
            <v>CH30015</v>
          </cell>
        </row>
        <row r="2237">
          <cell r="A2237" t="str">
            <v>CH30016</v>
          </cell>
        </row>
        <row r="2238">
          <cell r="A2238" t="str">
            <v>CH30017</v>
          </cell>
        </row>
        <row r="2239">
          <cell r="A2239" t="str">
            <v>CH30018</v>
          </cell>
        </row>
        <row r="2240">
          <cell r="A2240" t="str">
            <v>CH30019</v>
          </cell>
        </row>
        <row r="2241">
          <cell r="A2241" t="str">
            <v>CH30020</v>
          </cell>
        </row>
        <row r="2242">
          <cell r="A2242" t="str">
            <v>CH30021</v>
          </cell>
        </row>
        <row r="2243">
          <cell r="A2243" t="str">
            <v>CH30022</v>
          </cell>
        </row>
        <row r="2244">
          <cell r="A2244" t="str">
            <v>CH30023</v>
          </cell>
        </row>
        <row r="2245">
          <cell r="A2245" t="str">
            <v>CH30024</v>
          </cell>
        </row>
        <row r="2246">
          <cell r="A2246" t="str">
            <v>CH30025</v>
          </cell>
        </row>
        <row r="2247">
          <cell r="A2247" t="str">
            <v>CH30026</v>
          </cell>
        </row>
        <row r="2248">
          <cell r="A2248" t="str">
            <v>CH30027</v>
          </cell>
        </row>
        <row r="2249">
          <cell r="A2249" t="str">
            <v>CH30028</v>
          </cell>
        </row>
        <row r="2250">
          <cell r="A2250" t="str">
            <v>CH30029</v>
          </cell>
        </row>
        <row r="2251">
          <cell r="A2251" t="str">
            <v>CH30030</v>
          </cell>
        </row>
        <row r="2252">
          <cell r="A2252" t="str">
            <v>CH30031</v>
          </cell>
        </row>
        <row r="2253">
          <cell r="A2253" t="str">
            <v>CH30032</v>
          </cell>
        </row>
        <row r="2254">
          <cell r="A2254" t="str">
            <v>CH30033</v>
          </cell>
        </row>
        <row r="2255">
          <cell r="A2255" t="str">
            <v>CH30034</v>
          </cell>
        </row>
        <row r="2256">
          <cell r="A2256" t="str">
            <v>CH30035</v>
          </cell>
        </row>
        <row r="2257">
          <cell r="A2257" t="str">
            <v>CH30036</v>
          </cell>
        </row>
        <row r="2258">
          <cell r="A2258" t="str">
            <v>CH30037</v>
          </cell>
        </row>
        <row r="2259">
          <cell r="A2259" t="str">
            <v>CH30038</v>
          </cell>
        </row>
        <row r="2260">
          <cell r="A2260" t="str">
            <v>CH30039</v>
          </cell>
        </row>
        <row r="2261">
          <cell r="A2261" t="str">
            <v>CH30040</v>
          </cell>
        </row>
        <row r="2262">
          <cell r="A2262" t="str">
            <v>CH30041</v>
          </cell>
        </row>
        <row r="2263">
          <cell r="A2263" t="str">
            <v>CH30042</v>
          </cell>
        </row>
        <row r="2264">
          <cell r="A2264" t="str">
            <v>CH30043</v>
          </cell>
        </row>
        <row r="2265">
          <cell r="A2265" t="str">
            <v>CH30044</v>
          </cell>
        </row>
        <row r="2266">
          <cell r="A2266" t="str">
            <v>CH30045</v>
          </cell>
        </row>
        <row r="2267">
          <cell r="A2267" t="str">
            <v>CH30046</v>
          </cell>
        </row>
        <row r="2268">
          <cell r="A2268" t="str">
            <v>CH30047</v>
          </cell>
        </row>
        <row r="2269">
          <cell r="A2269" t="str">
            <v>CH30048</v>
          </cell>
        </row>
        <row r="2270">
          <cell r="A2270" t="str">
            <v>CH30049</v>
          </cell>
        </row>
        <row r="2271">
          <cell r="A2271" t="str">
            <v>CH30050</v>
          </cell>
        </row>
        <row r="2272">
          <cell r="A2272" t="str">
            <v>CH30051</v>
          </cell>
        </row>
        <row r="2273">
          <cell r="A2273" t="str">
            <v>CH30052</v>
          </cell>
        </row>
        <row r="2274">
          <cell r="A2274" t="str">
            <v>CH30053</v>
          </cell>
        </row>
        <row r="2275">
          <cell r="A2275" t="str">
            <v>CH30054</v>
          </cell>
        </row>
        <row r="2276">
          <cell r="A2276" t="str">
            <v>CH30055</v>
          </cell>
        </row>
        <row r="2277">
          <cell r="A2277" t="str">
            <v>CH30056</v>
          </cell>
        </row>
        <row r="2278">
          <cell r="A2278" t="str">
            <v>CH30057</v>
          </cell>
        </row>
        <row r="2279">
          <cell r="A2279" t="str">
            <v>CH30058</v>
          </cell>
        </row>
        <row r="2280">
          <cell r="A2280" t="str">
            <v>CH30059</v>
          </cell>
        </row>
        <row r="2281">
          <cell r="A2281" t="str">
            <v>CH30060</v>
          </cell>
        </row>
        <row r="2282">
          <cell r="A2282" t="str">
            <v>CH33029</v>
          </cell>
        </row>
        <row r="2283">
          <cell r="A2283" t="str">
            <v>CH33030</v>
          </cell>
        </row>
        <row r="2284">
          <cell r="A2284" t="str">
            <v>CH33031</v>
          </cell>
        </row>
        <row r="2285">
          <cell r="A2285" t="str">
            <v>CH33032</v>
          </cell>
        </row>
        <row r="2286">
          <cell r="A2286" t="str">
            <v>CH33033</v>
          </cell>
        </row>
        <row r="2287">
          <cell r="A2287" t="str">
            <v>CH33034</v>
          </cell>
        </row>
        <row r="2288">
          <cell r="A2288" t="str">
            <v>CH33035</v>
          </cell>
        </row>
        <row r="2289">
          <cell r="A2289" t="str">
            <v>CH33036</v>
          </cell>
        </row>
        <row r="2290">
          <cell r="A2290" t="str">
            <v>CH33037</v>
          </cell>
        </row>
        <row r="2291">
          <cell r="A2291" t="str">
            <v>CH33038</v>
          </cell>
        </row>
        <row r="2292">
          <cell r="A2292" t="str">
            <v>CH33039</v>
          </cell>
        </row>
        <row r="2293">
          <cell r="A2293" t="str">
            <v>CH33040</v>
          </cell>
        </row>
        <row r="2294">
          <cell r="A2294" t="str">
            <v>CH33041</v>
          </cell>
        </row>
        <row r="2295">
          <cell r="A2295" t="str">
            <v>CH33042</v>
          </cell>
        </row>
        <row r="2296">
          <cell r="A2296" t="str">
            <v>CH33043</v>
          </cell>
        </row>
        <row r="2297">
          <cell r="A2297" t="str">
            <v>CH33044</v>
          </cell>
        </row>
        <row r="2298">
          <cell r="A2298" t="str">
            <v>CH33045</v>
          </cell>
        </row>
        <row r="2299">
          <cell r="A2299" t="str">
            <v>CH33046</v>
          </cell>
        </row>
        <row r="2300">
          <cell r="A2300" t="str">
            <v>CH33047</v>
          </cell>
        </row>
        <row r="2301">
          <cell r="A2301" t="str">
            <v>CH33048</v>
          </cell>
        </row>
        <row r="2302">
          <cell r="A2302" t="str">
            <v>CH33049</v>
          </cell>
        </row>
        <row r="2303">
          <cell r="A2303" t="str">
            <v>CH33050</v>
          </cell>
        </row>
        <row r="2304">
          <cell r="A2304" t="str">
            <v>CH33051</v>
          </cell>
        </row>
        <row r="2305">
          <cell r="A2305" t="str">
            <v>CH33052</v>
          </cell>
        </row>
        <row r="2306">
          <cell r="A2306" t="str">
            <v>CH33053</v>
          </cell>
        </row>
        <row r="2307">
          <cell r="A2307" t="str">
            <v>CH33054</v>
          </cell>
        </row>
        <row r="2308">
          <cell r="A2308" t="str">
            <v>CH33055</v>
          </cell>
        </row>
        <row r="2309">
          <cell r="A2309" t="str">
            <v>CH33056</v>
          </cell>
        </row>
        <row r="2310">
          <cell r="A2310" t="str">
            <v>CH33057</v>
          </cell>
        </row>
        <row r="2311">
          <cell r="A2311" t="str">
            <v>CH33058</v>
          </cell>
        </row>
        <row r="2312">
          <cell r="A2312" t="str">
            <v>CH33059</v>
          </cell>
        </row>
        <row r="2313">
          <cell r="A2313" t="str">
            <v>CH33060</v>
          </cell>
        </row>
        <row r="2314">
          <cell r="A2314" t="str">
            <v>CH36029</v>
          </cell>
        </row>
        <row r="2315">
          <cell r="A2315" t="str">
            <v>CH36030</v>
          </cell>
        </row>
        <row r="2316">
          <cell r="A2316" t="str">
            <v>CH36031</v>
          </cell>
        </row>
        <row r="2317">
          <cell r="A2317" t="str">
            <v>CH36032</v>
          </cell>
        </row>
        <row r="2318">
          <cell r="A2318" t="str">
            <v>CH36033</v>
          </cell>
        </row>
        <row r="2319">
          <cell r="A2319" t="str">
            <v>CH36034</v>
          </cell>
        </row>
        <row r="2320">
          <cell r="A2320" t="str">
            <v>CH36035</v>
          </cell>
        </row>
        <row r="2321">
          <cell r="A2321" t="str">
            <v>CH36036</v>
          </cell>
        </row>
        <row r="2322">
          <cell r="A2322" t="str">
            <v>CH36037</v>
          </cell>
        </row>
        <row r="2323">
          <cell r="A2323" t="str">
            <v>CH36038</v>
          </cell>
        </row>
        <row r="2324">
          <cell r="A2324" t="str">
            <v>CH36039</v>
          </cell>
        </row>
        <row r="2325">
          <cell r="A2325" t="str">
            <v>CH36040</v>
          </cell>
        </row>
        <row r="2326">
          <cell r="A2326" t="str">
            <v>CH36041</v>
          </cell>
        </row>
        <row r="2327">
          <cell r="A2327" t="str">
            <v>CH36042</v>
          </cell>
        </row>
        <row r="2328">
          <cell r="A2328" t="str">
            <v>CH36043</v>
          </cell>
        </row>
        <row r="2329">
          <cell r="A2329" t="str">
            <v>CH36044</v>
          </cell>
        </row>
        <row r="2330">
          <cell r="A2330" t="str">
            <v>CH36045</v>
          </cell>
        </row>
        <row r="2331">
          <cell r="A2331" t="str">
            <v>CH36046</v>
          </cell>
        </row>
        <row r="2332">
          <cell r="A2332" t="str">
            <v>CH36047</v>
          </cell>
        </row>
        <row r="2333">
          <cell r="A2333" t="str">
            <v>CH36048</v>
          </cell>
        </row>
        <row r="2334">
          <cell r="A2334" t="str">
            <v>CH36049</v>
          </cell>
        </row>
        <row r="2335">
          <cell r="A2335" t="str">
            <v>CH36050</v>
          </cell>
        </row>
        <row r="2336">
          <cell r="A2336" t="str">
            <v>CH36051</v>
          </cell>
        </row>
        <row r="2337">
          <cell r="A2337" t="str">
            <v>CH36052</v>
          </cell>
        </row>
        <row r="2338">
          <cell r="A2338" t="str">
            <v>CH36053</v>
          </cell>
        </row>
        <row r="2339">
          <cell r="A2339" t="str">
            <v>CH36054</v>
          </cell>
        </row>
        <row r="2340">
          <cell r="A2340" t="str">
            <v>CH36055</v>
          </cell>
        </row>
        <row r="2341">
          <cell r="A2341" t="str">
            <v>CH36056</v>
          </cell>
        </row>
        <row r="2342">
          <cell r="A2342" t="str">
            <v>CH36057</v>
          </cell>
        </row>
        <row r="2343">
          <cell r="A2343" t="str">
            <v>CH36058</v>
          </cell>
        </row>
        <row r="2344">
          <cell r="A2344" t="str">
            <v>CH36059</v>
          </cell>
        </row>
        <row r="2345">
          <cell r="A2345" t="str">
            <v>CH36060</v>
          </cell>
        </row>
        <row r="2346">
          <cell r="A2346" t="str">
            <v>CH40029</v>
          </cell>
        </row>
        <row r="2347">
          <cell r="A2347" t="str">
            <v>CH40030</v>
          </cell>
        </row>
        <row r="2348">
          <cell r="A2348" t="str">
            <v>CH40031</v>
          </cell>
        </row>
        <row r="2349">
          <cell r="A2349" t="str">
            <v>CH40032</v>
          </cell>
        </row>
        <row r="2350">
          <cell r="A2350" t="str">
            <v>CH40033</v>
          </cell>
        </row>
        <row r="2351">
          <cell r="A2351" t="str">
            <v>CH40034</v>
          </cell>
        </row>
        <row r="2352">
          <cell r="A2352" t="str">
            <v>CH40035</v>
          </cell>
        </row>
        <row r="2353">
          <cell r="A2353" t="str">
            <v>CH40036</v>
          </cell>
        </row>
        <row r="2354">
          <cell r="A2354" t="str">
            <v>CH40037</v>
          </cell>
        </row>
        <row r="2355">
          <cell r="A2355" t="str">
            <v>CH40038</v>
          </cell>
        </row>
        <row r="2356">
          <cell r="A2356" t="str">
            <v>CH40039</v>
          </cell>
        </row>
        <row r="2357">
          <cell r="A2357" t="str">
            <v>CH40040</v>
          </cell>
        </row>
        <row r="2358">
          <cell r="A2358" t="str">
            <v>CH40041</v>
          </cell>
        </row>
        <row r="2359">
          <cell r="A2359" t="str">
            <v>CH40042</v>
          </cell>
        </row>
        <row r="2360">
          <cell r="A2360" t="str">
            <v>CH40043</v>
          </cell>
        </row>
        <row r="2361">
          <cell r="A2361" t="str">
            <v>CH40044</v>
          </cell>
        </row>
        <row r="2362">
          <cell r="A2362" t="str">
            <v>CH40045</v>
          </cell>
        </row>
        <row r="2363">
          <cell r="A2363" t="str">
            <v>CH40046</v>
          </cell>
        </row>
        <row r="2364">
          <cell r="A2364" t="str">
            <v>CH40047</v>
          </cell>
        </row>
        <row r="2365">
          <cell r="A2365" t="str">
            <v>CH40048</v>
          </cell>
        </row>
        <row r="2366">
          <cell r="A2366" t="str">
            <v>CH40049</v>
          </cell>
        </row>
        <row r="2367">
          <cell r="A2367" t="str">
            <v>CH40050</v>
          </cell>
        </row>
        <row r="2368">
          <cell r="A2368" t="str">
            <v>CH40051</v>
          </cell>
        </row>
        <row r="2369">
          <cell r="A2369" t="str">
            <v>CH40052</v>
          </cell>
        </row>
        <row r="2370">
          <cell r="A2370" t="str">
            <v>CH40053</v>
          </cell>
        </row>
        <row r="2371">
          <cell r="A2371" t="str">
            <v>CH40054</v>
          </cell>
        </row>
        <row r="2372">
          <cell r="A2372" t="str">
            <v>CH40055</v>
          </cell>
        </row>
        <row r="2373">
          <cell r="A2373" t="str">
            <v>CH40056</v>
          </cell>
        </row>
        <row r="2374">
          <cell r="A2374" t="str">
            <v>CH40057</v>
          </cell>
        </row>
        <row r="2375">
          <cell r="A2375" t="str">
            <v>CH40058</v>
          </cell>
        </row>
        <row r="2376">
          <cell r="A2376" t="str">
            <v>CH40059</v>
          </cell>
        </row>
        <row r="2377">
          <cell r="A2377" t="str">
            <v>CH40060</v>
          </cell>
        </row>
        <row r="2378">
          <cell r="A2378" t="str">
            <v>CV06008</v>
          </cell>
        </row>
        <row r="2379">
          <cell r="A2379" t="str">
            <v>CV06009</v>
          </cell>
        </row>
        <row r="2380">
          <cell r="A2380" t="str">
            <v>CV06010</v>
          </cell>
        </row>
        <row r="2381">
          <cell r="A2381" t="str">
            <v>CV06011</v>
          </cell>
        </row>
        <row r="2382">
          <cell r="A2382" t="str">
            <v>CV06012</v>
          </cell>
        </row>
        <row r="2383">
          <cell r="A2383" t="str">
            <v>CV07008</v>
          </cell>
        </row>
        <row r="2384">
          <cell r="A2384" t="str">
            <v>CV07009</v>
          </cell>
        </row>
        <row r="2385">
          <cell r="A2385" t="str">
            <v>CV07010</v>
          </cell>
        </row>
        <row r="2386">
          <cell r="A2386" t="str">
            <v>CV07011</v>
          </cell>
        </row>
        <row r="2387">
          <cell r="A2387" t="str">
            <v>CV07012</v>
          </cell>
        </row>
        <row r="2388">
          <cell r="A2388" t="str">
            <v>CV08008</v>
          </cell>
        </row>
        <row r="2389">
          <cell r="A2389" t="str">
            <v>CV08009</v>
          </cell>
        </row>
        <row r="2390">
          <cell r="A2390" t="str">
            <v>CV08010</v>
          </cell>
        </row>
        <row r="2391">
          <cell r="A2391" t="str">
            <v>CV08011</v>
          </cell>
        </row>
        <row r="2392">
          <cell r="A2392" t="str">
            <v>CV08012</v>
          </cell>
        </row>
        <row r="2393">
          <cell r="A2393" t="str">
            <v>CV08013</v>
          </cell>
        </row>
        <row r="2394">
          <cell r="A2394" t="str">
            <v>CV08014</v>
          </cell>
        </row>
        <row r="2395">
          <cell r="A2395" t="str">
            <v>CV08015</v>
          </cell>
        </row>
        <row r="2396">
          <cell r="A2396" t="str">
            <v>CV08016</v>
          </cell>
        </row>
        <row r="2397">
          <cell r="A2397" t="str">
            <v>CV08017</v>
          </cell>
        </row>
        <row r="2398">
          <cell r="A2398" t="str">
            <v>CV08018</v>
          </cell>
        </row>
        <row r="2399">
          <cell r="A2399" t="str">
            <v>CV08019</v>
          </cell>
        </row>
        <row r="2400">
          <cell r="A2400" t="str">
            <v>CV08020</v>
          </cell>
        </row>
        <row r="2401">
          <cell r="A2401" t="str">
            <v>CV08021</v>
          </cell>
        </row>
        <row r="2402">
          <cell r="A2402" t="str">
            <v>CV08022</v>
          </cell>
        </row>
        <row r="2403">
          <cell r="A2403" t="str">
            <v>CV08023</v>
          </cell>
        </row>
        <row r="2404">
          <cell r="A2404" t="str">
            <v>CV08024</v>
          </cell>
        </row>
        <row r="2405">
          <cell r="A2405" t="str">
            <v>CV08025</v>
          </cell>
        </row>
        <row r="2406">
          <cell r="A2406" t="str">
            <v>CV08026</v>
          </cell>
        </row>
        <row r="2407">
          <cell r="A2407" t="str">
            <v>CV08027</v>
          </cell>
        </row>
        <row r="2408">
          <cell r="A2408" t="str">
            <v>CV08028</v>
          </cell>
        </row>
        <row r="2409">
          <cell r="A2409" t="str">
            <v>CV09008</v>
          </cell>
        </row>
        <row r="2410">
          <cell r="A2410" t="str">
            <v>CV09009</v>
          </cell>
        </row>
        <row r="2411">
          <cell r="A2411" t="str">
            <v>CV09010</v>
          </cell>
        </row>
        <row r="2412">
          <cell r="A2412" t="str">
            <v>CV09011</v>
          </cell>
        </row>
        <row r="2413">
          <cell r="A2413" t="str">
            <v>CV09012</v>
          </cell>
        </row>
        <row r="2414">
          <cell r="A2414" t="str">
            <v>CV09013</v>
          </cell>
        </row>
        <row r="2415">
          <cell r="A2415" t="str">
            <v>CV09014</v>
          </cell>
        </row>
        <row r="2416">
          <cell r="A2416" t="str">
            <v>CV09015</v>
          </cell>
        </row>
        <row r="2417">
          <cell r="A2417" t="str">
            <v>CV09016</v>
          </cell>
        </row>
        <row r="2418">
          <cell r="A2418" t="str">
            <v>CV09017</v>
          </cell>
        </row>
        <row r="2419">
          <cell r="A2419" t="str">
            <v>CV09018</v>
          </cell>
        </row>
        <row r="2420">
          <cell r="A2420" t="str">
            <v>CV09019</v>
          </cell>
        </row>
        <row r="2421">
          <cell r="A2421" t="str">
            <v>CV09020</v>
          </cell>
        </row>
        <row r="2422">
          <cell r="A2422" t="str">
            <v>CV09021</v>
          </cell>
        </row>
        <row r="2423">
          <cell r="A2423" t="str">
            <v>CV09022</v>
          </cell>
        </row>
        <row r="2424">
          <cell r="A2424" t="str">
            <v>CV09023</v>
          </cell>
        </row>
        <row r="2425">
          <cell r="A2425" t="str">
            <v>CV09024</v>
          </cell>
        </row>
        <row r="2426">
          <cell r="A2426" t="str">
            <v>CV09025</v>
          </cell>
        </row>
        <row r="2427">
          <cell r="A2427" t="str">
            <v>CV09026</v>
          </cell>
        </row>
        <row r="2428">
          <cell r="A2428" t="str">
            <v>CV09027</v>
          </cell>
        </row>
        <row r="2429">
          <cell r="A2429" t="str">
            <v>CV09028</v>
          </cell>
        </row>
        <row r="2430">
          <cell r="A2430" t="str">
            <v>CV10008</v>
          </cell>
        </row>
        <row r="2431">
          <cell r="A2431" t="str">
            <v>CV10009</v>
          </cell>
        </row>
        <row r="2432">
          <cell r="A2432" t="str">
            <v>CV10010</v>
          </cell>
        </row>
        <row r="2433">
          <cell r="A2433" t="str">
            <v>CV10011</v>
          </cell>
        </row>
        <row r="2434">
          <cell r="A2434" t="str">
            <v>CV10012</v>
          </cell>
        </row>
        <row r="2435">
          <cell r="A2435" t="str">
            <v>CV10013</v>
          </cell>
        </row>
        <row r="2436">
          <cell r="A2436" t="str">
            <v>CV10014</v>
          </cell>
        </row>
        <row r="2437">
          <cell r="A2437" t="str">
            <v>CV10015</v>
          </cell>
        </row>
        <row r="2438">
          <cell r="A2438" t="str">
            <v>CV10016</v>
          </cell>
        </row>
        <row r="2439">
          <cell r="A2439" t="str">
            <v>CV10017</v>
          </cell>
        </row>
        <row r="2440">
          <cell r="A2440" t="str">
            <v>CV10018</v>
          </cell>
        </row>
        <row r="2441">
          <cell r="A2441" t="str">
            <v>CV10019</v>
          </cell>
        </row>
        <row r="2442">
          <cell r="A2442" t="str">
            <v>CV10020</v>
          </cell>
        </row>
        <row r="2443">
          <cell r="A2443" t="str">
            <v>CV10021</v>
          </cell>
        </row>
        <row r="2444">
          <cell r="A2444" t="str">
            <v>CV10022</v>
          </cell>
        </row>
        <row r="2445">
          <cell r="A2445" t="str">
            <v>CV10023</v>
          </cell>
        </row>
        <row r="2446">
          <cell r="A2446" t="str">
            <v>CV10024</v>
          </cell>
        </row>
        <row r="2447">
          <cell r="A2447" t="str">
            <v>CV10025</v>
          </cell>
        </row>
        <row r="2448">
          <cell r="A2448" t="str">
            <v>CV10026</v>
          </cell>
        </row>
        <row r="2449">
          <cell r="A2449" t="str">
            <v>CV10027</v>
          </cell>
        </row>
        <row r="2450">
          <cell r="A2450" t="str">
            <v>CV10028</v>
          </cell>
        </row>
        <row r="2451">
          <cell r="A2451" t="str">
            <v>CV11008</v>
          </cell>
        </row>
        <row r="2452">
          <cell r="A2452" t="str">
            <v>CV11009</v>
          </cell>
        </row>
        <row r="2453">
          <cell r="A2453" t="str">
            <v>CV11010</v>
          </cell>
        </row>
        <row r="2454">
          <cell r="A2454" t="str">
            <v>CV11011</v>
          </cell>
        </row>
        <row r="2455">
          <cell r="A2455" t="str">
            <v>CV11012</v>
          </cell>
        </row>
        <row r="2456">
          <cell r="A2456" t="str">
            <v>CV11013</v>
          </cell>
        </row>
        <row r="2457">
          <cell r="A2457" t="str">
            <v>CV11014</v>
          </cell>
        </row>
        <row r="2458">
          <cell r="A2458" t="str">
            <v>CV11015</v>
          </cell>
        </row>
        <row r="2459">
          <cell r="A2459" t="str">
            <v>CV11016</v>
          </cell>
        </row>
        <row r="2460">
          <cell r="A2460" t="str">
            <v>CV11017</v>
          </cell>
        </row>
        <row r="2461">
          <cell r="A2461" t="str">
            <v>CV11018</v>
          </cell>
        </row>
        <row r="2462">
          <cell r="A2462" t="str">
            <v>CV11019</v>
          </cell>
        </row>
        <row r="2463">
          <cell r="A2463" t="str">
            <v>CV11020</v>
          </cell>
        </row>
        <row r="2464">
          <cell r="A2464" t="str">
            <v>CV11021</v>
          </cell>
        </row>
        <row r="2465">
          <cell r="A2465" t="str">
            <v>CV11022</v>
          </cell>
        </row>
        <row r="2466">
          <cell r="A2466" t="str">
            <v>CV11023</v>
          </cell>
        </row>
        <row r="2467">
          <cell r="A2467" t="str">
            <v>CV11024</v>
          </cell>
        </row>
        <row r="2468">
          <cell r="A2468" t="str">
            <v>CV11025</v>
          </cell>
        </row>
        <row r="2469">
          <cell r="A2469" t="str">
            <v>CV11026</v>
          </cell>
        </row>
        <row r="2470">
          <cell r="A2470" t="str">
            <v>CV11027</v>
          </cell>
        </row>
        <row r="2471">
          <cell r="A2471" t="str">
            <v>CV11028</v>
          </cell>
        </row>
        <row r="2472">
          <cell r="A2472" t="str">
            <v>CV11029</v>
          </cell>
        </row>
        <row r="2473">
          <cell r="A2473" t="str">
            <v>CV11030</v>
          </cell>
        </row>
        <row r="2474">
          <cell r="A2474" t="str">
            <v>CV11031</v>
          </cell>
        </row>
        <row r="2475">
          <cell r="A2475" t="str">
            <v>CV11032</v>
          </cell>
        </row>
        <row r="2476">
          <cell r="A2476" t="str">
            <v>CV11033</v>
          </cell>
        </row>
        <row r="2477">
          <cell r="A2477" t="str">
            <v>CV11034</v>
          </cell>
        </row>
        <row r="2478">
          <cell r="A2478" t="str">
            <v>CV11035</v>
          </cell>
        </row>
        <row r="2479">
          <cell r="A2479" t="str">
            <v>CV11036</v>
          </cell>
        </row>
        <row r="2480">
          <cell r="A2480" t="str">
            <v>CV12008</v>
          </cell>
        </row>
        <row r="2481">
          <cell r="A2481" t="str">
            <v>CV12009</v>
          </cell>
        </row>
        <row r="2482">
          <cell r="A2482" t="str">
            <v>CV12010</v>
          </cell>
        </row>
        <row r="2483">
          <cell r="A2483" t="str">
            <v>CV12011</v>
          </cell>
        </row>
        <row r="2484">
          <cell r="A2484" t="str">
            <v>CV12012</v>
          </cell>
        </row>
        <row r="2485">
          <cell r="A2485" t="str">
            <v>CV12013</v>
          </cell>
        </row>
        <row r="2486">
          <cell r="A2486" t="str">
            <v>CV12014</v>
          </cell>
        </row>
        <row r="2487">
          <cell r="A2487" t="str">
            <v>CV12015</v>
          </cell>
        </row>
        <row r="2488">
          <cell r="A2488" t="str">
            <v>CV12016</v>
          </cell>
        </row>
        <row r="2489">
          <cell r="A2489" t="str">
            <v>CV12017</v>
          </cell>
        </row>
        <row r="2490">
          <cell r="A2490" t="str">
            <v>CV12018</v>
          </cell>
        </row>
        <row r="2491">
          <cell r="A2491" t="str">
            <v>CV12019</v>
          </cell>
        </row>
        <row r="2492">
          <cell r="A2492" t="str">
            <v>CV12020</v>
          </cell>
        </row>
        <row r="2493">
          <cell r="A2493" t="str">
            <v>CV12021</v>
          </cell>
        </row>
        <row r="2494">
          <cell r="A2494" t="str">
            <v>CV12022</v>
          </cell>
        </row>
        <row r="2495">
          <cell r="A2495" t="str">
            <v>CV12023</v>
          </cell>
        </row>
        <row r="2496">
          <cell r="A2496" t="str">
            <v>CV12024</v>
          </cell>
        </row>
        <row r="2497">
          <cell r="A2497" t="str">
            <v>CV12025</v>
          </cell>
        </row>
        <row r="2498">
          <cell r="A2498" t="str">
            <v>CV12026</v>
          </cell>
        </row>
        <row r="2499">
          <cell r="A2499" t="str">
            <v>CV12027</v>
          </cell>
        </row>
        <row r="2500">
          <cell r="A2500" t="str">
            <v>CV12028</v>
          </cell>
        </row>
        <row r="2501">
          <cell r="A2501" t="str">
            <v>CV12029</v>
          </cell>
        </row>
        <row r="2502">
          <cell r="A2502" t="str">
            <v>CV12030</v>
          </cell>
        </row>
        <row r="2503">
          <cell r="A2503" t="str">
            <v>CV12031</v>
          </cell>
        </row>
        <row r="2504">
          <cell r="A2504" t="str">
            <v>CV12032</v>
          </cell>
        </row>
        <row r="2505">
          <cell r="A2505" t="str">
            <v>CV12033</v>
          </cell>
        </row>
        <row r="2506">
          <cell r="A2506" t="str">
            <v>CV12034</v>
          </cell>
        </row>
        <row r="2507">
          <cell r="A2507" t="str">
            <v>CV12035</v>
          </cell>
        </row>
        <row r="2508">
          <cell r="A2508" t="str">
            <v>CV12036</v>
          </cell>
        </row>
        <row r="2509">
          <cell r="A2509" t="str">
            <v>CV13008</v>
          </cell>
        </row>
      </sheetData>
      <sheetData sheetId="7" refreshError="1">
        <row r="2">
          <cell r="A2" t="str">
            <v>NPCX-L-020</v>
          </cell>
          <cell r="B2">
            <v>35</v>
          </cell>
          <cell r="C2">
            <v>12</v>
          </cell>
          <cell r="D2">
            <v>18</v>
          </cell>
        </row>
        <row r="3">
          <cell r="A3" t="str">
            <v>NPCX-L-025</v>
          </cell>
          <cell r="B3">
            <v>40</v>
          </cell>
          <cell r="C3">
            <v>12</v>
          </cell>
          <cell r="D3">
            <v>18</v>
          </cell>
        </row>
        <row r="4">
          <cell r="A4" t="str">
            <v>NPCX-L-032</v>
          </cell>
          <cell r="B4">
            <v>45</v>
          </cell>
          <cell r="C4">
            <v>12</v>
          </cell>
          <cell r="D4">
            <v>18</v>
          </cell>
        </row>
        <row r="5">
          <cell r="A5" t="str">
            <v>NPCX-L-040</v>
          </cell>
          <cell r="B5">
            <v>55</v>
          </cell>
          <cell r="C5">
            <v>16</v>
          </cell>
          <cell r="D5">
            <v>22</v>
          </cell>
        </row>
        <row r="6">
          <cell r="A6" t="str">
            <v>NPCX-L-050</v>
          </cell>
          <cell r="B6">
            <v>60</v>
          </cell>
          <cell r="C6">
            <v>16</v>
          </cell>
          <cell r="D6">
            <v>22</v>
          </cell>
        </row>
        <row r="7">
          <cell r="A7" t="str">
            <v>NPCX-L-065</v>
          </cell>
          <cell r="B7">
            <v>65</v>
          </cell>
          <cell r="C7">
            <v>16</v>
          </cell>
          <cell r="D7">
            <v>22</v>
          </cell>
        </row>
        <row r="8">
          <cell r="A8" t="str">
            <v>NPCX-L-080</v>
          </cell>
          <cell r="B8">
            <v>75</v>
          </cell>
          <cell r="C8">
            <v>16</v>
          </cell>
          <cell r="D8">
            <v>22</v>
          </cell>
        </row>
        <row r="9">
          <cell r="A9" t="str">
            <v>NPCX-L-090</v>
          </cell>
          <cell r="B9">
            <v>90</v>
          </cell>
          <cell r="C9">
            <v>20</v>
          </cell>
          <cell r="D9">
            <v>28</v>
          </cell>
        </row>
        <row r="10">
          <cell r="A10" t="str">
            <v>NPCX-L-100</v>
          </cell>
          <cell r="B10">
            <v>95</v>
          </cell>
          <cell r="C10">
            <v>20</v>
          </cell>
          <cell r="D10">
            <v>28</v>
          </cell>
        </row>
        <row r="11">
          <cell r="A11" t="str">
            <v>NPCX-L-125</v>
          </cell>
          <cell r="B11">
            <v>110</v>
          </cell>
          <cell r="C11">
            <v>20</v>
          </cell>
          <cell r="D11">
            <v>28</v>
          </cell>
        </row>
        <row r="12">
          <cell r="A12" t="str">
            <v>NPCX-L-150</v>
          </cell>
          <cell r="B12">
            <v>125</v>
          </cell>
          <cell r="C12">
            <v>20</v>
          </cell>
          <cell r="D12">
            <v>28</v>
          </cell>
        </row>
        <row r="13">
          <cell r="A13" t="str">
            <v>NPCX-L-175</v>
          </cell>
          <cell r="B13">
            <v>140</v>
          </cell>
          <cell r="C13">
            <v>20</v>
          </cell>
          <cell r="D13">
            <v>28</v>
          </cell>
        </row>
        <row r="14">
          <cell r="A14" t="str">
            <v>NPCX-L-200</v>
          </cell>
          <cell r="B14">
            <v>150</v>
          </cell>
          <cell r="C14">
            <v>20</v>
          </cell>
          <cell r="D14">
            <v>28</v>
          </cell>
        </row>
        <row r="15">
          <cell r="A15" t="str">
            <v>NPCX-L-225</v>
          </cell>
          <cell r="B15">
            <v>185</v>
          </cell>
          <cell r="C15">
            <v>24</v>
          </cell>
          <cell r="D15">
            <v>28</v>
          </cell>
        </row>
        <row r="16">
          <cell r="A16" t="str">
            <v>NPCX-L-250</v>
          </cell>
          <cell r="B16">
            <v>200</v>
          </cell>
          <cell r="C16">
            <v>24</v>
          </cell>
          <cell r="D16">
            <v>28</v>
          </cell>
        </row>
        <row r="17">
          <cell r="A17" t="str">
            <v>NPCX-L-300</v>
          </cell>
          <cell r="B17">
            <v>225</v>
          </cell>
          <cell r="C17">
            <v>24</v>
          </cell>
          <cell r="D17">
            <v>28</v>
          </cell>
        </row>
        <row r="18">
          <cell r="A18" t="str">
            <v>NPCX-L-350</v>
          </cell>
          <cell r="B18">
            <v>245</v>
          </cell>
          <cell r="C18">
            <v>24</v>
          </cell>
          <cell r="D18">
            <v>28</v>
          </cell>
        </row>
        <row r="19">
          <cell r="A19" t="str">
            <v>NPCX-L-400</v>
          </cell>
          <cell r="B19">
            <v>280</v>
          </cell>
          <cell r="C19">
            <v>30</v>
          </cell>
          <cell r="D19">
            <v>34</v>
          </cell>
        </row>
        <row r="20">
          <cell r="A20" t="str">
            <v>NPCX-L-450</v>
          </cell>
          <cell r="B20">
            <v>310</v>
          </cell>
          <cell r="C20">
            <v>30</v>
          </cell>
          <cell r="D20">
            <v>34</v>
          </cell>
        </row>
        <row r="21">
          <cell r="A21" t="str">
            <v>NPCX-L-500</v>
          </cell>
          <cell r="B21">
            <v>350</v>
          </cell>
          <cell r="C21">
            <v>36</v>
          </cell>
          <cell r="D21">
            <v>40</v>
          </cell>
        </row>
        <row r="22">
          <cell r="A22" t="str">
            <v>NPCX-L-550</v>
          </cell>
          <cell r="B22">
            <v>370</v>
          </cell>
          <cell r="C22">
            <v>36</v>
          </cell>
          <cell r="D22">
            <v>40</v>
          </cell>
        </row>
        <row r="23">
          <cell r="A23" t="str">
            <v>NPCX-L-600</v>
          </cell>
          <cell r="B23">
            <v>400</v>
          </cell>
          <cell r="C23">
            <v>36</v>
          </cell>
          <cell r="D23">
            <v>40</v>
          </cell>
        </row>
        <row r="24">
          <cell r="A24" t="str">
            <v>NPCX-L-650</v>
          </cell>
          <cell r="B24">
            <v>430</v>
          </cell>
          <cell r="C24">
            <v>42</v>
          </cell>
          <cell r="D24">
            <v>47</v>
          </cell>
        </row>
        <row r="25">
          <cell r="A25" t="str">
            <v>NPCX-L-700</v>
          </cell>
          <cell r="B25">
            <v>450</v>
          </cell>
          <cell r="C25">
            <v>42</v>
          </cell>
          <cell r="D25">
            <v>47</v>
          </cell>
        </row>
        <row r="26">
          <cell r="A26" t="str">
            <v>NPCX-L-750</v>
          </cell>
          <cell r="B26">
            <v>480</v>
          </cell>
          <cell r="C26">
            <v>42</v>
          </cell>
          <cell r="D26">
            <v>47</v>
          </cell>
        </row>
        <row r="27">
          <cell r="A27" t="str">
            <v>NPCX-L-800</v>
          </cell>
          <cell r="B27">
            <v>505</v>
          </cell>
          <cell r="C27">
            <v>42</v>
          </cell>
          <cell r="D27">
            <v>47</v>
          </cell>
        </row>
        <row r="28">
          <cell r="A28" t="str">
            <v>NPCX-L-850</v>
          </cell>
          <cell r="B28">
            <v>545</v>
          </cell>
          <cell r="C28">
            <v>48</v>
          </cell>
          <cell r="D28">
            <v>54</v>
          </cell>
        </row>
        <row r="29">
          <cell r="A29" t="str">
            <v>NPCX-L-900</v>
          </cell>
          <cell r="B29">
            <v>565</v>
          </cell>
          <cell r="C29">
            <v>48</v>
          </cell>
          <cell r="D29">
            <v>54</v>
          </cell>
        </row>
        <row r="30">
          <cell r="A30" t="str">
            <v>NPCX-L-1000</v>
          </cell>
          <cell r="B30">
            <v>620</v>
          </cell>
          <cell r="C30">
            <v>48</v>
          </cell>
          <cell r="D30">
            <v>54</v>
          </cell>
        </row>
        <row r="31">
          <cell r="A31" t="str">
            <v>NPCX-L-1100</v>
          </cell>
          <cell r="B31">
            <v>670</v>
          </cell>
          <cell r="C31">
            <v>48</v>
          </cell>
          <cell r="D31">
            <v>54</v>
          </cell>
        </row>
        <row r="32">
          <cell r="A32" t="str">
            <v>NPCX-L-1200</v>
          </cell>
          <cell r="B32">
            <v>730</v>
          </cell>
          <cell r="C32">
            <v>48</v>
          </cell>
          <cell r="D32">
            <v>54</v>
          </cell>
        </row>
        <row r="33">
          <cell r="A33" t="str">
            <v>NPCX-M-300</v>
          </cell>
          <cell r="B33">
            <v>225</v>
          </cell>
          <cell r="C33">
            <v>24</v>
          </cell>
          <cell r="D33">
            <v>28</v>
          </cell>
        </row>
        <row r="34">
          <cell r="A34" t="str">
            <v>NPCX-M-350</v>
          </cell>
          <cell r="B34">
            <v>255</v>
          </cell>
          <cell r="C34">
            <v>30</v>
          </cell>
          <cell r="D34">
            <v>34</v>
          </cell>
        </row>
        <row r="35">
          <cell r="A35" t="str">
            <v>NPCX-M-400</v>
          </cell>
          <cell r="B35">
            <v>280</v>
          </cell>
          <cell r="C35">
            <v>30</v>
          </cell>
          <cell r="D35">
            <v>34</v>
          </cell>
        </row>
        <row r="36">
          <cell r="A36" t="str">
            <v>NPCX-M-450</v>
          </cell>
          <cell r="B36">
            <v>310</v>
          </cell>
          <cell r="C36">
            <v>30</v>
          </cell>
          <cell r="D36">
            <v>34</v>
          </cell>
        </row>
        <row r="37">
          <cell r="A37" t="str">
            <v>NPCX-M-500</v>
          </cell>
          <cell r="B37">
            <v>350</v>
          </cell>
          <cell r="C37">
            <v>36</v>
          </cell>
          <cell r="D37">
            <v>40</v>
          </cell>
        </row>
        <row r="38">
          <cell r="A38" t="str">
            <v>NPCX-M-550</v>
          </cell>
          <cell r="B38">
            <v>370</v>
          </cell>
          <cell r="C38">
            <v>36</v>
          </cell>
          <cell r="D38">
            <v>40</v>
          </cell>
        </row>
        <row r="39">
          <cell r="A39" t="str">
            <v>NPCX-M-600</v>
          </cell>
          <cell r="B39">
            <v>420</v>
          </cell>
          <cell r="C39">
            <v>42</v>
          </cell>
          <cell r="D39">
            <v>47</v>
          </cell>
        </row>
        <row r="40">
          <cell r="A40" t="str">
            <v>NPCX-M-650</v>
          </cell>
          <cell r="B40">
            <v>450</v>
          </cell>
          <cell r="C40">
            <v>42</v>
          </cell>
          <cell r="D40">
            <v>47</v>
          </cell>
        </row>
        <row r="41">
          <cell r="A41" t="str">
            <v>NPCX-M-700</v>
          </cell>
          <cell r="B41">
            <v>475</v>
          </cell>
          <cell r="C41">
            <v>48</v>
          </cell>
          <cell r="D41">
            <v>54</v>
          </cell>
        </row>
        <row r="42">
          <cell r="A42" t="str">
            <v>NPCX-M-750</v>
          </cell>
          <cell r="B42">
            <v>500</v>
          </cell>
          <cell r="C42">
            <v>48</v>
          </cell>
          <cell r="D42">
            <v>54</v>
          </cell>
        </row>
        <row r="43">
          <cell r="A43" t="str">
            <v>NPCX-M-800</v>
          </cell>
          <cell r="B43">
            <v>520</v>
          </cell>
          <cell r="C43">
            <v>48</v>
          </cell>
          <cell r="D43">
            <v>54</v>
          </cell>
        </row>
        <row r="44">
          <cell r="A44" t="str">
            <v>NPCX-M-850</v>
          </cell>
          <cell r="B44">
            <v>545</v>
          </cell>
          <cell r="C44">
            <v>48</v>
          </cell>
          <cell r="D44">
            <v>54</v>
          </cell>
        </row>
        <row r="45">
          <cell r="A45" t="str">
            <v>NPCX-M-900</v>
          </cell>
          <cell r="B45">
            <v>580</v>
          </cell>
          <cell r="C45">
            <v>56</v>
          </cell>
          <cell r="D45">
            <v>62</v>
          </cell>
        </row>
        <row r="46">
          <cell r="A46" t="str">
            <v>NPCX-M-1000</v>
          </cell>
          <cell r="B46">
            <v>650</v>
          </cell>
          <cell r="C46">
            <v>56</v>
          </cell>
          <cell r="D46">
            <v>62</v>
          </cell>
        </row>
        <row r="47">
          <cell r="A47" t="str">
            <v>NPCX-M-1100</v>
          </cell>
          <cell r="B47">
            <v>700</v>
          </cell>
          <cell r="C47">
            <v>56</v>
          </cell>
          <cell r="D47">
            <v>62</v>
          </cell>
        </row>
        <row r="48">
          <cell r="A48" t="str">
            <v>NPCX-M-1200</v>
          </cell>
          <cell r="B48">
            <v>750</v>
          </cell>
          <cell r="C48">
            <v>56</v>
          </cell>
          <cell r="D48">
            <v>62</v>
          </cell>
        </row>
        <row r="49">
          <cell r="A49" t="str">
            <v>NPCX-H-150</v>
          </cell>
          <cell r="B49">
            <v>130</v>
          </cell>
          <cell r="C49">
            <v>24</v>
          </cell>
          <cell r="D49">
            <v>28</v>
          </cell>
        </row>
        <row r="50">
          <cell r="A50" t="str">
            <v>NPCX-H-175</v>
          </cell>
          <cell r="B50">
            <v>150</v>
          </cell>
          <cell r="C50">
            <v>24</v>
          </cell>
          <cell r="D50">
            <v>28</v>
          </cell>
        </row>
        <row r="51">
          <cell r="A51" t="str">
            <v>NPCX-H-200</v>
          </cell>
          <cell r="B51">
            <v>165</v>
          </cell>
          <cell r="C51">
            <v>24</v>
          </cell>
          <cell r="D51">
            <v>28</v>
          </cell>
        </row>
        <row r="52">
          <cell r="A52" t="str">
            <v>NPCX-H-225</v>
          </cell>
          <cell r="B52">
            <v>180</v>
          </cell>
          <cell r="C52">
            <v>30</v>
          </cell>
          <cell r="D52">
            <v>34</v>
          </cell>
        </row>
        <row r="53">
          <cell r="A53" t="str">
            <v>NPCX-H-250</v>
          </cell>
          <cell r="B53">
            <v>200</v>
          </cell>
          <cell r="C53">
            <v>30</v>
          </cell>
          <cell r="D53">
            <v>34</v>
          </cell>
        </row>
        <row r="54">
          <cell r="A54" t="str">
            <v>NPCX-H-300</v>
          </cell>
          <cell r="B54">
            <v>230</v>
          </cell>
          <cell r="C54">
            <v>30</v>
          </cell>
          <cell r="D54">
            <v>34</v>
          </cell>
        </row>
        <row r="55">
          <cell r="A55" t="str">
            <v>NPCX-H-350</v>
          </cell>
          <cell r="B55">
            <v>260</v>
          </cell>
          <cell r="C55">
            <v>36</v>
          </cell>
          <cell r="D55">
            <v>42</v>
          </cell>
        </row>
        <row r="56">
          <cell r="A56" t="str">
            <v>NPCX-H-400</v>
          </cell>
          <cell r="B56">
            <v>300</v>
          </cell>
          <cell r="C56">
            <v>36</v>
          </cell>
          <cell r="D56">
            <v>42</v>
          </cell>
        </row>
        <row r="57">
          <cell r="A57" t="str">
            <v>NPCX-H-450</v>
          </cell>
          <cell r="B57">
            <v>335</v>
          </cell>
          <cell r="C57">
            <v>48</v>
          </cell>
          <cell r="D57">
            <v>54</v>
          </cell>
        </row>
        <row r="58">
          <cell r="A58" t="str">
            <v>NPCX-H-500</v>
          </cell>
          <cell r="B58">
            <v>360</v>
          </cell>
          <cell r="C58">
            <v>48</v>
          </cell>
          <cell r="D58">
            <v>54</v>
          </cell>
        </row>
        <row r="59">
          <cell r="A59" t="str">
            <v>NPCX-H-550</v>
          </cell>
          <cell r="B59">
            <v>400</v>
          </cell>
          <cell r="C59">
            <v>48</v>
          </cell>
          <cell r="D59">
            <v>54</v>
          </cell>
        </row>
        <row r="60">
          <cell r="A60" t="str">
            <v>NPCX-H-600</v>
          </cell>
          <cell r="B60">
            <v>430</v>
          </cell>
          <cell r="C60">
            <v>48</v>
          </cell>
          <cell r="D60">
            <v>54</v>
          </cell>
        </row>
        <row r="61">
          <cell r="A61" t="str">
            <v>NPCB-L-020</v>
          </cell>
          <cell r="B61">
            <v>85</v>
          </cell>
          <cell r="C61">
            <v>12</v>
          </cell>
          <cell r="D61">
            <v>18</v>
          </cell>
        </row>
        <row r="62">
          <cell r="A62" t="str">
            <v>NPCB-L-025</v>
          </cell>
          <cell r="B62">
            <v>90</v>
          </cell>
          <cell r="C62">
            <v>12</v>
          </cell>
          <cell r="D62">
            <v>18</v>
          </cell>
        </row>
        <row r="63">
          <cell r="A63" t="str">
            <v>NPCB-L-032</v>
          </cell>
          <cell r="B63">
            <v>105</v>
          </cell>
          <cell r="C63">
            <v>12</v>
          </cell>
          <cell r="D63">
            <v>18</v>
          </cell>
        </row>
        <row r="64">
          <cell r="A64" t="str">
            <v>NPCB-L-040</v>
          </cell>
          <cell r="B64">
            <v>115</v>
          </cell>
          <cell r="C64">
            <v>16</v>
          </cell>
          <cell r="D64">
            <v>22</v>
          </cell>
        </row>
        <row r="65">
          <cell r="A65" t="str">
            <v>NPCB-L-050</v>
          </cell>
          <cell r="B65">
            <v>120</v>
          </cell>
          <cell r="C65">
            <v>16</v>
          </cell>
          <cell r="D65">
            <v>22</v>
          </cell>
        </row>
        <row r="66">
          <cell r="A66" t="str">
            <v>NPCB-L-065</v>
          </cell>
          <cell r="B66">
            <v>130</v>
          </cell>
          <cell r="C66">
            <v>16</v>
          </cell>
          <cell r="D66">
            <v>22</v>
          </cell>
        </row>
        <row r="67">
          <cell r="A67" t="str">
            <v>NPCB-L-080</v>
          </cell>
          <cell r="B67">
            <v>145</v>
          </cell>
          <cell r="C67">
            <v>16</v>
          </cell>
          <cell r="D67">
            <v>22</v>
          </cell>
        </row>
        <row r="68">
          <cell r="A68" t="str">
            <v>NPCB-L-090</v>
          </cell>
          <cell r="B68">
            <v>155</v>
          </cell>
          <cell r="C68">
            <v>20</v>
          </cell>
          <cell r="D68">
            <v>28</v>
          </cell>
        </row>
        <row r="69">
          <cell r="A69" t="str">
            <v>NPCB-L-100</v>
          </cell>
          <cell r="B69">
            <v>165</v>
          </cell>
          <cell r="C69">
            <v>20</v>
          </cell>
          <cell r="D69">
            <v>28</v>
          </cell>
        </row>
        <row r="70">
          <cell r="A70" t="str">
            <v>NPCB-L-125</v>
          </cell>
          <cell r="B70">
            <v>185</v>
          </cell>
          <cell r="C70">
            <v>20</v>
          </cell>
          <cell r="D70">
            <v>28</v>
          </cell>
        </row>
        <row r="71">
          <cell r="A71" t="str">
            <v>NPCB-L-150</v>
          </cell>
          <cell r="B71">
            <v>215</v>
          </cell>
          <cell r="C71">
            <v>20</v>
          </cell>
          <cell r="D71">
            <v>28</v>
          </cell>
        </row>
        <row r="72">
          <cell r="A72" t="str">
            <v>NPCB-L-175</v>
          </cell>
          <cell r="B72">
            <v>240</v>
          </cell>
          <cell r="C72">
            <v>20</v>
          </cell>
          <cell r="D72">
            <v>28</v>
          </cell>
        </row>
        <row r="73">
          <cell r="A73" t="str">
            <v>NPCB-L-200</v>
          </cell>
          <cell r="B73">
            <v>255</v>
          </cell>
          <cell r="C73">
            <v>20</v>
          </cell>
          <cell r="D73">
            <v>28</v>
          </cell>
        </row>
        <row r="74">
          <cell r="A74" t="str">
            <v>NPCB-L-225</v>
          </cell>
          <cell r="B74">
            <v>275</v>
          </cell>
          <cell r="C74">
            <v>24</v>
          </cell>
          <cell r="D74">
            <v>28</v>
          </cell>
        </row>
        <row r="75">
          <cell r="A75" t="str">
            <v>NPCB-L-250</v>
          </cell>
          <cell r="B75">
            <v>290</v>
          </cell>
          <cell r="C75">
            <v>24</v>
          </cell>
          <cell r="D75">
            <v>28</v>
          </cell>
        </row>
        <row r="76">
          <cell r="A76" t="str">
            <v>NPCB-L-300</v>
          </cell>
          <cell r="B76">
            <v>325</v>
          </cell>
          <cell r="C76">
            <v>24</v>
          </cell>
          <cell r="D76">
            <v>28</v>
          </cell>
        </row>
        <row r="77">
          <cell r="A77" t="str">
            <v>NPCB-L-350</v>
          </cell>
          <cell r="B77">
            <v>365</v>
          </cell>
          <cell r="C77">
            <v>24</v>
          </cell>
          <cell r="D77">
            <v>28</v>
          </cell>
        </row>
        <row r="78">
          <cell r="A78" t="str">
            <v>NPCB-L-400</v>
          </cell>
          <cell r="B78">
            <v>400</v>
          </cell>
          <cell r="C78">
            <v>30</v>
          </cell>
          <cell r="D78">
            <v>34</v>
          </cell>
        </row>
        <row r="79">
          <cell r="A79" t="str">
            <v>NPCB-L-450</v>
          </cell>
          <cell r="B79">
            <v>430</v>
          </cell>
          <cell r="C79">
            <v>30</v>
          </cell>
          <cell r="D79">
            <v>34</v>
          </cell>
        </row>
        <row r="80">
          <cell r="A80" t="str">
            <v>NPCB-L-500</v>
          </cell>
          <cell r="B80">
            <v>470</v>
          </cell>
          <cell r="C80">
            <v>36</v>
          </cell>
          <cell r="D80">
            <v>40</v>
          </cell>
        </row>
        <row r="81">
          <cell r="A81" t="str">
            <v>NPCB-L-550</v>
          </cell>
          <cell r="B81">
            <v>495</v>
          </cell>
          <cell r="C81">
            <v>36</v>
          </cell>
          <cell r="D81">
            <v>40</v>
          </cell>
        </row>
        <row r="82">
          <cell r="A82" t="str">
            <v>NPCB-L-600</v>
          </cell>
          <cell r="B82">
            <v>520</v>
          </cell>
          <cell r="C82">
            <v>36</v>
          </cell>
          <cell r="D82">
            <v>40</v>
          </cell>
        </row>
        <row r="83">
          <cell r="A83" t="str">
            <v>NPCB-L-650</v>
          </cell>
          <cell r="B83">
            <v>590</v>
          </cell>
          <cell r="C83">
            <v>42</v>
          </cell>
          <cell r="D83">
            <v>47</v>
          </cell>
        </row>
        <row r="84">
          <cell r="A84" t="str">
            <v>NPCB-L-700</v>
          </cell>
          <cell r="B84">
            <v>620</v>
          </cell>
          <cell r="C84">
            <v>42</v>
          </cell>
          <cell r="D84">
            <v>47</v>
          </cell>
        </row>
        <row r="85">
          <cell r="A85" t="str">
            <v>NPCB-L-750</v>
          </cell>
          <cell r="B85">
            <v>650</v>
          </cell>
          <cell r="C85">
            <v>42</v>
          </cell>
          <cell r="D85">
            <v>47</v>
          </cell>
        </row>
        <row r="86">
          <cell r="A86" t="str">
            <v>NPCB-L-800</v>
          </cell>
          <cell r="B86">
            <v>700</v>
          </cell>
          <cell r="C86">
            <v>42</v>
          </cell>
          <cell r="D86">
            <v>47</v>
          </cell>
        </row>
        <row r="87">
          <cell r="A87" t="str">
            <v>NPCB-L-850</v>
          </cell>
          <cell r="B87">
            <v>730</v>
          </cell>
          <cell r="C87">
            <v>48</v>
          </cell>
          <cell r="D87">
            <v>54</v>
          </cell>
        </row>
        <row r="88">
          <cell r="A88" t="str">
            <v>NPCB-L-900</v>
          </cell>
          <cell r="B88">
            <v>760</v>
          </cell>
          <cell r="C88">
            <v>48</v>
          </cell>
          <cell r="D88">
            <v>54</v>
          </cell>
        </row>
        <row r="89">
          <cell r="A89" t="str">
            <v>NPCB-L-1000</v>
          </cell>
          <cell r="B89">
            <v>800</v>
          </cell>
          <cell r="C89">
            <v>48</v>
          </cell>
          <cell r="D89">
            <v>54</v>
          </cell>
        </row>
        <row r="90">
          <cell r="A90" t="str">
            <v>NPCB-L-1100</v>
          </cell>
          <cell r="B90">
            <v>850</v>
          </cell>
          <cell r="C90">
            <v>48</v>
          </cell>
          <cell r="D90">
            <v>54</v>
          </cell>
        </row>
        <row r="91">
          <cell r="A91" t="str">
            <v>NPCB-L-1200</v>
          </cell>
          <cell r="B91">
            <v>900</v>
          </cell>
          <cell r="C91">
            <v>48</v>
          </cell>
          <cell r="D91">
            <v>54</v>
          </cell>
        </row>
        <row r="92">
          <cell r="A92" t="str">
            <v>NPCB-M-300</v>
          </cell>
          <cell r="B92">
            <v>325</v>
          </cell>
          <cell r="C92">
            <v>24</v>
          </cell>
          <cell r="D92">
            <v>28</v>
          </cell>
        </row>
        <row r="93">
          <cell r="A93" t="str">
            <v>NPCB-M-350</v>
          </cell>
          <cell r="B93">
            <v>365</v>
          </cell>
          <cell r="C93">
            <v>30</v>
          </cell>
          <cell r="D93">
            <v>34</v>
          </cell>
        </row>
        <row r="94">
          <cell r="A94" t="str">
            <v>NPCB-M-400</v>
          </cell>
          <cell r="B94">
            <v>400</v>
          </cell>
          <cell r="C94">
            <v>30</v>
          </cell>
          <cell r="D94">
            <v>34</v>
          </cell>
        </row>
        <row r="95">
          <cell r="A95" t="str">
            <v>NPCB-M-450</v>
          </cell>
          <cell r="B95">
            <v>430</v>
          </cell>
          <cell r="C95">
            <v>30</v>
          </cell>
          <cell r="D95">
            <v>34</v>
          </cell>
        </row>
        <row r="96">
          <cell r="A96" t="str">
            <v>NPCB-M-500</v>
          </cell>
          <cell r="B96">
            <v>470</v>
          </cell>
          <cell r="C96">
            <v>36</v>
          </cell>
          <cell r="D96">
            <v>40</v>
          </cell>
        </row>
        <row r="97">
          <cell r="A97" t="str">
            <v>NPCB-M-550</v>
          </cell>
          <cell r="B97">
            <v>495</v>
          </cell>
          <cell r="C97">
            <v>36</v>
          </cell>
          <cell r="D97">
            <v>40</v>
          </cell>
        </row>
        <row r="98">
          <cell r="A98" t="str">
            <v>NPCB-M-600</v>
          </cell>
          <cell r="B98">
            <v>520</v>
          </cell>
          <cell r="C98">
            <v>42</v>
          </cell>
          <cell r="D98">
            <v>47</v>
          </cell>
        </row>
        <row r="99">
          <cell r="A99" t="str">
            <v>NPCB-M-650</v>
          </cell>
          <cell r="B99">
            <v>590</v>
          </cell>
          <cell r="C99">
            <v>42</v>
          </cell>
          <cell r="D99">
            <v>47</v>
          </cell>
        </row>
        <row r="100">
          <cell r="A100" t="str">
            <v>NPCB-M-700</v>
          </cell>
          <cell r="B100">
            <v>620</v>
          </cell>
          <cell r="C100">
            <v>48</v>
          </cell>
          <cell r="D100">
            <v>54</v>
          </cell>
        </row>
        <row r="101">
          <cell r="A101" t="str">
            <v>NPCB-M-750</v>
          </cell>
          <cell r="B101">
            <v>650</v>
          </cell>
          <cell r="C101">
            <v>48</v>
          </cell>
          <cell r="D101">
            <v>54</v>
          </cell>
        </row>
        <row r="102">
          <cell r="A102" t="str">
            <v>NPCB-M-800</v>
          </cell>
          <cell r="B102">
            <v>700</v>
          </cell>
          <cell r="C102">
            <v>48</v>
          </cell>
          <cell r="D102">
            <v>54</v>
          </cell>
        </row>
        <row r="103">
          <cell r="A103" t="str">
            <v>NPCB-M-850</v>
          </cell>
          <cell r="B103">
            <v>730</v>
          </cell>
          <cell r="C103">
            <v>48</v>
          </cell>
          <cell r="D103">
            <v>54</v>
          </cell>
        </row>
        <row r="104">
          <cell r="A104" t="str">
            <v>NPCB-M-900</v>
          </cell>
          <cell r="B104">
            <v>760</v>
          </cell>
          <cell r="C104">
            <v>56</v>
          </cell>
          <cell r="D104">
            <v>62</v>
          </cell>
        </row>
        <row r="105">
          <cell r="A105" t="str">
            <v>NPCB-M-1000</v>
          </cell>
          <cell r="B105">
            <v>800</v>
          </cell>
          <cell r="C105">
            <v>56</v>
          </cell>
          <cell r="D105">
            <v>62</v>
          </cell>
        </row>
        <row r="106">
          <cell r="A106" t="str">
            <v>NPCB-M-1100</v>
          </cell>
          <cell r="B106">
            <v>850</v>
          </cell>
          <cell r="C106">
            <v>56</v>
          </cell>
          <cell r="D106">
            <v>62</v>
          </cell>
        </row>
        <row r="107">
          <cell r="A107" t="str">
            <v>NPCB-M-1200</v>
          </cell>
          <cell r="B107">
            <v>900</v>
          </cell>
          <cell r="C107">
            <v>56</v>
          </cell>
          <cell r="D107">
            <v>62</v>
          </cell>
        </row>
        <row r="108">
          <cell r="A108" t="str">
            <v>NPCB-H-150</v>
          </cell>
          <cell r="B108">
            <v>215</v>
          </cell>
          <cell r="C108">
            <v>24</v>
          </cell>
          <cell r="D108">
            <v>28</v>
          </cell>
        </row>
        <row r="109">
          <cell r="A109" t="str">
            <v>NPCB-H-175</v>
          </cell>
          <cell r="B109">
            <v>240</v>
          </cell>
          <cell r="C109">
            <v>24</v>
          </cell>
          <cell r="D109">
            <v>28</v>
          </cell>
        </row>
        <row r="110">
          <cell r="A110" t="str">
            <v>NPCB-H-200</v>
          </cell>
          <cell r="B110">
            <v>255</v>
          </cell>
          <cell r="C110">
            <v>24</v>
          </cell>
          <cell r="D110">
            <v>28</v>
          </cell>
        </row>
        <row r="111">
          <cell r="A111" t="str">
            <v>NPCB-H-225</v>
          </cell>
          <cell r="B111">
            <v>275</v>
          </cell>
          <cell r="C111">
            <v>30</v>
          </cell>
          <cell r="D111">
            <v>34</v>
          </cell>
        </row>
        <row r="112">
          <cell r="A112" t="str">
            <v>NPCB-H-250</v>
          </cell>
          <cell r="B112">
            <v>290</v>
          </cell>
          <cell r="C112">
            <v>30</v>
          </cell>
          <cell r="D112">
            <v>34</v>
          </cell>
        </row>
        <row r="113">
          <cell r="A113" t="str">
            <v>NPCB-H-300</v>
          </cell>
          <cell r="B113">
            <v>325</v>
          </cell>
          <cell r="C113">
            <v>30</v>
          </cell>
          <cell r="D113">
            <v>34</v>
          </cell>
        </row>
        <row r="114">
          <cell r="A114" t="str">
            <v>NPCB-H-350</v>
          </cell>
          <cell r="B114">
            <v>365</v>
          </cell>
          <cell r="C114">
            <v>36</v>
          </cell>
          <cell r="D114">
            <v>42</v>
          </cell>
        </row>
        <row r="115">
          <cell r="A115" t="str">
            <v>NPCB-H-400</v>
          </cell>
          <cell r="B115">
            <v>400</v>
          </cell>
          <cell r="C115">
            <v>36</v>
          </cell>
          <cell r="D115">
            <v>42</v>
          </cell>
        </row>
        <row r="116">
          <cell r="A116" t="str">
            <v>NPCB-H-450</v>
          </cell>
          <cell r="B116">
            <v>430</v>
          </cell>
          <cell r="C116">
            <v>48</v>
          </cell>
          <cell r="D116">
            <v>54</v>
          </cell>
        </row>
        <row r="117">
          <cell r="A117" t="str">
            <v>NPCB-H-500</v>
          </cell>
          <cell r="B117">
            <v>470</v>
          </cell>
          <cell r="C117">
            <v>48</v>
          </cell>
          <cell r="D117">
            <v>54</v>
          </cell>
        </row>
        <row r="118">
          <cell r="A118" t="str">
            <v>NPCB-H-550</v>
          </cell>
          <cell r="B118">
            <v>495</v>
          </cell>
          <cell r="C118">
            <v>48</v>
          </cell>
          <cell r="D118">
            <v>54</v>
          </cell>
        </row>
        <row r="119">
          <cell r="A119" t="str">
            <v>NPCB-H-600</v>
          </cell>
          <cell r="B119">
            <v>520</v>
          </cell>
          <cell r="C119">
            <v>48</v>
          </cell>
          <cell r="D119">
            <v>54</v>
          </cell>
        </row>
        <row r="120">
          <cell r="A120" t="str">
            <v>NPCD-L-020</v>
          </cell>
          <cell r="B120">
            <v>110</v>
          </cell>
          <cell r="C120">
            <v>12</v>
          </cell>
          <cell r="D120">
            <v>18</v>
          </cell>
        </row>
        <row r="121">
          <cell r="A121" t="str">
            <v>NPCD-L-025</v>
          </cell>
          <cell r="B121">
            <v>110</v>
          </cell>
          <cell r="C121">
            <v>12</v>
          </cell>
          <cell r="D121">
            <v>18</v>
          </cell>
        </row>
        <row r="122">
          <cell r="A122" t="str">
            <v>NPCD-L-032</v>
          </cell>
          <cell r="B122">
            <v>125</v>
          </cell>
          <cell r="C122">
            <v>12</v>
          </cell>
          <cell r="D122">
            <v>18</v>
          </cell>
        </row>
        <row r="123">
          <cell r="A123" t="str">
            <v>NPCD-L-040</v>
          </cell>
          <cell r="B123">
            <v>135</v>
          </cell>
          <cell r="C123">
            <v>16</v>
          </cell>
          <cell r="D123">
            <v>22</v>
          </cell>
        </row>
        <row r="124">
          <cell r="A124" t="str">
            <v>NPCD-L-050</v>
          </cell>
          <cell r="B124">
            <v>145</v>
          </cell>
          <cell r="C124">
            <v>16</v>
          </cell>
          <cell r="D124">
            <v>22</v>
          </cell>
        </row>
        <row r="125">
          <cell r="A125" t="str">
            <v>NPCD-L-065</v>
          </cell>
          <cell r="B125">
            <v>155</v>
          </cell>
          <cell r="C125">
            <v>16</v>
          </cell>
          <cell r="D125">
            <v>22</v>
          </cell>
        </row>
        <row r="126">
          <cell r="A126" t="str">
            <v>NPCD-L-080</v>
          </cell>
          <cell r="B126">
            <v>165</v>
          </cell>
          <cell r="C126">
            <v>16</v>
          </cell>
          <cell r="D126">
            <v>22</v>
          </cell>
        </row>
        <row r="127">
          <cell r="A127" t="str">
            <v>NPCD-L-090</v>
          </cell>
          <cell r="B127">
            <v>185</v>
          </cell>
          <cell r="C127">
            <v>20</v>
          </cell>
          <cell r="D127">
            <v>28</v>
          </cell>
        </row>
        <row r="128">
          <cell r="A128" t="str">
            <v>NPCD-L-100</v>
          </cell>
          <cell r="B128">
            <v>195</v>
          </cell>
          <cell r="C128">
            <v>20</v>
          </cell>
          <cell r="D128">
            <v>28</v>
          </cell>
        </row>
        <row r="129">
          <cell r="A129" t="str">
            <v>NPCD-L-125</v>
          </cell>
          <cell r="B129">
            <v>215</v>
          </cell>
          <cell r="C129">
            <v>20</v>
          </cell>
          <cell r="D129">
            <v>28</v>
          </cell>
        </row>
        <row r="130">
          <cell r="A130" t="str">
            <v>NPCD-L-150</v>
          </cell>
          <cell r="B130">
            <v>255</v>
          </cell>
          <cell r="C130">
            <v>20</v>
          </cell>
          <cell r="D130">
            <v>28</v>
          </cell>
        </row>
        <row r="131">
          <cell r="A131" t="str">
            <v>NPCD-L-175</v>
          </cell>
          <cell r="B131">
            <v>280</v>
          </cell>
          <cell r="C131">
            <v>20</v>
          </cell>
          <cell r="D131">
            <v>28</v>
          </cell>
        </row>
        <row r="132">
          <cell r="A132" t="str">
            <v>NPCD-L-200</v>
          </cell>
          <cell r="B132">
            <v>300</v>
          </cell>
          <cell r="C132">
            <v>20</v>
          </cell>
          <cell r="D132">
            <v>28</v>
          </cell>
        </row>
        <row r="133">
          <cell r="A133" t="str">
            <v>NPCD-L-225</v>
          </cell>
          <cell r="B133">
            <v>320</v>
          </cell>
          <cell r="C133">
            <v>24</v>
          </cell>
          <cell r="D133">
            <v>28</v>
          </cell>
        </row>
        <row r="134">
          <cell r="A134" t="str">
            <v>NPCD-L-250</v>
          </cell>
          <cell r="B134">
            <v>340</v>
          </cell>
          <cell r="C134">
            <v>24</v>
          </cell>
          <cell r="D134">
            <v>28</v>
          </cell>
        </row>
        <row r="135">
          <cell r="A135" t="str">
            <v>NPCD-L-300</v>
          </cell>
          <cell r="B135">
            <v>370</v>
          </cell>
          <cell r="C135">
            <v>24</v>
          </cell>
          <cell r="D135">
            <v>28</v>
          </cell>
        </row>
        <row r="136">
          <cell r="A136" t="str">
            <v>NPCD-L-350</v>
          </cell>
          <cell r="B136">
            <v>420</v>
          </cell>
          <cell r="C136">
            <v>24</v>
          </cell>
          <cell r="D136">
            <v>28</v>
          </cell>
        </row>
        <row r="137">
          <cell r="A137" t="str">
            <v>NPCD-L-400</v>
          </cell>
          <cell r="B137">
            <v>445</v>
          </cell>
          <cell r="C137">
            <v>30</v>
          </cell>
          <cell r="D137">
            <v>34</v>
          </cell>
        </row>
        <row r="138">
          <cell r="A138" t="str">
            <v>NPCD-L-450</v>
          </cell>
          <cell r="B138">
            <v>470</v>
          </cell>
          <cell r="C138">
            <v>30</v>
          </cell>
          <cell r="D138">
            <v>34</v>
          </cell>
        </row>
        <row r="139">
          <cell r="A139" t="str">
            <v>NPCD-L-500</v>
          </cell>
          <cell r="B139">
            <v>520</v>
          </cell>
          <cell r="C139">
            <v>36</v>
          </cell>
          <cell r="D139">
            <v>40</v>
          </cell>
        </row>
        <row r="140">
          <cell r="A140" t="str">
            <v>NPCD-L-550</v>
          </cell>
          <cell r="B140">
            <v>550</v>
          </cell>
          <cell r="C140">
            <v>36</v>
          </cell>
          <cell r="D140">
            <v>40</v>
          </cell>
        </row>
        <row r="141">
          <cell r="A141" t="str">
            <v>NPCD-L-600</v>
          </cell>
          <cell r="B141">
            <v>580</v>
          </cell>
          <cell r="C141">
            <v>36</v>
          </cell>
          <cell r="D141">
            <v>40</v>
          </cell>
        </row>
        <row r="142">
          <cell r="A142" t="str">
            <v>NPCD-L-650</v>
          </cell>
          <cell r="B142">
            <v>590</v>
          </cell>
          <cell r="C142">
            <v>42</v>
          </cell>
          <cell r="D142">
            <v>47</v>
          </cell>
        </row>
        <row r="143">
          <cell r="A143" t="str">
            <v>NPCD-L-700</v>
          </cell>
          <cell r="B143">
            <v>620</v>
          </cell>
          <cell r="C143">
            <v>42</v>
          </cell>
          <cell r="D143">
            <v>47</v>
          </cell>
        </row>
        <row r="144">
          <cell r="A144" t="str">
            <v>NPCD-L-750</v>
          </cell>
          <cell r="B144">
            <v>650</v>
          </cell>
          <cell r="C144">
            <v>42</v>
          </cell>
          <cell r="D144">
            <v>47</v>
          </cell>
        </row>
        <row r="145">
          <cell r="A145" t="str">
            <v>NPCD-L-800</v>
          </cell>
          <cell r="B145">
            <v>700</v>
          </cell>
          <cell r="C145">
            <v>42</v>
          </cell>
          <cell r="D145">
            <v>47</v>
          </cell>
        </row>
        <row r="146">
          <cell r="A146" t="str">
            <v>NPCD-L-850</v>
          </cell>
          <cell r="B146">
            <v>730</v>
          </cell>
          <cell r="C146">
            <v>48</v>
          </cell>
          <cell r="D146">
            <v>54</v>
          </cell>
        </row>
        <row r="147">
          <cell r="A147" t="str">
            <v>NPCD-L-900</v>
          </cell>
          <cell r="B147">
            <v>760</v>
          </cell>
          <cell r="C147">
            <v>48</v>
          </cell>
          <cell r="D147">
            <v>54</v>
          </cell>
        </row>
        <row r="148">
          <cell r="A148" t="str">
            <v>NPCD-L-1000</v>
          </cell>
          <cell r="B148">
            <v>800</v>
          </cell>
          <cell r="C148">
            <v>48</v>
          </cell>
          <cell r="D148">
            <v>54</v>
          </cell>
        </row>
        <row r="149">
          <cell r="A149" t="str">
            <v>NPCD-L-1100</v>
          </cell>
          <cell r="B149">
            <v>850</v>
          </cell>
          <cell r="C149">
            <v>48</v>
          </cell>
          <cell r="D149">
            <v>54</v>
          </cell>
        </row>
        <row r="150">
          <cell r="A150" t="str">
            <v>NPCD-L-1200</v>
          </cell>
          <cell r="B150">
            <v>900</v>
          </cell>
          <cell r="C150">
            <v>48</v>
          </cell>
          <cell r="D150">
            <v>54</v>
          </cell>
        </row>
        <row r="151">
          <cell r="A151" t="str">
            <v>NPCD-M-300</v>
          </cell>
          <cell r="B151">
            <v>370</v>
          </cell>
          <cell r="C151">
            <v>24</v>
          </cell>
          <cell r="D151">
            <v>28</v>
          </cell>
        </row>
        <row r="152">
          <cell r="A152" t="str">
            <v>NPCD-M-350</v>
          </cell>
          <cell r="B152">
            <v>420</v>
          </cell>
          <cell r="C152">
            <v>30</v>
          </cell>
          <cell r="D152">
            <v>34</v>
          </cell>
        </row>
        <row r="153">
          <cell r="A153" t="str">
            <v>NPCD-M-400</v>
          </cell>
          <cell r="B153">
            <v>445</v>
          </cell>
          <cell r="C153">
            <v>30</v>
          </cell>
          <cell r="D153">
            <v>34</v>
          </cell>
        </row>
        <row r="154">
          <cell r="A154" t="str">
            <v>NPCD-M-450</v>
          </cell>
          <cell r="B154">
            <v>470</v>
          </cell>
          <cell r="C154">
            <v>30</v>
          </cell>
          <cell r="D154">
            <v>34</v>
          </cell>
        </row>
        <row r="155">
          <cell r="A155" t="str">
            <v>NPCD-M-500</v>
          </cell>
          <cell r="B155">
            <v>520</v>
          </cell>
          <cell r="C155">
            <v>36</v>
          </cell>
          <cell r="D155">
            <v>40</v>
          </cell>
        </row>
        <row r="156">
          <cell r="A156" t="str">
            <v>NPCD-M-550</v>
          </cell>
          <cell r="B156">
            <v>550</v>
          </cell>
          <cell r="C156">
            <v>36</v>
          </cell>
          <cell r="D156">
            <v>40</v>
          </cell>
        </row>
        <row r="157">
          <cell r="A157" t="str">
            <v>NPCD-M-600</v>
          </cell>
          <cell r="B157">
            <v>580</v>
          </cell>
          <cell r="C157">
            <v>42</v>
          </cell>
          <cell r="D157">
            <v>46</v>
          </cell>
        </row>
        <row r="158">
          <cell r="A158" t="str">
            <v>NPCD-M-650</v>
          </cell>
          <cell r="B158">
            <v>590</v>
          </cell>
          <cell r="C158">
            <v>42</v>
          </cell>
          <cell r="D158">
            <v>46</v>
          </cell>
        </row>
        <row r="159">
          <cell r="A159" t="str">
            <v>NPCD-M-700</v>
          </cell>
          <cell r="B159">
            <v>620</v>
          </cell>
          <cell r="C159">
            <v>48</v>
          </cell>
          <cell r="D159">
            <v>54</v>
          </cell>
        </row>
        <row r="160">
          <cell r="A160" t="str">
            <v>NPCD-M-750</v>
          </cell>
          <cell r="B160">
            <v>650</v>
          </cell>
          <cell r="C160">
            <v>48</v>
          </cell>
          <cell r="D160">
            <v>54</v>
          </cell>
        </row>
        <row r="161">
          <cell r="A161" t="str">
            <v>NPCD-M-800</v>
          </cell>
          <cell r="B161">
            <v>700</v>
          </cell>
          <cell r="C161">
            <v>48</v>
          </cell>
          <cell r="D161">
            <v>54</v>
          </cell>
        </row>
        <row r="162">
          <cell r="A162" t="str">
            <v>NPCD-M-850</v>
          </cell>
          <cell r="B162">
            <v>730</v>
          </cell>
          <cell r="C162">
            <v>48</v>
          </cell>
          <cell r="D162">
            <v>54</v>
          </cell>
        </row>
        <row r="163">
          <cell r="A163" t="str">
            <v>NPCD-M-900</v>
          </cell>
          <cell r="B163">
            <v>760</v>
          </cell>
          <cell r="C163">
            <v>56</v>
          </cell>
          <cell r="D163">
            <v>62</v>
          </cell>
        </row>
        <row r="164">
          <cell r="A164" t="str">
            <v>NPCD-M-1000</v>
          </cell>
          <cell r="B164">
            <v>800</v>
          </cell>
          <cell r="C164">
            <v>56</v>
          </cell>
          <cell r="D164">
            <v>62</v>
          </cell>
        </row>
        <row r="165">
          <cell r="A165" t="str">
            <v>NPCD-M-1100</v>
          </cell>
          <cell r="B165">
            <v>850</v>
          </cell>
          <cell r="C165">
            <v>56</v>
          </cell>
          <cell r="D165">
            <v>62</v>
          </cell>
        </row>
        <row r="166">
          <cell r="A166" t="str">
            <v>NPCD-M-1200</v>
          </cell>
          <cell r="B166">
            <v>900</v>
          </cell>
          <cell r="C166">
            <v>56</v>
          </cell>
          <cell r="D166">
            <v>62</v>
          </cell>
        </row>
        <row r="167">
          <cell r="A167" t="str">
            <v>NPCD-H-150</v>
          </cell>
          <cell r="B167">
            <v>255</v>
          </cell>
          <cell r="C167">
            <v>24</v>
          </cell>
          <cell r="D167">
            <v>28</v>
          </cell>
        </row>
        <row r="168">
          <cell r="A168" t="str">
            <v>NPCD-H-175</v>
          </cell>
          <cell r="B168">
            <v>280</v>
          </cell>
          <cell r="C168">
            <v>24</v>
          </cell>
          <cell r="D168">
            <v>28</v>
          </cell>
        </row>
        <row r="169">
          <cell r="A169" t="str">
            <v>NPCD-H-200</v>
          </cell>
          <cell r="B169">
            <v>300</v>
          </cell>
          <cell r="C169">
            <v>24</v>
          </cell>
          <cell r="D169">
            <v>28</v>
          </cell>
        </row>
        <row r="170">
          <cell r="A170" t="str">
            <v>NPCD-H-225</v>
          </cell>
          <cell r="B170">
            <v>320</v>
          </cell>
          <cell r="C170">
            <v>30</v>
          </cell>
          <cell r="D170">
            <v>34</v>
          </cell>
        </row>
        <row r="171">
          <cell r="A171" t="str">
            <v>NPCD-H-250</v>
          </cell>
          <cell r="B171">
            <v>340</v>
          </cell>
          <cell r="C171">
            <v>30</v>
          </cell>
          <cell r="D171">
            <v>34</v>
          </cell>
        </row>
        <row r="172">
          <cell r="A172" t="str">
            <v>NPCD-H-300</v>
          </cell>
          <cell r="B172">
            <v>370</v>
          </cell>
          <cell r="C172">
            <v>30</v>
          </cell>
          <cell r="D172">
            <v>34</v>
          </cell>
        </row>
        <row r="173">
          <cell r="A173" t="str">
            <v>NPCD-H-350</v>
          </cell>
          <cell r="B173">
            <v>420</v>
          </cell>
          <cell r="C173">
            <v>36</v>
          </cell>
          <cell r="D173">
            <v>42</v>
          </cell>
        </row>
        <row r="174">
          <cell r="A174" t="str">
            <v>NPCD-H-400</v>
          </cell>
          <cell r="B174">
            <v>445</v>
          </cell>
          <cell r="C174">
            <v>36</v>
          </cell>
          <cell r="D174">
            <v>42</v>
          </cell>
        </row>
        <row r="175">
          <cell r="A175" t="str">
            <v>NPCD-H-450</v>
          </cell>
          <cell r="B175">
            <v>470</v>
          </cell>
          <cell r="C175">
            <v>48</v>
          </cell>
          <cell r="D175">
            <v>54</v>
          </cell>
        </row>
        <row r="176">
          <cell r="A176" t="str">
            <v>NPCD-H-500</v>
          </cell>
          <cell r="B176">
            <v>520</v>
          </cell>
          <cell r="C176">
            <v>48</v>
          </cell>
          <cell r="D176">
            <v>54</v>
          </cell>
        </row>
        <row r="177">
          <cell r="A177" t="str">
            <v>NPCD-H-550</v>
          </cell>
          <cell r="B177">
            <v>550</v>
          </cell>
          <cell r="C177">
            <v>48</v>
          </cell>
          <cell r="D177">
            <v>54</v>
          </cell>
        </row>
        <row r="178">
          <cell r="A178" t="str">
            <v>NPCD-H-575</v>
          </cell>
          <cell r="B178">
            <v>580</v>
          </cell>
          <cell r="C178">
            <v>48</v>
          </cell>
          <cell r="D178">
            <v>54</v>
          </cell>
        </row>
        <row r="179">
          <cell r="A179" t="str">
            <v>NPCD-H-600</v>
          </cell>
          <cell r="B179">
            <v>580</v>
          </cell>
          <cell r="C179">
            <v>48</v>
          </cell>
          <cell r="D179">
            <v>54</v>
          </cell>
        </row>
        <row r="180">
          <cell r="A180" t="str">
            <v>NPCE-L-020</v>
          </cell>
          <cell r="B180">
            <v>110</v>
          </cell>
          <cell r="C180">
            <v>12</v>
          </cell>
          <cell r="D180">
            <v>18</v>
          </cell>
        </row>
        <row r="181">
          <cell r="A181" t="str">
            <v>NPCE-L-025</v>
          </cell>
          <cell r="B181">
            <v>110</v>
          </cell>
          <cell r="C181">
            <v>12</v>
          </cell>
          <cell r="D181">
            <v>18</v>
          </cell>
        </row>
        <row r="182">
          <cell r="A182" t="str">
            <v>NPCE-L-032</v>
          </cell>
          <cell r="B182">
            <v>125</v>
          </cell>
          <cell r="C182">
            <v>12</v>
          </cell>
          <cell r="D182">
            <v>18</v>
          </cell>
        </row>
        <row r="183">
          <cell r="A183" t="str">
            <v>NPCE-L-040</v>
          </cell>
          <cell r="B183">
            <v>135</v>
          </cell>
          <cell r="C183">
            <v>16</v>
          </cell>
          <cell r="D183">
            <v>22</v>
          </cell>
        </row>
        <row r="184">
          <cell r="A184" t="str">
            <v>NPCE-L-050</v>
          </cell>
          <cell r="B184">
            <v>145</v>
          </cell>
          <cell r="C184">
            <v>16</v>
          </cell>
          <cell r="D184">
            <v>22</v>
          </cell>
        </row>
        <row r="185">
          <cell r="A185" t="str">
            <v>NPCE-L-065</v>
          </cell>
          <cell r="B185">
            <v>155</v>
          </cell>
          <cell r="C185">
            <v>16</v>
          </cell>
          <cell r="D185">
            <v>22</v>
          </cell>
        </row>
        <row r="186">
          <cell r="A186" t="str">
            <v>NPCE-L-080</v>
          </cell>
          <cell r="B186">
            <v>165</v>
          </cell>
          <cell r="C186">
            <v>16</v>
          </cell>
          <cell r="D186">
            <v>22</v>
          </cell>
        </row>
        <row r="187">
          <cell r="A187" t="str">
            <v>NPCE-L-090</v>
          </cell>
          <cell r="B187">
            <v>185</v>
          </cell>
          <cell r="C187">
            <v>20</v>
          </cell>
          <cell r="D187">
            <v>28</v>
          </cell>
        </row>
        <row r="188">
          <cell r="A188" t="str">
            <v>NPCE-L-100</v>
          </cell>
          <cell r="B188">
            <v>195</v>
          </cell>
          <cell r="C188">
            <v>20</v>
          </cell>
          <cell r="D188">
            <v>28</v>
          </cell>
        </row>
        <row r="189">
          <cell r="A189" t="str">
            <v>NPCE-L-125</v>
          </cell>
          <cell r="B189">
            <v>215</v>
          </cell>
          <cell r="C189">
            <v>20</v>
          </cell>
          <cell r="D189">
            <v>28</v>
          </cell>
        </row>
        <row r="190">
          <cell r="A190" t="str">
            <v>NPCE-L-150</v>
          </cell>
          <cell r="B190">
            <v>255</v>
          </cell>
          <cell r="C190">
            <v>20</v>
          </cell>
          <cell r="D190">
            <v>28</v>
          </cell>
        </row>
        <row r="191">
          <cell r="A191" t="str">
            <v>NPCE-L-175</v>
          </cell>
          <cell r="B191">
            <v>280</v>
          </cell>
          <cell r="C191">
            <v>20</v>
          </cell>
          <cell r="D191">
            <v>28</v>
          </cell>
        </row>
        <row r="192">
          <cell r="A192" t="str">
            <v>NPCE-L-200</v>
          </cell>
          <cell r="B192">
            <v>300</v>
          </cell>
          <cell r="C192">
            <v>20</v>
          </cell>
          <cell r="D192">
            <v>28</v>
          </cell>
        </row>
        <row r="193">
          <cell r="A193" t="str">
            <v>NPCE-L-225</v>
          </cell>
          <cell r="B193">
            <v>320</v>
          </cell>
          <cell r="C193">
            <v>24</v>
          </cell>
          <cell r="D193">
            <v>28</v>
          </cell>
        </row>
        <row r="194">
          <cell r="A194" t="str">
            <v>NPCE-L-250</v>
          </cell>
          <cell r="B194">
            <v>340</v>
          </cell>
          <cell r="C194">
            <v>24</v>
          </cell>
          <cell r="D194">
            <v>28</v>
          </cell>
        </row>
        <row r="195">
          <cell r="A195" t="str">
            <v>NPCE-L-300</v>
          </cell>
          <cell r="B195">
            <v>370</v>
          </cell>
          <cell r="C195">
            <v>24</v>
          </cell>
          <cell r="D195">
            <v>28</v>
          </cell>
        </row>
        <row r="196">
          <cell r="A196" t="str">
            <v>NPCE-L-350</v>
          </cell>
          <cell r="B196">
            <v>420</v>
          </cell>
          <cell r="C196">
            <v>24</v>
          </cell>
          <cell r="D196">
            <v>28</v>
          </cell>
        </row>
        <row r="197">
          <cell r="A197" t="str">
            <v>NPCE-L-400</v>
          </cell>
          <cell r="B197">
            <v>445</v>
          </cell>
          <cell r="C197">
            <v>30</v>
          </cell>
          <cell r="D197">
            <v>34</v>
          </cell>
        </row>
        <row r="198">
          <cell r="A198" t="str">
            <v>NPCE-L-450</v>
          </cell>
          <cell r="B198">
            <v>470</v>
          </cell>
          <cell r="C198">
            <v>30</v>
          </cell>
          <cell r="D198">
            <v>34</v>
          </cell>
        </row>
        <row r="199">
          <cell r="A199" t="str">
            <v>NPCE-L-500</v>
          </cell>
          <cell r="B199">
            <v>520</v>
          </cell>
          <cell r="C199">
            <v>36</v>
          </cell>
          <cell r="D199">
            <v>40</v>
          </cell>
        </row>
        <row r="200">
          <cell r="A200" t="str">
            <v>NPCE-L-550</v>
          </cell>
          <cell r="B200">
            <v>550</v>
          </cell>
          <cell r="C200">
            <v>36</v>
          </cell>
          <cell r="D200">
            <v>40</v>
          </cell>
        </row>
        <row r="201">
          <cell r="A201" t="str">
            <v>NPCE-L-600</v>
          </cell>
          <cell r="B201">
            <v>580</v>
          </cell>
          <cell r="C201">
            <v>36</v>
          </cell>
          <cell r="D201">
            <v>40</v>
          </cell>
        </row>
        <row r="202">
          <cell r="A202" t="str">
            <v>NPCE-L-650</v>
          </cell>
          <cell r="B202">
            <v>590</v>
          </cell>
          <cell r="C202">
            <v>42</v>
          </cell>
          <cell r="D202">
            <v>47</v>
          </cell>
        </row>
        <row r="203">
          <cell r="A203" t="str">
            <v>NPCE-L-700</v>
          </cell>
          <cell r="B203">
            <v>620</v>
          </cell>
          <cell r="C203">
            <v>42</v>
          </cell>
          <cell r="D203">
            <v>47</v>
          </cell>
        </row>
        <row r="204">
          <cell r="A204" t="str">
            <v>NPCE-L-750</v>
          </cell>
          <cell r="B204">
            <v>650</v>
          </cell>
          <cell r="C204">
            <v>42</v>
          </cell>
          <cell r="D204">
            <v>47</v>
          </cell>
        </row>
        <row r="205">
          <cell r="A205" t="str">
            <v>NPCE-L-800</v>
          </cell>
          <cell r="B205">
            <v>700</v>
          </cell>
          <cell r="C205">
            <v>42</v>
          </cell>
          <cell r="D205">
            <v>47</v>
          </cell>
        </row>
        <row r="206">
          <cell r="A206" t="str">
            <v>NPCE-L-850</v>
          </cell>
          <cell r="B206">
            <v>730</v>
          </cell>
          <cell r="C206">
            <v>48</v>
          </cell>
          <cell r="D206">
            <v>54</v>
          </cell>
        </row>
        <row r="207">
          <cell r="A207" t="str">
            <v>NPCE-L-900</v>
          </cell>
          <cell r="B207">
            <v>760</v>
          </cell>
          <cell r="C207">
            <v>48</v>
          </cell>
          <cell r="D207">
            <v>54</v>
          </cell>
        </row>
        <row r="208">
          <cell r="A208" t="str">
            <v>NPCE-L-1000</v>
          </cell>
          <cell r="B208">
            <v>800</v>
          </cell>
          <cell r="C208">
            <v>48</v>
          </cell>
          <cell r="D208">
            <v>54</v>
          </cell>
        </row>
        <row r="209">
          <cell r="A209" t="str">
            <v>NPCE-L-1100</v>
          </cell>
          <cell r="B209">
            <v>850</v>
          </cell>
          <cell r="C209">
            <v>48</v>
          </cell>
          <cell r="D209">
            <v>54</v>
          </cell>
        </row>
        <row r="210">
          <cell r="A210" t="str">
            <v>NPCE-L-1200</v>
          </cell>
          <cell r="B210">
            <v>900</v>
          </cell>
          <cell r="C210">
            <v>48</v>
          </cell>
          <cell r="D210">
            <v>54</v>
          </cell>
        </row>
        <row r="211">
          <cell r="A211" t="str">
            <v>NPCE-M-300</v>
          </cell>
          <cell r="B211">
            <v>370</v>
          </cell>
          <cell r="C211">
            <v>24</v>
          </cell>
          <cell r="D211">
            <v>28</v>
          </cell>
        </row>
        <row r="212">
          <cell r="A212" t="str">
            <v>NPCE-M-350</v>
          </cell>
          <cell r="B212">
            <v>420</v>
          </cell>
          <cell r="C212">
            <v>30</v>
          </cell>
          <cell r="D212">
            <v>34</v>
          </cell>
        </row>
        <row r="213">
          <cell r="A213" t="str">
            <v>NPCE-M-400</v>
          </cell>
          <cell r="B213">
            <v>445</v>
          </cell>
          <cell r="C213">
            <v>30</v>
          </cell>
          <cell r="D213">
            <v>34</v>
          </cell>
        </row>
        <row r="214">
          <cell r="A214" t="str">
            <v>NPCE-M-450</v>
          </cell>
          <cell r="B214">
            <v>470</v>
          </cell>
          <cell r="C214">
            <v>30</v>
          </cell>
          <cell r="D214">
            <v>34</v>
          </cell>
        </row>
        <row r="215">
          <cell r="A215" t="str">
            <v>NPCE-M-500</v>
          </cell>
          <cell r="B215">
            <v>520</v>
          </cell>
          <cell r="C215">
            <v>36</v>
          </cell>
          <cell r="D215">
            <v>40</v>
          </cell>
        </row>
        <row r="216">
          <cell r="A216" t="str">
            <v>NPCE-M-550</v>
          </cell>
          <cell r="B216">
            <v>550</v>
          </cell>
          <cell r="C216">
            <v>36</v>
          </cell>
          <cell r="D216">
            <v>40</v>
          </cell>
        </row>
        <row r="217">
          <cell r="A217" t="str">
            <v>NPCE-M-600</v>
          </cell>
          <cell r="B217">
            <v>580</v>
          </cell>
          <cell r="C217">
            <v>42</v>
          </cell>
          <cell r="D217">
            <v>47</v>
          </cell>
        </row>
        <row r="218">
          <cell r="A218" t="str">
            <v>NPCE-M-650</v>
          </cell>
          <cell r="B218">
            <v>590</v>
          </cell>
          <cell r="C218">
            <v>42</v>
          </cell>
          <cell r="D218">
            <v>47</v>
          </cell>
        </row>
        <row r="219">
          <cell r="A219" t="str">
            <v>NPCE-M-700</v>
          </cell>
          <cell r="B219">
            <v>620</v>
          </cell>
          <cell r="C219">
            <v>48</v>
          </cell>
          <cell r="D219">
            <v>54</v>
          </cell>
        </row>
        <row r="220">
          <cell r="A220" t="str">
            <v>NPCE-M-750</v>
          </cell>
          <cell r="B220">
            <v>650</v>
          </cell>
          <cell r="C220">
            <v>48</v>
          </cell>
          <cell r="D220">
            <v>54</v>
          </cell>
        </row>
        <row r="221">
          <cell r="A221" t="str">
            <v>NPCE-M-800</v>
          </cell>
          <cell r="B221">
            <v>700</v>
          </cell>
          <cell r="C221">
            <v>48</v>
          </cell>
          <cell r="D221">
            <v>54</v>
          </cell>
        </row>
        <row r="222">
          <cell r="A222" t="str">
            <v>NPCE-M-850</v>
          </cell>
          <cell r="B222">
            <v>730</v>
          </cell>
          <cell r="C222">
            <v>48</v>
          </cell>
          <cell r="D222">
            <v>54</v>
          </cell>
        </row>
        <row r="223">
          <cell r="A223" t="str">
            <v>NPCE-M-900</v>
          </cell>
          <cell r="B223">
            <v>760</v>
          </cell>
          <cell r="C223">
            <v>56</v>
          </cell>
          <cell r="D223">
            <v>62</v>
          </cell>
        </row>
        <row r="224">
          <cell r="A224" t="str">
            <v>NPCE-M-1000</v>
          </cell>
          <cell r="B224">
            <v>800</v>
          </cell>
          <cell r="C224">
            <v>56</v>
          </cell>
          <cell r="D224">
            <v>62</v>
          </cell>
        </row>
        <row r="225">
          <cell r="A225" t="str">
            <v>NPCE-M-1100</v>
          </cell>
          <cell r="B225">
            <v>850</v>
          </cell>
          <cell r="C225">
            <v>56</v>
          </cell>
          <cell r="D225">
            <v>62</v>
          </cell>
        </row>
        <row r="226">
          <cell r="A226" t="str">
            <v>NPCE-M-1200</v>
          </cell>
          <cell r="B226">
            <v>900</v>
          </cell>
          <cell r="C226">
            <v>56</v>
          </cell>
          <cell r="D226">
            <v>62</v>
          </cell>
        </row>
        <row r="227">
          <cell r="A227" t="str">
            <v>NPCE-H-150</v>
          </cell>
          <cell r="B227">
            <v>255</v>
          </cell>
          <cell r="C227">
            <v>24</v>
          </cell>
          <cell r="D227">
            <v>28</v>
          </cell>
        </row>
        <row r="228">
          <cell r="A228" t="str">
            <v>NPCE-H-175</v>
          </cell>
          <cell r="B228">
            <v>280</v>
          </cell>
          <cell r="C228">
            <v>24</v>
          </cell>
          <cell r="D228">
            <v>28</v>
          </cell>
        </row>
        <row r="229">
          <cell r="A229" t="str">
            <v>NPCE-H-200</v>
          </cell>
          <cell r="B229">
            <v>300</v>
          </cell>
          <cell r="C229">
            <v>24</v>
          </cell>
          <cell r="D229">
            <v>28</v>
          </cell>
        </row>
        <row r="230">
          <cell r="A230" t="str">
            <v>NPCE-H-225</v>
          </cell>
          <cell r="B230">
            <v>320</v>
          </cell>
          <cell r="C230">
            <v>30</v>
          </cell>
          <cell r="D230">
            <v>34</v>
          </cell>
        </row>
        <row r="231">
          <cell r="A231" t="str">
            <v>NPCE-H-250</v>
          </cell>
          <cell r="B231">
            <v>340</v>
          </cell>
          <cell r="C231">
            <v>30</v>
          </cell>
          <cell r="D231">
            <v>34</v>
          </cell>
        </row>
        <row r="232">
          <cell r="A232" t="str">
            <v>NPCE-H-300</v>
          </cell>
          <cell r="B232">
            <v>370</v>
          </cell>
          <cell r="C232">
            <v>30</v>
          </cell>
          <cell r="D232">
            <v>34</v>
          </cell>
        </row>
        <row r="233">
          <cell r="A233" t="str">
            <v>NPCE-H-350</v>
          </cell>
          <cell r="B233">
            <v>420</v>
          </cell>
          <cell r="C233">
            <v>36</v>
          </cell>
          <cell r="D233">
            <v>42</v>
          </cell>
        </row>
        <row r="234">
          <cell r="A234" t="str">
            <v>NPCE-H-400</v>
          </cell>
          <cell r="B234">
            <v>445</v>
          </cell>
          <cell r="C234">
            <v>36</v>
          </cell>
          <cell r="D234">
            <v>42</v>
          </cell>
        </row>
        <row r="235">
          <cell r="A235" t="str">
            <v>NPCE-H-450</v>
          </cell>
          <cell r="B235">
            <v>470</v>
          </cell>
          <cell r="C235">
            <v>48</v>
          </cell>
          <cell r="D235">
            <v>54</v>
          </cell>
        </row>
        <row r="236">
          <cell r="A236" t="str">
            <v>NPCE-H-500</v>
          </cell>
          <cell r="B236">
            <v>520</v>
          </cell>
          <cell r="C236">
            <v>48</v>
          </cell>
          <cell r="D236">
            <v>54</v>
          </cell>
        </row>
        <row r="237">
          <cell r="A237" t="str">
            <v>NPCE-H-550</v>
          </cell>
          <cell r="B237">
            <v>550</v>
          </cell>
          <cell r="C237">
            <v>48</v>
          </cell>
          <cell r="D237">
            <v>54</v>
          </cell>
        </row>
        <row r="238">
          <cell r="A238" t="str">
            <v>NPCE-H-600</v>
          </cell>
          <cell r="B238">
            <v>580</v>
          </cell>
          <cell r="C238">
            <v>48</v>
          </cell>
          <cell r="D238">
            <v>54</v>
          </cell>
        </row>
        <row r="239">
          <cell r="A239" t="str">
            <v>NPCX-L-065A</v>
          </cell>
          <cell r="B239">
            <v>65</v>
          </cell>
        </row>
        <row r="240">
          <cell r="A240" t="str">
            <v>NPCX-L-150A</v>
          </cell>
          <cell r="B240">
            <v>125</v>
          </cell>
        </row>
        <row r="241">
          <cell r="A241" t="str">
            <v>NPCX-L-200A</v>
          </cell>
          <cell r="B241">
            <v>150</v>
          </cell>
        </row>
        <row r="242">
          <cell r="A242" t="str">
            <v>NPCX-L-250A</v>
          </cell>
          <cell r="B242">
            <v>200</v>
          </cell>
        </row>
        <row r="243">
          <cell r="A243" t="str">
            <v>NPCX-L-300A</v>
          </cell>
          <cell r="B243">
            <v>225</v>
          </cell>
        </row>
        <row r="244">
          <cell r="A244" t="str">
            <v>NPCX-M-300A</v>
          </cell>
          <cell r="B244">
            <v>225</v>
          </cell>
        </row>
        <row r="245">
          <cell r="A245" t="str">
            <v>NPCX-H-150A</v>
          </cell>
          <cell r="B245">
            <v>130</v>
          </cell>
        </row>
        <row r="246">
          <cell r="A246" t="str">
            <v>NPCX-H-200A</v>
          </cell>
          <cell r="B246">
            <v>165</v>
          </cell>
        </row>
        <row r="247">
          <cell r="A247" t="str">
            <v>NPCX-H-250A</v>
          </cell>
          <cell r="B247">
            <v>200</v>
          </cell>
        </row>
        <row r="248">
          <cell r="A248" t="str">
            <v>NPCX-H-300A</v>
          </cell>
          <cell r="B248">
            <v>230</v>
          </cell>
        </row>
        <row r="249">
          <cell r="A249" t="str">
            <v>NPCB-L-065A</v>
          </cell>
          <cell r="B249">
            <v>130</v>
          </cell>
        </row>
        <row r="250">
          <cell r="A250" t="str">
            <v>NPCB-L-150A</v>
          </cell>
          <cell r="B250">
            <v>215</v>
          </cell>
        </row>
        <row r="251">
          <cell r="A251" t="str">
            <v>NPCB-L-200A</v>
          </cell>
          <cell r="B251">
            <v>255</v>
          </cell>
        </row>
        <row r="252">
          <cell r="A252" t="str">
            <v>NPCB-L-250A</v>
          </cell>
          <cell r="B252">
            <v>290</v>
          </cell>
        </row>
        <row r="253">
          <cell r="A253" t="str">
            <v>NPCB-L-300A</v>
          </cell>
          <cell r="B253">
            <v>325</v>
          </cell>
        </row>
        <row r="254">
          <cell r="A254" t="str">
            <v>NPCB-M-300A</v>
          </cell>
          <cell r="B254">
            <v>325</v>
          </cell>
        </row>
        <row r="255">
          <cell r="A255" t="str">
            <v>NPCB-H-150A</v>
          </cell>
          <cell r="B255">
            <v>215</v>
          </cell>
        </row>
        <row r="256">
          <cell r="A256" t="str">
            <v>NPCB-H-200A</v>
          </cell>
          <cell r="B256">
            <v>255</v>
          </cell>
        </row>
        <row r="257">
          <cell r="A257" t="str">
            <v>NPCB-H-250A</v>
          </cell>
          <cell r="B257">
            <v>290</v>
          </cell>
        </row>
        <row r="258">
          <cell r="A258" t="str">
            <v>NPCB-H-300A</v>
          </cell>
          <cell r="B258">
            <v>325</v>
          </cell>
        </row>
        <row r="259">
          <cell r="A259" t="str">
            <v>NPCD-L-065A</v>
          </cell>
          <cell r="B259">
            <v>155</v>
          </cell>
        </row>
        <row r="260">
          <cell r="A260" t="str">
            <v>NPCD-L-150A</v>
          </cell>
          <cell r="B260">
            <v>255</v>
          </cell>
        </row>
        <row r="261">
          <cell r="A261" t="str">
            <v>NPCD-L-200A</v>
          </cell>
          <cell r="B261">
            <v>300</v>
          </cell>
        </row>
        <row r="262">
          <cell r="A262" t="str">
            <v>NPCD-L-250A</v>
          </cell>
          <cell r="B262">
            <v>340</v>
          </cell>
        </row>
        <row r="263">
          <cell r="A263" t="str">
            <v>NPCD-L-300A</v>
          </cell>
          <cell r="B263">
            <v>370</v>
          </cell>
        </row>
        <row r="264">
          <cell r="A264" t="str">
            <v>NPCD-M-300A</v>
          </cell>
          <cell r="B264">
            <v>370</v>
          </cell>
        </row>
        <row r="265">
          <cell r="A265" t="str">
            <v>NPCD-H-150A</v>
          </cell>
          <cell r="B265">
            <v>255</v>
          </cell>
        </row>
        <row r="266">
          <cell r="A266" t="str">
            <v>NPCD-H-200A</v>
          </cell>
          <cell r="B266">
            <v>300</v>
          </cell>
        </row>
        <row r="267">
          <cell r="A267" t="str">
            <v>NPCD-H-250A</v>
          </cell>
          <cell r="B267">
            <v>340</v>
          </cell>
        </row>
        <row r="268">
          <cell r="A268" t="str">
            <v>NPCD-H-300A</v>
          </cell>
          <cell r="B268">
            <v>370</v>
          </cell>
        </row>
        <row r="269">
          <cell r="A269" t="str">
            <v>NPCE-L-065A</v>
          </cell>
          <cell r="B269">
            <v>155</v>
          </cell>
        </row>
        <row r="270">
          <cell r="A270" t="str">
            <v>NPCE-L-150A</v>
          </cell>
          <cell r="B270">
            <v>255</v>
          </cell>
        </row>
        <row r="271">
          <cell r="A271" t="str">
            <v>NPCE-L-200A</v>
          </cell>
          <cell r="B271">
            <v>300</v>
          </cell>
        </row>
        <row r="272">
          <cell r="A272" t="str">
            <v>NPCE-L-250A</v>
          </cell>
          <cell r="B272">
            <v>340</v>
          </cell>
        </row>
        <row r="273">
          <cell r="A273" t="str">
            <v>NPCE-L-300A</v>
          </cell>
          <cell r="B273">
            <v>370</v>
          </cell>
        </row>
        <row r="274">
          <cell r="A274" t="str">
            <v>NPCE-M-300A</v>
          </cell>
          <cell r="B274">
            <v>370</v>
          </cell>
        </row>
        <row r="275">
          <cell r="A275" t="str">
            <v>NPCE-H-150A</v>
          </cell>
          <cell r="B275">
            <v>255</v>
          </cell>
        </row>
        <row r="276">
          <cell r="A276" t="str">
            <v>NPCE-H-200A</v>
          </cell>
          <cell r="B276">
            <v>300</v>
          </cell>
        </row>
        <row r="277">
          <cell r="A277" t="str">
            <v>NPCE-H-250A</v>
          </cell>
          <cell r="B277">
            <v>340</v>
          </cell>
        </row>
        <row r="278">
          <cell r="A278" t="str">
            <v>NPCE-H-300A</v>
          </cell>
          <cell r="B278">
            <v>370</v>
          </cell>
        </row>
        <row r="279">
          <cell r="A279" t="str">
            <v>EHC-080</v>
          </cell>
          <cell r="B279">
            <v>150</v>
          </cell>
        </row>
        <row r="280">
          <cell r="A280" t="str">
            <v>EHC-090</v>
          </cell>
          <cell r="B280">
            <v>150</v>
          </cell>
        </row>
        <row r="281">
          <cell r="A281" t="str">
            <v>EHC-100</v>
          </cell>
          <cell r="B281">
            <v>150</v>
          </cell>
        </row>
        <row r="282">
          <cell r="A282" t="str">
            <v>EHC-125</v>
          </cell>
          <cell r="B282">
            <v>200</v>
          </cell>
        </row>
        <row r="283">
          <cell r="A283" t="str">
            <v>EHC-150</v>
          </cell>
          <cell r="B283">
            <v>200</v>
          </cell>
        </row>
        <row r="284">
          <cell r="A284" t="str">
            <v>EHC-175</v>
          </cell>
          <cell r="B284">
            <v>200</v>
          </cell>
        </row>
        <row r="285">
          <cell r="A285" t="str">
            <v>EHC-200</v>
          </cell>
          <cell r="B285">
            <v>200</v>
          </cell>
        </row>
        <row r="286">
          <cell r="A286" t="str">
            <v>EHC-225</v>
          </cell>
          <cell r="B286">
            <v>200</v>
          </cell>
        </row>
        <row r="287">
          <cell r="A287" t="str">
            <v>EHC-250</v>
          </cell>
          <cell r="B287">
            <v>250</v>
          </cell>
          <cell r="C287">
            <v>0</v>
          </cell>
          <cell r="D287">
            <v>47</v>
          </cell>
        </row>
        <row r="288">
          <cell r="A288" t="str">
            <v>EHC-300</v>
          </cell>
          <cell r="B288">
            <v>250</v>
          </cell>
          <cell r="C288">
            <v>0</v>
          </cell>
          <cell r="D288">
            <v>47</v>
          </cell>
        </row>
        <row r="289">
          <cell r="A289" t="str">
            <v>EHC-350</v>
          </cell>
          <cell r="B289">
            <v>250</v>
          </cell>
          <cell r="D289">
            <v>47</v>
          </cell>
        </row>
        <row r="290">
          <cell r="A290" t="str">
            <v>EHC-400</v>
          </cell>
          <cell r="B290">
            <v>300</v>
          </cell>
          <cell r="D290">
            <v>54</v>
          </cell>
        </row>
        <row r="291">
          <cell r="A291" t="str">
            <v>EHC-450</v>
          </cell>
          <cell r="B291">
            <v>300</v>
          </cell>
          <cell r="D291">
            <v>54</v>
          </cell>
        </row>
        <row r="292">
          <cell r="A292" t="str">
            <v>EHC-500</v>
          </cell>
          <cell r="B292">
            <v>300</v>
          </cell>
          <cell r="D292">
            <v>54</v>
          </cell>
        </row>
        <row r="293">
          <cell r="A293" t="str">
            <v>EHC-550</v>
          </cell>
          <cell r="B293">
            <v>300</v>
          </cell>
          <cell r="D293">
            <v>62</v>
          </cell>
        </row>
        <row r="294">
          <cell r="A294" t="str">
            <v>EHC-600</v>
          </cell>
          <cell r="B294">
            <v>300</v>
          </cell>
          <cell r="D294">
            <v>62</v>
          </cell>
        </row>
        <row r="295">
          <cell r="A295" t="str">
            <v>EHA-080</v>
          </cell>
          <cell r="B295">
            <v>175</v>
          </cell>
        </row>
        <row r="296">
          <cell r="A296" t="str">
            <v>EHA-090</v>
          </cell>
          <cell r="B296">
            <v>200</v>
          </cell>
        </row>
        <row r="297">
          <cell r="A297" t="str">
            <v>EHA-100</v>
          </cell>
          <cell r="B297">
            <v>200</v>
          </cell>
        </row>
        <row r="298">
          <cell r="A298" t="str">
            <v>EHA-125</v>
          </cell>
          <cell r="B298">
            <v>200</v>
          </cell>
        </row>
        <row r="299">
          <cell r="A299" t="str">
            <v>EHA-150</v>
          </cell>
          <cell r="B299">
            <v>250</v>
          </cell>
        </row>
        <row r="300">
          <cell r="A300" t="str">
            <v>EHA-175</v>
          </cell>
          <cell r="B300">
            <v>250</v>
          </cell>
        </row>
        <row r="301">
          <cell r="A301" t="str">
            <v>EHA-200</v>
          </cell>
          <cell r="B301">
            <v>250</v>
          </cell>
        </row>
        <row r="302">
          <cell r="A302" t="str">
            <v>EHA-225</v>
          </cell>
          <cell r="B302">
            <v>250</v>
          </cell>
        </row>
        <row r="303">
          <cell r="A303" t="str">
            <v>EHA-250</v>
          </cell>
          <cell r="B303">
            <v>300</v>
          </cell>
          <cell r="D303">
            <v>47</v>
          </cell>
        </row>
        <row r="304">
          <cell r="A304" t="str">
            <v>EHA-300</v>
          </cell>
          <cell r="B304">
            <v>300</v>
          </cell>
          <cell r="D304">
            <v>47</v>
          </cell>
        </row>
        <row r="305">
          <cell r="A305" t="str">
            <v>EHA-350</v>
          </cell>
          <cell r="B305">
            <v>300</v>
          </cell>
          <cell r="D305">
            <v>47</v>
          </cell>
        </row>
        <row r="306">
          <cell r="A306" t="str">
            <v>EHA-400</v>
          </cell>
          <cell r="B306">
            <v>300</v>
          </cell>
          <cell r="D306">
            <v>54</v>
          </cell>
        </row>
        <row r="307">
          <cell r="A307" t="str">
            <v>EHA-450</v>
          </cell>
          <cell r="B307">
            <v>300</v>
          </cell>
          <cell r="D307">
            <v>54</v>
          </cell>
        </row>
        <row r="308">
          <cell r="A308" t="str">
            <v>EHA-500</v>
          </cell>
          <cell r="B308">
            <v>300</v>
          </cell>
          <cell r="D308">
            <v>54</v>
          </cell>
        </row>
        <row r="309">
          <cell r="A309" t="str">
            <v>EHA-550</v>
          </cell>
          <cell r="B309">
            <v>300</v>
          </cell>
          <cell r="D309">
            <v>62</v>
          </cell>
        </row>
        <row r="310">
          <cell r="A310" t="str">
            <v>EHA-600</v>
          </cell>
          <cell r="B310">
            <v>300</v>
          </cell>
          <cell r="D310">
            <v>62</v>
          </cell>
        </row>
        <row r="311">
          <cell r="A311" t="str">
            <v>NPCY-L-020</v>
          </cell>
          <cell r="B311">
            <v>35</v>
          </cell>
          <cell r="C311">
            <v>12</v>
          </cell>
          <cell r="D311">
            <v>18</v>
          </cell>
        </row>
        <row r="312">
          <cell r="A312" t="str">
            <v>NPCY-L-025</v>
          </cell>
          <cell r="B312">
            <v>40</v>
          </cell>
          <cell r="C312">
            <v>12</v>
          </cell>
          <cell r="D312">
            <v>18</v>
          </cell>
        </row>
        <row r="313">
          <cell r="A313" t="str">
            <v>NPCY-L-032</v>
          </cell>
          <cell r="B313">
            <v>45</v>
          </cell>
          <cell r="C313">
            <v>12</v>
          </cell>
          <cell r="D313">
            <v>18</v>
          </cell>
        </row>
        <row r="314">
          <cell r="A314" t="str">
            <v>NPCY-L-040</v>
          </cell>
          <cell r="B314">
            <v>55</v>
          </cell>
          <cell r="C314">
            <v>16</v>
          </cell>
          <cell r="D314">
            <v>22</v>
          </cell>
        </row>
        <row r="315">
          <cell r="A315" t="str">
            <v>NPCY-L-050</v>
          </cell>
          <cell r="B315">
            <v>60</v>
          </cell>
          <cell r="C315">
            <v>16</v>
          </cell>
          <cell r="D315">
            <v>22</v>
          </cell>
        </row>
        <row r="316">
          <cell r="A316" t="str">
            <v>NPCY-L-065</v>
          </cell>
          <cell r="B316">
            <v>65</v>
          </cell>
          <cell r="C316">
            <v>16</v>
          </cell>
          <cell r="D316">
            <v>22</v>
          </cell>
        </row>
        <row r="317">
          <cell r="A317" t="str">
            <v>NPCY-L-080</v>
          </cell>
          <cell r="B317">
            <v>75</v>
          </cell>
          <cell r="C317">
            <v>16</v>
          </cell>
          <cell r="D317">
            <v>22</v>
          </cell>
        </row>
        <row r="318">
          <cell r="A318" t="str">
            <v>NPCY-L-090</v>
          </cell>
          <cell r="B318">
            <v>90</v>
          </cell>
          <cell r="C318">
            <v>20</v>
          </cell>
          <cell r="D318">
            <v>28</v>
          </cell>
        </row>
        <row r="319">
          <cell r="A319" t="str">
            <v>NPCY-L-100</v>
          </cell>
          <cell r="B319">
            <v>95</v>
          </cell>
          <cell r="C319">
            <v>20</v>
          </cell>
          <cell r="D319">
            <v>28</v>
          </cell>
        </row>
        <row r="320">
          <cell r="A320" t="str">
            <v>NPCY-L-125</v>
          </cell>
          <cell r="B320">
            <v>110</v>
          </cell>
          <cell r="C320">
            <v>20</v>
          </cell>
          <cell r="D320">
            <v>28</v>
          </cell>
        </row>
        <row r="321">
          <cell r="A321" t="str">
            <v>NPCY-L-150</v>
          </cell>
          <cell r="B321">
            <v>125</v>
          </cell>
          <cell r="C321">
            <v>20</v>
          </cell>
          <cell r="D321">
            <v>28</v>
          </cell>
        </row>
        <row r="322">
          <cell r="A322" t="str">
            <v>NPCY-L-175</v>
          </cell>
          <cell r="B322">
            <v>140</v>
          </cell>
          <cell r="C322">
            <v>20</v>
          </cell>
          <cell r="D322">
            <v>28</v>
          </cell>
        </row>
        <row r="323">
          <cell r="A323" t="str">
            <v>NPCY-L-200</v>
          </cell>
          <cell r="B323">
            <v>150</v>
          </cell>
          <cell r="C323">
            <v>20</v>
          </cell>
          <cell r="D323">
            <v>28</v>
          </cell>
        </row>
        <row r="324">
          <cell r="A324" t="str">
            <v>NPCY-L-225</v>
          </cell>
          <cell r="B324">
            <v>185</v>
          </cell>
          <cell r="C324">
            <v>24</v>
          </cell>
          <cell r="D324">
            <v>28</v>
          </cell>
        </row>
        <row r="325">
          <cell r="A325" t="str">
            <v>NPCY-L-250</v>
          </cell>
          <cell r="B325">
            <v>200</v>
          </cell>
          <cell r="C325">
            <v>24</v>
          </cell>
          <cell r="D325">
            <v>28</v>
          </cell>
        </row>
        <row r="326">
          <cell r="A326" t="str">
            <v>NPCY-L-300</v>
          </cell>
          <cell r="B326">
            <v>225</v>
          </cell>
          <cell r="C326">
            <v>24</v>
          </cell>
          <cell r="D326">
            <v>28</v>
          </cell>
        </row>
        <row r="327">
          <cell r="A327" t="str">
            <v>NPCY-L-350</v>
          </cell>
          <cell r="B327">
            <v>245</v>
          </cell>
          <cell r="C327">
            <v>24</v>
          </cell>
          <cell r="D327">
            <v>28</v>
          </cell>
        </row>
        <row r="328">
          <cell r="A328" t="str">
            <v>NPCY-L-400</v>
          </cell>
          <cell r="B328">
            <v>280</v>
          </cell>
          <cell r="C328">
            <v>30</v>
          </cell>
          <cell r="D328">
            <v>34</v>
          </cell>
        </row>
        <row r="329">
          <cell r="A329" t="str">
            <v>NPCY-L-450</v>
          </cell>
          <cell r="B329">
            <v>310</v>
          </cell>
          <cell r="C329">
            <v>30</v>
          </cell>
          <cell r="D329">
            <v>34</v>
          </cell>
        </row>
        <row r="330">
          <cell r="A330" t="str">
            <v>NPCY-L-500</v>
          </cell>
          <cell r="B330">
            <v>350</v>
          </cell>
          <cell r="C330">
            <v>36</v>
          </cell>
          <cell r="D330">
            <v>40</v>
          </cell>
        </row>
        <row r="331">
          <cell r="A331" t="str">
            <v>NPCY-L-550</v>
          </cell>
          <cell r="B331">
            <v>370</v>
          </cell>
          <cell r="C331">
            <v>36</v>
          </cell>
          <cell r="D331">
            <v>40</v>
          </cell>
        </row>
        <row r="332">
          <cell r="A332" t="str">
            <v>NPCY-L-600</v>
          </cell>
          <cell r="B332">
            <v>400</v>
          </cell>
          <cell r="C332">
            <v>36</v>
          </cell>
          <cell r="D332">
            <v>40</v>
          </cell>
        </row>
        <row r="333">
          <cell r="A333" t="str">
            <v>NPCY-L-650</v>
          </cell>
          <cell r="B333">
            <v>430</v>
          </cell>
          <cell r="C333">
            <v>42</v>
          </cell>
          <cell r="D333">
            <v>47</v>
          </cell>
        </row>
        <row r="334">
          <cell r="A334" t="str">
            <v>NPCY-L-700</v>
          </cell>
          <cell r="B334">
            <v>450</v>
          </cell>
          <cell r="C334">
            <v>42</v>
          </cell>
          <cell r="D334">
            <v>47</v>
          </cell>
        </row>
        <row r="335">
          <cell r="A335" t="str">
            <v>NPCY-L-750</v>
          </cell>
          <cell r="B335">
            <v>480</v>
          </cell>
          <cell r="C335">
            <v>42</v>
          </cell>
          <cell r="D335">
            <v>47</v>
          </cell>
        </row>
        <row r="336">
          <cell r="A336" t="str">
            <v>NPCY-L-800</v>
          </cell>
          <cell r="B336">
            <v>505</v>
          </cell>
          <cell r="C336">
            <v>42</v>
          </cell>
          <cell r="D336">
            <v>47</v>
          </cell>
        </row>
        <row r="337">
          <cell r="A337" t="str">
            <v>NPCY-L-850</v>
          </cell>
          <cell r="B337">
            <v>545</v>
          </cell>
          <cell r="C337">
            <v>48</v>
          </cell>
          <cell r="D337">
            <v>54</v>
          </cell>
        </row>
        <row r="338">
          <cell r="A338" t="str">
            <v>NPCY-L-900</v>
          </cell>
          <cell r="B338">
            <v>565</v>
          </cell>
          <cell r="C338">
            <v>48</v>
          </cell>
          <cell r="D338">
            <v>54</v>
          </cell>
        </row>
        <row r="339">
          <cell r="A339" t="str">
            <v>NPCY-L-1000</v>
          </cell>
          <cell r="B339">
            <v>620</v>
          </cell>
          <cell r="C339">
            <v>48</v>
          </cell>
          <cell r="D339">
            <v>54</v>
          </cell>
        </row>
        <row r="340">
          <cell r="A340" t="str">
            <v>NPCY-L-1100</v>
          </cell>
          <cell r="B340">
            <v>670</v>
          </cell>
          <cell r="C340">
            <v>48</v>
          </cell>
          <cell r="D340">
            <v>54</v>
          </cell>
        </row>
        <row r="341">
          <cell r="A341" t="str">
            <v>NPCY-L-1200</v>
          </cell>
          <cell r="B341">
            <v>730</v>
          </cell>
          <cell r="C341">
            <v>48</v>
          </cell>
          <cell r="D341">
            <v>54</v>
          </cell>
        </row>
        <row r="342">
          <cell r="A342" t="str">
            <v>NPCZ-L-020</v>
          </cell>
          <cell r="B342">
            <v>35</v>
          </cell>
          <cell r="C342">
            <v>12</v>
          </cell>
          <cell r="D342">
            <v>18</v>
          </cell>
        </row>
        <row r="343">
          <cell r="A343" t="str">
            <v>NPCZ-L-025</v>
          </cell>
          <cell r="B343">
            <v>40</v>
          </cell>
          <cell r="C343">
            <v>12</v>
          </cell>
          <cell r="D343">
            <v>18</v>
          </cell>
        </row>
        <row r="344">
          <cell r="A344" t="str">
            <v>NPCZ-L-032</v>
          </cell>
          <cell r="B344">
            <v>45</v>
          </cell>
          <cell r="C344">
            <v>12</v>
          </cell>
          <cell r="D344">
            <v>18</v>
          </cell>
        </row>
        <row r="345">
          <cell r="A345" t="str">
            <v>NPCZ-L-040</v>
          </cell>
          <cell r="B345">
            <v>55</v>
          </cell>
          <cell r="C345">
            <v>16</v>
          </cell>
          <cell r="D345">
            <v>22</v>
          </cell>
        </row>
        <row r="346">
          <cell r="A346" t="str">
            <v>NPCZ-L-050</v>
          </cell>
          <cell r="B346">
            <v>60</v>
          </cell>
          <cell r="C346">
            <v>16</v>
          </cell>
          <cell r="D346">
            <v>22</v>
          </cell>
        </row>
        <row r="347">
          <cell r="A347" t="str">
            <v>NPCZ-L-065</v>
          </cell>
          <cell r="B347">
            <v>65</v>
          </cell>
          <cell r="C347">
            <v>16</v>
          </cell>
          <cell r="D347">
            <v>22</v>
          </cell>
        </row>
        <row r="348">
          <cell r="A348" t="str">
            <v>NPCZ-L-080</v>
          </cell>
          <cell r="B348">
            <v>75</v>
          </cell>
          <cell r="C348">
            <v>16</v>
          </cell>
          <cell r="D348">
            <v>22</v>
          </cell>
        </row>
        <row r="349">
          <cell r="A349" t="str">
            <v>NPCZ-L-090</v>
          </cell>
          <cell r="B349">
            <v>90</v>
          </cell>
          <cell r="C349">
            <v>20</v>
          </cell>
          <cell r="D349">
            <v>28</v>
          </cell>
        </row>
        <row r="350">
          <cell r="A350" t="str">
            <v>NPCZ-L-100</v>
          </cell>
          <cell r="B350">
            <v>95</v>
          </cell>
          <cell r="C350">
            <v>20</v>
          </cell>
          <cell r="D350">
            <v>28</v>
          </cell>
        </row>
        <row r="351">
          <cell r="A351" t="str">
            <v>NPCZ-L-125</v>
          </cell>
          <cell r="B351">
            <v>110</v>
          </cell>
          <cell r="C351">
            <v>20</v>
          </cell>
          <cell r="D351">
            <v>28</v>
          </cell>
        </row>
        <row r="352">
          <cell r="A352" t="str">
            <v>NPCZ-L-150</v>
          </cell>
          <cell r="B352">
            <v>125</v>
          </cell>
          <cell r="C352">
            <v>20</v>
          </cell>
          <cell r="D352">
            <v>28</v>
          </cell>
        </row>
        <row r="353">
          <cell r="A353" t="str">
            <v>NPCZ-L-175</v>
          </cell>
          <cell r="B353">
            <v>140</v>
          </cell>
          <cell r="C353">
            <v>20</v>
          </cell>
          <cell r="D353">
            <v>28</v>
          </cell>
        </row>
        <row r="354">
          <cell r="A354" t="str">
            <v>NPCZ-L-200</v>
          </cell>
          <cell r="B354">
            <v>150</v>
          </cell>
          <cell r="C354">
            <v>20</v>
          </cell>
          <cell r="D354">
            <v>28</v>
          </cell>
        </row>
        <row r="355">
          <cell r="A355" t="str">
            <v>NPCZ-L-225</v>
          </cell>
          <cell r="B355">
            <v>185</v>
          </cell>
          <cell r="C355">
            <v>24</v>
          </cell>
          <cell r="D355">
            <v>28</v>
          </cell>
        </row>
        <row r="356">
          <cell r="A356" t="str">
            <v>NPCZ-L-250</v>
          </cell>
          <cell r="B356">
            <v>200</v>
          </cell>
          <cell r="C356">
            <v>24</v>
          </cell>
          <cell r="D356">
            <v>28</v>
          </cell>
        </row>
        <row r="357">
          <cell r="A357" t="str">
            <v>NPCZ-L-300</v>
          </cell>
          <cell r="B357">
            <v>225</v>
          </cell>
          <cell r="C357">
            <v>24</v>
          </cell>
          <cell r="D357">
            <v>28</v>
          </cell>
        </row>
        <row r="358">
          <cell r="A358" t="str">
            <v>NPCZ-L-350</v>
          </cell>
          <cell r="B358">
            <v>245</v>
          </cell>
          <cell r="C358">
            <v>24</v>
          </cell>
          <cell r="D358">
            <v>28</v>
          </cell>
        </row>
        <row r="359">
          <cell r="A359" t="str">
            <v>NPCZ-L-400</v>
          </cell>
          <cell r="B359">
            <v>280</v>
          </cell>
          <cell r="C359">
            <v>30</v>
          </cell>
          <cell r="D359">
            <v>34</v>
          </cell>
        </row>
        <row r="360">
          <cell r="A360" t="str">
            <v>NPCZ-L-450</v>
          </cell>
          <cell r="B360">
            <v>310</v>
          </cell>
          <cell r="C360">
            <v>30</v>
          </cell>
          <cell r="D360">
            <v>34</v>
          </cell>
        </row>
        <row r="361">
          <cell r="A361" t="str">
            <v>NPCZ-L-500</v>
          </cell>
          <cell r="B361">
            <v>350</v>
          </cell>
          <cell r="C361">
            <v>36</v>
          </cell>
          <cell r="D361">
            <v>40</v>
          </cell>
        </row>
        <row r="362">
          <cell r="A362" t="str">
            <v>NPCZ-L-550</v>
          </cell>
          <cell r="B362">
            <v>370</v>
          </cell>
          <cell r="C362">
            <v>36</v>
          </cell>
          <cell r="D362">
            <v>40</v>
          </cell>
        </row>
        <row r="363">
          <cell r="A363" t="str">
            <v>NPCZ-L-600</v>
          </cell>
          <cell r="B363">
            <v>400</v>
          </cell>
          <cell r="C363">
            <v>36</v>
          </cell>
          <cell r="D363">
            <v>40</v>
          </cell>
        </row>
        <row r="364">
          <cell r="A364" t="str">
            <v>NPCZ-L-650</v>
          </cell>
          <cell r="B364">
            <v>430</v>
          </cell>
          <cell r="C364">
            <v>42</v>
          </cell>
          <cell r="D364">
            <v>47</v>
          </cell>
        </row>
        <row r="365">
          <cell r="A365" t="str">
            <v>NPCZ-L-700</v>
          </cell>
          <cell r="B365">
            <v>450</v>
          </cell>
          <cell r="C365">
            <v>42</v>
          </cell>
          <cell r="D365">
            <v>47</v>
          </cell>
        </row>
        <row r="366">
          <cell r="A366" t="str">
            <v>NPCZ-L-750</v>
          </cell>
          <cell r="B366">
            <v>480</v>
          </cell>
          <cell r="C366">
            <v>42</v>
          </cell>
          <cell r="D366">
            <v>47</v>
          </cell>
        </row>
        <row r="367">
          <cell r="A367" t="str">
            <v>NPCZ-L-800</v>
          </cell>
          <cell r="B367">
            <v>505</v>
          </cell>
          <cell r="C367">
            <v>42</v>
          </cell>
          <cell r="D367">
            <v>47</v>
          </cell>
        </row>
        <row r="368">
          <cell r="A368" t="str">
            <v>NPCZ-L-850</v>
          </cell>
          <cell r="B368">
            <v>545</v>
          </cell>
          <cell r="C368">
            <v>48</v>
          </cell>
          <cell r="D368">
            <v>54</v>
          </cell>
        </row>
        <row r="369">
          <cell r="A369" t="str">
            <v>NPCZ-L-900</v>
          </cell>
          <cell r="B369">
            <v>565</v>
          </cell>
          <cell r="C369">
            <v>48</v>
          </cell>
          <cell r="D369">
            <v>54</v>
          </cell>
        </row>
        <row r="370">
          <cell r="A370" t="str">
            <v>NPCZ-L-1000</v>
          </cell>
          <cell r="B370">
            <v>620</v>
          </cell>
          <cell r="C370">
            <v>48</v>
          </cell>
          <cell r="D370">
            <v>54</v>
          </cell>
        </row>
        <row r="371">
          <cell r="A371" t="str">
            <v>NPCZ-L-1100</v>
          </cell>
          <cell r="B371">
            <v>670</v>
          </cell>
          <cell r="C371">
            <v>48</v>
          </cell>
          <cell r="D371">
            <v>54</v>
          </cell>
        </row>
        <row r="372">
          <cell r="A372" t="str">
            <v>NPCZ-L-1200</v>
          </cell>
          <cell r="B372">
            <v>730</v>
          </cell>
          <cell r="C372">
            <v>48</v>
          </cell>
          <cell r="D372">
            <v>54</v>
          </cell>
        </row>
        <row r="373">
          <cell r="A373" t="str">
            <v>22NPCB-H-250</v>
          </cell>
          <cell r="B373">
            <v>340</v>
          </cell>
        </row>
        <row r="374">
          <cell r="A374" t="str">
            <v>NCLS-M10</v>
          </cell>
          <cell r="B374">
            <v>50</v>
          </cell>
          <cell r="C374">
            <v>12</v>
          </cell>
          <cell r="D374">
            <v>18</v>
          </cell>
        </row>
        <row r="375">
          <cell r="A375" t="str">
            <v>NCLS-M12</v>
          </cell>
          <cell r="B375">
            <v>50</v>
          </cell>
          <cell r="C375">
            <v>16</v>
          </cell>
          <cell r="D375">
            <v>22</v>
          </cell>
        </row>
        <row r="376">
          <cell r="A376" t="str">
            <v>NCLS-M16</v>
          </cell>
          <cell r="B376">
            <v>50</v>
          </cell>
          <cell r="C376">
            <v>20</v>
          </cell>
          <cell r="D376">
            <v>24</v>
          </cell>
        </row>
        <row r="377">
          <cell r="A377" t="str">
            <v>NCLS-M20</v>
          </cell>
          <cell r="B377">
            <v>50</v>
          </cell>
          <cell r="C377">
            <v>24</v>
          </cell>
          <cell r="D377">
            <v>28</v>
          </cell>
        </row>
        <row r="378">
          <cell r="A378" t="str">
            <v>NCLS-M24</v>
          </cell>
          <cell r="B378">
            <v>75</v>
          </cell>
          <cell r="C378">
            <v>30</v>
          </cell>
          <cell r="D378">
            <v>34</v>
          </cell>
        </row>
        <row r="379">
          <cell r="A379" t="str">
            <v>NCLS-M30</v>
          </cell>
          <cell r="B379">
            <v>75</v>
          </cell>
          <cell r="C379">
            <v>36</v>
          </cell>
          <cell r="D379">
            <v>40</v>
          </cell>
        </row>
        <row r="380">
          <cell r="A380" t="str">
            <v>NCLS-M36</v>
          </cell>
          <cell r="B380">
            <v>100</v>
          </cell>
          <cell r="C380">
            <v>42</v>
          </cell>
          <cell r="D380">
            <v>47</v>
          </cell>
        </row>
        <row r="381">
          <cell r="A381" t="str">
            <v>NCLS-M42</v>
          </cell>
          <cell r="B381">
            <v>125</v>
          </cell>
          <cell r="C381">
            <v>48</v>
          </cell>
          <cell r="D381">
            <v>54</v>
          </cell>
        </row>
        <row r="382">
          <cell r="A382" t="str">
            <v>NCLS-M48</v>
          </cell>
          <cell r="B382">
            <v>125</v>
          </cell>
          <cell r="C382">
            <v>56</v>
          </cell>
          <cell r="D382">
            <v>62</v>
          </cell>
        </row>
        <row r="383">
          <cell r="A383" t="str">
            <v>NCLS-M56</v>
          </cell>
          <cell r="B383">
            <v>155</v>
          </cell>
          <cell r="C383">
            <v>64</v>
          </cell>
          <cell r="D383">
            <v>70</v>
          </cell>
        </row>
        <row r="384">
          <cell r="A384" t="str">
            <v>NCLS-M64</v>
          </cell>
          <cell r="B384">
            <v>155</v>
          </cell>
          <cell r="C384">
            <v>75</v>
          </cell>
          <cell r="D384">
            <v>80</v>
          </cell>
        </row>
        <row r="385">
          <cell r="A385" t="str">
            <v>NCLS-M72</v>
          </cell>
          <cell r="B385">
            <v>150</v>
          </cell>
          <cell r="C385">
            <v>80</v>
          </cell>
          <cell r="D385">
            <v>86</v>
          </cell>
        </row>
        <row r="386">
          <cell r="A386" t="str">
            <v>NCLS-M80</v>
          </cell>
          <cell r="B386">
            <v>160</v>
          </cell>
          <cell r="C386">
            <v>85</v>
          </cell>
          <cell r="D386">
            <v>91</v>
          </cell>
        </row>
        <row r="387">
          <cell r="A387" t="str">
            <v>NCLS-M85</v>
          </cell>
          <cell r="B387">
            <v>180</v>
          </cell>
          <cell r="C387">
            <v>90</v>
          </cell>
          <cell r="D387">
            <v>96</v>
          </cell>
        </row>
        <row r="388">
          <cell r="A388" t="str">
            <v>NCLS-M90</v>
          </cell>
          <cell r="B388">
            <v>190</v>
          </cell>
          <cell r="C388">
            <v>95</v>
          </cell>
          <cell r="D388">
            <v>101</v>
          </cell>
        </row>
        <row r="389">
          <cell r="A389" t="str">
            <v>LPT-M12</v>
          </cell>
          <cell r="B389">
            <v>50</v>
          </cell>
        </row>
        <row r="390">
          <cell r="A390" t="str">
            <v>LPT-M16</v>
          </cell>
          <cell r="B390">
            <v>50</v>
          </cell>
        </row>
        <row r="391">
          <cell r="A391" t="str">
            <v>LPT-M20</v>
          </cell>
          <cell r="B391">
            <v>50</v>
          </cell>
        </row>
        <row r="392">
          <cell r="A392" t="str">
            <v>LPT-M24</v>
          </cell>
          <cell r="B392">
            <v>75</v>
          </cell>
        </row>
        <row r="393">
          <cell r="A393" t="str">
            <v>LPT-M30</v>
          </cell>
          <cell r="B393">
            <v>75</v>
          </cell>
        </row>
        <row r="394">
          <cell r="A394" t="str">
            <v>LPT-M36</v>
          </cell>
          <cell r="B394">
            <v>90</v>
          </cell>
        </row>
        <row r="395">
          <cell r="A395" t="str">
            <v>LPT-M42</v>
          </cell>
          <cell r="B395">
            <v>90</v>
          </cell>
        </row>
        <row r="396">
          <cell r="A396" t="str">
            <v>LPT-M48</v>
          </cell>
          <cell r="B396">
            <v>110</v>
          </cell>
        </row>
        <row r="397">
          <cell r="A397" t="str">
            <v>LPT-M56</v>
          </cell>
          <cell r="B397">
            <v>125</v>
          </cell>
        </row>
        <row r="398">
          <cell r="A398" t="str">
            <v>LPT-M64</v>
          </cell>
          <cell r="B398">
            <v>150</v>
          </cell>
        </row>
        <row r="399">
          <cell r="A399" t="str">
            <v>LPT-M72</v>
          </cell>
          <cell r="B399">
            <v>150</v>
          </cell>
        </row>
        <row r="400">
          <cell r="A400" t="str">
            <v>LPT-M80</v>
          </cell>
          <cell r="B400">
            <v>175</v>
          </cell>
        </row>
        <row r="401">
          <cell r="A401" t="str">
            <v>CLPT-16</v>
          </cell>
          <cell r="B401">
            <v>50</v>
          </cell>
        </row>
        <row r="402">
          <cell r="A402" t="str">
            <v>CLPT-24</v>
          </cell>
          <cell r="B402">
            <v>75</v>
          </cell>
        </row>
        <row r="403">
          <cell r="A403" t="str">
            <v>CLPT-30</v>
          </cell>
          <cell r="B403">
            <v>90</v>
          </cell>
        </row>
        <row r="404">
          <cell r="A404" t="str">
            <v>CLPT-42</v>
          </cell>
          <cell r="B404">
            <v>120</v>
          </cell>
        </row>
        <row r="405">
          <cell r="A405" t="str">
            <v>CLPT-64</v>
          </cell>
          <cell r="B405">
            <v>180</v>
          </cell>
        </row>
        <row r="406">
          <cell r="A406" t="str">
            <v>CLPT-70</v>
          </cell>
          <cell r="B406">
            <v>200</v>
          </cell>
        </row>
        <row r="407">
          <cell r="A407" t="str">
            <v>CLPT-80</v>
          </cell>
          <cell r="B407">
            <v>200</v>
          </cell>
        </row>
        <row r="408">
          <cell r="A408" t="str">
            <v>RA-L-080</v>
          </cell>
          <cell r="C408">
            <v>20</v>
          </cell>
          <cell r="D408">
            <v>28</v>
          </cell>
        </row>
        <row r="409">
          <cell r="A409" t="str">
            <v>RA-L-090</v>
          </cell>
          <cell r="C409">
            <v>20</v>
          </cell>
          <cell r="D409">
            <v>28</v>
          </cell>
        </row>
        <row r="410">
          <cell r="A410" t="str">
            <v>RA-L-100</v>
          </cell>
          <cell r="C410">
            <v>20</v>
          </cell>
          <cell r="D410">
            <v>28</v>
          </cell>
        </row>
        <row r="411">
          <cell r="A411" t="str">
            <v>RA-L-125</v>
          </cell>
          <cell r="C411">
            <v>24</v>
          </cell>
          <cell r="D411">
            <v>28</v>
          </cell>
        </row>
        <row r="412">
          <cell r="A412" t="str">
            <v>RA-L-150</v>
          </cell>
          <cell r="C412">
            <v>24</v>
          </cell>
          <cell r="D412">
            <v>28</v>
          </cell>
        </row>
        <row r="413">
          <cell r="A413" t="str">
            <v>RA-L-175</v>
          </cell>
          <cell r="C413">
            <v>24</v>
          </cell>
          <cell r="D413">
            <v>28</v>
          </cell>
        </row>
        <row r="414">
          <cell r="A414" t="str">
            <v>RA-L-200</v>
          </cell>
          <cell r="C414">
            <v>24</v>
          </cell>
          <cell r="D414">
            <v>28</v>
          </cell>
        </row>
        <row r="415">
          <cell r="A415" t="str">
            <v>RA-L-225</v>
          </cell>
          <cell r="C415">
            <v>24</v>
          </cell>
          <cell r="D415">
            <v>28</v>
          </cell>
        </row>
        <row r="416">
          <cell r="A416" t="str">
            <v>RA-L-250</v>
          </cell>
          <cell r="C416">
            <v>24</v>
          </cell>
          <cell r="D416">
            <v>28</v>
          </cell>
        </row>
        <row r="417">
          <cell r="A417" t="str">
            <v>RA-L-300</v>
          </cell>
          <cell r="C417">
            <v>30</v>
          </cell>
          <cell r="D417">
            <v>34</v>
          </cell>
        </row>
        <row r="418">
          <cell r="A418" t="str">
            <v>RA-L-350</v>
          </cell>
          <cell r="C418">
            <v>30</v>
          </cell>
          <cell r="D418">
            <v>34</v>
          </cell>
        </row>
        <row r="419">
          <cell r="A419" t="str">
            <v>RA-L-400</v>
          </cell>
          <cell r="C419">
            <v>30</v>
          </cell>
          <cell r="D419">
            <v>34</v>
          </cell>
        </row>
        <row r="420">
          <cell r="A420" t="str">
            <v>RA-L-450</v>
          </cell>
          <cell r="C420">
            <v>30</v>
          </cell>
          <cell r="D420">
            <v>34</v>
          </cell>
        </row>
        <row r="421">
          <cell r="A421" t="str">
            <v>RA-L-500</v>
          </cell>
          <cell r="C421">
            <v>36</v>
          </cell>
          <cell r="D421">
            <v>40</v>
          </cell>
        </row>
        <row r="422">
          <cell r="A422" t="str">
            <v>RA-L-550</v>
          </cell>
          <cell r="C422">
            <v>36</v>
          </cell>
          <cell r="D422">
            <v>40</v>
          </cell>
        </row>
        <row r="423">
          <cell r="A423" t="str">
            <v>RA-L-600</v>
          </cell>
          <cell r="C423">
            <v>42</v>
          </cell>
          <cell r="D423">
            <v>46</v>
          </cell>
        </row>
        <row r="424">
          <cell r="A424" t="str">
            <v>RA-L-650</v>
          </cell>
          <cell r="C424">
            <v>42</v>
          </cell>
          <cell r="D424">
            <v>46</v>
          </cell>
        </row>
        <row r="425">
          <cell r="A425" t="str">
            <v>RA-L-700</v>
          </cell>
          <cell r="C425">
            <v>48</v>
          </cell>
          <cell r="D425">
            <v>54</v>
          </cell>
        </row>
        <row r="426">
          <cell r="A426" t="str">
            <v>RA-L-750</v>
          </cell>
          <cell r="C426">
            <v>48</v>
          </cell>
          <cell r="D426">
            <v>54</v>
          </cell>
        </row>
        <row r="427">
          <cell r="A427" t="str">
            <v>RB-L-080</v>
          </cell>
          <cell r="C427">
            <v>20</v>
          </cell>
          <cell r="D427">
            <v>28</v>
          </cell>
        </row>
        <row r="428">
          <cell r="A428" t="str">
            <v>RB-L-090</v>
          </cell>
          <cell r="C428">
            <v>20</v>
          </cell>
          <cell r="D428">
            <v>28</v>
          </cell>
        </row>
        <row r="429">
          <cell r="A429" t="str">
            <v>RB-L-100</v>
          </cell>
          <cell r="C429">
            <v>20</v>
          </cell>
          <cell r="D429">
            <v>28</v>
          </cell>
        </row>
        <row r="430">
          <cell r="A430" t="str">
            <v>RB-L-125</v>
          </cell>
          <cell r="C430">
            <v>24</v>
          </cell>
          <cell r="D430">
            <v>28</v>
          </cell>
        </row>
        <row r="431">
          <cell r="A431" t="str">
            <v>RB-L-150</v>
          </cell>
          <cell r="C431">
            <v>24</v>
          </cell>
          <cell r="D431">
            <v>28</v>
          </cell>
        </row>
        <row r="432">
          <cell r="A432" t="str">
            <v>RB-L-175</v>
          </cell>
          <cell r="C432">
            <v>24</v>
          </cell>
          <cell r="D432">
            <v>28</v>
          </cell>
        </row>
        <row r="433">
          <cell r="A433" t="str">
            <v>RB-L-200</v>
          </cell>
          <cell r="C433">
            <v>24</v>
          </cell>
          <cell r="D433">
            <v>28</v>
          </cell>
        </row>
        <row r="434">
          <cell r="A434" t="str">
            <v>RB-L-225</v>
          </cell>
          <cell r="C434">
            <v>24</v>
          </cell>
          <cell r="D434">
            <v>28</v>
          </cell>
        </row>
        <row r="435">
          <cell r="A435" t="str">
            <v>RB-L-250</v>
          </cell>
          <cell r="C435">
            <v>24</v>
          </cell>
          <cell r="D435">
            <v>28</v>
          </cell>
        </row>
        <row r="436">
          <cell r="A436" t="str">
            <v>RB-L-300</v>
          </cell>
          <cell r="C436">
            <v>30</v>
          </cell>
          <cell r="D436">
            <v>34</v>
          </cell>
        </row>
        <row r="437">
          <cell r="A437" t="str">
            <v>RB-L-350</v>
          </cell>
          <cell r="C437">
            <v>30</v>
          </cell>
          <cell r="D437">
            <v>34</v>
          </cell>
        </row>
        <row r="438">
          <cell r="A438" t="str">
            <v>RB-L-400</v>
          </cell>
          <cell r="C438">
            <v>30</v>
          </cell>
          <cell r="D438">
            <v>34</v>
          </cell>
        </row>
        <row r="439">
          <cell r="A439" t="str">
            <v>RB-L-450</v>
          </cell>
          <cell r="C439">
            <v>30</v>
          </cell>
          <cell r="D439">
            <v>34</v>
          </cell>
        </row>
        <row r="440">
          <cell r="A440" t="str">
            <v>RB-L-500</v>
          </cell>
          <cell r="C440">
            <v>36</v>
          </cell>
          <cell r="D440">
            <v>40</v>
          </cell>
        </row>
        <row r="441">
          <cell r="A441" t="str">
            <v>RB-L-550</v>
          </cell>
          <cell r="C441">
            <v>36</v>
          </cell>
          <cell r="D441">
            <v>40</v>
          </cell>
        </row>
        <row r="442">
          <cell r="A442" t="str">
            <v>RB-L-600</v>
          </cell>
          <cell r="C442">
            <v>42</v>
          </cell>
          <cell r="D442">
            <v>46</v>
          </cell>
        </row>
        <row r="443">
          <cell r="A443" t="str">
            <v>RB-L-650</v>
          </cell>
          <cell r="C443">
            <v>42</v>
          </cell>
          <cell r="D443">
            <v>46</v>
          </cell>
        </row>
        <row r="444">
          <cell r="A444" t="str">
            <v>RB-L-700</v>
          </cell>
          <cell r="C444">
            <v>48</v>
          </cell>
          <cell r="D444">
            <v>54</v>
          </cell>
        </row>
        <row r="445">
          <cell r="A445" t="str">
            <v>RB-L-750</v>
          </cell>
          <cell r="C445">
            <v>48</v>
          </cell>
          <cell r="D445">
            <v>54</v>
          </cell>
        </row>
        <row r="446">
          <cell r="A446" t="str">
            <v>RC-L-080</v>
          </cell>
          <cell r="C446">
            <v>20</v>
          </cell>
          <cell r="D446">
            <v>28</v>
          </cell>
        </row>
        <row r="447">
          <cell r="A447" t="str">
            <v>RC-L-090</v>
          </cell>
          <cell r="C447">
            <v>20</v>
          </cell>
          <cell r="D447">
            <v>28</v>
          </cell>
        </row>
        <row r="448">
          <cell r="A448" t="str">
            <v>RC-L-100</v>
          </cell>
          <cell r="C448">
            <v>20</v>
          </cell>
          <cell r="D448">
            <v>28</v>
          </cell>
        </row>
        <row r="449">
          <cell r="A449" t="str">
            <v>RC-L-125</v>
          </cell>
          <cell r="C449">
            <v>24</v>
          </cell>
          <cell r="D449">
            <v>28</v>
          </cell>
        </row>
        <row r="450">
          <cell r="A450" t="str">
            <v>RC-L-150</v>
          </cell>
          <cell r="C450">
            <v>24</v>
          </cell>
          <cell r="D450">
            <v>28</v>
          </cell>
        </row>
        <row r="451">
          <cell r="A451" t="str">
            <v>RC-L-175</v>
          </cell>
          <cell r="C451">
            <v>24</v>
          </cell>
          <cell r="D451">
            <v>28</v>
          </cell>
        </row>
        <row r="452">
          <cell r="A452" t="str">
            <v>RC-L-200</v>
          </cell>
          <cell r="C452">
            <v>24</v>
          </cell>
          <cell r="D452">
            <v>28</v>
          </cell>
        </row>
        <row r="453">
          <cell r="A453" t="str">
            <v>RC-L-225</v>
          </cell>
          <cell r="C453">
            <v>24</v>
          </cell>
          <cell r="D453">
            <v>28</v>
          </cell>
        </row>
        <row r="454">
          <cell r="A454" t="str">
            <v>RC-L-250</v>
          </cell>
          <cell r="C454">
            <v>24</v>
          </cell>
          <cell r="D454">
            <v>28</v>
          </cell>
        </row>
        <row r="455">
          <cell r="A455" t="str">
            <v>RC-L-300</v>
          </cell>
          <cell r="C455">
            <v>30</v>
          </cell>
          <cell r="D455">
            <v>34</v>
          </cell>
        </row>
        <row r="456">
          <cell r="A456" t="str">
            <v>RC-L-350</v>
          </cell>
          <cell r="C456">
            <v>30</v>
          </cell>
          <cell r="D456">
            <v>34</v>
          </cell>
        </row>
        <row r="457">
          <cell r="A457" t="str">
            <v>RC-L-400</v>
          </cell>
          <cell r="C457">
            <v>30</v>
          </cell>
          <cell r="D457">
            <v>34</v>
          </cell>
        </row>
        <row r="458">
          <cell r="A458" t="str">
            <v>RC-L-450</v>
          </cell>
          <cell r="C458">
            <v>30</v>
          </cell>
          <cell r="D458">
            <v>34</v>
          </cell>
        </row>
        <row r="459">
          <cell r="A459" t="str">
            <v>RC-L-500</v>
          </cell>
          <cell r="C459">
            <v>36</v>
          </cell>
          <cell r="D459">
            <v>40</v>
          </cell>
        </row>
        <row r="460">
          <cell r="A460" t="str">
            <v>RC-L-550</v>
          </cell>
          <cell r="C460">
            <v>36</v>
          </cell>
          <cell r="D460">
            <v>40</v>
          </cell>
        </row>
        <row r="461">
          <cell r="A461" t="str">
            <v>RC-L-600</v>
          </cell>
          <cell r="C461">
            <v>42</v>
          </cell>
          <cell r="D461">
            <v>46</v>
          </cell>
        </row>
        <row r="462">
          <cell r="A462" t="str">
            <v>RC-L-650</v>
          </cell>
          <cell r="C462">
            <v>42</v>
          </cell>
          <cell r="D462">
            <v>46</v>
          </cell>
        </row>
        <row r="463">
          <cell r="A463" t="str">
            <v>RC-L-700</v>
          </cell>
          <cell r="C463">
            <v>48</v>
          </cell>
          <cell r="D463">
            <v>54</v>
          </cell>
        </row>
        <row r="464">
          <cell r="A464" t="str">
            <v>RC-L-750</v>
          </cell>
          <cell r="C464">
            <v>48</v>
          </cell>
          <cell r="D464">
            <v>54</v>
          </cell>
        </row>
        <row r="465">
          <cell r="A465" t="str">
            <v>RA-H-150</v>
          </cell>
          <cell r="C465">
            <v>24</v>
          </cell>
          <cell r="D465">
            <v>28</v>
          </cell>
        </row>
        <row r="466">
          <cell r="A466" t="str">
            <v>RA-H-175</v>
          </cell>
          <cell r="C466">
            <v>24</v>
          </cell>
          <cell r="D466">
            <v>28</v>
          </cell>
        </row>
        <row r="467">
          <cell r="A467" t="str">
            <v>RA-H-200</v>
          </cell>
          <cell r="C467">
            <v>30</v>
          </cell>
          <cell r="D467">
            <v>34</v>
          </cell>
        </row>
        <row r="468">
          <cell r="A468" t="str">
            <v>RA-H-225</v>
          </cell>
          <cell r="C468">
            <v>30</v>
          </cell>
          <cell r="D468">
            <v>34</v>
          </cell>
        </row>
        <row r="469">
          <cell r="A469" t="str">
            <v>RA-H-250</v>
          </cell>
          <cell r="C469">
            <v>30</v>
          </cell>
          <cell r="D469">
            <v>34</v>
          </cell>
        </row>
        <row r="470">
          <cell r="A470" t="str">
            <v>RA-H-300</v>
          </cell>
          <cell r="C470">
            <v>36</v>
          </cell>
          <cell r="D470">
            <v>40</v>
          </cell>
        </row>
        <row r="471">
          <cell r="A471" t="str">
            <v>RA-H-350</v>
          </cell>
          <cell r="C471">
            <v>36</v>
          </cell>
          <cell r="D471">
            <v>40</v>
          </cell>
        </row>
        <row r="472">
          <cell r="A472" t="str">
            <v>RA-H-400</v>
          </cell>
          <cell r="C472">
            <v>36</v>
          </cell>
          <cell r="D472">
            <v>40</v>
          </cell>
        </row>
        <row r="473">
          <cell r="A473" t="str">
            <v>RA-H-450</v>
          </cell>
          <cell r="C473">
            <v>36</v>
          </cell>
          <cell r="D473">
            <v>40</v>
          </cell>
        </row>
        <row r="474">
          <cell r="A474" t="str">
            <v>RA-H-500</v>
          </cell>
          <cell r="C474">
            <v>36</v>
          </cell>
          <cell r="D474">
            <v>40</v>
          </cell>
        </row>
        <row r="475">
          <cell r="A475" t="str">
            <v>RA-H-550</v>
          </cell>
          <cell r="C475">
            <v>36</v>
          </cell>
          <cell r="D475">
            <v>40</v>
          </cell>
        </row>
        <row r="476">
          <cell r="A476" t="str">
            <v>RA-H-600</v>
          </cell>
          <cell r="C476">
            <v>42</v>
          </cell>
          <cell r="D476">
            <v>46</v>
          </cell>
        </row>
        <row r="477">
          <cell r="A477" t="str">
            <v>RA-H-650</v>
          </cell>
          <cell r="C477">
            <v>42</v>
          </cell>
          <cell r="D477">
            <v>46</v>
          </cell>
        </row>
        <row r="478">
          <cell r="A478" t="str">
            <v>RA-H-700</v>
          </cell>
          <cell r="C478">
            <v>48</v>
          </cell>
          <cell r="D478">
            <v>54</v>
          </cell>
        </row>
        <row r="479">
          <cell r="A479" t="str">
            <v>RA-H-750</v>
          </cell>
          <cell r="C479">
            <v>48</v>
          </cell>
          <cell r="D479">
            <v>54</v>
          </cell>
        </row>
        <row r="480">
          <cell r="A480" t="str">
            <v>RB-H-150</v>
          </cell>
          <cell r="C480">
            <v>24</v>
          </cell>
          <cell r="D480">
            <v>28</v>
          </cell>
        </row>
        <row r="481">
          <cell r="A481" t="str">
            <v>RB-H-175</v>
          </cell>
          <cell r="C481">
            <v>24</v>
          </cell>
          <cell r="D481">
            <v>28</v>
          </cell>
        </row>
        <row r="482">
          <cell r="A482" t="str">
            <v>RB-H-200</v>
          </cell>
          <cell r="C482">
            <v>30</v>
          </cell>
          <cell r="D482">
            <v>34</v>
          </cell>
        </row>
        <row r="483">
          <cell r="A483" t="str">
            <v>RB-H-225</v>
          </cell>
          <cell r="C483">
            <v>30</v>
          </cell>
          <cell r="D483">
            <v>34</v>
          </cell>
        </row>
        <row r="484">
          <cell r="A484" t="str">
            <v>RB-H-250</v>
          </cell>
          <cell r="C484">
            <v>30</v>
          </cell>
          <cell r="D484">
            <v>34</v>
          </cell>
        </row>
        <row r="485">
          <cell r="A485" t="str">
            <v>RB-H-300</v>
          </cell>
          <cell r="C485">
            <v>36</v>
          </cell>
          <cell r="D485">
            <v>40</v>
          </cell>
        </row>
        <row r="486">
          <cell r="A486" t="str">
            <v>RB-H-350</v>
          </cell>
          <cell r="C486">
            <v>36</v>
          </cell>
          <cell r="D486">
            <v>40</v>
          </cell>
        </row>
        <row r="487">
          <cell r="A487" t="str">
            <v>RB-H-400</v>
          </cell>
          <cell r="C487">
            <v>36</v>
          </cell>
          <cell r="D487">
            <v>40</v>
          </cell>
        </row>
        <row r="488">
          <cell r="A488" t="str">
            <v>RB-H-450</v>
          </cell>
          <cell r="C488">
            <v>36</v>
          </cell>
          <cell r="D488">
            <v>40</v>
          </cell>
        </row>
        <row r="489">
          <cell r="A489" t="str">
            <v>RB-H-500</v>
          </cell>
          <cell r="C489">
            <v>36</v>
          </cell>
          <cell r="D489">
            <v>40</v>
          </cell>
        </row>
        <row r="490">
          <cell r="A490" t="str">
            <v>RB-H-550</v>
          </cell>
          <cell r="C490">
            <v>36</v>
          </cell>
          <cell r="D490">
            <v>40</v>
          </cell>
        </row>
        <row r="491">
          <cell r="A491" t="str">
            <v>RB-H-600</v>
          </cell>
          <cell r="C491">
            <v>42</v>
          </cell>
          <cell r="D491">
            <v>46</v>
          </cell>
        </row>
        <row r="492">
          <cell r="A492" t="str">
            <v>RB-H-650</v>
          </cell>
          <cell r="C492">
            <v>42</v>
          </cell>
          <cell r="D492">
            <v>46</v>
          </cell>
        </row>
        <row r="493">
          <cell r="A493" t="str">
            <v>RB-H-700</v>
          </cell>
          <cell r="C493">
            <v>48</v>
          </cell>
          <cell r="D493">
            <v>54</v>
          </cell>
        </row>
        <row r="494">
          <cell r="A494" t="str">
            <v>RB-H-750</v>
          </cell>
          <cell r="C494">
            <v>48</v>
          </cell>
          <cell r="D494">
            <v>54</v>
          </cell>
        </row>
        <row r="495">
          <cell r="A495" t="str">
            <v>RC-H-150</v>
          </cell>
          <cell r="C495">
            <v>24</v>
          </cell>
          <cell r="D495">
            <v>28</v>
          </cell>
        </row>
        <row r="496">
          <cell r="A496" t="str">
            <v>RC-H-175</v>
          </cell>
          <cell r="C496">
            <v>24</v>
          </cell>
          <cell r="D496">
            <v>28</v>
          </cell>
        </row>
        <row r="497">
          <cell r="A497" t="str">
            <v>RC-H-200</v>
          </cell>
          <cell r="C497">
            <v>30</v>
          </cell>
          <cell r="D497">
            <v>34</v>
          </cell>
        </row>
        <row r="498">
          <cell r="A498" t="str">
            <v>RC-H-225</v>
          </cell>
          <cell r="C498">
            <v>30</v>
          </cell>
          <cell r="D498">
            <v>34</v>
          </cell>
        </row>
        <row r="499">
          <cell r="A499" t="str">
            <v>RC-H-250</v>
          </cell>
          <cell r="C499">
            <v>30</v>
          </cell>
          <cell r="D499">
            <v>34</v>
          </cell>
        </row>
        <row r="500">
          <cell r="A500" t="str">
            <v>RC-H-300</v>
          </cell>
          <cell r="C500">
            <v>36</v>
          </cell>
          <cell r="D500">
            <v>40</v>
          </cell>
        </row>
        <row r="501">
          <cell r="A501" t="str">
            <v>RC-H-350</v>
          </cell>
          <cell r="C501">
            <v>36</v>
          </cell>
          <cell r="D501">
            <v>40</v>
          </cell>
        </row>
        <row r="502">
          <cell r="A502" t="str">
            <v>RC-H-400</v>
          </cell>
          <cell r="C502">
            <v>36</v>
          </cell>
          <cell r="D502">
            <v>40</v>
          </cell>
        </row>
        <row r="503">
          <cell r="A503" t="str">
            <v>RC-H-450</v>
          </cell>
          <cell r="C503">
            <v>36</v>
          </cell>
          <cell r="D503">
            <v>40</v>
          </cell>
        </row>
        <row r="504">
          <cell r="A504" t="str">
            <v>RC-H-500</v>
          </cell>
          <cell r="C504">
            <v>36</v>
          </cell>
          <cell r="D504">
            <v>40</v>
          </cell>
        </row>
        <row r="505">
          <cell r="A505" t="str">
            <v>RC-H-550</v>
          </cell>
          <cell r="C505">
            <v>36</v>
          </cell>
          <cell r="D505">
            <v>40</v>
          </cell>
        </row>
        <row r="506">
          <cell r="A506" t="str">
            <v>RC-H-600</v>
          </cell>
          <cell r="C506">
            <v>42</v>
          </cell>
          <cell r="D506">
            <v>46</v>
          </cell>
        </row>
        <row r="507">
          <cell r="A507" t="str">
            <v>RC-H-650</v>
          </cell>
          <cell r="C507">
            <v>42</v>
          </cell>
          <cell r="D507">
            <v>46</v>
          </cell>
        </row>
        <row r="508">
          <cell r="A508" t="str">
            <v>RC-H-700</v>
          </cell>
          <cell r="C508">
            <v>48</v>
          </cell>
          <cell r="D508">
            <v>54</v>
          </cell>
        </row>
        <row r="509">
          <cell r="A509" t="str">
            <v>RC-H-750</v>
          </cell>
          <cell r="C509">
            <v>48</v>
          </cell>
          <cell r="D509">
            <v>54</v>
          </cell>
        </row>
        <row r="510">
          <cell r="A510" t="str">
            <v>RHC-080</v>
          </cell>
        </row>
        <row r="511">
          <cell r="A511" t="str">
            <v>RHC-090</v>
          </cell>
        </row>
        <row r="512">
          <cell r="A512" t="str">
            <v>RHC-100</v>
          </cell>
        </row>
        <row r="513">
          <cell r="A513" t="str">
            <v>RHC-125</v>
          </cell>
        </row>
        <row r="514">
          <cell r="A514" t="str">
            <v>RHC-150</v>
          </cell>
        </row>
        <row r="515">
          <cell r="A515" t="str">
            <v>RHC-175</v>
          </cell>
        </row>
        <row r="516">
          <cell r="A516" t="str">
            <v>RHC-200</v>
          </cell>
        </row>
        <row r="517">
          <cell r="A517" t="str">
            <v>RHC-225</v>
          </cell>
        </row>
        <row r="518">
          <cell r="A518" t="str">
            <v>RHC-250</v>
          </cell>
        </row>
        <row r="519">
          <cell r="A519" t="str">
            <v>RHC-300</v>
          </cell>
        </row>
        <row r="520">
          <cell r="A520" t="str">
            <v>RHC-350</v>
          </cell>
        </row>
        <row r="521">
          <cell r="A521" t="str">
            <v>RHC-400</v>
          </cell>
        </row>
        <row r="522">
          <cell r="A522" t="str">
            <v>RHC-450</v>
          </cell>
        </row>
        <row r="523">
          <cell r="A523" t="str">
            <v>RHC-500</v>
          </cell>
        </row>
        <row r="524">
          <cell r="A524" t="str">
            <v>RHC-550</v>
          </cell>
        </row>
        <row r="525">
          <cell r="A525" t="str">
            <v>RHC-600</v>
          </cell>
        </row>
        <row r="526">
          <cell r="A526" t="str">
            <v>RHA-080</v>
          </cell>
        </row>
        <row r="527">
          <cell r="A527" t="str">
            <v>RHA-090</v>
          </cell>
        </row>
        <row r="528">
          <cell r="A528" t="str">
            <v>RHA-100</v>
          </cell>
        </row>
        <row r="529">
          <cell r="A529" t="str">
            <v>RHA-125</v>
          </cell>
        </row>
        <row r="530">
          <cell r="A530" t="str">
            <v>RHA-150</v>
          </cell>
        </row>
        <row r="531">
          <cell r="A531" t="str">
            <v>RHA-175</v>
          </cell>
        </row>
        <row r="532">
          <cell r="A532" t="str">
            <v>RHA-200</v>
          </cell>
        </row>
        <row r="533">
          <cell r="A533" t="str">
            <v>RHA-225</v>
          </cell>
        </row>
        <row r="534">
          <cell r="A534" t="str">
            <v>RHA-250</v>
          </cell>
        </row>
        <row r="535">
          <cell r="A535" t="str">
            <v>RHA-300</v>
          </cell>
        </row>
        <row r="536">
          <cell r="A536" t="str">
            <v>RHA-350</v>
          </cell>
        </row>
        <row r="537">
          <cell r="A537" t="str">
            <v>RHA-400</v>
          </cell>
        </row>
        <row r="538">
          <cell r="A538" t="str">
            <v>RHA-450</v>
          </cell>
        </row>
        <row r="539">
          <cell r="A539" t="str">
            <v>RHA-500</v>
          </cell>
        </row>
        <row r="540">
          <cell r="A540" t="str">
            <v>RHA-550</v>
          </cell>
        </row>
        <row r="541">
          <cell r="A541" t="str">
            <v>RHA-600</v>
          </cell>
        </row>
        <row r="542">
          <cell r="A542" t="str">
            <v>EHS-080</v>
          </cell>
          <cell r="B542">
            <v>175</v>
          </cell>
        </row>
        <row r="543">
          <cell r="A543" t="str">
            <v>EHS-090</v>
          </cell>
          <cell r="B543">
            <v>200</v>
          </cell>
        </row>
        <row r="544">
          <cell r="A544" t="str">
            <v>EHS-100</v>
          </cell>
          <cell r="B544">
            <v>200</v>
          </cell>
        </row>
        <row r="545">
          <cell r="A545" t="str">
            <v>EHS-125</v>
          </cell>
          <cell r="B545">
            <v>200</v>
          </cell>
        </row>
        <row r="546">
          <cell r="A546" t="str">
            <v>EHS-150</v>
          </cell>
          <cell r="B546">
            <v>250</v>
          </cell>
        </row>
        <row r="547">
          <cell r="A547" t="str">
            <v>EHS-175</v>
          </cell>
          <cell r="B547">
            <v>250</v>
          </cell>
        </row>
        <row r="548">
          <cell r="A548" t="str">
            <v>EHS-200</v>
          </cell>
          <cell r="B548">
            <v>250</v>
          </cell>
        </row>
        <row r="549">
          <cell r="A549" t="str">
            <v>EHS-225</v>
          </cell>
          <cell r="B549">
            <v>250</v>
          </cell>
        </row>
        <row r="550">
          <cell r="A550" t="str">
            <v>EHS-250</v>
          </cell>
          <cell r="B550">
            <v>300</v>
          </cell>
          <cell r="D550">
            <v>47</v>
          </cell>
        </row>
        <row r="551">
          <cell r="A551" t="str">
            <v>EHS-300</v>
          </cell>
          <cell r="B551">
            <v>300</v>
          </cell>
          <cell r="D551">
            <v>47</v>
          </cell>
        </row>
        <row r="552">
          <cell r="A552" t="str">
            <v>EHS-350</v>
          </cell>
          <cell r="B552">
            <v>300</v>
          </cell>
          <cell r="D552">
            <v>47</v>
          </cell>
        </row>
        <row r="553">
          <cell r="A553" t="str">
            <v>EHS-400</v>
          </cell>
          <cell r="B553">
            <v>300</v>
          </cell>
          <cell r="D553">
            <v>54</v>
          </cell>
        </row>
        <row r="554">
          <cell r="A554" t="str">
            <v>EHS-450</v>
          </cell>
          <cell r="B554">
            <v>300</v>
          </cell>
          <cell r="D554">
            <v>54</v>
          </cell>
        </row>
        <row r="555">
          <cell r="A555" t="str">
            <v>EHS-500</v>
          </cell>
          <cell r="B555">
            <v>300</v>
          </cell>
          <cell r="D555">
            <v>54</v>
          </cell>
        </row>
        <row r="556">
          <cell r="A556" t="str">
            <v>EHS-550</v>
          </cell>
          <cell r="B556">
            <v>300</v>
          </cell>
          <cell r="D556">
            <v>62</v>
          </cell>
        </row>
        <row r="557">
          <cell r="A557" t="str">
            <v>EHS-600</v>
          </cell>
          <cell r="B557">
            <v>300</v>
          </cell>
          <cell r="D557">
            <v>62</v>
          </cell>
        </row>
        <row r="558">
          <cell r="A558" t="str">
            <v>EHC-750</v>
          </cell>
          <cell r="B558">
            <v>650</v>
          </cell>
        </row>
        <row r="559">
          <cell r="A559" t="str">
            <v>RHC-1500</v>
          </cell>
        </row>
      </sheetData>
      <sheetData sheetId="8" refreshError="1">
        <row r="3">
          <cell r="A3">
            <v>0.75</v>
          </cell>
        </row>
        <row r="4">
          <cell r="A4">
            <v>1</v>
          </cell>
        </row>
        <row r="5">
          <cell r="A5">
            <v>1.25</v>
          </cell>
        </row>
        <row r="6">
          <cell r="A6">
            <v>1.5</v>
          </cell>
        </row>
        <row r="7">
          <cell r="A7">
            <v>2</v>
          </cell>
        </row>
        <row r="8">
          <cell r="A8">
            <v>2.5</v>
          </cell>
        </row>
        <row r="9">
          <cell r="A9">
            <v>3</v>
          </cell>
        </row>
        <row r="10">
          <cell r="A10">
            <v>3.5</v>
          </cell>
        </row>
        <row r="11">
          <cell r="A11">
            <v>4</v>
          </cell>
        </row>
        <row r="12">
          <cell r="A12">
            <v>5</v>
          </cell>
        </row>
        <row r="13">
          <cell r="A13">
            <v>6</v>
          </cell>
        </row>
        <row r="14">
          <cell r="A14">
            <v>7</v>
          </cell>
        </row>
        <row r="15">
          <cell r="A15">
            <v>8</v>
          </cell>
        </row>
        <row r="16">
          <cell r="A16">
            <v>9</v>
          </cell>
        </row>
        <row r="17">
          <cell r="A17">
            <v>10</v>
          </cell>
        </row>
        <row r="18">
          <cell r="A18">
            <v>12</v>
          </cell>
        </row>
        <row r="19">
          <cell r="A19">
            <v>14</v>
          </cell>
        </row>
        <row r="20">
          <cell r="A20">
            <v>16</v>
          </cell>
        </row>
        <row r="21">
          <cell r="A21">
            <v>18</v>
          </cell>
        </row>
        <row r="22">
          <cell r="A22">
            <v>20</v>
          </cell>
        </row>
        <row r="23">
          <cell r="A23">
            <v>22</v>
          </cell>
        </row>
        <row r="24">
          <cell r="A24">
            <v>24</v>
          </cell>
        </row>
        <row r="25">
          <cell r="A25">
            <v>26</v>
          </cell>
        </row>
        <row r="26">
          <cell r="A26">
            <v>28</v>
          </cell>
        </row>
        <row r="27">
          <cell r="A27">
            <v>30</v>
          </cell>
        </row>
        <row r="28">
          <cell r="A28">
            <v>32</v>
          </cell>
        </row>
        <row r="29">
          <cell r="A29">
            <v>34</v>
          </cell>
        </row>
        <row r="30">
          <cell r="A30">
            <v>36</v>
          </cell>
        </row>
        <row r="31">
          <cell r="A31">
            <v>40</v>
          </cell>
        </row>
        <row r="32">
          <cell r="A32">
            <v>44</v>
          </cell>
        </row>
        <row r="33">
          <cell r="A33">
            <v>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ialog1"/>
      <sheetName val="Dialog2"/>
      <sheetName val="BQ-MD"/>
      <sheetName val="RFP-002(Eval)"/>
      <sheetName val="003Summary"/>
      <sheetName val="003-PVT"/>
      <sheetName val="RFP003A"/>
      <sheetName val="RFP003B"/>
      <sheetName val="RFP003C"/>
      <sheetName val="RFP003D"/>
      <sheetName val="RFP003E"/>
      <sheetName val="RFP003F"/>
      <sheetName val="S N"/>
      <sheetName val="Rev History"/>
      <sheetName val="03sumy_a"/>
      <sheetName val="Chart"/>
      <sheetName val="csdim"/>
      <sheetName val="cdsload"/>
      <sheetName val="chsload"/>
      <sheetName val="CLAMP"/>
      <sheetName val="cvsload"/>
      <sheetName val="pipe"/>
      <sheetName val="DB@Acess"/>
      <sheetName val="Civil"/>
      <sheetName val="EQUIPMENT"/>
      <sheetName val="견적"/>
      <sheetName val="EQUIP"/>
      <sheetName val="cement"/>
      <sheetName val="LinerWt"/>
      <sheetName val="견"/>
      <sheetName val="eq_data"/>
      <sheetName val="rate"/>
      <sheetName val="일보"/>
      <sheetName val="Graph (LGEN)"/>
      <sheetName val="out_prog"/>
      <sheetName val="선적schedule (2)"/>
    </sheetNames>
    <definedNames>
      <definedName name="Check_B"/>
      <definedName name="PRINT_OUT_RFP002"/>
      <definedName name="PRINT_OUT_SCcost_P1"/>
      <definedName name="PRINT_OUT_SCcost_P2"/>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ow r="5">
          <cell r="B5" t="str">
            <v>A) EQUIPMENT INSTALLATION</v>
          </cell>
          <cell r="C5" t="str">
            <v xml:space="preserve"> A) EQUIPMENT INSTALLATION</v>
          </cell>
        </row>
        <row r="6">
          <cell r="B6" t="str">
            <v>S/N</v>
          </cell>
        </row>
        <row r="7">
          <cell r="B7">
            <v>1</v>
          </cell>
          <cell r="C7" t="str">
            <v>4110</v>
          </cell>
          <cell r="D7" t="str">
            <v>01/02</v>
          </cell>
          <cell r="F7" t="str">
            <v>Cracking Heater/Reformer</v>
          </cell>
          <cell r="I7" t="str">
            <v>TON</v>
          </cell>
        </row>
        <row r="8">
          <cell r="B8">
            <v>2</v>
          </cell>
          <cell r="C8" t="str">
            <v>4110</v>
          </cell>
          <cell r="D8" t="str">
            <v>03</v>
          </cell>
          <cell r="F8" t="str">
            <v>Box &amp; Vert, Cylindrical Fired Heater</v>
          </cell>
          <cell r="I8" t="str">
            <v>TON</v>
          </cell>
        </row>
        <row r="9">
          <cell r="B9">
            <v>3</v>
          </cell>
          <cell r="C9" t="str">
            <v>4130/40</v>
          </cell>
          <cell r="F9" t="str">
            <v>Boiler</v>
          </cell>
          <cell r="I9" t="str">
            <v>TON</v>
          </cell>
        </row>
        <row r="10">
          <cell r="B10">
            <v>4</v>
          </cell>
          <cell r="C10" t="str">
            <v>4150</v>
          </cell>
          <cell r="F10" t="str">
            <v>Stack and Flare Stack</v>
          </cell>
          <cell r="I10" t="str">
            <v>TON</v>
          </cell>
        </row>
        <row r="11">
          <cell r="B11">
            <v>5</v>
          </cell>
          <cell r="C11" t="str">
            <v>4210</v>
          </cell>
          <cell r="D11" t="str">
            <v>01</v>
          </cell>
          <cell r="F11" t="str">
            <v>Field Fabricated Tank</v>
          </cell>
          <cell r="I11" t="str">
            <v>TON</v>
          </cell>
        </row>
        <row r="12">
          <cell r="B12">
            <v>6</v>
          </cell>
          <cell r="C12" t="str">
            <v>4220</v>
          </cell>
          <cell r="D12" t="str">
            <v>01</v>
          </cell>
          <cell r="F12" t="str">
            <v>Tower and Reactor</v>
          </cell>
          <cell r="I12" t="str">
            <v>TON</v>
          </cell>
        </row>
        <row r="13">
          <cell r="B13">
            <v>7</v>
          </cell>
          <cell r="C13" t="str">
            <v>4220</v>
          </cell>
          <cell r="D13" t="str">
            <v>02</v>
          </cell>
          <cell r="F13" t="str">
            <v>Drum and Vessel</v>
          </cell>
          <cell r="I13" t="str">
            <v>TON</v>
          </cell>
        </row>
        <row r="14">
          <cell r="B14">
            <v>7.5</v>
          </cell>
          <cell r="F14" t="str">
            <v>Tower,Reactor,Drum,Vessel&lt;50ton</v>
          </cell>
          <cell r="I14" t="str">
            <v>TON</v>
          </cell>
        </row>
        <row r="15">
          <cell r="B15">
            <v>8</v>
          </cell>
          <cell r="C15" t="str">
            <v>4000/230/8510</v>
          </cell>
          <cell r="F15" t="str">
            <v>Pla/Ladder/Tray/Pack/Inter/Cata/Chem</v>
          </cell>
          <cell r="I15" t="str">
            <v>-</v>
          </cell>
        </row>
        <row r="16">
          <cell r="B16">
            <v>9</v>
          </cell>
          <cell r="C16" t="str">
            <v>4310/20/30</v>
          </cell>
          <cell r="F16" t="str">
            <v>Ht.Exchanger/Air Cooler/Cl.Tower</v>
          </cell>
          <cell r="I16" t="str">
            <v>TON</v>
          </cell>
        </row>
        <row r="17">
          <cell r="B17">
            <v>10</v>
          </cell>
          <cell r="C17" t="str">
            <v>4410-4450</v>
          </cell>
          <cell r="F17" t="str">
            <v>Rotating Machine</v>
          </cell>
          <cell r="I17" t="str">
            <v>TON</v>
          </cell>
        </row>
        <row r="18">
          <cell r="B18">
            <v>99</v>
          </cell>
          <cell r="C18" t="str">
            <v>-</v>
          </cell>
          <cell r="F18" t="str">
            <v>Others</v>
          </cell>
          <cell r="I18" t="str">
            <v>-</v>
          </cell>
        </row>
        <row r="19">
          <cell r="B19">
            <v>100</v>
          </cell>
          <cell r="F19" t="str">
            <v>1.DIRECT COST</v>
          </cell>
          <cell r="I19" t="str">
            <v>TON</v>
          </cell>
        </row>
        <row r="20">
          <cell r="B20">
            <v>200</v>
          </cell>
          <cell r="F20" t="str">
            <v xml:space="preserve">2.INDIRECT COST </v>
          </cell>
          <cell r="I20" t="str">
            <v>%</v>
          </cell>
        </row>
        <row r="21">
          <cell r="B21">
            <v>300</v>
          </cell>
          <cell r="F21" t="str">
            <v>3.OVERHEAD &amp; PROFIT</v>
          </cell>
          <cell r="I21" t="str">
            <v>%</v>
          </cell>
        </row>
        <row r="22">
          <cell r="B22">
            <v>400</v>
          </cell>
          <cell r="F22" t="str">
            <v>1+2+3.GRAND TOTAL</v>
          </cell>
          <cell r="I22" t="str">
            <v>TON</v>
          </cell>
        </row>
        <row r="43">
          <cell r="B43" t="str">
            <v>C) ELECTRICAL</v>
          </cell>
          <cell r="C43" t="str">
            <v>C) ELECTRICAL</v>
          </cell>
        </row>
        <row r="44">
          <cell r="B44" t="str">
            <v>S/N</v>
          </cell>
        </row>
        <row r="45">
          <cell r="B45">
            <v>1</v>
          </cell>
          <cell r="C45" t="str">
            <v>6010</v>
          </cell>
          <cell r="D45" t="str">
            <v>01</v>
          </cell>
          <cell r="F45" t="str">
            <v>Support</v>
          </cell>
          <cell r="I45" t="str">
            <v>TON</v>
          </cell>
        </row>
        <row r="46">
          <cell r="B46">
            <v>2</v>
          </cell>
          <cell r="C46" t="str">
            <v>6100/6200</v>
          </cell>
          <cell r="F46" t="str">
            <v>Power/S,Sub/S &amp; Local Equip</v>
          </cell>
          <cell r="I46" t="str">
            <v>SET</v>
          </cell>
        </row>
        <row r="47">
          <cell r="B47">
            <v>3</v>
          </cell>
          <cell r="C47" t="str">
            <v>6320</v>
          </cell>
          <cell r="D47" t="str">
            <v>01</v>
          </cell>
          <cell r="F47" t="str">
            <v>Lighting Fixture</v>
          </cell>
          <cell r="I47" t="str">
            <v>SET</v>
          </cell>
        </row>
        <row r="48">
          <cell r="B48">
            <v>4</v>
          </cell>
          <cell r="C48" t="str">
            <v>6300</v>
          </cell>
          <cell r="F48" t="str">
            <v>Other Lighting Facilities</v>
          </cell>
          <cell r="I48" t="str">
            <v>SET</v>
          </cell>
        </row>
        <row r="49">
          <cell r="B49">
            <v>5</v>
          </cell>
          <cell r="C49" t="str">
            <v>6400</v>
          </cell>
          <cell r="F49" t="str">
            <v>Communication Facilities</v>
          </cell>
          <cell r="I49" t="str">
            <v>SET</v>
          </cell>
        </row>
        <row r="50">
          <cell r="B50">
            <v>6</v>
          </cell>
          <cell r="C50" t="str">
            <v>6500</v>
          </cell>
          <cell r="D50" t="str">
            <v>01</v>
          </cell>
          <cell r="F50" t="str">
            <v>HT  Power  Cable</v>
          </cell>
          <cell r="I50" t="str">
            <v>M(cable)</v>
          </cell>
        </row>
        <row r="51">
          <cell r="B51">
            <v>7</v>
          </cell>
          <cell r="C51" t="str">
            <v>6500</v>
          </cell>
          <cell r="D51" t="str">
            <v>01</v>
          </cell>
          <cell r="F51" t="str">
            <v>LT  Power  Cable</v>
          </cell>
          <cell r="I51" t="str">
            <v>M(cable)</v>
          </cell>
        </row>
        <row r="52">
          <cell r="B52">
            <v>8</v>
          </cell>
          <cell r="C52" t="str">
            <v>6530/40/50</v>
          </cell>
          <cell r="F52" t="str">
            <v>Other Control Cable/Wires</v>
          </cell>
          <cell r="I52" t="str">
            <v>M</v>
          </cell>
        </row>
        <row r="53">
          <cell r="B53">
            <v>9</v>
          </cell>
          <cell r="C53" t="str">
            <v>6600</v>
          </cell>
          <cell r="D53" t="str">
            <v>01</v>
          </cell>
          <cell r="F53" t="str">
            <v>Cable Ways</v>
          </cell>
          <cell r="I53" t="str">
            <v>M</v>
          </cell>
        </row>
        <row r="54">
          <cell r="B54">
            <v>10</v>
          </cell>
          <cell r="C54" t="str">
            <v>6610-40</v>
          </cell>
          <cell r="D54" t="str">
            <v>01</v>
          </cell>
          <cell r="F54" t="str">
            <v>Conduit Piping</v>
          </cell>
          <cell r="I54" t="str">
            <v>M</v>
          </cell>
        </row>
        <row r="55">
          <cell r="B55">
            <v>99</v>
          </cell>
          <cell r="C55" t="str">
            <v>-</v>
          </cell>
          <cell r="F55" t="str">
            <v>Others</v>
          </cell>
          <cell r="I55" t="str">
            <v>-</v>
          </cell>
        </row>
        <row r="56">
          <cell r="B56">
            <v>100</v>
          </cell>
          <cell r="F56" t="str">
            <v>1.DIRECT COST</v>
          </cell>
          <cell r="I56" t="str">
            <v>M(cable)</v>
          </cell>
        </row>
        <row r="57">
          <cell r="B57">
            <v>200</v>
          </cell>
          <cell r="F57" t="str">
            <v xml:space="preserve">2.INDIRECT COST </v>
          </cell>
          <cell r="I57" t="str">
            <v>%</v>
          </cell>
        </row>
        <row r="58">
          <cell r="B58">
            <v>300</v>
          </cell>
          <cell r="F58" t="str">
            <v>3.OVERHEAD &amp; PROFIT</v>
          </cell>
          <cell r="I58" t="str">
            <v>%</v>
          </cell>
        </row>
        <row r="59">
          <cell r="B59">
            <v>400</v>
          </cell>
          <cell r="F59" t="str">
            <v>1+2+3.GRAND TOTAL</v>
          </cell>
          <cell r="I59" t="str">
            <v>M(cable)</v>
          </cell>
        </row>
        <row r="61">
          <cell r="B61" t="str">
            <v>D) INSTRUMENT</v>
          </cell>
          <cell r="C61" t="str">
            <v>D) INSTRUMENT</v>
          </cell>
        </row>
        <row r="62">
          <cell r="B62" t="str">
            <v>S/N</v>
          </cell>
        </row>
        <row r="63">
          <cell r="B63">
            <v>1</v>
          </cell>
          <cell r="C63" t="str">
            <v>7000</v>
          </cell>
          <cell r="D63" t="str">
            <v>01</v>
          </cell>
          <cell r="F63" t="str">
            <v>Support Fabrication/Installation</v>
          </cell>
          <cell r="I63" t="str">
            <v>TON</v>
          </cell>
        </row>
        <row r="64">
          <cell r="B64">
            <v>2</v>
          </cell>
          <cell r="C64" t="str">
            <v>7100</v>
          </cell>
          <cell r="F64" t="str">
            <v>Control Room</v>
          </cell>
          <cell r="I64" t="str">
            <v>SET</v>
          </cell>
        </row>
        <row r="65">
          <cell r="B65">
            <v>3</v>
          </cell>
          <cell r="C65" t="str">
            <v>7200</v>
          </cell>
          <cell r="F65" t="str">
            <v>Local Instrument &amp; Final Control Element</v>
          </cell>
          <cell r="I65" t="str">
            <v>SET</v>
          </cell>
        </row>
        <row r="66">
          <cell r="B66">
            <v>4</v>
          </cell>
          <cell r="C66" t="str">
            <v>7230</v>
          </cell>
          <cell r="D66" t="str">
            <v>01</v>
          </cell>
          <cell r="F66" t="str">
            <v>Line Mounted Instrument</v>
          </cell>
          <cell r="I66" t="str">
            <v>SET</v>
          </cell>
        </row>
        <row r="67">
          <cell r="B67">
            <v>5</v>
          </cell>
          <cell r="C67" t="str">
            <v>7310</v>
          </cell>
          <cell r="D67" t="str">
            <v>01</v>
          </cell>
          <cell r="F67" t="str">
            <v>Conduit Piping</v>
          </cell>
          <cell r="I67" t="str">
            <v>M</v>
          </cell>
        </row>
        <row r="68">
          <cell r="B68">
            <v>6</v>
          </cell>
          <cell r="C68" t="str">
            <v>7320</v>
          </cell>
          <cell r="D68" t="str">
            <v>01/02/03</v>
          </cell>
          <cell r="F68" t="str">
            <v>Cable Way</v>
          </cell>
          <cell r="I68" t="str">
            <v>M</v>
          </cell>
        </row>
        <row r="69">
          <cell r="B69">
            <v>7</v>
          </cell>
          <cell r="C69" t="str">
            <v>7410</v>
          </cell>
          <cell r="F69" t="str">
            <v>Main Cable and Wires</v>
          </cell>
          <cell r="I69" t="str">
            <v>M(cable)</v>
          </cell>
        </row>
        <row r="70">
          <cell r="B70">
            <v>8</v>
          </cell>
          <cell r="C70" t="str">
            <v>7420</v>
          </cell>
          <cell r="F70" t="str">
            <v>Local Cables, Wires and Signal Tubes</v>
          </cell>
          <cell r="I70" t="str">
            <v>M(cable)</v>
          </cell>
        </row>
        <row r="71">
          <cell r="B71">
            <v>9</v>
          </cell>
          <cell r="C71" t="str">
            <v>7500</v>
          </cell>
          <cell r="F71" t="str">
            <v>Instrument Piping</v>
          </cell>
          <cell r="I71" t="str">
            <v>M</v>
          </cell>
        </row>
        <row r="72">
          <cell r="B72">
            <v>99</v>
          </cell>
          <cell r="C72" t="str">
            <v>-</v>
          </cell>
          <cell r="F72" t="str">
            <v>Others</v>
          </cell>
          <cell r="I72" t="str">
            <v>-</v>
          </cell>
        </row>
        <row r="73">
          <cell r="B73">
            <v>100</v>
          </cell>
          <cell r="F73" t="str">
            <v>1.DIRECT COST</v>
          </cell>
          <cell r="I73" t="str">
            <v>M(cable)</v>
          </cell>
        </row>
        <row r="74">
          <cell r="B74">
            <v>200</v>
          </cell>
          <cell r="F74" t="str">
            <v xml:space="preserve">2.INDIRECT COST </v>
          </cell>
          <cell r="I74" t="str">
            <v>%</v>
          </cell>
        </row>
        <row r="75">
          <cell r="B75">
            <v>300</v>
          </cell>
          <cell r="F75" t="str">
            <v>3.OVERHEAD &amp; PROFIT</v>
          </cell>
          <cell r="I75" t="str">
            <v>%</v>
          </cell>
        </row>
        <row r="76">
          <cell r="B76">
            <v>400</v>
          </cell>
          <cell r="F76" t="str">
            <v>1+2+3.GRAND TOTAL</v>
          </cell>
          <cell r="I76" t="str">
            <v>M(cable)</v>
          </cell>
        </row>
        <row r="77">
          <cell r="B77">
            <v>410</v>
          </cell>
          <cell r="I77" t="str">
            <v>Loop</v>
          </cell>
        </row>
        <row r="79">
          <cell r="B79" t="str">
            <v>E) INSULATION</v>
          </cell>
          <cell r="C79" t="str">
            <v>E) INSULATION</v>
          </cell>
        </row>
        <row r="80">
          <cell r="B80" t="str">
            <v>S/N</v>
          </cell>
        </row>
        <row r="81">
          <cell r="B81">
            <v>1</v>
          </cell>
          <cell r="C81" t="str">
            <v>8310</v>
          </cell>
          <cell r="D81" t="str">
            <v>01</v>
          </cell>
          <cell r="F81" t="str">
            <v>Machinery &amp; Equipment(HOT)</v>
          </cell>
          <cell r="I81" t="str">
            <v>M2</v>
          </cell>
        </row>
        <row r="82">
          <cell r="B82">
            <v>2</v>
          </cell>
          <cell r="C82" t="str">
            <v>8310</v>
          </cell>
          <cell r="D82" t="str">
            <v>02</v>
          </cell>
          <cell r="F82" t="str">
            <v>Machinery &amp; Equipment(COLD)</v>
          </cell>
          <cell r="I82" t="str">
            <v>M2</v>
          </cell>
        </row>
        <row r="83">
          <cell r="B83">
            <v>3</v>
          </cell>
          <cell r="C83" t="str">
            <v>8320</v>
          </cell>
          <cell r="D83" t="str">
            <v>01</v>
          </cell>
          <cell r="F83" t="str">
            <v>Pipe (HOT,RockWool Wired Blanket)</v>
          </cell>
          <cell r="I83" t="str">
            <v>M2</v>
          </cell>
        </row>
        <row r="84">
          <cell r="B84">
            <v>4</v>
          </cell>
          <cell r="C84" t="str">
            <v>8320</v>
          </cell>
          <cell r="D84" t="str">
            <v>01</v>
          </cell>
          <cell r="F84" t="str">
            <v>Pipe(HOT,Calcium Silicate)</v>
          </cell>
          <cell r="I84" t="str">
            <v>M2</v>
          </cell>
        </row>
        <row r="85">
          <cell r="B85">
            <v>5</v>
          </cell>
          <cell r="C85" t="str">
            <v>8320</v>
          </cell>
          <cell r="D85" t="str">
            <v>02</v>
          </cell>
          <cell r="F85" t="str">
            <v>Pipe (COLD,Cellular Glass)</v>
          </cell>
          <cell r="I85" t="str">
            <v>M2</v>
          </cell>
        </row>
        <row r="86">
          <cell r="B86">
            <v>6</v>
          </cell>
          <cell r="C86" t="str">
            <v>8320</v>
          </cell>
          <cell r="D86" t="str">
            <v>02</v>
          </cell>
          <cell r="F86" t="str">
            <v>Pipe (COLD,Poly-Urethane)</v>
          </cell>
          <cell r="I86" t="str">
            <v>M2</v>
          </cell>
        </row>
        <row r="87">
          <cell r="B87">
            <v>7</v>
          </cell>
          <cell r="C87" t="str">
            <v>8350/60</v>
          </cell>
          <cell r="F87" t="str">
            <v>Instrument/Sound Protection</v>
          </cell>
          <cell r="I87" t="str">
            <v>M2</v>
          </cell>
        </row>
        <row r="88">
          <cell r="B88">
            <v>8</v>
          </cell>
          <cell r="C88" t="str">
            <v>8380</v>
          </cell>
          <cell r="D88" t="str">
            <v>01</v>
          </cell>
          <cell r="F88" t="str">
            <v>FireProofing for Equipment and Others</v>
          </cell>
          <cell r="I88" t="str">
            <v>M2</v>
          </cell>
        </row>
        <row r="89">
          <cell r="B89">
            <v>99</v>
          </cell>
          <cell r="C89" t="str">
            <v>-</v>
          </cell>
          <cell r="F89" t="str">
            <v>Others</v>
          </cell>
          <cell r="I89" t="str">
            <v>-</v>
          </cell>
        </row>
        <row r="90">
          <cell r="B90">
            <v>100</v>
          </cell>
          <cell r="F90" t="str">
            <v>1.DIRECT COST</v>
          </cell>
          <cell r="I90" t="str">
            <v>M2</v>
          </cell>
        </row>
        <row r="91">
          <cell r="B91">
            <v>200</v>
          </cell>
          <cell r="F91" t="str">
            <v xml:space="preserve">2.INDIRECT COST </v>
          </cell>
          <cell r="I91" t="str">
            <v>%</v>
          </cell>
        </row>
        <row r="92">
          <cell r="B92">
            <v>300</v>
          </cell>
          <cell r="F92" t="str">
            <v>3.OVERHEAD &amp; PROFIT</v>
          </cell>
          <cell r="I92" t="str">
            <v>%</v>
          </cell>
        </row>
        <row r="93">
          <cell r="B93">
            <v>400</v>
          </cell>
          <cell r="F93" t="str">
            <v>1+2+3.GRAND TOTAL</v>
          </cell>
          <cell r="I93" t="str">
            <v>M2</v>
          </cell>
        </row>
        <row r="94">
          <cell r="B94">
            <v>410</v>
          </cell>
          <cell r="I94" t="str">
            <v>M3(HOT)</v>
          </cell>
        </row>
        <row r="95">
          <cell r="B95">
            <v>420</v>
          </cell>
          <cell r="I95" t="str">
            <v>M3(COLD)</v>
          </cell>
        </row>
        <row r="97">
          <cell r="B97" t="str">
            <v>F) PAINTING</v>
          </cell>
          <cell r="C97" t="str">
            <v>F) PAINTING</v>
          </cell>
        </row>
        <row r="98">
          <cell r="B98" t="str">
            <v>S/N</v>
          </cell>
        </row>
        <row r="99">
          <cell r="B99">
            <v>1</v>
          </cell>
          <cell r="C99" t="str">
            <v>8110</v>
          </cell>
          <cell r="F99" t="str">
            <v>Painting of Structural Steel</v>
          </cell>
          <cell r="I99" t="str">
            <v>M2</v>
          </cell>
        </row>
        <row r="100">
          <cell r="B100">
            <v>2</v>
          </cell>
          <cell r="C100" t="str">
            <v>8130</v>
          </cell>
          <cell r="D100" t="str">
            <v xml:space="preserve"> 03</v>
          </cell>
          <cell r="F100" t="str">
            <v>Painting of Machinery and Equipment</v>
          </cell>
          <cell r="I100" t="str">
            <v>M2</v>
          </cell>
        </row>
        <row r="101">
          <cell r="B101">
            <v>3</v>
          </cell>
          <cell r="C101" t="str">
            <v>8140</v>
          </cell>
          <cell r="F101" t="str">
            <v>Painting of Piping</v>
          </cell>
          <cell r="I101" t="str">
            <v>M2</v>
          </cell>
        </row>
        <row r="102">
          <cell r="B102">
            <v>4</v>
          </cell>
          <cell r="C102" t="str">
            <v>---</v>
          </cell>
          <cell r="F102" t="str">
            <v>Painting for Tank</v>
          </cell>
          <cell r="I102" t="str">
            <v>M2</v>
          </cell>
        </row>
        <row r="103">
          <cell r="B103">
            <v>5</v>
          </cell>
          <cell r="C103" t="str">
            <v>---</v>
          </cell>
          <cell r="F103" t="str">
            <v>Instrument / Electrical</v>
          </cell>
          <cell r="I103" t="str">
            <v>M2</v>
          </cell>
        </row>
        <row r="104">
          <cell r="B104">
            <v>99</v>
          </cell>
          <cell r="C104" t="str">
            <v>-</v>
          </cell>
          <cell r="F104" t="str">
            <v>Others</v>
          </cell>
          <cell r="I104" t="str">
            <v>-</v>
          </cell>
        </row>
        <row r="105">
          <cell r="B105">
            <v>100</v>
          </cell>
          <cell r="F105" t="str">
            <v>1.DIRECT COST</v>
          </cell>
          <cell r="I105" t="str">
            <v>M2</v>
          </cell>
        </row>
        <row r="106">
          <cell r="B106">
            <v>200</v>
          </cell>
          <cell r="F106" t="str">
            <v xml:space="preserve">2.INDIRECT COST </v>
          </cell>
          <cell r="I106" t="str">
            <v>%</v>
          </cell>
        </row>
        <row r="107">
          <cell r="B107">
            <v>300</v>
          </cell>
          <cell r="F107" t="str">
            <v>3.OVERHEAD &amp; PROFIT</v>
          </cell>
          <cell r="I107" t="str">
            <v>%</v>
          </cell>
        </row>
        <row r="108">
          <cell r="B108">
            <v>400</v>
          </cell>
          <cell r="F108" t="str">
            <v>1+2+3.GRAND TOTAL</v>
          </cell>
          <cell r="I108" t="str">
            <v>M2</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AT_5"/>
      <sheetName val="C_18"/>
      <sheetName val="COA_17"/>
      <sheetName val="부표총괄"/>
      <sheetName val="Civil Q'ty CA3"/>
      <sheetName val="w't table"/>
      <sheetName val="Lnx$LPS-A301(Excel)_"/>
      <sheetName val="S N"/>
      <sheetName val="95신규호표"/>
      <sheetName val="EQUIP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COA-17"/>
      <sheetName val="C-18"/>
      <sheetName val="w't table"/>
      <sheetName val="CAT_5"/>
      <sheetName val="TTL"/>
    </sheetNames>
    <sheetDataSet>
      <sheetData sheetId="0" refreshError="1"/>
      <sheetData sheetId="1" refreshError="1"/>
      <sheetData sheetId="2" refreshError="1">
        <row r="2">
          <cell r="F2" t="str">
            <v xml:space="preserve">        BILL  OF  MATERIAL</v>
          </cell>
          <cell r="G2" t="str">
            <v>PROJ.  NO. :</v>
          </cell>
          <cell r="I2" t="str">
            <v>Z99085</v>
          </cell>
        </row>
        <row r="3">
          <cell r="D3">
            <v>0</v>
          </cell>
          <cell r="G3" t="str">
            <v>DATE         :</v>
          </cell>
          <cell r="I3" t="str">
            <v>AUG,11,99</v>
          </cell>
        </row>
        <row r="4">
          <cell r="B4" t="str">
            <v>FOR   POWER SYSTEM(PUSH BUTTON SWITCH)</v>
          </cell>
          <cell r="G4" t="str">
            <v xml:space="preserve">MADE BY   :    </v>
          </cell>
          <cell r="I4" t="str">
            <v>T,Y,PARK</v>
          </cell>
        </row>
        <row r="5">
          <cell r="G5" t="str">
            <v xml:space="preserve">CHK'D BY  :    </v>
          </cell>
          <cell r="I5" t="str">
            <v>.</v>
          </cell>
        </row>
        <row r="7">
          <cell r="A7" t="str">
            <v>NO.</v>
          </cell>
          <cell r="B7" t="str">
            <v>REQ'D</v>
          </cell>
          <cell r="D7" t="str">
            <v>SIZE</v>
          </cell>
          <cell r="F7" t="str">
            <v xml:space="preserve">                             DESCRIPTION</v>
          </cell>
          <cell r="G7" t="str">
            <v>UNIT COST</v>
          </cell>
          <cell r="I7" t="str">
            <v>EXTENSION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PHAN NHOM"/>
      <sheetName val="BAOCAO"/>
      <sheetName val="QUYCACH"/>
      <sheetName val="GROUP"/>
      <sheetName val="G-XUAT"/>
      <sheetName val="00000000"/>
      <sheetName val="10000000"/>
    </sheetNames>
    <sheetDataSet>
      <sheetData sheetId="0"/>
      <sheetData sheetId="1">
        <row r="2">
          <cell r="B2" t="str">
            <v>CODE</v>
          </cell>
          <cell r="C2" t="str">
            <v xml:space="preserve"> TÔØ KHAI</v>
          </cell>
          <cell r="D2" t="str">
            <v>SOÁ BILL</v>
          </cell>
          <cell r="E2" t="str">
            <v>SOÁ HÑ</v>
          </cell>
          <cell r="F2" t="str">
            <v>XUAT XU</v>
          </cell>
        </row>
        <row r="3">
          <cell r="B3" t="str">
            <v>H1</v>
          </cell>
          <cell r="C3" t="str">
            <v>TK68</v>
          </cell>
          <cell r="E3" t="str">
            <v>030705/TX-TN</v>
          </cell>
        </row>
        <row r="4">
          <cell r="B4" t="str">
            <v>H2</v>
          </cell>
        </row>
        <row r="5">
          <cell r="B5" t="str">
            <v>H3</v>
          </cell>
        </row>
        <row r="6">
          <cell r="B6" t="str">
            <v>H4</v>
          </cell>
        </row>
        <row r="7">
          <cell r="B7" t="str">
            <v>H5</v>
          </cell>
        </row>
        <row r="8">
          <cell r="B8" t="str">
            <v>H6</v>
          </cell>
        </row>
        <row r="9">
          <cell r="B9" t="str">
            <v>H7</v>
          </cell>
        </row>
        <row r="10">
          <cell r="B10" t="str">
            <v>H8</v>
          </cell>
        </row>
        <row r="11">
          <cell r="B11" t="str">
            <v>H9</v>
          </cell>
        </row>
        <row r="12">
          <cell r="B12" t="str">
            <v>H10</v>
          </cell>
        </row>
        <row r="13">
          <cell r="B13" t="str">
            <v>H11</v>
          </cell>
        </row>
        <row r="14">
          <cell r="B14" t="str">
            <v>H12</v>
          </cell>
        </row>
        <row r="15">
          <cell r="B15" t="str">
            <v>H13</v>
          </cell>
        </row>
        <row r="16">
          <cell r="B16" t="str">
            <v>H14</v>
          </cell>
        </row>
        <row r="17">
          <cell r="B17" t="str">
            <v>h15</v>
          </cell>
        </row>
        <row r="18">
          <cell r="B18" t="str">
            <v>H16</v>
          </cell>
        </row>
        <row r="19">
          <cell r="B19" t="str">
            <v>H17</v>
          </cell>
        </row>
        <row r="20">
          <cell r="B20" t="str">
            <v>H18</v>
          </cell>
        </row>
        <row r="21">
          <cell r="B21" t="str">
            <v>H19</v>
          </cell>
          <cell r="C21" t="str">
            <v>TK130</v>
          </cell>
          <cell r="D21" t="str">
            <v>FAV23935</v>
          </cell>
          <cell r="E21" t="str">
            <v>040206/TX-TN</v>
          </cell>
          <cell r="F21" t="str">
            <v>CHI NA</v>
          </cell>
        </row>
        <row r="22">
          <cell r="B22" t="str">
            <v>H20</v>
          </cell>
          <cell r="C22" t="str">
            <v>TK168</v>
          </cell>
          <cell r="D22" t="str">
            <v>FAV23938</v>
          </cell>
          <cell r="E22" t="str">
            <v>040206/TX-TN</v>
          </cell>
          <cell r="F22" t="str">
            <v>CHINA</v>
          </cell>
        </row>
        <row r="23">
          <cell r="B23" t="str">
            <v>H21</v>
          </cell>
          <cell r="C23" t="str">
            <v>TK207</v>
          </cell>
          <cell r="D23" t="str">
            <v>FAV23941</v>
          </cell>
          <cell r="E23" t="str">
            <v>040206/TX-TN</v>
          </cell>
          <cell r="F23" t="str">
            <v>CHINA</v>
          </cell>
        </row>
        <row r="24">
          <cell r="B24" t="str">
            <v>H22</v>
          </cell>
          <cell r="C24" t="str">
            <v>TK208</v>
          </cell>
          <cell r="D24" t="str">
            <v>FAV23942</v>
          </cell>
          <cell r="E24" t="str">
            <v>040206/TX-TN</v>
          </cell>
          <cell r="F24" t="str">
            <v>CHINA</v>
          </cell>
        </row>
        <row r="25">
          <cell r="B25" t="str">
            <v>H23</v>
          </cell>
          <cell r="C25" t="str">
            <v>TK247</v>
          </cell>
          <cell r="D25" t="str">
            <v>FAV23953</v>
          </cell>
          <cell r="E25" t="str">
            <v>040206/TX-TN</v>
          </cell>
          <cell r="F25" t="str">
            <v>CHINA</v>
          </cell>
        </row>
        <row r="26">
          <cell r="B26" t="str">
            <v>H24</v>
          </cell>
          <cell r="C26" t="str">
            <v>TK253</v>
          </cell>
          <cell r="D26" t="str">
            <v>FAV23958</v>
          </cell>
          <cell r="E26" t="str">
            <v>040206/TX-TN</v>
          </cell>
          <cell r="F26" t="str">
            <v>CHINA</v>
          </cell>
        </row>
        <row r="27">
          <cell r="B27" t="str">
            <v>H25</v>
          </cell>
          <cell r="C27" t="str">
            <v>TK259</v>
          </cell>
          <cell r="D27" t="str">
            <v>FAV24511</v>
          </cell>
          <cell r="E27" t="str">
            <v>040206/TX-TN</v>
          </cell>
          <cell r="F27" t="str">
            <v>CHINA</v>
          </cell>
        </row>
        <row r="28">
          <cell r="B28" t="str">
            <v>H26</v>
          </cell>
          <cell r="C28" t="str">
            <v>TK265</v>
          </cell>
          <cell r="D28" t="str">
            <v>FAV 24515</v>
          </cell>
          <cell r="E28" t="str">
            <v>040206/TX-TN</v>
          </cell>
          <cell r="F28" t="str">
            <v>CHINA</v>
          </cell>
        </row>
        <row r="29">
          <cell r="B29" t="str">
            <v>H27</v>
          </cell>
          <cell r="C29" t="str">
            <v>TK275</v>
          </cell>
          <cell r="D29" t="str">
            <v>NYKS530151182</v>
          </cell>
          <cell r="E29" t="str">
            <v>040403/TX-TN</v>
          </cell>
          <cell r="F29" t="str">
            <v>CHINA</v>
          </cell>
        </row>
        <row r="30">
          <cell r="B30" t="str">
            <v>H28</v>
          </cell>
          <cell r="C30" t="str">
            <v>TK279</v>
          </cell>
          <cell r="D30" t="str">
            <v>FAV24518</v>
          </cell>
          <cell r="E30" t="str">
            <v>040206/TX-TN</v>
          </cell>
          <cell r="F30" t="str">
            <v>CHINA</v>
          </cell>
        </row>
        <row r="31">
          <cell r="B31" t="str">
            <v>H29</v>
          </cell>
          <cell r="C31" t="str">
            <v>TK289</v>
          </cell>
          <cell r="D31" t="str">
            <v>FAV 24570</v>
          </cell>
          <cell r="E31" t="str">
            <v>040206/TX-TN</v>
          </cell>
          <cell r="F31" t="str">
            <v>CHINA</v>
          </cell>
        </row>
        <row r="32">
          <cell r="B32" t="str">
            <v>H30</v>
          </cell>
          <cell r="C32" t="str">
            <v>TK284</v>
          </cell>
          <cell r="D32" t="str">
            <v>FAV24562</v>
          </cell>
          <cell r="E32" t="str">
            <v>040206/TX-TN</v>
          </cell>
          <cell r="F32" t="str">
            <v>CHINA</v>
          </cell>
        </row>
        <row r="33">
          <cell r="B33" t="str">
            <v>H31</v>
          </cell>
          <cell r="C33" t="str">
            <v>TK292</v>
          </cell>
          <cell r="D33" t="str">
            <v>YFCA1467</v>
          </cell>
          <cell r="E33" t="str">
            <v>040426/YX-TN</v>
          </cell>
          <cell r="F33" t="str">
            <v>CHINA</v>
          </cell>
        </row>
        <row r="34">
          <cell r="B34" t="str">
            <v>H32</v>
          </cell>
          <cell r="C34" t="str">
            <v>TK291</v>
          </cell>
          <cell r="D34" t="str">
            <v>YFCA1466</v>
          </cell>
          <cell r="E34" t="str">
            <v>040426/TX-TN</v>
          </cell>
          <cell r="F34" t="str">
            <v>CHINA</v>
          </cell>
        </row>
        <row r="35">
          <cell r="B35" t="str">
            <v>H33</v>
          </cell>
          <cell r="C35" t="str">
            <v>TK305</v>
          </cell>
          <cell r="D35" t="str">
            <v>YFCA1523</v>
          </cell>
          <cell r="E35" t="str">
            <v>040528/TX-TN</v>
          </cell>
          <cell r="F35" t="str">
            <v>CHINA</v>
          </cell>
        </row>
        <row r="36">
          <cell r="B36" t="str">
            <v>H34</v>
          </cell>
          <cell r="C36" t="str">
            <v>TK306</v>
          </cell>
          <cell r="D36" t="str">
            <v>YFCA1575A</v>
          </cell>
          <cell r="E36" t="str">
            <v>040602A/TX-TN</v>
          </cell>
          <cell r="F36" t="str">
            <v>CHINA</v>
          </cell>
        </row>
        <row r="37">
          <cell r="B37" t="str">
            <v>H35</v>
          </cell>
          <cell r="C37" t="str">
            <v>TK308</v>
          </cell>
          <cell r="D37" t="str">
            <v>YFCA1575B</v>
          </cell>
          <cell r="E37" t="str">
            <v>040602B/TX-TN</v>
          </cell>
          <cell r="F37" t="str">
            <v>CHINA</v>
          </cell>
        </row>
        <row r="38">
          <cell r="B38" t="str">
            <v>H36</v>
          </cell>
          <cell r="C38" t="str">
            <v>TK309</v>
          </cell>
          <cell r="D38" t="str">
            <v>YFCA1575B</v>
          </cell>
          <cell r="E38" t="str">
            <v>040602B/TX-TN</v>
          </cell>
          <cell r="F38" t="str">
            <v>CHINA</v>
          </cell>
        </row>
        <row r="39">
          <cell r="B39" t="str">
            <v>H37</v>
          </cell>
          <cell r="C39" t="str">
            <v>TK311</v>
          </cell>
          <cell r="D39" t="str">
            <v>YFCA1615</v>
          </cell>
          <cell r="E39" t="str">
            <v>040616/TX-TN</v>
          </cell>
          <cell r="F39" t="str">
            <v>CHINA</v>
          </cell>
        </row>
        <row r="40">
          <cell r="B40" t="str">
            <v>H38</v>
          </cell>
          <cell r="C40" t="str">
            <v>TK320</v>
          </cell>
          <cell r="D40" t="str">
            <v>YFCA1668</v>
          </cell>
          <cell r="E40" t="str">
            <v>040630/TX-TN</v>
          </cell>
          <cell r="F40" t="str">
            <v>CHINA</v>
          </cell>
        </row>
        <row r="41">
          <cell r="B41" t="str">
            <v>H39</v>
          </cell>
          <cell r="C41" t="str">
            <v>TK330</v>
          </cell>
          <cell r="D41" t="str">
            <v>NYKS 530160156</v>
          </cell>
          <cell r="E41" t="str">
            <v>40710/TX-TN</v>
          </cell>
          <cell r="F41" t="str">
            <v>GERANAY</v>
          </cell>
        </row>
        <row r="42">
          <cell r="B42" t="str">
            <v>H40</v>
          </cell>
          <cell r="C42" t="str">
            <v>TK329</v>
          </cell>
          <cell r="D42" t="str">
            <v>YFCA1704</v>
          </cell>
          <cell r="E42" t="str">
            <v>040710TQ/ TX-TN</v>
          </cell>
          <cell r="F42" t="str">
            <v>CHINA</v>
          </cell>
        </row>
        <row r="43">
          <cell r="B43" t="str">
            <v>H41</v>
          </cell>
          <cell r="C43" t="str">
            <v>TK333</v>
          </cell>
          <cell r="D43" t="str">
            <v>YFCA1716</v>
          </cell>
          <cell r="E43" t="str">
            <v>040715/TX-TN</v>
          </cell>
          <cell r="F43" t="str">
            <v>CHINA</v>
          </cell>
        </row>
        <row r="44">
          <cell r="B44" t="str">
            <v>H42</v>
          </cell>
          <cell r="C44" t="str">
            <v>TK337</v>
          </cell>
          <cell r="D44" t="str">
            <v>YFCA 1744</v>
          </cell>
          <cell r="E44" t="str">
            <v>040728/TX-TN</v>
          </cell>
          <cell r="F44" t="str">
            <v>CHINA</v>
          </cell>
        </row>
        <row r="45">
          <cell r="B45" t="str">
            <v>H43</v>
          </cell>
          <cell r="C45" t="str">
            <v>TK339</v>
          </cell>
          <cell r="D45" t="str">
            <v>YFCA1752</v>
          </cell>
          <cell r="E45" t="str">
            <v>040729/TX-TN</v>
          </cell>
          <cell r="F45" t="str">
            <v>CHINA</v>
          </cell>
        </row>
        <row r="46">
          <cell r="B46" t="str">
            <v>H44</v>
          </cell>
        </row>
        <row r="47">
          <cell r="B47" t="str">
            <v>H45</v>
          </cell>
        </row>
        <row r="48">
          <cell r="B48" t="str">
            <v>H46</v>
          </cell>
        </row>
        <row r="49">
          <cell r="B49" t="str">
            <v>H47</v>
          </cell>
        </row>
        <row r="50">
          <cell r="B50" t="str">
            <v>H48</v>
          </cell>
        </row>
        <row r="51">
          <cell r="B51" t="str">
            <v>H49</v>
          </cell>
        </row>
        <row r="52">
          <cell r="B52" t="str">
            <v>H50</v>
          </cell>
        </row>
        <row r="53">
          <cell r="B53" t="str">
            <v>H51</v>
          </cell>
        </row>
        <row r="54">
          <cell r="B54" t="str">
            <v>H52</v>
          </cell>
        </row>
        <row r="55">
          <cell r="B55" t="str">
            <v>H53</v>
          </cell>
        </row>
        <row r="56">
          <cell r="B56" t="str">
            <v>H54</v>
          </cell>
        </row>
        <row r="57">
          <cell r="B57" t="str">
            <v>H55</v>
          </cell>
        </row>
        <row r="58">
          <cell r="B58" t="str">
            <v>H56</v>
          </cell>
        </row>
        <row r="59">
          <cell r="B59" t="str">
            <v>H57</v>
          </cell>
        </row>
        <row r="60">
          <cell r="B60" t="str">
            <v>H58</v>
          </cell>
        </row>
        <row r="61">
          <cell r="B61" t="str">
            <v>H59</v>
          </cell>
        </row>
        <row r="62">
          <cell r="B62" t="str">
            <v>H60</v>
          </cell>
        </row>
        <row r="63">
          <cell r="B63" t="str">
            <v>H61</v>
          </cell>
        </row>
        <row r="64">
          <cell r="B64" t="str">
            <v>H62</v>
          </cell>
        </row>
        <row r="65">
          <cell r="B65" t="str">
            <v>H63</v>
          </cell>
        </row>
        <row r="66">
          <cell r="B66" t="str">
            <v>H64</v>
          </cell>
        </row>
        <row r="67">
          <cell r="B67" t="str">
            <v>H65</v>
          </cell>
        </row>
        <row r="68">
          <cell r="B68" t="str">
            <v>H66</v>
          </cell>
        </row>
        <row r="69">
          <cell r="B69" t="str">
            <v>H67</v>
          </cell>
        </row>
        <row r="70">
          <cell r="B70" t="str">
            <v>H68</v>
          </cell>
        </row>
        <row r="71">
          <cell r="B71" t="str">
            <v>H69</v>
          </cell>
        </row>
        <row r="72">
          <cell r="B72" t="str">
            <v>H70</v>
          </cell>
        </row>
        <row r="73">
          <cell r="B73" t="str">
            <v>H71</v>
          </cell>
        </row>
        <row r="74">
          <cell r="B74" t="str">
            <v>H72</v>
          </cell>
        </row>
        <row r="75">
          <cell r="B75" t="str">
            <v>H73</v>
          </cell>
        </row>
        <row r="76">
          <cell r="B76" t="str">
            <v>H74</v>
          </cell>
        </row>
        <row r="77">
          <cell r="B77" t="str">
            <v>H75</v>
          </cell>
        </row>
        <row r="78">
          <cell r="B78" t="str">
            <v>H76</v>
          </cell>
        </row>
        <row r="79">
          <cell r="B79" t="str">
            <v>H77</v>
          </cell>
        </row>
        <row r="80">
          <cell r="B80" t="str">
            <v>H78</v>
          </cell>
        </row>
        <row r="81">
          <cell r="B81" t="str">
            <v>H79</v>
          </cell>
        </row>
        <row r="82">
          <cell r="B82" t="str">
            <v>H80</v>
          </cell>
        </row>
        <row r="83">
          <cell r="B83" t="str">
            <v>H81</v>
          </cell>
        </row>
        <row r="84">
          <cell r="B84" t="str">
            <v>H82</v>
          </cell>
        </row>
        <row r="85">
          <cell r="B85" t="str">
            <v>H83</v>
          </cell>
        </row>
        <row r="86">
          <cell r="B86" t="str">
            <v>H84</v>
          </cell>
        </row>
        <row r="87">
          <cell r="B87" t="str">
            <v>H85</v>
          </cell>
        </row>
        <row r="88">
          <cell r="B88" t="str">
            <v>H86</v>
          </cell>
        </row>
        <row r="89">
          <cell r="B89" t="str">
            <v>H87</v>
          </cell>
        </row>
        <row r="90">
          <cell r="B90" t="str">
            <v>H88</v>
          </cell>
        </row>
        <row r="91">
          <cell r="B91" t="str">
            <v>H89</v>
          </cell>
        </row>
        <row r="92">
          <cell r="B92" t="str">
            <v>H90</v>
          </cell>
        </row>
        <row r="93">
          <cell r="B93" t="str">
            <v>H91</v>
          </cell>
        </row>
        <row r="94">
          <cell r="B94" t="str">
            <v>H92</v>
          </cell>
        </row>
        <row r="95">
          <cell r="B95" t="str">
            <v>H93</v>
          </cell>
        </row>
        <row r="96">
          <cell r="B96" t="str">
            <v>H94</v>
          </cell>
        </row>
        <row r="97">
          <cell r="B97" t="str">
            <v>H95</v>
          </cell>
        </row>
        <row r="98">
          <cell r="B98" t="str">
            <v>H96</v>
          </cell>
        </row>
        <row r="99">
          <cell r="B99" t="str">
            <v>H97</v>
          </cell>
        </row>
        <row r="100">
          <cell r="B100" t="str">
            <v>H98</v>
          </cell>
        </row>
        <row r="101">
          <cell r="B101" t="str">
            <v>H99</v>
          </cell>
        </row>
        <row r="102">
          <cell r="B102" t="str">
            <v>H100</v>
          </cell>
        </row>
        <row r="103">
          <cell r="B103" t="str">
            <v>H101</v>
          </cell>
        </row>
        <row r="104">
          <cell r="B104" t="str">
            <v>H102</v>
          </cell>
        </row>
        <row r="105">
          <cell r="B105" t="str">
            <v>H103</v>
          </cell>
        </row>
        <row r="106">
          <cell r="B106" t="str">
            <v>H104</v>
          </cell>
        </row>
        <row r="107">
          <cell r="B107" t="str">
            <v>H105</v>
          </cell>
        </row>
        <row r="108">
          <cell r="B108" t="str">
            <v>H106</v>
          </cell>
        </row>
        <row r="109">
          <cell r="B109" t="str">
            <v>H107</v>
          </cell>
        </row>
        <row r="110">
          <cell r="B110" t="str">
            <v>H108</v>
          </cell>
        </row>
        <row r="111">
          <cell r="B111" t="str">
            <v>H109</v>
          </cell>
        </row>
        <row r="112">
          <cell r="B112" t="str">
            <v>H110</v>
          </cell>
        </row>
        <row r="113">
          <cell r="B113" t="str">
            <v>H111</v>
          </cell>
        </row>
        <row r="114">
          <cell r="B114" t="str">
            <v>H112</v>
          </cell>
        </row>
        <row r="115">
          <cell r="B115" t="str">
            <v>H113</v>
          </cell>
        </row>
        <row r="116">
          <cell r="B116" t="str">
            <v>H114</v>
          </cell>
        </row>
        <row r="117">
          <cell r="B117" t="str">
            <v>H115</v>
          </cell>
        </row>
        <row r="118">
          <cell r="B118" t="str">
            <v>H116</v>
          </cell>
        </row>
        <row r="119">
          <cell r="B119" t="str">
            <v>H117</v>
          </cell>
        </row>
        <row r="120">
          <cell r="B120" t="str">
            <v>H118</v>
          </cell>
        </row>
        <row r="121">
          <cell r="B121" t="str">
            <v>H119</v>
          </cell>
        </row>
        <row r="122">
          <cell r="B122" t="str">
            <v>H120</v>
          </cell>
        </row>
        <row r="123">
          <cell r="B123" t="str">
            <v>H121</v>
          </cell>
        </row>
        <row r="124">
          <cell r="B124" t="str">
            <v>H122</v>
          </cell>
        </row>
        <row r="125">
          <cell r="B125" t="str">
            <v>H123</v>
          </cell>
        </row>
        <row r="126">
          <cell r="B126" t="str">
            <v>H124</v>
          </cell>
        </row>
        <row r="127">
          <cell r="B127" t="str">
            <v>H125</v>
          </cell>
        </row>
        <row r="128">
          <cell r="B128" t="str">
            <v>H126</v>
          </cell>
        </row>
        <row r="129">
          <cell r="B129" t="str">
            <v>H127</v>
          </cell>
        </row>
        <row r="130">
          <cell r="B130" t="str">
            <v>H128</v>
          </cell>
        </row>
        <row r="131">
          <cell r="B131" t="str">
            <v>H129</v>
          </cell>
        </row>
        <row r="132">
          <cell r="B132" t="str">
            <v>H130</v>
          </cell>
        </row>
        <row r="133">
          <cell r="B133" t="str">
            <v>H131</v>
          </cell>
        </row>
        <row r="134">
          <cell r="B134" t="str">
            <v>H132</v>
          </cell>
        </row>
        <row r="135">
          <cell r="B135" t="str">
            <v>H133</v>
          </cell>
        </row>
        <row r="136">
          <cell r="B136" t="str">
            <v>H134</v>
          </cell>
        </row>
        <row r="137">
          <cell r="B137" t="str">
            <v>H135</v>
          </cell>
        </row>
        <row r="138">
          <cell r="B138" t="str">
            <v>H136</v>
          </cell>
        </row>
        <row r="139">
          <cell r="B139" t="str">
            <v>H137</v>
          </cell>
        </row>
        <row r="140">
          <cell r="B140" t="str">
            <v>H138</v>
          </cell>
        </row>
        <row r="141">
          <cell r="B141" t="str">
            <v>H139</v>
          </cell>
        </row>
        <row r="142">
          <cell r="B142" t="str">
            <v>H140</v>
          </cell>
        </row>
        <row r="143">
          <cell r="B143" t="str">
            <v>H141</v>
          </cell>
        </row>
        <row r="144">
          <cell r="B144" t="str">
            <v>H142</v>
          </cell>
        </row>
        <row r="145">
          <cell r="B145" t="str">
            <v>H143</v>
          </cell>
        </row>
        <row r="146">
          <cell r="B146" t="str">
            <v>H144</v>
          </cell>
        </row>
        <row r="147">
          <cell r="B147" t="str">
            <v>H145</v>
          </cell>
        </row>
        <row r="148">
          <cell r="B148" t="str">
            <v>H146</v>
          </cell>
        </row>
        <row r="149">
          <cell r="B149" t="str">
            <v>H147</v>
          </cell>
        </row>
        <row r="150">
          <cell r="B150" t="str">
            <v>H148</v>
          </cell>
        </row>
        <row r="151">
          <cell r="B151" t="str">
            <v>H149</v>
          </cell>
        </row>
        <row r="152">
          <cell r="B152" t="str">
            <v>H150</v>
          </cell>
        </row>
        <row r="153">
          <cell r="B153" t="str">
            <v>H151</v>
          </cell>
        </row>
        <row r="154">
          <cell r="B154" t="str">
            <v>H152</v>
          </cell>
        </row>
        <row r="155">
          <cell r="B155" t="str">
            <v>H153</v>
          </cell>
        </row>
        <row r="156">
          <cell r="B156" t="str">
            <v>H154</v>
          </cell>
        </row>
        <row r="157">
          <cell r="B157" t="str">
            <v>H155</v>
          </cell>
        </row>
        <row r="158">
          <cell r="B158" t="str">
            <v>H156</v>
          </cell>
        </row>
        <row r="159">
          <cell r="B159" t="str">
            <v>H157</v>
          </cell>
        </row>
        <row r="160">
          <cell r="B160" t="str">
            <v>H158</v>
          </cell>
        </row>
        <row r="161">
          <cell r="B161" t="str">
            <v>H159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R2564AHDTS"/>
      <sheetName val="CoverShawIntl"/>
      <sheetName val="Lists"/>
      <sheetName val="Labor_Sum"/>
      <sheetName val="Struct_Sum"/>
      <sheetName val="Elec_Sum"/>
      <sheetName val="Mech_Sum"/>
      <sheetName val="Steel_Take-Off"/>
      <sheetName val="Basis"/>
      <sheetName val="八幡"/>
      <sheetName val="Cash2"/>
      <sheetName val="Z"/>
      <sheetName val="갑지(추정)"/>
      <sheetName val="Unit Price"/>
      <sheetName val="Closing"/>
      <sheetName val="Breech_Duct"/>
      <sheetName val="SG Vertical Estimator"/>
      <sheetName val="Design Data"/>
      <sheetName val="PipeSummary"/>
      <sheetName val="Vertical Adder"/>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Sheet1"/>
      <sheetName val="DATA LISTS"/>
      <sheetName val="ESTADIST(PTS.)"/>
      <sheetName val="DATA_REFERENCE"/>
    </sheetNames>
    <sheetDataSet>
      <sheetData sheetId="0" refreshError="1">
        <row r="15">
          <cell r="D15">
            <v>3.5</v>
          </cell>
        </row>
      </sheetData>
      <sheetData sheetId="1" refreshError="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efreshError="1">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1">
          <cell r="C11">
            <v>10000</v>
          </cell>
        </row>
      </sheetData>
      <sheetData sheetId="36"/>
      <sheetData sheetId="37"/>
      <sheetData sheetId="38"/>
      <sheetData sheetId="39"/>
      <sheetData sheetId="40">
        <row r="11">
          <cell r="C11">
            <v>10000</v>
          </cell>
        </row>
      </sheetData>
      <sheetData sheetId="41"/>
      <sheetData sheetId="42"/>
      <sheetData sheetId="43"/>
      <sheetData sheetId="44"/>
      <sheetData sheetId="45">
        <row r="11">
          <cell r="C11">
            <v>10000</v>
          </cell>
        </row>
      </sheetData>
      <sheetData sheetId="46"/>
      <sheetData sheetId="47"/>
      <sheetData sheetId="48"/>
      <sheetData sheetId="49"/>
      <sheetData sheetId="50">
        <row r="11">
          <cell r="C11">
            <v>10000</v>
          </cell>
        </row>
      </sheetData>
      <sheetData sheetId="51"/>
      <sheetData sheetId="52"/>
      <sheetData sheetId="53"/>
      <sheetData sheetId="54"/>
      <sheetData sheetId="55" refreshError="1"/>
      <sheetData sheetId="56" refreshError="1"/>
      <sheetData sheetId="57" refreshError="1"/>
      <sheetData sheetId="5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 000"/>
      <sheetName val="GENERAL SERVICES"/>
      <sheetName val="GM 001"/>
      <sheetName val="GM 011"/>
      <sheetName val="GM 023"/>
      <sheetName val="GM 024"/>
      <sheetName val="GM 025"/>
      <sheetName val="GM 026"/>
      <sheetName val="GM 027"/>
      <sheetName val="GM 028"/>
      <sheetName val="GM 031"/>
      <sheetName val="GM 032"/>
      <sheetName val="GM 041"/>
      <sheetName val="GM 042"/>
      <sheetName val="GM 043"/>
      <sheetName val="GM 044"/>
      <sheetName val="XXXXXXXX"/>
      <sheetName val="csdim"/>
      <sheetName val="cdsload"/>
      <sheetName val="chsload"/>
      <sheetName val="CLAMP"/>
      <sheetName val="cvsload"/>
      <sheetName val="pipe"/>
      <sheetName val="Code 02"/>
      <sheetName val="Code 03"/>
      <sheetName val="Code 04"/>
      <sheetName val="Code 05"/>
      <sheetName val="Code 06"/>
      <sheetName val="Code 07"/>
      <sheetName val="Code 09"/>
      <sheetName val="PBS"/>
      <sheetName val="Cash2"/>
      <sheetName val="Z"/>
      <sheetName val="환산표"/>
      <sheetName val="ASME B 36.10 M"/>
      <sheetName val="Cat A Change Control"/>
      <sheetName val="八幡"/>
      <sheetName val="GM_0001"/>
      <sheetName val="GENERAL_SERVICES1"/>
      <sheetName val="GM_0011"/>
      <sheetName val="GM_0111"/>
      <sheetName val="GM_0231"/>
      <sheetName val="GM_0241"/>
      <sheetName val="GM_0251"/>
      <sheetName val="GM_0261"/>
      <sheetName val="GM_0271"/>
      <sheetName val="GM_0281"/>
      <sheetName val="GM_0311"/>
      <sheetName val="GM_0321"/>
      <sheetName val="GM_0411"/>
      <sheetName val="GM_0421"/>
      <sheetName val="GM_0431"/>
      <sheetName val="GM_0441"/>
      <sheetName val="GM_000"/>
      <sheetName val="GENERAL_SERVICES"/>
      <sheetName val="GM_001"/>
      <sheetName val="GM_011"/>
      <sheetName val="GM_023"/>
      <sheetName val="GM_024"/>
      <sheetName val="GM_025"/>
      <sheetName val="GM_026"/>
      <sheetName val="GM_027"/>
      <sheetName val="GM_028"/>
      <sheetName val="GM_031"/>
      <sheetName val="GM_032"/>
      <sheetName val="GM_041"/>
      <sheetName val="GM_042"/>
      <sheetName val="GM_043"/>
      <sheetName val="GM_044"/>
      <sheetName val="1-1"/>
      <sheetName val="노임단가"/>
      <sheetName val="Sheet1"/>
      <sheetName val="자재단가"/>
      <sheetName val="prc_sch"/>
      <sheetName val="36신설수량"/>
      <sheetName val="물가대비표"/>
      <sheetName val="2.2 띠장의 설계"/>
      <sheetName val="MCI"/>
      <sheetName val="eq_data"/>
      <sheetName val="간접비내역-1"/>
      <sheetName val="MixBed"/>
      <sheetName val="CondPol"/>
      <sheetName val="GM_0002"/>
      <sheetName val="GENERAL_SERVICES2"/>
      <sheetName val="GM_0012"/>
      <sheetName val="GM_0112"/>
      <sheetName val="GM_0232"/>
      <sheetName val="GM_0242"/>
      <sheetName val="GM_0252"/>
      <sheetName val="GM_0262"/>
      <sheetName val="GM_0272"/>
      <sheetName val="GM_0282"/>
      <sheetName val="GM_0312"/>
      <sheetName val="GM_0322"/>
      <sheetName val="GM_0412"/>
      <sheetName val="GM_0422"/>
      <sheetName val="GM_0432"/>
      <sheetName val="GM_0442"/>
      <sheetName val="Testing"/>
      <sheetName val="예가표"/>
      <sheetName val="DB_ET200(R. A)"/>
      <sheetName val="Conversions"/>
    </sheetNames>
    <sheetDataSet>
      <sheetData sheetId="0" refreshError="1">
        <row r="1">
          <cell r="C1" t="str">
            <v>ERECTION PRICE BREAKDOWN</v>
          </cell>
          <cell r="H1">
            <v>38023</v>
          </cell>
          <cell r="I1" t="str">
            <v>VIJ</v>
          </cell>
        </row>
        <row r="2">
          <cell r="I2" t="str">
            <v>Vijayawada</v>
          </cell>
        </row>
        <row r="3">
          <cell r="I3" t="str">
            <v>1 x 660 MW</v>
          </cell>
        </row>
        <row r="4">
          <cell r="I4" t="str">
            <v>India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vironment"/>
      <sheetName val="DPres Calc"/>
      <sheetName val="CodeTubeCalc."/>
      <sheetName val="CodePipe"/>
      <sheetName val="DTmpData"/>
      <sheetName val="DTmpCalc"/>
      <sheetName val="DesignCondSummary"/>
      <sheetName val="Estimating Script"/>
      <sheetName val="Max Temp"/>
      <sheetName val="CPT (Modules)"/>
      <sheetName val="CPT (Piping)"/>
      <sheetName val="Budget Weight Instructions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aterno"/>
      <sheetName val="Corpi"/>
      <sheetName val="ACCORPAMENTI"/>
      <sheetName val="Unit Price"/>
      <sheetName val="Summary"/>
      <sheetName val="Labor Sum"/>
      <sheetName val="Closing"/>
      <sheetName val="Cover"/>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Line_Modification"/>
      <sheetName val="Line_Modification(2)"/>
      <sheetName val="Line_Modification(3)"/>
      <sheetName val="가시설공"/>
      <sheetName val="노원열병합  건축공사기성내역서"/>
      <sheetName val="Inst cost summary based on redu"/>
      <sheetName val="S N"/>
      <sheetName val="설계조건"/>
      <sheetName val="Rate"/>
      <sheetName val="eq_data"/>
      <sheetName val="GammaEquivalents"/>
      <sheetName val="八幡"/>
      <sheetName val="Condition"/>
      <sheetName val="POWER"/>
      <sheetName val="Total"/>
      <sheetName val="CAT_5"/>
      <sheetName val="General"/>
      <sheetName val="Menus"/>
      <sheetName val="SILICATE"/>
      <sheetName val="기초자료"/>
      <sheetName val="견적집계표"/>
      <sheetName val="발주처양식"/>
      <sheetName val="DCA"/>
      <sheetName val="Area별subcon"/>
      <sheetName val="COA"/>
      <sheetName val="Building"/>
      <sheetName val="Civil,steel"/>
      <sheetName val="Building list"/>
      <sheetName val="Marine"/>
      <sheetName val="견적기준"/>
      <sheetName val="deviation Marine"/>
      <sheetName val="Sheet1"/>
      <sheetName val="CURRENCY"/>
      <sheetName val="환율"/>
      <sheetName val="General Data"/>
      <sheetName val="VLOOKUP"/>
      <sheetName val="Equip"/>
      <sheetName val="TB-내역서"/>
      <sheetName val="CAL."/>
      <sheetName val="PBS"/>
      <sheetName val="PRC-SUM"/>
      <sheetName val="Q5434 EQ LIST"/>
      <sheetName val="motor power"/>
      <sheetName val="EQUIP-Submission"/>
      <sheetName val="CIVIL"/>
      <sheetName val="Backup"/>
      <sheetName val="LABTOTAL"/>
      <sheetName val="간접비내역-1"/>
      <sheetName val="A"/>
      <sheetName val="Inst_cost_summary_based_on_redu"/>
      <sheetName val="S_N"/>
      <sheetName val="노원열병합__건축공사기성내역서"/>
      <sheetName val="Equipment"/>
      <sheetName val="Piping"/>
      <sheetName val="estm_mech"/>
      <sheetName val="VV보온LINK"/>
      <sheetName val="FIT보온LINK"/>
      <sheetName val="BASE"/>
      <sheetName val="REINF."/>
      <sheetName val="SKETCH"/>
      <sheetName val="가도공"/>
      <sheetName val="LOADS"/>
      <sheetName val="plan&amp;section of foundation"/>
      <sheetName val="design criteria"/>
      <sheetName val="INPUT"/>
      <sheetName val="design load"/>
      <sheetName val="working load at the btm ft."/>
      <sheetName val="stability check"/>
      <sheetName val="부표총괄"/>
      <sheetName val="SAND TRAP"/>
      <sheetName val="calculation"/>
      <sheetName val="Inquiry"/>
      <sheetName val="Spool Status"/>
      <sheetName val="대전월평내역"/>
      <sheetName val="Data"/>
      <sheetName val="Estimate"/>
      <sheetName val="Major"/>
      <sheetName val="Resource"/>
      <sheetName val="6,000"/>
      <sheetName val="Materials"/>
      <sheetName val="수입"/>
      <sheetName val="MAIN"/>
      <sheetName val="COST SUMM"/>
      <sheetName val="총괄집계표"/>
      <sheetName val="INPUT DATA"/>
      <sheetName val="BOQ"/>
      <sheetName val="DB@Acess"/>
      <sheetName val="ACTDATA"/>
      <sheetName val="CODE"/>
      <sheetName val="COA-17"/>
      <sheetName val="C-18"/>
      <sheetName val="PRICE-COMP"/>
      <sheetName val="95요율"/>
      <sheetName val="Country Data"/>
      <sheetName val="KP1590_E"/>
      <sheetName val="Inst_cost_summary_based_on_red1"/>
      <sheetName val="S_N1"/>
      <sheetName val="노원열병합__건축공사기성내역서1"/>
      <sheetName val="PRO_A"/>
      <sheetName val="PRO"/>
      <sheetName val="Summary"/>
      <sheetName val="Definitions"/>
      <sheetName val="pri-com"/>
      <sheetName val="CS - Material + subcontract"/>
      <sheetName val="SQ-FDN"/>
      <sheetName val=" Est "/>
      <sheetName val="Summary Sheets"/>
      <sheetName val="LEGEND"/>
      <sheetName val="cables"/>
      <sheetName val="Bill 1"/>
      <sheetName val="Bill 2"/>
      <sheetName val="Bill 3"/>
      <sheetName val="Bill 4"/>
      <sheetName val="Bill 5"/>
      <sheetName val="Bill 6"/>
      <sheetName val="Bill 7"/>
      <sheetName val="Labour Norms"/>
      <sheetName val="#REF"/>
      <sheetName val="Sum Sch'B"/>
      <sheetName val="eqptlineup"/>
      <sheetName val="CostDB"/>
      <sheetName val="T 3"/>
      <sheetName val="COVER"/>
      <sheetName val="MOTOR"/>
      <sheetName val="손익분석"/>
      <sheetName val="견적조건"/>
      <sheetName val="BQ_Equip_Pipe"/>
      <sheetName val="PipWT"/>
      <sheetName val="5. WeightInput"/>
      <sheetName val="내역"/>
      <sheetName val="Sheet1 (3)"/>
      <sheetName val="단중표"/>
      <sheetName val="PaintBreak"/>
      <sheetName val="INSSUBCON"/>
      <sheetName val="RPP 12 SEPT"/>
      <sheetName val="Revised Cable MTO"/>
      <sheetName val="&lt;&lt;380V&gt;&gt; "/>
      <sheetName val="일반전기"/>
      <sheetName val="w't table"/>
      <sheetName val="REF.ONLY"/>
      <sheetName val="견적"/>
      <sheetName val="ﾄﾞﾊﾞｲFUEL GAS追見"/>
      <sheetName val="共通事項"/>
      <sheetName val="작성기준"/>
      <sheetName val="Assump"/>
      <sheetName val="12mar98 electronic"/>
      <sheetName val="HO Rates"/>
      <sheetName val="Site Rates"/>
      <sheetName val="Project Details"/>
      <sheetName val="name"/>
      <sheetName val="GM 000"/>
      <sheetName val="PIPE-03E"/>
      <sheetName val="csdim"/>
      <sheetName val="cdsload"/>
      <sheetName val="chsload"/>
      <sheetName val="CLAMP"/>
      <sheetName val="cvsload"/>
      <sheetName val="pipe"/>
      <sheetName val="노임단가"/>
      <sheetName val="3CHBDC"/>
      <sheetName val="DEFINE"/>
      <sheetName val="Drop list option"/>
      <sheetName val="Hi-spec Svcs"/>
      <sheetName val="11.자재단가"/>
      <sheetName val="Inst_cost_summary_based_on_red2"/>
      <sheetName val="S_N2"/>
      <sheetName val="노원열병합__건축공사기성내역서2"/>
      <sheetName val="General_Data"/>
      <sheetName val="REINF_"/>
      <sheetName val="CAL_"/>
      <sheetName val="plan&amp;section_of_foundation"/>
      <sheetName val="design_criteria"/>
      <sheetName val="design_load"/>
      <sheetName val="working_load_at_the_btm_ft_"/>
      <sheetName val="stability_check"/>
      <sheetName val="Building_list"/>
      <sheetName val="deviation_Marine"/>
      <sheetName val="CS_-_Material_+_subcontract"/>
      <sheetName val="TITLES"/>
      <sheetName val="4.TANK Farm"/>
      <sheetName val="FORM-0"/>
      <sheetName val="STAADINPUTA"/>
      <sheetName val="9.DYNAMIC1"/>
      <sheetName val="Piping Design Data"/>
      <sheetName val="FLD"/>
      <sheetName val="Rekapitulasi"/>
      <sheetName val="National"/>
      <sheetName val="FIRE FIGHTING"/>
      <sheetName val="Load"/>
      <sheetName val="Break_down"/>
      <sheetName val="h-013211-2"/>
      <sheetName val="ELEC_MCI"/>
      <sheetName val="INST_MCI"/>
      <sheetName val="MECH_MCI"/>
      <sheetName val="Insulation"/>
      <sheetName val="Instrumentation"/>
      <sheetName val="Structural"/>
      <sheetName val="Alternator"/>
      <sheetName val="Comparison"/>
      <sheetName val="Settings"/>
      <sheetName val="I. Material &amp; Eqpt"/>
      <sheetName val="REQDELTA"/>
      <sheetName val="PRICE COMP"/>
      <sheetName val="I1ES01C05_IO Assignment"/>
      <sheetName val="Notes for BOQ"/>
      <sheetName val="Lists"/>
      <sheetName val="Price Comparison"/>
      <sheetName val="OIL SYST DATA SHTS"/>
      <sheetName val="CalcRel"/>
      <sheetName val="FR"/>
      <sheetName val="Base_Data"/>
      <sheetName val="SHEET-1"/>
      <sheetName val="IODB-Plant CPF"/>
      <sheetName val="Inst_cost_summary_based_on_red3"/>
      <sheetName val="S_N3"/>
      <sheetName val="노원열병합__건축공사기성내역서3"/>
      <sheetName val="General_Data1"/>
      <sheetName val="REINF_1"/>
      <sheetName val="CAL_1"/>
      <sheetName val="plan&amp;section_of_foundation1"/>
      <sheetName val="design_criteria1"/>
      <sheetName val="design_load1"/>
      <sheetName val="working_load_at_the_btm_ft_1"/>
      <sheetName val="stability_check1"/>
      <sheetName val="Building_list1"/>
      <sheetName val="deviation_Marine1"/>
      <sheetName val="CS_-_Material_+_subcontract1"/>
      <sheetName val="Q5434_EQ_LIST"/>
      <sheetName val="motor_power"/>
      <sheetName val="Spool_Status"/>
      <sheetName val="Revised_Cable_MTO"/>
      <sheetName val="Sum_Sch'B"/>
      <sheetName val="T_3"/>
      <sheetName val="INPUT_DATA"/>
      <sheetName val="COST_SUMM"/>
      <sheetName val="Country_Data"/>
      <sheetName val="_Est_"/>
      <sheetName val="Summary_Sheets"/>
      <sheetName val="Bill_1"/>
      <sheetName val="Bill_2"/>
      <sheetName val="Bill_3"/>
      <sheetName val="Bill_4"/>
      <sheetName val="Bill_5"/>
      <sheetName val="Bill_6"/>
      <sheetName val="Bill_7"/>
      <sheetName val="Drop_list_option"/>
      <sheetName val="Hi-spec_Svcs"/>
      <sheetName val="SAND_TRAP"/>
      <sheetName val="Labour_Norms"/>
      <sheetName val="Project_Details"/>
      <sheetName val="11_자재단가"/>
      <sheetName val="RPP_12_SEPT"/>
      <sheetName val="5__WeightInput"/>
      <sheetName val="Sheet1_(3)"/>
      <sheetName val="&lt;&lt;380V&gt;&gt;_"/>
      <sheetName val="w't_table"/>
      <sheetName val="REF_ONLY"/>
      <sheetName val="4_TANK_Farm"/>
      <sheetName val="I__Material_&amp;_Eqpt"/>
      <sheetName val="PRICE_COMP"/>
      <sheetName val="I1ES01C05_IO_Assignment"/>
      <sheetName val="Notes_for_BOQ"/>
      <sheetName val="Price_Comparison"/>
      <sheetName val="OIL_SYST_DATA_SHTS"/>
      <sheetName val="IODB-Plant_CPF"/>
      <sheetName val="LV induction motors"/>
      <sheetName val="EC600"/>
      <sheetName val="Load List2"/>
      <sheetName val="Q5434_EQ_LIST1"/>
      <sheetName val="motor_power1"/>
      <sheetName val="Spool_Status1"/>
      <sheetName val="Revised_Cable_MTO1"/>
      <sheetName val="Sum_Sch'B1"/>
      <sheetName val="T_31"/>
      <sheetName val="INPUT_DATA1"/>
      <sheetName val="COST_SUMM1"/>
      <sheetName val="Country_Data1"/>
      <sheetName val="_Est_1"/>
      <sheetName val="Summary_Sheets1"/>
      <sheetName val="Bill_11"/>
      <sheetName val="Bill_21"/>
      <sheetName val="Bill_31"/>
      <sheetName val="Bill_41"/>
      <sheetName val="Bill_51"/>
      <sheetName val="Bill_61"/>
      <sheetName val="Bill_71"/>
      <sheetName val="1"/>
      <sheetName val="Customize Your Loan Manager"/>
      <sheetName val="Loan Amortization Table"/>
      <sheetName val="Inst_cost_summary_based_on_red4"/>
      <sheetName val="S_N4"/>
      <sheetName val="노원열병합__건축공사기성내역서4"/>
      <sheetName val="General_Data2"/>
      <sheetName val="REINF_2"/>
      <sheetName val="CAL_2"/>
      <sheetName val="plan&amp;section_of_foundation2"/>
      <sheetName val="design_criteria2"/>
      <sheetName val="design_load2"/>
      <sheetName val="working_load_at_the_btm_ft_2"/>
      <sheetName val="stability_check2"/>
      <sheetName val="Building_list2"/>
      <sheetName val="deviation_Marine2"/>
      <sheetName val="CS_-_Material_+_subcontract2"/>
      <sheetName val="Q5434_EQ_LIST2"/>
      <sheetName val="motor_power2"/>
      <sheetName val="Spool_Status2"/>
      <sheetName val="Revised_Cable_MTO2"/>
      <sheetName val="Sum_Sch'B2"/>
      <sheetName val="T_32"/>
      <sheetName val="INPUT_DATA2"/>
      <sheetName val="COST_SUMM2"/>
      <sheetName val="Country_Data2"/>
      <sheetName val="_Est_2"/>
      <sheetName val="Summary_Sheets2"/>
      <sheetName val="Bill_12"/>
      <sheetName val="Bill_22"/>
      <sheetName val="Bill_32"/>
      <sheetName val="Bill_42"/>
      <sheetName val="Bill_52"/>
      <sheetName val="Bill_62"/>
      <sheetName val="Bill_72"/>
      <sheetName val="Drop_list_option1"/>
      <sheetName val="Hi-spec_Svcs1"/>
      <sheetName val="SAND_TRAP1"/>
      <sheetName val="Labour_Norms1"/>
      <sheetName val="Project_Details1"/>
      <sheetName val="11_자재단가1"/>
      <sheetName val="RPP_12_SEPT1"/>
      <sheetName val="5__WeightInput1"/>
      <sheetName val="Sheet1_(3)1"/>
      <sheetName val="&lt;&lt;380V&gt;&gt;_1"/>
      <sheetName val="w't_table1"/>
      <sheetName val="REF_ONLY1"/>
      <sheetName val="4_TANK_Farm1"/>
      <sheetName val="I__Material_&amp;_Eqpt1"/>
      <sheetName val="PRICE_COMP1"/>
      <sheetName val="I1ES01C05_IO_Assignment1"/>
      <sheetName val="Notes_for_BOQ1"/>
      <sheetName val="Price_Comparison1"/>
      <sheetName val="OIL_SYST_DATA_SHTS1"/>
      <sheetName val="IODB-Plant_CPF1"/>
      <sheetName val="LV_induction_motors"/>
      <sheetName val="Load_List2"/>
      <sheetName val="9_DYNAMIC1"/>
      <sheetName val="12mar98_electronic"/>
      <sheetName val="HO_Rates"/>
      <sheetName val="Site_Rates"/>
      <sheetName val="GM_000"/>
      <sheetName val="ﾄﾞﾊﾞｲFUEL_GAS追見"/>
      <sheetName val="산근"/>
      <sheetName val="GM_0001"/>
      <sheetName val="GEREPORT"/>
    </sheetNames>
    <sheetDataSet>
      <sheetData sheetId="0" refreshError="1"/>
      <sheetData sheetId="1">
        <row r="7">
          <cell r="B7" t="str">
            <v>srno</v>
          </cell>
        </row>
      </sheetData>
      <sheetData sheetId="2" refreshError="1"/>
      <sheetData sheetId="3">
        <row r="7">
          <cell r="B7" t="str">
            <v>srno</v>
          </cell>
        </row>
      </sheetData>
      <sheetData sheetId="4">
        <row r="7">
          <cell r="B7" t="str">
            <v>srno</v>
          </cell>
        </row>
      </sheetData>
      <sheetData sheetId="5">
        <row r="7">
          <cell r="B7" t="str">
            <v>srno</v>
          </cell>
        </row>
      </sheetData>
      <sheetData sheetId="6" refreshError="1"/>
      <sheetData sheetId="7" refreshError="1"/>
      <sheetData sheetId="8">
        <row r="7">
          <cell r="B7" t="str">
            <v>srno</v>
          </cell>
        </row>
      </sheetData>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sheetData sheetId="36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Code"/>
      <sheetName val="CTDG"/>
      <sheetName val="PTVT"/>
      <sheetName val="THVT"/>
    </sheetNames>
    <sheetDataSet>
      <sheetData sheetId="0" refreshError="1"/>
      <sheetData sheetId="1">
        <row r="10">
          <cell r="H10">
            <v>0</v>
          </cell>
          <cell r="I10">
            <v>0</v>
          </cell>
          <cell r="J10">
            <v>0</v>
          </cell>
        </row>
      </sheetData>
      <sheetData sheetId="2" refreshError="1"/>
      <sheetData sheetId="3">
        <row r="9">
          <cell r="F9">
            <v>0</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조사서"/>
      <sheetName val="- INFORMATION -"/>
      <sheetName val="Breakdown-1"/>
      <sheetName val="Pipe"/>
      <sheetName val="Add"/>
      <sheetName val="Equipment"/>
      <sheetName val="EQFRM2"/>
      <sheetName val="Y_WORK"/>
      <sheetName val="ITB COST"/>
      <sheetName val="costing_CV"/>
      <sheetName val="costing_ESDV"/>
      <sheetName val="costing_Misc"/>
      <sheetName val="costing_MOV"/>
      <sheetName val="costing_FE"/>
      <sheetName val="표지"/>
      <sheetName val="견"/>
      <sheetName val="TOTAL"/>
      <sheetName val="당초"/>
      <sheetName val="General Data"/>
      <sheetName val="을"/>
      <sheetName val="CAL"/>
      <sheetName val="Chart"/>
      <sheetName val="laroux"/>
      <sheetName val="SILICATE"/>
      <sheetName val="토목검측서"/>
      <sheetName val="보온자재단가표"/>
      <sheetName val="견적조건"/>
      <sheetName val="BQ_Equip_Pipe"/>
      <sheetName val="YES22"/>
      <sheetName val="TB-내역서"/>
      <sheetName val="八幡"/>
      <sheetName val="제출계산서"/>
      <sheetName val="T6-6(2)"/>
      <sheetName val="단가"/>
      <sheetName val="EST-013"/>
      <sheetName val="COA-17"/>
      <sheetName val="C-18"/>
      <sheetName val="Sheet1"/>
      <sheetName val="CAL."/>
      <sheetName val="Rate"/>
      <sheetName val="TOEC"/>
      <sheetName val="중간재 재공"/>
      <sheetName val="csb(11-12,0820)"/>
      <sheetName val="costing_Press"/>
      <sheetName val="-_INFORMATION_-"/>
      <sheetName val="ITB_COST"/>
      <sheetName val="CIVIL"/>
      <sheetName val="Summary Sheets"/>
      <sheetName val="PIPING"/>
      <sheetName val="Bill 100 Preliminaries"/>
      <sheetName val="손익분석"/>
      <sheetName val="Backup"/>
      <sheetName val="간접비내역-1"/>
      <sheetName val="PipWT"/>
      <sheetName val="CAT_5"/>
      <sheetName val="내역(한신APT)"/>
      <sheetName val="Cover"/>
      <sheetName val="SOURCE"/>
      <sheetName val="POWER"/>
      <sheetName val="Testing"/>
      <sheetName val="공정계획(내부계획25%,내부w.f)"/>
      <sheetName val="HVAC"/>
      <sheetName val="BEAM"/>
      <sheetName val="WIP"/>
      <sheetName val="도급양식"/>
      <sheetName val="MTO"/>
      <sheetName val="Calc"/>
      <sheetName val="변수적용"/>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eqptlineup"/>
      <sheetName val="MATERIALS"/>
      <sheetName val="PBS"/>
      <sheetName val="WORKING"/>
      <sheetName val="BQ List MNHRS"/>
      <sheetName val="공사비 내역 (가)"/>
      <sheetName val="예산M11A"/>
      <sheetName val="OPT손익 내수"/>
      <sheetName val="OPT손익 수출"/>
      <sheetName val="간접비(1)"/>
      <sheetName val="A-4"/>
      <sheetName val="INDIRECT COST-PART l"/>
      <sheetName val="LOOKUP TABLE"/>
      <sheetName val="-_INFORMATION_-1"/>
      <sheetName val="ITB_COST1"/>
      <sheetName val="General_Data"/>
      <sheetName val="중간재_재공"/>
      <sheetName val="Summary_Sheets"/>
      <sheetName val="CAL_"/>
      <sheetName val="공정계획(내부계획25%,내부w_f)"/>
      <sheetName val="Bill_100_Preliminaries"/>
      <sheetName val="Price_Sheet"/>
      <sheetName val="TITLES"/>
      <sheetName val="EST013"/>
      <sheetName val="粉刷"/>
      <sheetName val="cable"/>
      <sheetName val="BEND LOSS"/>
      <sheetName val="Proposal"/>
      <sheetName val="Hist Fcst"/>
      <sheetName val="REINF."/>
      <sheetName val="SKETCH"/>
      <sheetName val="CostDB"/>
    </sheetNames>
    <sheetDataSet>
      <sheetData sheetId="0" refreshError="1"/>
      <sheetData sheetId="1">
        <row r="22">
          <cell r="G22">
            <v>0</v>
          </cell>
        </row>
      </sheetData>
      <sheetData sheetId="2">
        <row r="22">
          <cell r="G22">
            <v>0</v>
          </cell>
        </row>
      </sheetData>
      <sheetData sheetId="3">
        <row r="22">
          <cell r="G22">
            <v>0</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배관 (fike)"/>
      <sheetName val="배관 (bs&amp;b)"/>
      <sheetName val="보온"/>
      <sheetName val="도장"/>
      <sheetName val="gasket"/>
      <sheetName val="valve"/>
      <sheetName val="valve (2)"/>
      <sheetName val="foged"/>
      <sheetName val="cast"/>
      <sheetName val="alloy"/>
      <sheetName val="alloy-ball"/>
      <sheetName val="ball"/>
      <sheetName val="plug"/>
      <sheetName val="btfy"/>
      <sheetName val="REDUCER"/>
      <sheetName val="WE'T"/>
      <sheetName val="작성기준"/>
      <sheetName val="Curves"/>
      <sheetName val="Tables"/>
      <sheetName val="수정 배관공사 견적 최종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BOM"/>
      <sheetName val="DEAE"/>
      <sheetName val="GAS"/>
      <sheetName val="GEN"/>
      <sheetName val="COP"/>
      <sheetName val="CHEM"/>
      <sheetName val="SAM"/>
      <sheetName val="DEM"/>
      <sheetName val="BLR5"/>
      <sheetName val="BLR4"/>
      <sheetName val="BLR3"/>
      <sheetName val="BLR2"/>
      <sheetName val="BLR 1"/>
      <sheetName val="Y-WORK"/>
      <sheetName val="八幡"/>
      <sheetName val="GM 000"/>
      <sheetName val="csdim"/>
      <sheetName val="cdsload"/>
      <sheetName val="chsload"/>
      <sheetName val="CLAMP"/>
      <sheetName val="cvsload"/>
      <sheetName val="pipe"/>
      <sheetName val="손익분석"/>
      <sheetName val="Cash2"/>
      <sheetName val="Z"/>
      <sheetName val="환산표"/>
      <sheetName val="TTL"/>
      <sheetName val="costing_CV"/>
      <sheetName val="costing_ESDV"/>
      <sheetName val="costing_FE"/>
      <sheetName val="costing_Misc"/>
      <sheetName val="costing_MOV"/>
      <sheetName val="TO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PRECAST lightconc_II"/>
      <sheetName val="Miscellaneous-civil"/>
      <sheetName val="basic"/>
      <sheetName val="GN-ST-10"/>
      <sheetName val="temp"/>
      <sheetName val="Sheet1"/>
      <sheetName val="BLR 1"/>
      <sheetName val="GEN"/>
      <sheetName val="GAS"/>
      <sheetName val="DEAE"/>
      <sheetName val="BLR2"/>
      <sheetName val="BLR3"/>
      <sheetName val="BLR4"/>
      <sheetName val="BLR5"/>
      <sheetName val="DEM"/>
      <sheetName val="SAM"/>
      <sheetName val="CHEM"/>
      <sheetName val="COP"/>
      <sheetName val="Proposal"/>
      <sheetName val="CondPol"/>
      <sheetName val="CAT_5"/>
      <sheetName val="data"/>
      <sheetName val="HRSG PRINT"/>
      <sheetName val="변수적용"/>
      <sheetName val="#REF"/>
      <sheetName val="SCHEDULE"/>
    </sheetNames>
    <definedNames>
      <definedName name="DataFilter"/>
      <definedName name="DataSort"/>
      <definedName name="GoBack" sheetId="7"/>
    </defined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Sheet1"/>
      <sheetName val="2002년12월"/>
      <sheetName val="도급"/>
      <sheetName val="사기성"/>
      <sheetName val="실행"/>
      <sheetName val="총괄"/>
      <sheetName val="집계표"/>
      <sheetName val="200212공무정산"/>
      <sheetName val="Sheet2"/>
      <sheetName val="Macro3"/>
      <sheetName val="#REF"/>
      <sheetName val="내역"/>
      <sheetName val="일일투입집계표"/>
      <sheetName val="원가계산서"/>
      <sheetName val="Sheet3"/>
      <sheetName val="내역서"/>
      <sheetName val="입찰안"/>
      <sheetName val="3.공통공사대비"/>
      <sheetName val="일반공사"/>
      <sheetName val="평가데이터"/>
      <sheetName val="현장관리비 산출내역"/>
      <sheetName val="전기"/>
      <sheetName val="연결임시"/>
      <sheetName val="갑지(추정)"/>
      <sheetName val="Summary"/>
      <sheetName val="Labor Sum"/>
      <sheetName val="Cover"/>
      <sheetName val="CodePipe"/>
      <sheetName val="CodeTubeCalc."/>
      <sheetName val="DPres Calc"/>
      <sheetName val="PREVENTIVO"/>
      <sheetName val="Paterno"/>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재료비"/>
      <sheetName val="HX"/>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5"/>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dmuc"/>
      <sheetName val="S29_x0007__x0000__x0000_S"/>
      <sheetName val="PTVL"/>
      <sheetName val="IBASE"/>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_x0000__x0000_01"/>
      <sheetName val="_x0000__x0000_쫀䃝Z"/>
      <sheetName val="_x0000__x0000__x0000__x0000_¢é@Z_x0000__x000d__x0000__x0004_"/>
      <sheetName val="NEW-PANEL"/>
      <sheetName val="data"/>
      <sheetName val="phi"/>
      <sheetName val="CT_x0000_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_x0000__x0000__x0000__x0000_¢é@Z_x0000__x000a__x0000__x0004_"/>
      <sheetName val="CPQL"/>
      <sheetName val="THCPQL"/>
      <sheetName val="Thep-MatCat"/>
      <sheetName val="Kiem-Toan"/>
      <sheetName val="NhapSL"/>
      <sheetName val="GVL-NC-M"/>
      <sheetName val="Du kien DT 9 thang de fop"/>
      <sheetName val="KTQT-AF_x0003_"/>
      <sheetName val="KLDGT_x0014_&lt;120%"/>
      <sheetName val="Congt9"/>
      <sheetName val=""/>
      <sheetName val="_x0000__x0000__x0000__x0000_€¢é@Z_x0000__x000d__x0000__x0004_"/>
      <sheetName val="Na2_x0000__x0000_€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dgct"/>
      <sheetName val="dtct"/>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XNGBQIV-02"/>
      <sheetName val="Tai_khկ"/>
      <sheetName val="phu cap"/>
      <sheetName val="vlminh hoa"/>
      <sheetName val="NLV"/>
      <sheetName val="Ncong nhan"/>
      <sheetName val="Ha tang"/>
      <sheetName val="Bangthkp"/>
      <sheetName val="DTDD"/>
      <sheetName val="DTCD"/>
      <sheetName val="DTDD2003"/>
      <sheetName val="Vayvon"/>
      <sheetName val="Tdien"/>
      <sheetName val="DTSON ADB3-N2"/>
      <sheetName val="BangketienvayNHS"/>
      <sheetName val="Tan an(8)"/>
      <sheetName val="QK(DP1) (7)"/>
      <sheetName val="cat®o luong(DP1) (6)"/>
      <sheetName val="cat tam quang(DP1) (5)"/>
      <sheetName val="cat Na dan(DP1) (4)"/>
      <sheetName val="cat Na dan(DP1) (2)"/>
      <sheetName val="catdo luong(496)"/>
      <sheetName val="catNam Dan (DELTA) (3)"/>
      <sheetName val="cat hoa binh (DP2) (2)"/>
      <sheetName val="cat hoa binh (DP1)"/>
      <sheetName val="cat song dinh (4)"/>
      <sheetName val="Lop 6 lan 1"/>
      <sheetName val="lop1 lan2"/>
      <sheetName val="lop2 lan2 "/>
      <sheetName val="lop3 lan2 "/>
      <sheetName val="lop4 lan2 "/>
      <sheetName val="lop5 lan2 "/>
      <sheetName val="lop6 lan2 "/>
      <sheetName val="lop7 lan2 "/>
      <sheetName val="lop8 lan2 "/>
      <sheetName val="lop9 lan2"/>
      <sheetName val="lop10 lan2 "/>
      <sheetName val="Nconõþnhan"/>
      <sheetName val="general"/>
      <sheetName val="Main Road"/>
      <sheetName val="KL_Dat-Da"/>
      <sheetName val="N1"/>
      <sheetName val="Km0_Km8"/>
      <sheetName val="Km27_Km40+390"/>
      <sheetName val="Km8_Km17"/>
      <sheetName val="Tackcoat"/>
      <sheetName val="Primecoat"/>
      <sheetName val="Km17_Km27"/>
      <sheetName val="2J.01"/>
      <sheetName val="2J.02"/>
      <sheetName val="2J.03"/>
      <sheetName val="2J.04"/>
      <sheetName val="2J.05"/>
      <sheetName val="2J.06"/>
      <sheetName val="2J.07"/>
      <sheetName val="2J.10"/>
      <sheetName val="2J.11"/>
      <sheetName val="2J.12"/>
      <sheetName val="2J.13"/>
      <sheetName val="muc.luc"/>
      <sheetName val="123"/>
      <sheetName val="1-11"/>
      <sheetName val="2-11"/>
      <sheetName val="1-12"/>
      <sheetName val="1-1"/>
      <sheetName val="2-12"/>
      <sheetName val="2-1"/>
      <sheetName val="2-2"/>
      <sheetName val="1-3"/>
      <sheetName val="8thangdaunam"/>
      <sheetName val="KDT6"/>
      <sheetName val="KDT7"/>
      <sheetName val="KDT8"/>
      <sheetName val="KDT9"/>
      <sheetName val="KDT10"/>
      <sheetName val="XLT7"/>
      <sheetName val="XL8"/>
      <sheetName val="XLT9"/>
      <sheetName val="XLT6"/>
      <sheetName val="B-n (2)"/>
      <sheetName val="B-n"/>
      <sheetName val="B-ky2"/>
      <sheetName val="TH-t toan"/>
      <sheetName val="T-toan"/>
      <sheetName val="B-ky"/>
      <sheetName val="th-dn"/>
      <sheetName val="XD"/>
      <sheetName val="dien"/>
      <sheetName val="nuoc"/>
      <sheetName val="Tbi"/>
      <sheetName val="Ctiet-XD"/>
      <sheetName val="Ctiet-dien"/>
      <sheetName val="Ctiet-nuoc"/>
      <sheetName val="Vtu-XD"/>
      <sheetName val="Vtu-dien"/>
      <sheetName val="Vtu-nuoc"/>
      <sheetName val="Tro giup"/>
      <sheetName val="vlmifh hoa"/>
      <sheetName val="catNam Daf (DELTA) (3)"/>
      <sheetName val="Sheet0"/>
      <sheetName val="dtxl"/>
      <sheetName val="KK than ton   (3)"/>
      <sheetName val="XNGBQI-05 (2)"/>
      <sheetName val="XNGBQI-05 (3)"/>
      <sheetName val="XNGBQII-05 (2)"/>
      <sheetName val="XNGBQII-05 (3)"/>
      <sheetName val="XNGBQIII-05"/>
      <sheetName val="XNGBQIII-05 (02)"/>
      <sheetName val="XNGBQII-05"/>
      <sheetName val="XNGBQII-05 (02)"/>
      <sheetName val="Shdet3"/>
      <sheetName val="g)a vat lieu"/>
      <sheetName val="gia nhan cmng"/>
      <sheetName val="!-3"/>
      <sheetName val="PHUTRO500"/>
      <sheetName val="KLHT"/>
      <sheetName val="TT 9T - 2003"/>
      <sheetName val="TT QIII-2003"/>
      <sheetName val="TT QII-2003"/>
      <sheetName val="TT QI-2003"/>
      <sheetName val="Wall"/>
      <sheetName val="BANGTRA"/>
      <sheetName val="F1"/>
      <sheetName val="QK(@P1) (7)"/>
      <sheetName val="Det1-3"/>
      <sheetName val="T-H"/>
      <sheetName val="Com29-04Gh"/>
      <sheetName val="Com27-04NThu"/>
      <sheetName val="TH8-5"/>
      <sheetName val="KL Nthu ngay 8-5"/>
      <sheetName val="Com21-04"/>
      <sheetName val="115BC03"/>
      <sheetName val="112BC02"/>
      <sheetName val="114BC02"/>
      <sheetName val="113BC03"/>
      <sheetName val="113BC02"/>
      <sheetName val="116BC02"/>
      <sheetName val="116BC04"/>
      <sheetName val="114BC04"/>
      <sheetName val="112BC04"/>
      <sheetName val="111AC01"/>
      <sheetName val="111-BC02"/>
      <sheetName val="115BC02"/>
      <sheetName val="116BC01"/>
      <sheetName val="GH116BC04(13-4)"/>
      <sheetName val="GH113BC03(13-4)"/>
      <sheetName val="GH112BC02(13-4)"/>
      <sheetName val="Com1-3"/>
      <sheetName val="Com26-3"/>
      <sheetName val="Det26-3"/>
      <sheetName val="Com1-4"/>
      <sheetName val="Det1-4"/>
      <sheetName val="BiaNgoai"/>
      <sheetName val="BiaTrong"/>
      <sheetName val="THVT"/>
      <sheetName val="CVCM"/>
      <sheetName val="BG"/>
      <sheetName val="BOQ-1"/>
      <sheetName val="Cheet14"/>
      <sheetName val="sx-tt)tk"/>
      <sheetName val="LLV"/>
      <sheetName val="khi tiet KHM"/>
      <sheetName val="DP than"/>
      <sheetName val="Maueoi"/>
      <sheetName val="TH thantkn"/>
      <sheetName val="XNE@QII-05 (3)"/>
      <sheetName val="t.so"/>
      <sheetName val="BangketienvcyNHS"/>
      <sheetName val="CD2000"/>
      <sheetName val="TH1"/>
      <sheetName val="TH2"/>
      <sheetName val="TH3"/>
      <sheetName val="TH4"/>
      <sheetName val="TH5"/>
      <sheetName val="TH6"/>
      <sheetName val="TH7"/>
      <sheetName val="TH8"/>
      <sheetName val="TH9"/>
      <sheetName val="TH10"/>
      <sheetName val="TH11"/>
      <sheetName val="TH12"/>
      <sheetName val="KJ 2002"/>
      <sheetName val="DS-Thuong 6T dau"/>
      <sheetName val="CLVL"/>
      <sheetName val="CLVT Mong"/>
      <sheetName val="PTVT Mong"/>
      <sheetName val="DG Mong"/>
      <sheetName val="CLVT Than"/>
      <sheetName val="PTVT Than"/>
      <sheetName val="DG Than"/>
      <sheetName val="Sheut26"/>
      <sheetName val="ptvl0-1"/>
      <sheetName val="ptvl4-5"/>
      <sheetName val="ptvl3-4"/>
      <sheetName val="ptvl2-3"/>
      <sheetName val="vlcong"/>
      <sheetName val="ptvl1-2"/>
      <sheetName val="Cofgty"/>
      <sheetName val="XJ54"/>
      <sheetName val="cat Na dan(DP1)²_x0000__x0000_"/>
      <sheetName val="Breakdown bill"/>
      <sheetName val="Breakdown 2"/>
      <sheetName val="canh"/>
      <sheetName val="000000_x0010_0"/>
      <sheetName val="CCDUCU"/>
      <sheetName val="TONGHOP KH"/>
      <sheetName val="PBOKHAUHAO"/>
      <sheetName val="[PHUTRO500.xlsѝGia ban NK bq"/>
      <sheetName val="_PHUTRO500.xlsѝGia ban NK bq"/>
      <sheetName val="AC"/>
      <sheetName val="MTL(AG)"/>
      <sheetName val="bluong"/>
      <sheetName val="banggia1"/>
      <sheetName val="KT(E-E)"/>
      <sheetName val="pian tich DG"/>
      <sheetName val="XXPXXXXX"/>
      <sheetName val="[PHUTRO500.xls?Gia ban NK bq"/>
      <sheetName val="_PHUTRO500.xls_Gia ban NK bq"/>
      <sheetName val="cat Na dan(DP1)²"/>
      <sheetName val="control"/>
      <sheetName val="Chiet tinh dz22"/>
      <sheetName val="PhongBan"/>
      <sheetName val="BANG TONG HOP (2)"/>
      <sheetName val="khluong"/>
      <sheetName val="ESTI."/>
      <sheetName val="BC.TN"/>
      <sheetName val="MSTN"/>
      <sheetName val="Tổng kê"/>
      <sheetName val="토공"/>
      <sheetName val="경비2내역"/>
      <sheetName val="Div26 - Elect"/>
      <sheetName val="Ca may"/>
      <sheetName val="Btra"/>
      <sheetName val="tifico"/>
      <sheetName val="thso sanh"/>
      <sheetName val="dutoan"/>
      <sheetName val="dtk490-491(PAI)"/>
      <sheetName val="dtk490-491(PAII)"/>
      <sheetName val="Goc Dien"/>
      <sheetName val="QTDien"/>
      <sheetName val="QTNuoc"/>
      <sheetName val="DTnuoc"/>
      <sheetName val="DT dien"/>
      <sheetName val="QTCSet"/>
      <sheetName val="TBI+NUOC "/>
      <sheetName val="TBIWC"/>
      <sheetName val="TBI nuoc"/>
      <sheetName val="MTL$-INTER"/>
      <sheetName val="PHAN DS 22 KV"/>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QMCT"/>
      <sheetName val="Input"/>
      <sheetName val="phùn tich DG"/>
      <sheetName val="Ðoàn Vay Ti?n"/>
      <sheetName val="N? Ðoàn"/>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dtk490_x000d_491(PAI_x0009_"/>
      <sheetName val="QTNugc"/>
      <sheetName val="10000_x0010_00"/>
      <sheetName val="Ðoàn Vay Ti_n"/>
      <sheetName val="N_ Ðoàn"/>
      <sheetName val="gia vat"/>
      <sheetName val="Qheet1"/>
      <sheetName val="BanTinh"/>
      <sheetName val="gia vat_x0000_lieu"/>
      <sheetName val="dudoan"/>
      <sheetName val="Tinh truoc VAT"/>
      <sheetName val="CP khaosat(Congtinh)"/>
      <sheetName val="CP khaosat(tuyettinh)"/>
      <sheetName val="Tai trong"/>
      <sheetName val="cong"/>
      <sheetName val="GIAVL"/>
      <sheetName val="dtk486"/>
      <sheetName val="dtk490_x000a_491(PAI_x0009_"/>
      <sheetName val="CN kho doi"/>
      <sheetName val="CTHTchua TTn?ib?"/>
      <sheetName val="CN2004 N?p TCT"/>
      <sheetName val="G2G3_CDR_Dim"/>
      <sheetName val="G2_System_Inputs"/>
      <sheetName val="G2_TDT_Input"/>
      <sheetName val="G2_TDT_Advanced"/>
      <sheetName val="G2G3_GGSN_WC"/>
      <sheetName val="G3_System_Inputs"/>
      <sheetName val="G3_TDT_Input"/>
      <sheetName val="dtk490_x000d_491(PAI "/>
      <sheetName val="dtk490_491(PAI_x0009_"/>
      <sheetName val="Temp"/>
      <sheetName val="CTHTchua TTn_ib_"/>
      <sheetName val="CN2004 N_p TCT"/>
      <sheetName val="Truot_nen"/>
      <sheetName val="dtk490࠭491(PAI)"/>
      <sheetName val="pt"/>
      <sheetName val="111"/>
      <sheetName val="th thu chi"/>
      <sheetName val="tam ung"/>
      <sheetName val="Gia vat tu"/>
      <sheetName val="dtk490_x000a_491(PAI "/>
      <sheetName val="dtk490_491(PAI "/>
      <sheetName val="thso_sanh"/>
      <sheetName val="infracstructure"/>
      <sheetName val="FIRE ALARM _ FIRE FIGHTING"/>
      <sheetName val="dtk490 491(PAI "/>
      <sheetName val="ĐoànРVay Tiền"/>
      <sheetName val="DON GIA CAN THO"/>
      <sheetName val="VL,NC"/>
      <sheetName val="TH kl cac cong tac"/>
      <sheetName val="KL cac cong tac chinh"/>
      <sheetName val="DGXL"/>
      <sheetName val="DM.DonVi (3)"/>
      <sheetName val="T.luc"/>
      <sheetName val="T.gian"/>
      <sheetName val="S.luong"/>
      <sheetName val="TD.Tho(1)"/>
      <sheetName val="TD.Tho(2)"/>
      <sheetName val="TD.Tho(3)"/>
      <sheetName val="Capdien"/>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gia vat_x005f_x0000_lieu"/>
      <sheetName val="dtk490_x005f_x000a_491(PAI_x005f_x0009_"/>
      <sheetName val="dtk490_x005f_x000a_491(PAI "/>
      <sheetName val="dtk490_491(PAI_x005f_x0009_"/>
      <sheetName val="一発シート"/>
      <sheetName val="L-Mechanical"/>
      <sheetName val="Quantity"/>
      <sheetName val="so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sheetData sheetId="235" refreshError="1"/>
      <sheetData sheetId="236"/>
      <sheetData sheetId="237"/>
      <sheetData sheetId="238"/>
      <sheetData sheetId="239"/>
      <sheetData sheetId="240"/>
      <sheetData sheetId="241"/>
      <sheetData sheetId="242"/>
      <sheetData sheetId="243"/>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sheetData sheetId="322" refreshError="1"/>
      <sheetData sheetId="323"/>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sheetData sheetId="429" refreshError="1"/>
      <sheetData sheetId="430"/>
      <sheetData sheetId="431" refreshError="1"/>
      <sheetData sheetId="432" refreshError="1"/>
      <sheetData sheetId="433"/>
      <sheetData sheetId="434"/>
      <sheetData sheetId="435"/>
      <sheetData sheetId="436"/>
      <sheetData sheetId="437"/>
      <sheetData sheetId="438" refreshError="1"/>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sheetData sheetId="630"/>
      <sheetData sheetId="631"/>
      <sheetData sheetId="632"/>
      <sheetData sheetId="633"/>
      <sheetData sheetId="634"/>
      <sheetData sheetId="635"/>
      <sheetData sheetId="636"/>
      <sheetData sheetId="637" refreshError="1"/>
      <sheetData sheetId="638"/>
      <sheetData sheetId="639"/>
      <sheetData sheetId="640"/>
      <sheetData sheetId="641"/>
      <sheetData sheetId="642" refreshError="1"/>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refreshError="1"/>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refreshError="1"/>
      <sheetData sheetId="694"/>
      <sheetData sheetId="695"/>
      <sheetData sheetId="696" refreshError="1"/>
      <sheetData sheetId="697" refreshError="1"/>
      <sheetData sheetId="698"/>
      <sheetData sheetId="699" refreshError="1"/>
      <sheetData sheetId="700" refreshError="1"/>
      <sheetData sheetId="701" refreshError="1"/>
      <sheetData sheetId="702"/>
      <sheetData sheetId="703" refreshError="1"/>
      <sheetData sheetId="704" refreshError="1"/>
      <sheetData sheetId="705" refreshError="1"/>
      <sheetData sheetId="706"/>
      <sheetData sheetId="707" refreshError="1"/>
      <sheetData sheetId="708" refreshError="1"/>
      <sheetData sheetId="709" refreshError="1"/>
      <sheetData sheetId="710"/>
      <sheetData sheetId="71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sheetData sheetId="762"/>
      <sheetData sheetId="763" refreshError="1"/>
      <sheetData sheetId="764" refreshError="1"/>
      <sheetData sheetId="765" refreshError="1"/>
      <sheetData sheetId="766" refreshError="1"/>
      <sheetData sheetId="767"/>
      <sheetData sheetId="768"/>
      <sheetData sheetId="769"/>
      <sheetData sheetId="770"/>
      <sheetData sheetId="771" refreshError="1"/>
      <sheetData sheetId="772" refreshError="1"/>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efreshError="1"/>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efreshError="1"/>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refreshError="1"/>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sheetData sheetId="1418"/>
      <sheetData sheetId="1419" refreshError="1"/>
      <sheetData sheetId="1420" refreshError="1"/>
      <sheetData sheetId="1421"/>
      <sheetData sheetId="1422"/>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sheetData sheetId="1463"/>
      <sheetData sheetId="1464"/>
      <sheetData sheetId="1465"/>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refreshError="1"/>
      <sheetData sheetId="1520"/>
      <sheetData sheetId="1521"/>
      <sheetData sheetId="1522" refreshError="1"/>
      <sheetData sheetId="1523" refreshError="1"/>
      <sheetData sheetId="1524" refreshError="1"/>
      <sheetData sheetId="1525" refreshError="1"/>
      <sheetData sheetId="1526" refreshError="1"/>
      <sheetData sheetId="1527"/>
      <sheetData sheetId="1528" refreshError="1"/>
      <sheetData sheetId="1529"/>
      <sheetData sheetId="1530"/>
      <sheetData sheetId="153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Quantity"/>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ump 1"/>
      <sheetName val="Pump 2"/>
      <sheetName val="Pump 3"/>
      <sheetName val="Pump 4"/>
      <sheetName val="Pump 5"/>
      <sheetName val="Pump 6"/>
      <sheetName val=" Motor 1"/>
      <sheetName val="Motor 2"/>
      <sheetName val="Noise"/>
      <sheetName val="WeightCG"/>
      <sheetName val="Data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be"/>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ESTADIST(PTS.)"/>
      <sheetName val="DATA_REFERENCE"/>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MixBed"/>
      <sheetName val="CondPol"/>
      <sheetName val="Utility and Fire flange"/>
      <sheetName val="jobhist"/>
      <sheetName val="노임단가"/>
      <sheetName val="sheet1"/>
      <sheetName val="자재단가"/>
      <sheetName val="36신설수량"/>
      <sheetName val="물가대비표"/>
      <sheetName val="Sheet6"/>
      <sheetName val="현장관리비"/>
      <sheetName val="실행내역"/>
      <sheetName val="Activity(new)"/>
      <sheetName val="EQUIP"/>
      <sheetName val="CAT_5"/>
      <sheetName val="해외 연수비용 계산-삭제"/>
      <sheetName val="해외 기술훈련비 (합계)"/>
      <sheetName val="갑지1"/>
      <sheetName val="갑지"/>
      <sheetName val="운반"/>
      <sheetName val="h-013211-2"/>
      <sheetName val="대비표"/>
      <sheetName val="공문"/>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inter"/>
      <sheetName val="PRECAST lightconc-II"/>
      <sheetName val="Pile-Br-Capacity"/>
      <sheetName val="공사내역"/>
      <sheetName val="Sheet4"/>
      <sheetName val="10현장조직"/>
      <sheetName val="as boq list u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BM"/>
      <sheetName val="산근"/>
      <sheetName val="집계표(option)"/>
      <sheetName val="#ref"/>
      <sheetName val="PI"/>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M Budget"/>
      <sheetName val="Material of Quantities"/>
      <sheetName val="unit price list"/>
      <sheetName val="Project Data"/>
      <sheetName val="Cover"/>
      <sheetName val="Ｎｏ.13"/>
      <sheetName val="아파트 "/>
      <sheetName val="6MONTHS"/>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95삼성급(본사)"/>
      <sheetName val="금액내역서"/>
      <sheetName val="2.2 띠장의 설계"/>
      <sheetName val="영업소실적"/>
      <sheetName val="PWA"/>
      <sheetName val="실행철강하도"/>
      <sheetName val="DESBASTE"/>
      <sheetName val="집계표"/>
      <sheetName val="개시대사 (2)"/>
      <sheetName val="ANX3A11"/>
      <sheetName val="BQ"/>
      <sheetName val="Cashflow Analysis"/>
      <sheetName val="수입"/>
      <sheetName val="NPC500"/>
      <sheetName val="personnelist"/>
      <sheetName val="Consumables"/>
      <sheetName val="6PILE  (돌출)"/>
      <sheetName val="skejul"/>
      <sheetName val="Eq. Mobilization"/>
      <sheetName val="石炭性状"/>
      <sheetName val="bqmpaloc"/>
      <sheetName val="유림골조"/>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Ammonia"/>
      <sheetName val="UOA"/>
      <sheetName val="ENG-101"/>
      <sheetName val="breakdown"/>
      <sheetName val="D-623D"/>
      <sheetName val="98수문일위"/>
      <sheetName val="12CGOU"/>
      <sheetName val="표지"/>
      <sheetName val="4-Basic Price"/>
      <sheetName val="UPH,BHN,ALT"/>
      <sheetName val="Analis harga"/>
      <sheetName val="escon"/>
      <sheetName val="연돌일위집계"/>
      <sheetName val=" RFQ for BOP Bldgs(No.51,53,58)"/>
      <sheetName val="차액보증"/>
      <sheetName val="COLUMN"/>
      <sheetName val="SPT vs PHI"/>
      <sheetName val="final abstract"/>
      <sheetName val="Mgmt Summary"/>
      <sheetName val="4. TAX"/>
      <sheetName val="1.Assumptions"/>
      <sheetName val="설비"/>
      <sheetName val="일위대가"/>
      <sheetName val="간접비내역-1"/>
      <sheetName val="Air Cooler-E"/>
      <sheetName val="간접인원 급료산출"/>
      <sheetName val="MTP"/>
      <sheetName val="Compar 28.12.17"/>
      <sheetName val="Labor (HA)"/>
      <sheetName val="Equiment (HA)"/>
      <sheetName val="Material"/>
      <sheetName val="Base_BM-rebar"/>
      <sheetName val="COST"/>
      <sheetName val="FitOutConfCentre"/>
      <sheetName val="Schedules"/>
      <sheetName val="SubmitCal"/>
      <sheetName val="Register"/>
      <sheetName val="Trade"/>
      <sheetName val="AOP Summary-2"/>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aster"/>
      <sheetName val="A2 (4)"/>
      <sheetName val="PNT-QUOT-#3"/>
      <sheetName val="COAT&amp;WRAP-QIOT-#3"/>
      <sheetName val="VL"/>
      <sheetName val="TN"/>
      <sheetName val="ND"/>
      <sheetName val="M_Budget1"/>
      <sheetName val="Material_of_Quantities1"/>
      <sheetName val="unit_price_list1"/>
      <sheetName val="Project_Data1"/>
      <sheetName val="Ｎｏ_131"/>
      <sheetName val="아파트_1"/>
      <sheetName val="RAB AR&amp;STR"/>
      <sheetName val="tifico"/>
      <sheetName val="Earthwork"/>
      <sheetName val="Compar_28_12_17"/>
      <sheetName val="Electrical"/>
      <sheetName val="負荷集計（断熱不燃）"/>
      <sheetName val="XL4Poppy"/>
      <sheetName val="Sheet2"/>
      <sheetName val="SUM-AIR-Submit"/>
      <sheetName val="MTO REV_2_ARMOR_"/>
      <sheetName val="Quantity"/>
      <sheetName val="AQA"/>
      <sheetName val="Currency"/>
      <sheetName val="Gia vat tu"/>
      <sheetName val="B3A - TOWER A"/>
      <sheetName val="Electrical Works"/>
      <sheetName val="H_T_ INCOMING SYSTEM"/>
      <sheetName val="도급양식"/>
      <sheetName val="FA-LISTING"/>
      <sheetName val="실행"/>
      <sheetName val="Điện Nhẹ"/>
      <sheetName val="6. Chieu sang &amp; cap nguon"/>
      <sheetName val="8. Thiet bi dien nhe"/>
      <sheetName val="10. Bao chay, ex, sc"/>
      <sheetName val="11. Chua chay"/>
      <sheetName val="13. Thong gio"/>
      <sheetName val="14. Cap thoat nuoc"/>
      <sheetName val="gVL"/>
      <sheetName val="PL 01"/>
      <sheetName val="PCCC"/>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Dwg. Transmittal"/>
      <sheetName val="DBs"/>
      <sheetName val="laroux"/>
      <sheetName val="Summary "/>
      <sheetName val="VVa"/>
      <sheetName val="BOQ-FD PA"/>
      <sheetName val="Price List FD PA"/>
      <sheetName val="Cost Sheet"/>
      <sheetName val="fire detection offer"/>
      <sheetName val="fire detection cost"/>
      <sheetName val="Price List"/>
      <sheetName val="MAIN GATE HOUSE"/>
      <sheetName val="BAG-2"/>
      <sheetName val="Currency Rate"/>
      <sheetName val="Dinh muc CP KTCB khac"/>
      <sheetName val="TH May TC"/>
      <sheetName val="KLDT DIEN"/>
      <sheetName val="PTVT DIEN"/>
      <sheetName val="TH kinh phi"/>
      <sheetName val="Thong ke thiet bi"/>
      <sheetName val="TH vat tu"/>
      <sheetName val="Chiet tinh dz35"/>
      <sheetName val="$TEXT1$"/>
      <sheetName val="DuToan"/>
      <sheetName val="TBVL"/>
      <sheetName val="Code"/>
      <sheetName val="백분율"/>
      <sheetName val="DHEQSUPT"/>
      <sheetName val="정부노임단가"/>
      <sheetName val="CONTENTS"/>
      <sheetName val="Main"/>
      <sheetName val="PRO_A"/>
      <sheetName val="PRO"/>
      <sheetName val="참고"/>
      <sheetName val="E-Price"/>
      <sheetName val="TB-내역서"/>
      <sheetName val="CTEMCOST"/>
      <sheetName val="조명시설"/>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GIAVLIEU"/>
      <sheetName val="sheet3"/>
      <sheetName val="GZ.TG"/>
      <sheetName val="GZ.TP"/>
      <sheetName val="GZ.VT"/>
      <sheetName val="SOURCE"/>
      <sheetName val="SW"/>
      <sheetName val="SITE-E"/>
      <sheetName val="Gia VLNCMTC"/>
      <sheetName val="LEGEND"/>
      <sheetName val="BG"/>
      <sheetName val="EQP"/>
      <sheetName val="BD1"/>
      <sheetName val="8-31-98"/>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nha bao ve"/>
      <sheetName val="Đức Huệ - GV gốc"/>
      <sheetName val="1. ABPLAZA COST"/>
      <sheetName val="2. ABPLAZA INVENTORY"/>
      <sheetName val="3. ICID CASHFLOW"/>
      <sheetName val="宏1"/>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Bangia"/>
      <sheetName val="입찰안"/>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CFS3"/>
      <sheetName val="Nhan cong"/>
      <sheetName val="PHU LUC2"/>
      <sheetName val="ESTI."/>
      <sheetName val="DI-ESTI"/>
      <sheetName val="2.1 受電設備棟"/>
      <sheetName val="2.2 受・防火水槽"/>
      <sheetName val="2.3 排水処理設備棟"/>
      <sheetName val="2.4 倉庫棟"/>
      <sheetName val="2.5 守衛棟"/>
      <sheetName val="7_MEP"/>
      <sheetName val="NOTE"/>
      <sheetName val="Analisa"/>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MAIN_GATE_HOUSE"/>
      <sheetName val="Chiet_tinh_dz35"/>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Cash Flow"/>
      <sheetName val="Yield"/>
      <sheetName val="Draft"/>
      <sheetName val="THAP"/>
      <sheetName val="Btra"/>
      <sheetName val="Div26 - Elect"/>
      <sheetName val="BKL"/>
      <sheetName val="1.1 BOQ "/>
      <sheetName val="단가표"/>
      <sheetName val="Retrofit contract"/>
      <sheetName val="ML-부품4동 정산내역"/>
      <sheetName val="ML-CUB2 정산내역"/>
      <sheetName val="부품4동"/>
      <sheetName val="Retrofit 정산"/>
      <sheetName val="Pasir Panjang 100J"/>
      <sheetName val="STR"/>
      <sheetName val="Data"/>
      <sheetName val="설계내역서"/>
      <sheetName val="#REF!"/>
      <sheetName val="外気負荷"/>
      <sheetName val="RC Pipe"/>
      <sheetName val="C5.M-Cover"/>
      <sheetName val="基本"/>
      <sheetName val="报价费率计算表"/>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Rate Analysis"/>
      <sheetName val="mapping"/>
      <sheetName val="BYBU96"/>
      <sheetName val="CLAY"/>
      <sheetName val="Form 6"/>
      <sheetName val="BQ-E20-02(Rp)"/>
      <sheetName val="PRICE-SUMMARY"/>
      <sheetName val="Electrical Breakdown"/>
      <sheetName val="BK04"/>
      <sheetName val="A1.CN"/>
      <sheetName val="DANHMUC"/>
      <sheetName val="F&amp;S"/>
      <sheetName val="THVT"/>
      <sheetName val="대비"/>
      <sheetName val="변화치수"/>
      <sheetName val="Sheet 3"/>
      <sheetName val="토공"/>
      <sheetName val="F4-F7"/>
      <sheetName val="Step1 1st"/>
      <sheetName val="SL NHAP"/>
      <sheetName val="Móng, nền "/>
      <sheetName val="pp1p"/>
      <sheetName val="pp3p_NC"/>
      <sheetName val="pp3p "/>
      <sheetName val="TONGKE3p "/>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Inputs"/>
      <sheetName val="ARC308-1"/>
      <sheetName val="Data Sheet"/>
      <sheetName val="Payment"/>
      <sheetName val="Input"/>
      <sheetName val="CostPlan"/>
      <sheetName val="Rate_Analysis"/>
      <sheetName val="Data_Sheet"/>
      <sheetName val="Area_Analysis"/>
      <sheetName val="DETAILED__BOQ"/>
      <sheetName val="New_Rates"/>
      <sheetName val="HD-XUAT"/>
      <sheetName val="기준정보"/>
      <sheetName val="품셈TABLE"/>
      <sheetName val="금호"/>
      <sheetName val="TVLIEU"/>
      <sheetName val="PS-Labour_M"/>
      <sheetName val="Config"/>
      <sheetName val="Tong du toan"/>
      <sheetName val="수량3"/>
      <sheetName val="개산공사비"/>
      <sheetName val="형강"/>
      <sheetName val="ETC."/>
      <sheetName val="BM "/>
      <sheetName val="DWG LIST"/>
      <sheetName val="KLHT"/>
      <sheetName val="CMS"/>
      <sheetName val="batch"/>
      <sheetName val="REINF."/>
      <sheetName val="SKETCH"/>
      <sheetName val="data_dci"/>
      <sheetName val="data_mci"/>
      <sheetName val="behind"/>
      <sheetName val="VCH-SLC"/>
      <sheetName val="Supplier"/>
      <sheetName val="배수내역"/>
      <sheetName val="DB@Acess"/>
      <sheetName val="Civil"/>
      <sheetName val="프랜트면허"/>
      <sheetName val="토목주소"/>
      <sheetName val="grafik"/>
      <sheetName val="pro ra op"/>
      <sheetName val="Upah"/>
      <sheetName val="Rekapitulasi"/>
      <sheetName val="Cash Flow bulanan"/>
      <sheetName val="Koordinat"/>
      <sheetName val="Page2"/>
      <sheetName val="EE-PROP"/>
      <sheetName val="Bill.1.VAC-Supply-A"/>
      <sheetName val="ANALISA.E"/>
      <sheetName val="IPL_SCHEDULE"/>
      <sheetName val="F1.4"/>
      <sheetName val="schtng"/>
      <sheetName val="schbhn"/>
      <sheetName val="schalt"/>
      <sheetName val="1.2"/>
      <sheetName val="Dsr Hitung"/>
      <sheetName val="Basic Price"/>
      <sheetName val="HARGA-UPAH"/>
      <sheetName val="Eng_Hrs (HO)"/>
      <sheetName val="HARGA MATERIAL"/>
      <sheetName val="Inkindo 2015"/>
      <sheetName val="LOADDAT"/>
      <sheetName val="Perhit.Alat"/>
      <sheetName val="011C101"/>
      <sheetName val="Sew-Tahan"/>
      <sheetName val="AOP-SK"/>
      <sheetName val="TABLE-A"/>
      <sheetName val="bq analisa"/>
      <sheetName val="RAB"/>
      <sheetName val="GeneralInfo"/>
      <sheetName val="Upah,Bahan,Alat"/>
      <sheetName val="Rekap Analisa1"/>
      <sheetName val="AnSipil"/>
      <sheetName val="AnPipa &amp; Acc"/>
      <sheetName val="P-072"/>
      <sheetName val="P-072 (2)"/>
      <sheetName val="All"/>
      <sheetName val="Equip Compare"/>
      <sheetName val="Tag Tube"/>
      <sheetName val="금융비용"/>
      <sheetName val="REP"/>
      <sheetName val="덕전리"/>
      <sheetName val="Hao hut, CK"/>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csdim"/>
      <sheetName val="cdsload"/>
      <sheetName val="chsload"/>
      <sheetName val="CLAMP"/>
      <sheetName val="cvsload"/>
      <sheetName val="pipe"/>
      <sheetName val="Schedule(overall)"/>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K16">
            <v>-3100889.7360623879</v>
          </cell>
        </row>
        <row r="17">
          <cell r="K17">
            <v>169371.15460847877</v>
          </cell>
        </row>
        <row r="18">
          <cell r="K18">
            <v>-272376.19996930048</v>
          </cell>
        </row>
        <row r="19">
          <cell r="K19">
            <v>-838205.55572895915</v>
          </cell>
        </row>
        <row r="20">
          <cell r="K20">
            <v>-1177633.0269047734</v>
          </cell>
        </row>
        <row r="21">
          <cell r="K21">
            <v>-1274278.7937224843</v>
          </cell>
        </row>
        <row r="22">
          <cell r="K22">
            <v>-1317965.1225737943</v>
          </cell>
        </row>
        <row r="23">
          <cell r="K23">
            <v>-1475735.498355248</v>
          </cell>
        </row>
        <row r="24">
          <cell r="K24">
            <v>-1507639.7996148129</v>
          </cell>
        </row>
        <row r="25">
          <cell r="K25">
            <v>-1475298.8360362898</v>
          </cell>
        </row>
        <row r="26">
          <cell r="K26">
            <v>-1368763.8031261845</v>
          </cell>
        </row>
        <row r="27">
          <cell r="K27">
            <v>-1370409.3907104216</v>
          </cell>
        </row>
        <row r="28">
          <cell r="K28">
            <v>-1075994.0425293476</v>
          </cell>
        </row>
        <row r="29">
          <cell r="K29">
            <v>-1154128.7622718378</v>
          </cell>
        </row>
        <row r="30">
          <cell r="K30">
            <v>-1121801.9701711757</v>
          </cell>
        </row>
        <row r="31">
          <cell r="K31">
            <v>-658003.7431982233</v>
          </cell>
        </row>
        <row r="32">
          <cell r="K32">
            <v>-50055.767223137314</v>
          </cell>
        </row>
        <row r="33">
          <cell r="K33">
            <v>-50055.767223137314</v>
          </cell>
        </row>
        <row r="34">
          <cell r="K34">
            <v>-50055.767223137314</v>
          </cell>
        </row>
        <row r="35">
          <cell r="K35">
            <v>1001105.8944628179</v>
          </cell>
        </row>
        <row r="36">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6">
          <cell r="G16">
            <v>0</v>
          </cell>
        </row>
      </sheetData>
      <sheetData sheetId="75">
        <row r="16">
          <cell r="G16">
            <v>0</v>
          </cell>
        </row>
      </sheetData>
      <sheetData sheetId="76">
        <row r="16">
          <cell r="G16">
            <v>0</v>
          </cell>
        </row>
      </sheetData>
      <sheetData sheetId="77">
        <row r="16">
          <cell r="G16">
            <v>0</v>
          </cell>
        </row>
      </sheetData>
      <sheetData sheetId="78">
        <row r="16">
          <cell r="G16">
            <v>0</v>
          </cell>
        </row>
      </sheetData>
      <sheetData sheetId="79">
        <row r="16">
          <cell r="G16">
            <v>0</v>
          </cell>
        </row>
      </sheetData>
      <sheetData sheetId="80">
        <row r="16">
          <cell r="G16">
            <v>0</v>
          </cell>
        </row>
      </sheetData>
      <sheetData sheetId="81">
        <row r="16">
          <cell r="G16">
            <v>0</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ow r="16">
          <cell r="G16">
            <v>0</v>
          </cell>
        </row>
      </sheetData>
      <sheetData sheetId="90">
        <row r="16">
          <cell r="G16">
            <v>0</v>
          </cell>
        </row>
      </sheetData>
      <sheetData sheetId="91">
        <row r="16">
          <cell r="G16">
            <v>0</v>
          </cell>
        </row>
      </sheetData>
      <sheetData sheetId="92">
        <row r="16">
          <cell r="G16">
            <v>0</v>
          </cell>
        </row>
      </sheetData>
      <sheetData sheetId="93">
        <row r="16">
          <cell r="G16">
            <v>0</v>
          </cell>
        </row>
      </sheetData>
      <sheetData sheetId="94">
        <row r="16">
          <cell r="G16">
            <v>0</v>
          </cell>
        </row>
      </sheetData>
      <sheetData sheetId="95">
        <row r="16">
          <cell r="G16">
            <v>0</v>
          </cell>
        </row>
      </sheetData>
      <sheetData sheetId="96">
        <row r="16">
          <cell r="G16">
            <v>0</v>
          </cell>
        </row>
      </sheetData>
      <sheetData sheetId="97">
        <row r="16">
          <cell r="G16">
            <v>0</v>
          </cell>
        </row>
      </sheetData>
      <sheetData sheetId="98">
        <row r="16">
          <cell r="G16">
            <v>0</v>
          </cell>
        </row>
      </sheetData>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16">
          <cell r="G16">
            <v>132.10688000000002</v>
          </cell>
        </row>
      </sheetData>
      <sheetData sheetId="134"/>
      <sheetData sheetId="135">
        <row r="16">
          <cell r="G16">
            <v>132.10688000000002</v>
          </cell>
        </row>
      </sheetData>
      <sheetData sheetId="136">
        <row r="16">
          <cell r="G16">
            <v>132.10688000000002</v>
          </cell>
        </row>
      </sheetData>
      <sheetData sheetId="137">
        <row r="16">
          <cell r="G16">
            <v>132.10688000000002</v>
          </cell>
        </row>
      </sheetData>
      <sheetData sheetId="138">
        <row r="16">
          <cell r="G16">
            <v>132.10688000000002</v>
          </cell>
        </row>
      </sheetData>
      <sheetData sheetId="139">
        <row r="16">
          <cell r="G16">
            <v>132.10688000000002</v>
          </cell>
        </row>
      </sheetData>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16">
          <cell r="G16">
            <v>0</v>
          </cell>
        </row>
      </sheetData>
      <sheetData sheetId="151">
        <row r="16">
          <cell r="K16">
            <v>1</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16">
          <cell r="G16">
            <v>132.10688000000002</v>
          </cell>
        </row>
      </sheetData>
      <sheetData sheetId="177">
        <row r="16">
          <cell r="G16">
            <v>132.10688000000002</v>
          </cell>
        </row>
      </sheetData>
      <sheetData sheetId="178">
        <row r="16">
          <cell r="G16">
            <v>132.10688000000002</v>
          </cell>
        </row>
      </sheetData>
      <sheetData sheetId="179">
        <row r="16">
          <cell r="G16">
            <v>132.10688000000002</v>
          </cell>
        </row>
      </sheetData>
      <sheetData sheetId="180">
        <row r="16">
          <cell r="G16">
            <v>132.10688000000002</v>
          </cell>
        </row>
      </sheetData>
      <sheetData sheetId="181">
        <row r="16">
          <cell r="G16">
            <v>132.10688000000002</v>
          </cell>
        </row>
      </sheetData>
      <sheetData sheetId="182">
        <row r="16">
          <cell r="G16">
            <v>132.10688000000002</v>
          </cell>
        </row>
      </sheetData>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ow r="16">
          <cell r="G16">
            <v>132.10688000000002</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16">
          <cell r="G16">
            <v>132.10688000000002</v>
          </cell>
        </row>
      </sheetData>
      <sheetData sheetId="265" refreshError="1"/>
      <sheetData sheetId="266">
        <row r="16">
          <cell r="G16">
            <v>132.10688000000002</v>
          </cell>
        </row>
      </sheetData>
      <sheetData sheetId="267" refreshError="1"/>
      <sheetData sheetId="268" refreshError="1"/>
      <sheetData sheetId="269" refreshError="1"/>
      <sheetData sheetId="270" refreshError="1"/>
      <sheetData sheetId="271">
        <row r="16">
          <cell r="G16">
            <v>132.10688000000002</v>
          </cell>
        </row>
      </sheetData>
      <sheetData sheetId="272">
        <row r="16">
          <cell r="G16">
            <v>132.10688000000002</v>
          </cell>
        </row>
      </sheetData>
      <sheetData sheetId="273">
        <row r="16">
          <cell r="G16">
            <v>132.10688000000002</v>
          </cell>
        </row>
      </sheetData>
      <sheetData sheetId="274">
        <row r="16">
          <cell r="G16">
            <v>132.10688000000002</v>
          </cell>
        </row>
      </sheetData>
      <sheetData sheetId="275"/>
      <sheetData sheetId="276">
        <row r="16">
          <cell r="G16">
            <v>132.10688000000002</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6">
          <cell r="G16">
            <v>132.10688000000002</v>
          </cell>
        </row>
      </sheetData>
      <sheetData sheetId="288" refreshError="1"/>
      <sheetData sheetId="289" refreshError="1"/>
      <sheetData sheetId="290" refreshError="1"/>
      <sheetData sheetId="291" refreshError="1"/>
      <sheetData sheetId="292" refreshError="1"/>
      <sheetData sheetId="293" refreshError="1"/>
      <sheetData sheetId="294">
        <row r="16">
          <cell r="G16">
            <v>132.10688000000002</v>
          </cell>
        </row>
      </sheetData>
      <sheetData sheetId="295" refreshError="1"/>
      <sheetData sheetId="296">
        <row r="16">
          <cell r="G16">
            <v>132.10688000000002</v>
          </cell>
        </row>
      </sheetData>
      <sheetData sheetId="297">
        <row r="16">
          <cell r="G16">
            <v>132.10688000000002</v>
          </cell>
        </row>
      </sheetData>
      <sheetData sheetId="298">
        <row r="16">
          <cell r="G16">
            <v>0</v>
          </cell>
        </row>
      </sheetData>
      <sheetData sheetId="299">
        <row r="16">
          <cell r="G16">
            <v>0</v>
          </cell>
        </row>
      </sheetData>
      <sheetData sheetId="300">
        <row r="16">
          <cell r="G16">
            <v>0</v>
          </cell>
        </row>
      </sheetData>
      <sheetData sheetId="301">
        <row r="16">
          <cell r="G16">
            <v>0</v>
          </cell>
        </row>
      </sheetData>
      <sheetData sheetId="302">
        <row r="16">
          <cell r="G16">
            <v>132.10688000000002</v>
          </cell>
        </row>
      </sheetData>
      <sheetData sheetId="303">
        <row r="16">
          <cell r="G16">
            <v>132.10688000000002</v>
          </cell>
        </row>
      </sheetData>
      <sheetData sheetId="304" refreshError="1"/>
      <sheetData sheetId="305">
        <row r="16">
          <cell r="G16">
            <v>132.10688000000002</v>
          </cell>
        </row>
      </sheetData>
      <sheetData sheetId="306">
        <row r="16">
          <cell r="G16">
            <v>132.10688000000002</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ow r="16">
          <cell r="G16">
            <v>132.10688000000002</v>
          </cell>
        </row>
      </sheetData>
      <sheetData sheetId="371">
        <row r="16">
          <cell r="G16">
            <v>132.10688000000002</v>
          </cell>
        </row>
      </sheetData>
      <sheetData sheetId="372">
        <row r="16">
          <cell r="G16">
            <v>0</v>
          </cell>
        </row>
      </sheetData>
      <sheetData sheetId="373">
        <row r="16">
          <cell r="G16">
            <v>0</v>
          </cell>
        </row>
      </sheetData>
      <sheetData sheetId="374">
        <row r="16">
          <cell r="G16">
            <v>132.10688000000002</v>
          </cell>
        </row>
      </sheetData>
      <sheetData sheetId="375">
        <row r="16">
          <cell r="G16">
            <v>132.10688000000002</v>
          </cell>
        </row>
      </sheetData>
      <sheetData sheetId="376">
        <row r="16">
          <cell r="G16">
            <v>0</v>
          </cell>
        </row>
      </sheetData>
      <sheetData sheetId="377">
        <row r="16">
          <cell r="G16">
            <v>132.10688000000002</v>
          </cell>
        </row>
      </sheetData>
      <sheetData sheetId="378">
        <row r="16">
          <cell r="G16">
            <v>132.10688000000002</v>
          </cell>
        </row>
      </sheetData>
      <sheetData sheetId="379">
        <row r="16">
          <cell r="G16">
            <v>0</v>
          </cell>
        </row>
      </sheetData>
      <sheetData sheetId="380">
        <row r="16">
          <cell r="G16">
            <v>132.10688000000002</v>
          </cell>
        </row>
      </sheetData>
      <sheetData sheetId="381">
        <row r="16">
          <cell r="G16">
            <v>0</v>
          </cell>
        </row>
      </sheetData>
      <sheetData sheetId="382">
        <row r="16">
          <cell r="G16">
            <v>0</v>
          </cell>
        </row>
      </sheetData>
      <sheetData sheetId="383">
        <row r="16">
          <cell r="G16">
            <v>132.10688000000002</v>
          </cell>
        </row>
      </sheetData>
      <sheetData sheetId="384">
        <row r="16">
          <cell r="G16">
            <v>0</v>
          </cell>
        </row>
      </sheetData>
      <sheetData sheetId="385">
        <row r="16">
          <cell r="G16">
            <v>132.10688000000002</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ow r="16">
          <cell r="G16">
            <v>0</v>
          </cell>
        </row>
      </sheetData>
      <sheetData sheetId="438">
        <row r="16">
          <cell r="G16">
            <v>0</v>
          </cell>
        </row>
      </sheetData>
      <sheetData sheetId="439">
        <row r="16">
          <cell r="G16">
            <v>132.10688000000002</v>
          </cell>
        </row>
      </sheetData>
      <sheetData sheetId="440">
        <row r="16">
          <cell r="G16">
            <v>132.10688000000002</v>
          </cell>
        </row>
      </sheetData>
      <sheetData sheetId="441">
        <row r="16">
          <cell r="G16">
            <v>0</v>
          </cell>
        </row>
      </sheetData>
      <sheetData sheetId="442">
        <row r="16">
          <cell r="G16">
            <v>0</v>
          </cell>
        </row>
      </sheetData>
      <sheetData sheetId="443">
        <row r="16">
          <cell r="G16">
            <v>132.10688000000002</v>
          </cell>
        </row>
      </sheetData>
      <sheetData sheetId="444">
        <row r="16">
          <cell r="G16">
            <v>0</v>
          </cell>
        </row>
      </sheetData>
      <sheetData sheetId="445">
        <row r="16">
          <cell r="G16">
            <v>0</v>
          </cell>
        </row>
      </sheetData>
      <sheetData sheetId="446">
        <row r="16">
          <cell r="G16">
            <v>132.10688000000002</v>
          </cell>
        </row>
      </sheetData>
      <sheetData sheetId="447" refreshError="1"/>
      <sheetData sheetId="448" refreshError="1"/>
      <sheetData sheetId="449" refreshError="1"/>
      <sheetData sheetId="450">
        <row r="16">
          <cell r="G16">
            <v>0</v>
          </cell>
        </row>
      </sheetData>
      <sheetData sheetId="451">
        <row r="16">
          <cell r="G16">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16">
          <cell r="G16">
            <v>0</v>
          </cell>
        </row>
      </sheetData>
      <sheetData sheetId="504">
        <row r="16">
          <cell r="G16">
            <v>0</v>
          </cell>
        </row>
      </sheetData>
      <sheetData sheetId="505">
        <row r="16">
          <cell r="G16">
            <v>0</v>
          </cell>
        </row>
      </sheetData>
      <sheetData sheetId="506">
        <row r="16">
          <cell r="G16">
            <v>132.10688000000002</v>
          </cell>
        </row>
      </sheetData>
      <sheetData sheetId="507">
        <row r="16">
          <cell r="G16">
            <v>0</v>
          </cell>
        </row>
      </sheetData>
      <sheetData sheetId="508" refreshError="1"/>
      <sheetData sheetId="509" refreshError="1"/>
      <sheetData sheetId="510">
        <row r="16">
          <cell r="G16">
            <v>0</v>
          </cell>
        </row>
      </sheetData>
      <sheetData sheetId="511">
        <row r="16">
          <cell r="G16">
            <v>0</v>
          </cell>
        </row>
      </sheetData>
      <sheetData sheetId="512" refreshError="1"/>
      <sheetData sheetId="513">
        <row r="16">
          <cell r="G16">
            <v>0</v>
          </cell>
        </row>
      </sheetData>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6">
          <cell r="G16">
            <v>0</v>
          </cell>
        </row>
      </sheetData>
      <sheetData sheetId="528">
        <row r="16">
          <cell r="G16">
            <v>0</v>
          </cell>
        </row>
      </sheetData>
      <sheetData sheetId="529">
        <row r="16">
          <cell r="G16">
            <v>0</v>
          </cell>
        </row>
      </sheetData>
      <sheetData sheetId="530">
        <row r="16">
          <cell r="G16">
            <v>0</v>
          </cell>
        </row>
      </sheetData>
      <sheetData sheetId="531">
        <row r="16">
          <cell r="G16">
            <v>0</v>
          </cell>
        </row>
      </sheetData>
      <sheetData sheetId="532">
        <row r="16">
          <cell r="G16">
            <v>0</v>
          </cell>
        </row>
      </sheetData>
      <sheetData sheetId="533" refreshError="1"/>
      <sheetData sheetId="534" refreshError="1"/>
      <sheetData sheetId="535">
        <row r="16">
          <cell r="G16">
            <v>0</v>
          </cell>
        </row>
      </sheetData>
      <sheetData sheetId="536" refreshError="1"/>
      <sheetData sheetId="537" refreshError="1"/>
      <sheetData sheetId="538" refreshError="1"/>
      <sheetData sheetId="539" refreshError="1"/>
      <sheetData sheetId="540" refreshError="1"/>
      <sheetData sheetId="541">
        <row r="16">
          <cell r="G16">
            <v>0</v>
          </cell>
        </row>
      </sheetData>
      <sheetData sheetId="542">
        <row r="16">
          <cell r="G16">
            <v>0</v>
          </cell>
        </row>
      </sheetData>
      <sheetData sheetId="543">
        <row r="16">
          <cell r="G16">
            <v>0</v>
          </cell>
        </row>
      </sheetData>
      <sheetData sheetId="544">
        <row r="16">
          <cell r="G16">
            <v>0</v>
          </cell>
        </row>
      </sheetData>
      <sheetData sheetId="545">
        <row r="16">
          <cell r="G16">
            <v>0</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6">
          <cell r="G16">
            <v>0</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6">
          <cell r="G16">
            <v>0</v>
          </cell>
        </row>
      </sheetData>
      <sheetData sheetId="573">
        <row r="16">
          <cell r="G16">
            <v>0</v>
          </cell>
        </row>
      </sheetData>
      <sheetData sheetId="574">
        <row r="16">
          <cell r="G16">
            <v>0</v>
          </cell>
        </row>
      </sheetData>
      <sheetData sheetId="575">
        <row r="16">
          <cell r="G16">
            <v>0</v>
          </cell>
        </row>
      </sheetData>
      <sheetData sheetId="576">
        <row r="16">
          <cell r="G16">
            <v>0</v>
          </cell>
        </row>
      </sheetData>
      <sheetData sheetId="577">
        <row r="16">
          <cell r="G16">
            <v>0</v>
          </cell>
        </row>
      </sheetData>
      <sheetData sheetId="578">
        <row r="16">
          <cell r="G16">
            <v>0</v>
          </cell>
        </row>
      </sheetData>
      <sheetData sheetId="579">
        <row r="16">
          <cell r="G16">
            <v>0</v>
          </cell>
        </row>
      </sheetData>
      <sheetData sheetId="580">
        <row r="16">
          <cell r="G16">
            <v>0</v>
          </cell>
        </row>
      </sheetData>
      <sheetData sheetId="581">
        <row r="16">
          <cell r="G16">
            <v>0</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6">
          <cell r="G16">
            <v>132.10688000000002</v>
          </cell>
        </row>
      </sheetData>
      <sheetData sheetId="596">
        <row r="16">
          <cell r="G16">
            <v>0</v>
          </cell>
        </row>
      </sheetData>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16">
          <cell r="G16">
            <v>0</v>
          </cell>
        </row>
      </sheetData>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6">
          <cell r="G16">
            <v>0</v>
          </cell>
        </row>
      </sheetData>
      <sheetData sheetId="632">
        <row r="16">
          <cell r="G16">
            <v>0</v>
          </cell>
        </row>
      </sheetData>
      <sheetData sheetId="633">
        <row r="16">
          <cell r="G16">
            <v>0</v>
          </cell>
        </row>
      </sheetData>
      <sheetData sheetId="634">
        <row r="16">
          <cell r="G16">
            <v>132.10688000000002</v>
          </cell>
        </row>
      </sheetData>
      <sheetData sheetId="635">
        <row r="16">
          <cell r="G16">
            <v>0</v>
          </cell>
        </row>
      </sheetData>
      <sheetData sheetId="636">
        <row r="16">
          <cell r="G16">
            <v>0</v>
          </cell>
        </row>
      </sheetData>
      <sheetData sheetId="637">
        <row r="16">
          <cell r="G16">
            <v>0</v>
          </cell>
        </row>
      </sheetData>
      <sheetData sheetId="638">
        <row r="16">
          <cell r="G16">
            <v>132.10688000000002</v>
          </cell>
        </row>
      </sheetData>
      <sheetData sheetId="639">
        <row r="16">
          <cell r="G16">
            <v>0</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16">
          <cell r="G16">
            <v>0</v>
          </cell>
        </row>
      </sheetData>
      <sheetData sheetId="662">
        <row r="16">
          <cell r="G16">
            <v>0</v>
          </cell>
        </row>
      </sheetData>
      <sheetData sheetId="663">
        <row r="16">
          <cell r="G16">
            <v>0</v>
          </cell>
        </row>
      </sheetData>
      <sheetData sheetId="664">
        <row r="16">
          <cell r="G16">
            <v>0</v>
          </cell>
        </row>
      </sheetData>
      <sheetData sheetId="665">
        <row r="16">
          <cell r="G16">
            <v>0</v>
          </cell>
        </row>
      </sheetData>
      <sheetData sheetId="666">
        <row r="16">
          <cell r="G16">
            <v>0</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16">
          <cell r="G16">
            <v>0</v>
          </cell>
        </row>
      </sheetData>
      <sheetData sheetId="681">
        <row r="16">
          <cell r="G16">
            <v>0</v>
          </cell>
        </row>
      </sheetData>
      <sheetData sheetId="682">
        <row r="16">
          <cell r="G16">
            <v>132.10688000000002</v>
          </cell>
        </row>
      </sheetData>
      <sheetData sheetId="683">
        <row r="16">
          <cell r="G16">
            <v>0</v>
          </cell>
        </row>
      </sheetData>
      <sheetData sheetId="684">
        <row r="16">
          <cell r="G16">
            <v>0</v>
          </cell>
        </row>
      </sheetData>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적용환율"/>
      <sheetName val="eq_data"/>
      <sheetName val="GM 000"/>
      <sheetName val="BQ"/>
      <sheetName val="입찰안"/>
      <sheetName val="내역서 "/>
      <sheetName val="data1"/>
      <sheetName val="BID"/>
      <sheetName val="단면치수"/>
      <sheetName val="기초공"/>
      <sheetName val="기둥(원형)"/>
      <sheetName val="내역서"/>
      <sheetName val="부대공"/>
      <sheetName val="포장공"/>
      <sheetName val="토공"/>
      <sheetName val="갑지(추정)"/>
      <sheetName val="#REF"/>
      <sheetName val="1단계"/>
      <sheetName val="차액보증"/>
      <sheetName val="간지"/>
      <sheetName val="EACT10"/>
      <sheetName val="토목내역"/>
      <sheetName val="ilch"/>
      <sheetName val="ELECabp2"/>
      <sheetName val="BQ(실행)"/>
      <sheetName val="전기일위대가"/>
      <sheetName val="EKOG10건축"/>
      <sheetName val="내역서(총)"/>
      <sheetName val="대비"/>
      <sheetName val="예산M12A"/>
      <sheetName val="건축내역"/>
      <sheetName val="Sheet5"/>
      <sheetName val="CAL."/>
      <sheetName val="BUDAI"/>
      <sheetName val="DATA"/>
      <sheetName val="공사비집계"/>
      <sheetName val="BSD (2)"/>
      <sheetName val="소업1교"/>
      <sheetName val="설계조건"/>
      <sheetName val="기계내역"/>
      <sheetName val="공사내역"/>
      <sheetName val="type-F"/>
      <sheetName val="데이타"/>
      <sheetName val="부대내역"/>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ing"/>
      <sheetName val="당초"/>
      <sheetName val="설산1.나"/>
      <sheetName val="본사S"/>
      <sheetName val="예산서"/>
      <sheetName val="WORK"/>
      <sheetName val="정부노임단가"/>
      <sheetName val="2F 회의실견적(5_14 일대)"/>
      <sheetName val="공사비 내역 (가)"/>
      <sheetName val="OCT_FDN"/>
      <sheetName val="OCT.FDN"/>
      <sheetName val="INDIRECT COST-PART l"/>
      <sheetName val="BM"/>
      <sheetName val="BQ"/>
      <sheetName val="COVER"/>
      <sheetName val="ITB COST"/>
      <sheetName val="SPLHTLS"/>
      <sheetName val="투입실적"/>
      <sheetName val="Equipment"/>
      <sheetName val="Piping"/>
      <sheetName val="Sheet4"/>
      <sheetName val="산근"/>
      <sheetName val="SOHAR(2nd)"/>
      <sheetName val="1. Piping Final BOQ List"/>
      <sheetName val="PipWT"/>
      <sheetName val="eq_data"/>
      <sheetName val="NEWDRAW"/>
      <sheetName val="HDECGTY"/>
      <sheetName val="환율표"/>
      <sheetName val="예산"/>
      <sheetName val="설산1_나"/>
      <sheetName val="ITB_COST"/>
      <sheetName val="OCT_FDN1"/>
      <sheetName val="2F_회의실견적(5_14_일대)"/>
      <sheetName val="공사비_내역_(가)"/>
      <sheetName val="INDIRECT_COST-PART_l"/>
      <sheetName val="1__Piping_Final_BOQ_List"/>
      <sheetName val="AABS내역"/>
      <sheetName val="fitting"/>
      <sheetName val="설계조건"/>
      <sheetName val="부재력정리"/>
      <sheetName val="PROG_DATA"/>
      <sheetName val="BLR 1"/>
      <sheetName val="GEN"/>
      <sheetName val="GAS"/>
      <sheetName val="DEAE"/>
      <sheetName val="BLR2"/>
      <sheetName val="BLR3"/>
      <sheetName val="BLR4"/>
      <sheetName val="BLR5"/>
      <sheetName val="DEM"/>
      <sheetName val="SAM"/>
      <sheetName val="CHEM"/>
      <sheetName val="COP"/>
      <sheetName val="八幡"/>
      <sheetName val="Proposal"/>
      <sheetName val="GM 000"/>
      <sheetName val="csdim"/>
      <sheetName val="cdsload"/>
      <sheetName val="chsload"/>
      <sheetName val="CLAMP"/>
      <sheetName val="cvsload"/>
      <sheetName val="pipe"/>
      <sheetName val="Cash2"/>
      <sheetName val="Z"/>
      <sheetName val="Areas"/>
      <sheetName val="Utility"/>
      <sheetName val="pakg-1"/>
      <sheetName val="DB_ET200(R. A)"/>
      <sheetName val="PIPES"/>
      <sheetName val="TUBES"/>
      <sheetName val="SCHEDULE"/>
      <sheetName val="적용환율"/>
      <sheetName val="¼³»ê1.³ª"/>
      <sheetName val="º»»çS"/>
      <sheetName val="´çÃÊ"/>
      <sheetName val="¿¹»ê¼­"/>
      <sheetName val="물량산출"/>
      <sheetName val="도급양식"/>
      <sheetName val="공사비내역서"/>
      <sheetName val="환산표"/>
      <sheetName val="일위대가목록"/>
      <sheetName val="Database"/>
      <sheetName val="SUMMARY"/>
      <sheetName val="운송비 및 보험료(991221)"/>
      <sheetName val="압력부제조원가 비교-1"/>
      <sheetName val="Spare Parts(990104)"/>
      <sheetName val="ECL"/>
      <sheetName val="PRECAST lightconc-II"/>
      <sheetName val="변수적용"/>
      <sheetName val="Sheet1"/>
      <sheetName val="HRSG PRINT"/>
      <sheetName val="#REF"/>
      <sheetName val="Conversions"/>
      <sheetName val="PBS"/>
      <sheetName val="카메라"/>
      <sheetName val="RFP007"/>
      <sheetName val="RFP006"/>
      <sheetName val="RFP005"/>
      <sheetName val="RFP009"/>
      <sheetName val="변수 정의"/>
      <sheetName val="18 BL 배관 내역"/>
      <sheetName val="#3E1_GCR"/>
      <sheetName val="B31.1"/>
      <sheetName val="PSIZE"/>
      <sheetName val="ITEM-LIST"/>
      <sheetName val="MixBed"/>
      <sheetName val="CondPol"/>
      <sheetName val="변수정리"/>
      <sheetName val="공정율(기초자료)"/>
      <sheetName val="Table"/>
      <sheetName val="Desal-E&amp;I"/>
      <sheetName val="BOQ for HRSG &amp; BOP-mech."/>
      <sheetName val="손익현황"/>
      <sheetName val="현황CODE"/>
      <sheetName val="06-BATCH "/>
      <sheetName val="A"/>
      <sheetName val="Mech CIF"/>
      <sheetName val="Base_Data"/>
      <sheetName val="입력값"/>
      <sheetName val="내역"/>
      <sheetName val="6-2차"/>
      <sheetName val="Code 02"/>
      <sheetName val="Code 03"/>
      <sheetName val="Code 04"/>
      <sheetName val="Code 05"/>
      <sheetName val="Code 06"/>
      <sheetName val="Code 07"/>
      <sheetName val="Code 09"/>
      <sheetName val="Code03"/>
      <sheetName val="5-Digit"/>
      <sheetName val="Inputs"/>
      <sheetName val="BD"/>
      <sheetName val="LAB"/>
      <sheetName val="4300 UTILITY BLDG (2)"/>
      <sheetName val="Main"/>
      <sheetName val="Data"/>
      <sheetName val="SILICATE"/>
      <sheetName val="h-013211-2"/>
      <sheetName val="SE-611"/>
      <sheetName val="간접총괄"/>
      <sheetName val="BQ(Piping)"/>
      <sheetName val="C3"/>
      <sheetName val="예산M12A"/>
      <sheetName val="dg-VTu"/>
      <sheetName val="Tke"/>
      <sheetName val="직원동원계획"/>
      <sheetName val="purpose&amp;input"/>
      <sheetName val="현대건설 증가분 내역"/>
      <sheetName val="근거 및 가정"/>
      <sheetName val="97 사업추정(WEKI)"/>
      <sheetName val="임율 Data"/>
      <sheetName val="총괄갑 "/>
      <sheetName val="Form_A"/>
      <sheetName val="TOEC"/>
      <sheetName val="뚝토공"/>
      <sheetName val="3BL공동구 수량"/>
      <sheetName val="design criteria"/>
      <sheetName val="plan&amp;section of foundation"/>
      <sheetName val="BCK_TSUP"/>
      <sheetName val=" GULF"/>
      <sheetName val="D-3503"/>
      <sheetName val="RING WALL"/>
      <sheetName val="202"/>
      <sheetName val="reinforce"/>
      <sheetName val="손익차총괄2"/>
      <sheetName val="간접인원 급료산출"/>
      <sheetName val="INDIRECT MOBILIZATION PLAN"/>
      <sheetName val="MANPOWER MOBILIZATION"/>
      <sheetName val="LABOR MOBILIZATION PLAN"/>
      <sheetName val="STAFF MOBILIZATION PLAN"/>
      <sheetName val="BREAKDOWN"/>
      <sheetName val="PERSONNEL SETUP"/>
      <sheetName val="TEMPORARY FACILITIES"/>
      <sheetName val="WATER SUPPLY"/>
      <sheetName val="LIST OF OFFICE EQUIPMENT"/>
      <sheetName val="KOREAN STAFF SALARY - SITE"/>
      <sheetName val="DI-ESTI"/>
      <sheetName val="Material and Manpower data"/>
      <sheetName val="RE9604"/>
      <sheetName val="현장관리비"/>
      <sheetName val="노임이"/>
      <sheetName val="설계내역서"/>
      <sheetName val="부대내역"/>
      <sheetName val="공통비"/>
      <sheetName val="MOTOR"/>
      <sheetName val="1.설계조건"/>
      <sheetName val="ISBL (검증)"/>
      <sheetName val="BQ External"/>
      <sheetName val="estimate"/>
      <sheetName val="IN"/>
      <sheetName val="6,000"/>
      <sheetName val="COPY"/>
      <sheetName val="OC1998"/>
      <sheetName val="技師派遣"/>
      <sheetName val="CE-ORG"/>
      <sheetName val="현재환율"/>
      <sheetName val="sum"/>
      <sheetName val="변화치수"/>
      <sheetName val="305c-101"/>
      <sheetName val="TTL"/>
      <sheetName val="노임단가"/>
      <sheetName val="공사뱄 내역 (가)"/>
      <sheetName val="내역서"/>
      <sheetName val="공사내역"/>
      <sheetName val="IMP(MAIN)"/>
      <sheetName val="IMP (REACTOR)"/>
      <sheetName val="유화"/>
      <sheetName val="CAL"/>
      <sheetName val="다이꾸"/>
      <sheetName val="MOB-MAN1"/>
      <sheetName val="IMPEADENCE MAP 취수장"/>
      <sheetName val="CWP"/>
      <sheetName val="load"/>
      <sheetName val="노임9월"/>
      <sheetName val="working load at the btm ft."/>
      <sheetName val="stability check"/>
      <sheetName val="design load"/>
      <sheetName val="???"/>
      <sheetName val="산정기준"/>
      <sheetName val="GVL"/>
      <sheetName val="CALCULATION"/>
      <sheetName val="Sheet"/>
      <sheetName val="BEND LOSS"/>
      <sheetName val="공사계획서"/>
      <sheetName val="품셈표"/>
      <sheetName val=" 갑지"/>
      <sheetName val="시행예산"/>
      <sheetName val="Horizontal GLL Double Weir"/>
      <sheetName val="Vertical GLL with plate pack"/>
      <sheetName val="SP&amp;ST 제출가"/>
      <sheetName val="96수출"/>
      <sheetName val="NPV"/>
      <sheetName val="인쇄방법"/>
      <sheetName val="MAN-Sch"/>
      <sheetName val="Wind Load(3.1) (2)"/>
      <sheetName val="Wind Load(3.2)"/>
      <sheetName val="Wind Load(3.4)"/>
      <sheetName val="차액보증"/>
      <sheetName val="물량"/>
      <sheetName val="예가표"/>
      <sheetName val="Generic Type 1-2"/>
      <sheetName val="L(2)"/>
      <sheetName val="전기"/>
      <sheetName val="합의경상"/>
      <sheetName val="공사설계서"/>
      <sheetName val="NYS"/>
      <sheetName val="DRUM강도계산(OD기준)"/>
      <sheetName val="dongia (2)"/>
      <sheetName val="ilch"/>
      <sheetName val="단가조사서"/>
      <sheetName val="남양시작동자105노65기1.3화1.2"/>
      <sheetName val="BQ List"/>
      <sheetName val="DATA LISTS"/>
      <sheetName val="SECT-LIST"/>
      <sheetName val="가BM"/>
      <sheetName val="토적집계표"/>
      <sheetName val="FAB별"/>
      <sheetName val=""/>
      <sheetName val="Factor"/>
      <sheetName val="PUMP"/>
      <sheetName val="Final(1)summary"/>
      <sheetName val="7000"/>
      <sheetName val="E-203"/>
      <sheetName val="CODE"/>
      <sheetName val="Overall"/>
      <sheetName val="バルブ材質選定データ"/>
      <sheetName val="ﾄﾞﾊﾞｲFUEL GAS追見"/>
      <sheetName val="Page 1"/>
      <sheetName val="RAB"/>
      <sheetName val="RINCI EXT"/>
      <sheetName val="1"/>
      <sheetName val="2"/>
      <sheetName val="SD"/>
      <sheetName val="Reloc &amp; Living Cost"/>
      <sheetName val="Sal"/>
      <sheetName val="Rupiah"/>
      <sheetName val="Potongan"/>
      <sheetName val="BPM"/>
      <sheetName val="123"/>
      <sheetName val="Y-WORK"/>
      <sheetName val="우각부보강"/>
      <sheetName val="CAT_5"/>
      <sheetName val="Sheet5"/>
      <sheetName val="공문"/>
      <sheetName val="계산근거"/>
      <sheetName val="견적집계표"/>
      <sheetName val="TIE-IN"/>
      <sheetName val="VALVE"/>
      <sheetName val="등변ㄱ 형강"/>
      <sheetName val="단중표"/>
      <sheetName val="견적 집계"/>
      <sheetName val="JOB特定"/>
      <sheetName val="설산1_나1"/>
      <sheetName val="2F_회의실견적(5_14_일대)1"/>
      <sheetName val="공사비_내역_(가)1"/>
      <sheetName val="OCT_FDN2"/>
      <sheetName val="INDIRECT_COST-PART_l1"/>
      <sheetName val="ITB_COST1"/>
      <sheetName val="1__Piping_Final_BOQ_List1"/>
      <sheetName val="BLR_1"/>
      <sheetName val="DB_ET200(R__A)"/>
      <sheetName val="GM_000"/>
      <sheetName val="¼³»ê1_³ª"/>
      <sheetName val="BEND_LOSS"/>
      <sheetName val="근거_및_가정"/>
      <sheetName val="06-BATCH_"/>
      <sheetName val="Mech_CIF"/>
      <sheetName val="운송비_및_보험료(991221)"/>
      <sheetName val="압력부제조원가_비교-1"/>
      <sheetName val="Spare_Parts(990104)"/>
      <sheetName val="PRECAST_lightconc-II"/>
      <sheetName val="HRSG_PRINT"/>
      <sheetName val="변수_정의"/>
      <sheetName val="18_BL_배관_내역"/>
      <sheetName val="B31_1"/>
      <sheetName val="BOQ_for_HRSG_&amp;_BOP-mech_"/>
      <sheetName val="Code_02"/>
      <sheetName val="Code_03"/>
      <sheetName val="Code_04"/>
      <sheetName val="Code_05"/>
      <sheetName val="Code_06"/>
      <sheetName val="Code_07"/>
      <sheetName val="Code_09"/>
      <sheetName val="4300_UTILITY_BLDG_(2)"/>
      <sheetName val="현대건설_증가분_내역"/>
      <sheetName val="97_사업추정(WEKI)"/>
      <sheetName val="임율_Data"/>
      <sheetName val="총괄갑_"/>
      <sheetName val="3BL공동구_수량"/>
      <sheetName val="design_criteria"/>
      <sheetName val="plan&amp;section_of_foundation"/>
      <sheetName val="_GULF"/>
      <sheetName val="DATA_LISTS"/>
      <sheetName val="등변ㄱ_형강"/>
      <sheetName val="견적_집계"/>
      <sheetName val="RING_WALL"/>
      <sheetName val="간접인원_급료산출"/>
      <sheetName val="INDIRECT_MOBILIZATION_PLAN"/>
      <sheetName val="MANPOWER_MOBILIZATION"/>
      <sheetName val="LABOR_MOBILIZATION_PLAN"/>
      <sheetName val="STAFF_MOBILIZATION_PLAN"/>
      <sheetName val="PERSONNEL_SETUP"/>
      <sheetName val="TEMPORARY_FACILITIES"/>
      <sheetName val="WATER_SUPPLY"/>
      <sheetName val="LIST_OF_OFFICE_EQUIPMENT"/>
      <sheetName val="KOREAN_STAFF_SALARY_-_SITE"/>
      <sheetName val="Material_and_Manpower_data"/>
      <sheetName val="1_설계조건"/>
      <sheetName val="ISBL_(검증)"/>
      <sheetName val="BQ_External"/>
      <sheetName val="IMP_(REACTOR)"/>
      <sheetName val="HEADER &amp; NOZZLES"/>
      <sheetName val="XL4Poppy"/>
      <sheetName val="CEQ_Master"/>
      <sheetName val="Man_Master"/>
      <sheetName val="___"/>
      <sheetName val="Assump (Static)"/>
      <sheetName val="Bill summary of cost"/>
      <sheetName val="GESTION FICHE"/>
      <sheetName val="TRADUCTION LISTES"/>
      <sheetName val="Legal Risk Analysis"/>
      <sheetName val="Equipment Schedule"/>
      <sheetName val="EE-PROP"/>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2219-TOTAL BOM"/>
      <sheetName val="input1"/>
      <sheetName val="설산1_나2"/>
      <sheetName val="2F_회의실견적(5_14_일대)2"/>
      <sheetName val="공사비_내역_(가)2"/>
      <sheetName val="OCT_FDN3"/>
      <sheetName val="INDIRECT_COST-PART_l2"/>
      <sheetName val="ITB_COST2"/>
      <sheetName val="1__Piping_Final_BOQ_List2"/>
      <sheetName val="BLR_11"/>
      <sheetName val="DB_ET200(R__A)1"/>
      <sheetName val="GM_0001"/>
      <sheetName val="¼³»ê1_³ª1"/>
      <sheetName val="06-BATCH_1"/>
      <sheetName val="Mech_CIF1"/>
      <sheetName val="운송비_및_보험료(991221)1"/>
      <sheetName val="압력부제조원가_비교-11"/>
      <sheetName val="근거_및_가정1"/>
      <sheetName val="Spare_Parts(990104)1"/>
      <sheetName val="PRECAST_lightconc-II1"/>
      <sheetName val="HRSG_PRINT1"/>
      <sheetName val="변수_정의1"/>
      <sheetName val="18_BL_배관_내역1"/>
      <sheetName val="B31_11"/>
      <sheetName val="BOQ_for_HRSG_&amp;_BOP-mech_1"/>
      <sheetName val="Code_021"/>
      <sheetName val="Code_031"/>
      <sheetName val="Code_041"/>
      <sheetName val="Code_051"/>
      <sheetName val="Code_061"/>
      <sheetName val="Code_071"/>
      <sheetName val="Code_091"/>
      <sheetName val="4300_UTILITY_BLDG_(2)1"/>
      <sheetName val="현대건설_증가분_내역1"/>
      <sheetName val="97_사업추정(WEKI)1"/>
      <sheetName val="임율_Data1"/>
      <sheetName val="총괄갑_1"/>
      <sheetName val="3BL공동구_수량1"/>
      <sheetName val="design_criteria1"/>
      <sheetName val="plan&amp;section_of_foundation1"/>
      <sheetName val="_GULF1"/>
      <sheetName val="RING_WALL1"/>
      <sheetName val="간접인원_급료산출1"/>
      <sheetName val="INDIRECT_MOBILIZATION_PLAN1"/>
      <sheetName val="MANPOWER_MOBILIZATION1"/>
      <sheetName val="LABOR_MOBILIZATION_PLAN1"/>
      <sheetName val="STAFF_MOBILIZATION_PLAN1"/>
      <sheetName val="PERSONNEL_SETUP1"/>
      <sheetName val="TEMPORARY_FACILITIES1"/>
      <sheetName val="WATER_SUPPLY1"/>
      <sheetName val="LIST_OF_OFFICE_EQUIPMENT1"/>
      <sheetName val="KOREAN_STAFF_SALARY_-_SITE1"/>
      <sheetName val="Material_and_Manpower_data1"/>
      <sheetName val="1_설계조건1"/>
      <sheetName val="ISBL_(검증)1"/>
      <sheetName val="BQ_External1"/>
      <sheetName val="working_load_at_the_btm_ft_"/>
      <sheetName val="stability_check"/>
      <sheetName val="design_load"/>
      <sheetName val="BEND_LOSS1"/>
      <sheetName val="IMP_(REACTOR)1"/>
      <sheetName val="_갑지"/>
      <sheetName val="공사뱄_내역_(가)"/>
      <sheetName val="IMPEADENCE_MAP_취수장"/>
      <sheetName val="Horizontal_GLL_Double_Weir"/>
      <sheetName val="Vertical_GLL_with_plate_pack"/>
      <sheetName val="SP&amp;ST_제출가"/>
      <sheetName val="Wind_Load(3_1)_(2)"/>
      <sheetName val="Wind_Load(3_2)"/>
      <sheetName val="Wind_Load(3_4)"/>
      <sheetName val="Generic_Type_1-2"/>
      <sheetName val="dongia_(2)"/>
      <sheetName val="남양시작동자105노65기1_3화1_2"/>
      <sheetName val="BQ_List"/>
      <sheetName val="DATA_LISTS1"/>
      <sheetName val="ﾄﾞﾊﾞｲFUEL_GAS追見"/>
      <sheetName val="Page_1"/>
      <sheetName val="RINCI_EXT"/>
      <sheetName val="Reloc_&amp;_Living_Cost"/>
      <sheetName val="등변ㄱ_형강1"/>
      <sheetName val="견적_집계1"/>
      <sheetName val="HEADER_&amp;_NOZZLES"/>
      <sheetName val="Assump_(Static)"/>
      <sheetName val="Bill_summary_of_cost"/>
      <sheetName val="GESTION_FICHE"/>
      <sheetName val="TRADUCTION_LISTES"/>
      <sheetName val="Legal_Risk_Analysis"/>
      <sheetName val="Equipment_Schedule"/>
      <sheetName val="2219-TOTAL_BOM"/>
      <sheetName val="설산1_나3"/>
      <sheetName val="2F_회의실견적(5_14_일대)3"/>
      <sheetName val="공사비_내역_(가)3"/>
      <sheetName val="OCT_FDN4"/>
      <sheetName val="INDIRECT_COST-PART_l3"/>
      <sheetName val="ITB_COST3"/>
      <sheetName val="1__Piping_Final_BOQ_List3"/>
      <sheetName val="BLR_12"/>
      <sheetName val="DB_ET200(R__A)2"/>
      <sheetName val="GM_0002"/>
      <sheetName val="¼³»ê1_³ª2"/>
      <sheetName val="06-BATCH_2"/>
      <sheetName val="Mech_CIF2"/>
      <sheetName val="운송비_및_보험료(991221)2"/>
      <sheetName val="압력부제조원가_비교-12"/>
      <sheetName val="근거_및_가정2"/>
      <sheetName val="Spare_Parts(990104)2"/>
      <sheetName val="PRECAST_lightconc-II2"/>
      <sheetName val="HRSG_PRINT2"/>
      <sheetName val="변수_정의2"/>
      <sheetName val="18_BL_배관_내역2"/>
      <sheetName val="B31_12"/>
      <sheetName val="BOQ_for_HRSG_&amp;_BOP-mech_2"/>
      <sheetName val="Code_022"/>
      <sheetName val="Code_032"/>
      <sheetName val="Code_042"/>
      <sheetName val="Code_052"/>
      <sheetName val="Code_062"/>
      <sheetName val="Code_072"/>
      <sheetName val="Code_092"/>
      <sheetName val="4300_UTILITY_BLDG_(2)2"/>
      <sheetName val="현대건설_증가분_내역2"/>
      <sheetName val="97_사업추정(WEKI)2"/>
      <sheetName val="임율_Data2"/>
      <sheetName val="총괄갑_2"/>
      <sheetName val="3BL공동구_수량2"/>
      <sheetName val="design_criteria2"/>
      <sheetName val="plan&amp;section_of_foundation2"/>
      <sheetName val="_GULF2"/>
      <sheetName val="RING_WALL2"/>
      <sheetName val="간접인원_급료산출2"/>
      <sheetName val="INDIRECT_MOBILIZATION_PLAN2"/>
      <sheetName val="MANPOWER_MOBILIZATION2"/>
      <sheetName val="LABOR_MOBILIZATION_PLAN2"/>
      <sheetName val="STAFF_MOBILIZATION_PLAN2"/>
      <sheetName val="PERSONNEL_SETUP2"/>
      <sheetName val="TEMPORARY_FACILITIES2"/>
      <sheetName val="WATER_SUPPLY2"/>
      <sheetName val="LIST_OF_OFFICE_EQUIPMENT2"/>
      <sheetName val="KOREAN_STAFF_SALARY_-_SITE2"/>
      <sheetName val="Material_and_Manpower_data2"/>
      <sheetName val="1_설계조건2"/>
      <sheetName val="ISBL_(검증)2"/>
      <sheetName val="BQ_External2"/>
      <sheetName val="working_load_at_the_btm_ft_1"/>
      <sheetName val="stability_check1"/>
      <sheetName val="design_load1"/>
      <sheetName val="BEND_LOSS2"/>
      <sheetName val="IMP_(REACTOR)2"/>
      <sheetName val="_갑지1"/>
      <sheetName val="공사뱄_내역_(가)1"/>
      <sheetName val="IMPEADENCE_MAP_취수장1"/>
      <sheetName val="Horizontal_GLL_Double_Weir1"/>
      <sheetName val="Vertical_GLL_with_plate_pack1"/>
      <sheetName val="SP&amp;ST_제출가1"/>
      <sheetName val="Wind_Load(3_1)_(2)1"/>
      <sheetName val="Wind_Load(3_2)1"/>
      <sheetName val="Wind_Load(3_4)1"/>
      <sheetName val="Generic_Type_1-21"/>
      <sheetName val="dongia_(2)1"/>
      <sheetName val="남양시작동자105노65기1_3화1_21"/>
      <sheetName val="BQ_List1"/>
      <sheetName val="DATA_LISTS2"/>
      <sheetName val="ﾄﾞﾊﾞｲFUEL_GAS追見1"/>
      <sheetName val="Page_11"/>
      <sheetName val="RINCI_EXT1"/>
      <sheetName val="Reloc_&amp;_Living_Cost1"/>
      <sheetName val="등변ㄱ_형강2"/>
      <sheetName val="견적_집계2"/>
      <sheetName val="HEADER_&amp;_NOZZLES1"/>
      <sheetName val="Assump_(Static)1"/>
      <sheetName val="Bill_summary_of_cost1"/>
      <sheetName val="GESTION_FICHE1"/>
      <sheetName val="TRADUCTION_LISTES1"/>
      <sheetName val="Legal_Risk_Analysis1"/>
      <sheetName val="Equipment_Schedule1"/>
      <sheetName val="2219-TOTAL_BOM1"/>
      <sheetName val="설산1_나4"/>
      <sheetName val="2F_회의실견적(5_14_일대)4"/>
      <sheetName val="공사비_내역_(가)4"/>
      <sheetName val="OCT_FDN5"/>
      <sheetName val="INDIRECT_COST-PART_l4"/>
      <sheetName val="ITB_COST4"/>
      <sheetName val="1__Piping_Final_BOQ_List4"/>
      <sheetName val="¼³»ê1_³ª3"/>
      <sheetName val="DB_ET200(R__A)3"/>
      <sheetName val="BLR_13"/>
      <sheetName val="GM_0003"/>
      <sheetName val="현대건설_증가분_내역3"/>
      <sheetName val="운송비_및_보험료(991221)3"/>
      <sheetName val="Code_023"/>
      <sheetName val="Code_033"/>
      <sheetName val="Code_043"/>
      <sheetName val="Code_053"/>
      <sheetName val="Code_063"/>
      <sheetName val="Code_073"/>
      <sheetName val="Code_093"/>
      <sheetName val="4300_UTILITY_BLDG_(2)3"/>
      <sheetName val="06-BATCH_3"/>
      <sheetName val="Mech_CIF3"/>
      <sheetName val="압력부제조원가_비교-13"/>
      <sheetName val="총괄갑_3"/>
      <sheetName val="INDIRECT_MOBILIZATION_PLAN3"/>
      <sheetName val="MANPOWER_MOBILIZATION3"/>
      <sheetName val="LABOR_MOBILIZATION_PLAN3"/>
      <sheetName val="STAFF_MOBILIZATION_PLAN3"/>
      <sheetName val="PERSONNEL_SETUP3"/>
      <sheetName val="TEMPORARY_FACILITIES3"/>
      <sheetName val="WATER_SUPPLY3"/>
      <sheetName val="LIST_OF_OFFICE_EQUIPMENT3"/>
      <sheetName val="KOREAN_STAFF_SALARY_-_SITE3"/>
      <sheetName val="Material_and_Manpower_data3"/>
      <sheetName val="BQ_External3"/>
      <sheetName val="ISBL_(검증)3"/>
      <sheetName val="dongia_(2)2"/>
      <sheetName val="Spare_Parts(990104)3"/>
      <sheetName val="PRECAST_lightconc-II3"/>
      <sheetName val="HRSG_PRINT3"/>
      <sheetName val="변수_정의3"/>
      <sheetName val="18_BL_배관_내역3"/>
      <sheetName val="B31_13"/>
      <sheetName val="BOQ_for_HRSG_&amp;_BOP-mech_3"/>
      <sheetName val="97_사업추정(WEKI)3"/>
      <sheetName val="임율_Data3"/>
      <sheetName val="RING_WALL3"/>
      <sheetName val="간접인원_급료산출3"/>
      <sheetName val="근거_및_가정3"/>
      <sheetName val="3BL공동구_수량3"/>
      <sheetName val="design_criteria3"/>
      <sheetName val="plan&amp;section_of_foundation3"/>
      <sheetName val="_GULF3"/>
      <sheetName val="1_설계조건3"/>
      <sheetName val="공사뱄_내역_(가)2"/>
      <sheetName val="IMP_(REACTOR)3"/>
      <sheetName val="IMPEADENCE_MAP_취수장2"/>
      <sheetName val="working_load_at_the_btm_ft_2"/>
      <sheetName val="stability_check2"/>
      <sheetName val="design_load2"/>
      <sheetName val="BEND_LOSS3"/>
      <sheetName val="_갑지2"/>
      <sheetName val="Horizontal_GLL_Double_Weir2"/>
      <sheetName val="Vertical_GLL_with_plate_pack2"/>
      <sheetName val="SP&amp;ST_제출가2"/>
      <sheetName val="Wind_Load(3_1)_(2)2"/>
      <sheetName val="Wind_Load(3_2)2"/>
      <sheetName val="Wind_Load(3_4)2"/>
      <sheetName val="Generic_Type_1-22"/>
      <sheetName val="남양시작동자105노65기1_3화1_22"/>
      <sheetName val="BQ_List2"/>
      <sheetName val="DATA_LISTS3"/>
      <sheetName val="ﾄﾞﾊﾞｲFUEL_GAS追見2"/>
      <sheetName val="Page_12"/>
      <sheetName val="RINCI_EXT2"/>
      <sheetName val="Reloc_&amp;_Living_Cost2"/>
      <sheetName val="등변ㄱ_형강3"/>
      <sheetName val="견적_집계3"/>
      <sheetName val="HEADER_&amp;_NOZZLES2"/>
      <sheetName val="Assump_(Static)2"/>
      <sheetName val="Bill_summary_of_cost2"/>
      <sheetName val="GESTION_FICHE2"/>
      <sheetName val="TRADUCTION_LISTES2"/>
      <sheetName val="Legal_Risk_Analysis2"/>
      <sheetName val="Equipment_Schedule2"/>
      <sheetName val="2219-TOTAL_BOM2"/>
      <sheetName val="설산1_나5"/>
      <sheetName val="2F_회의실견적(5_14_일대)5"/>
      <sheetName val="공사비_내역_(가)5"/>
      <sheetName val="OCT_FDN6"/>
      <sheetName val="INDIRECT_COST-PART_l5"/>
      <sheetName val="ITB_COST5"/>
      <sheetName val="1__Piping_Final_BOQ_List5"/>
      <sheetName val="BLR_14"/>
      <sheetName val="DB_ET200(R__A)4"/>
      <sheetName val="GM_0004"/>
      <sheetName val="¼³»ê1_³ª4"/>
      <sheetName val="06-BATCH_4"/>
      <sheetName val="Mech_CIF4"/>
      <sheetName val="운송비_및_보험료(991221)4"/>
      <sheetName val="압력부제조원가_비교-14"/>
      <sheetName val="근거_및_가정4"/>
      <sheetName val="Spare_Parts(990104)4"/>
      <sheetName val="PRECAST_lightconc-II4"/>
      <sheetName val="HRSG_PRINT4"/>
      <sheetName val="변수_정의4"/>
      <sheetName val="18_BL_배관_내역4"/>
      <sheetName val="B31_14"/>
      <sheetName val="BOQ_for_HRSG_&amp;_BOP-mech_4"/>
      <sheetName val="Code_024"/>
      <sheetName val="Code_034"/>
      <sheetName val="Code_044"/>
      <sheetName val="Code_054"/>
      <sheetName val="Code_064"/>
      <sheetName val="Code_074"/>
      <sheetName val="Code_094"/>
      <sheetName val="4300_UTILITY_BLDG_(2)4"/>
      <sheetName val="현대건설_증가분_내역4"/>
      <sheetName val="97_사업추정(WEKI)4"/>
      <sheetName val="임율_Data4"/>
      <sheetName val="총괄갑_4"/>
      <sheetName val="3BL공동구_수량4"/>
      <sheetName val="design_criteria4"/>
      <sheetName val="plan&amp;section_of_foundation4"/>
      <sheetName val="_GULF4"/>
      <sheetName val="RING_WALL4"/>
      <sheetName val="간접인원_급료산출4"/>
      <sheetName val="INDIRECT_MOBILIZATION_PLAN4"/>
      <sheetName val="MANPOWER_MOBILIZATION4"/>
      <sheetName val="LABOR_MOBILIZATION_PLAN4"/>
      <sheetName val="STAFF_MOBILIZATION_PLAN4"/>
      <sheetName val="PERSONNEL_SETUP4"/>
      <sheetName val="TEMPORARY_FACILITIES4"/>
      <sheetName val="WATER_SUPPLY4"/>
      <sheetName val="LIST_OF_OFFICE_EQUIPMENT4"/>
      <sheetName val="KOREAN_STAFF_SALARY_-_SITE4"/>
      <sheetName val="Material_and_Manpower_data4"/>
      <sheetName val="1_설계조건4"/>
      <sheetName val="ISBL_(검증)4"/>
      <sheetName val="BQ_External4"/>
      <sheetName val="working_load_at_the_btm_ft_3"/>
      <sheetName val="stability_check3"/>
      <sheetName val="design_load3"/>
      <sheetName val="BEND_LOSS4"/>
      <sheetName val="IMP_(REACTOR)4"/>
      <sheetName val="_갑지3"/>
      <sheetName val="공사뱄_내역_(가)3"/>
      <sheetName val="IMPEADENCE_MAP_취수장3"/>
      <sheetName val="Horizontal_GLL_Double_Weir3"/>
      <sheetName val="Vertical_GLL_with_plate_pack3"/>
      <sheetName val="SP&amp;ST_제출가3"/>
      <sheetName val="Wind_Load(3_1)_(2)3"/>
      <sheetName val="Wind_Load(3_2)3"/>
      <sheetName val="Wind_Load(3_4)3"/>
      <sheetName val="Generic_Type_1-23"/>
      <sheetName val="dongia_(2)3"/>
      <sheetName val="남양시작동자105노65기1_3화1_23"/>
      <sheetName val="BQ_List3"/>
      <sheetName val="DATA_LISTS4"/>
      <sheetName val="ﾄﾞﾊﾞｲFUEL_GAS追見3"/>
      <sheetName val="Page_13"/>
      <sheetName val="RINCI_EXT3"/>
      <sheetName val="Reloc_&amp;_Living_Cost3"/>
      <sheetName val="2219-TOTAL_BOM3"/>
      <sheetName val="등변ㄱ_형강4"/>
      <sheetName val="견적_집계4"/>
      <sheetName val="HEADER_&amp;_NOZZLES3"/>
      <sheetName val="Assump_(Static)3"/>
      <sheetName val="Bill_summary_of_cost3"/>
      <sheetName val="GESTION_FICHE3"/>
      <sheetName val="TRADUCTION_LISTES3"/>
      <sheetName val="Legal_Risk_Analysis3"/>
      <sheetName val="Equipment_Schedule3"/>
      <sheetName val="Index"/>
      <sheetName val="Sch. Areas"/>
      <sheetName val="CPA33-34"/>
      <sheetName val="SubmitCal"/>
      <sheetName val="Intro"/>
      <sheetName val="Hotel Summary"/>
      <sheetName val="Add2-om-mep"/>
      <sheetName val="General Summary"/>
      <sheetName val="Master Data Sheet"/>
      <sheetName val="HQ-TO"/>
      <sheetName val="Sensitivities"/>
      <sheetName val="1 Summary"/>
      <sheetName val="mvac_Offer"/>
      <sheetName val="mvac_BOQ"/>
      <sheetName val="P"/>
      <sheetName val="Factors"/>
      <sheetName val="cable"/>
      <sheetName val="EQUIP-Submission"/>
      <sheetName val="Valori"/>
      <sheetName val="INS"/>
      <sheetName val="Summary mechanical"/>
      <sheetName val="Foglio1"/>
      <sheetName val="수량산출"/>
      <sheetName val="KP_List old qty"/>
      <sheetName val="맨홀수량집계"/>
      <sheetName val="UOP 508 PG 2-9"/>
      <sheetName val="listes"/>
      <sheetName val="Header QIP"/>
      <sheetName val="Horizontal GLL with Boot"/>
      <sheetName val="Vertical GLL Downpipes"/>
      <sheetName val="Streamdata"/>
      <sheetName val="Horizontal LL Separator"/>
      <sheetName val="SMS_SMSM_SVS"/>
      <sheetName val="E-2115.1"/>
      <sheetName val="UB2"/>
      <sheetName val="costing_ESDV"/>
      <sheetName val="costing_Misc"/>
      <sheetName val="costing_MOV"/>
      <sheetName val="3.현장배치"/>
      <sheetName val="간접비(1)"/>
      <sheetName val="공사비PK5월"/>
      <sheetName val="사업계획"/>
      <sheetName val="REINF."/>
      <sheetName val="SKETCH"/>
      <sheetName val="LOADS"/>
      <sheetName val="Gia_GC_Satthep"/>
      <sheetName val="Dieuchinh"/>
      <sheetName val="Sheet2"/>
      <sheetName val="견적"/>
      <sheetName val="原価内訳表"/>
      <sheetName val="노무 단가"/>
      <sheetName val="기초자료"/>
      <sheetName val="요인분석"/>
      <sheetName val="DATA for Bill"/>
      <sheetName val="Data Vol"/>
      <sheetName val="매출원가"/>
      <sheetName val="Steam Table"/>
      <sheetName val="beam-reinf "/>
      <sheetName val="Mp-team 1"/>
      <sheetName val="기계내역서"/>
      <sheetName val="Vehicles"/>
      <sheetName val="Struct_Earth"/>
      <sheetName val="SLABREINF-SCH"/>
      <sheetName val="Ground Covers Schedule"/>
      <sheetName val="MASTER_RATE ANALYSIS"/>
      <sheetName val="Section 2-SCHEDULE OF DAYWORK"/>
      <sheetName val="Construction"/>
      <sheetName val="1.0 Summary"/>
      <sheetName val="DRAIN DRUM PIT D-301"/>
      <sheetName val="in_progress"/>
      <sheetName val="Graph (LGEN)"/>
      <sheetName val="out_prog"/>
      <sheetName val="선적schedule (2)"/>
      <sheetName val="Names"/>
      <sheetName val="Decription(Onshore)"/>
      <sheetName val="물량산출근거"/>
      <sheetName val="조명시설"/>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Lists"/>
      <sheetName val="CERTIFICATE"/>
      <sheetName val="GVL"/>
      <sheetName val="차액보증"/>
      <sheetName val="Labor_Sum"/>
      <sheetName val="Struct_Sum"/>
      <sheetName val="Elec_Sum"/>
      <sheetName val="Mech_Sum"/>
      <sheetName val="Steel_Take-off"/>
      <sheetName val="Pipe_Conveyor"/>
      <sheetName val="BM"/>
      <sheetName val="CCS"/>
      <sheetName val="DPres Calc"/>
      <sheetName val="DTmpData"/>
    </sheetNames>
    <sheetDataSet>
      <sheetData sheetId="0" refreshError="1"/>
      <sheetData sheetId="1" refreshError="1">
        <row r="38">
          <cell r="C38">
            <v>823192.52336448582</v>
          </cell>
        </row>
        <row r="57">
          <cell r="I57" t="str">
            <v>No</v>
          </cell>
        </row>
        <row r="59">
          <cell r="D59">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21"/>
      <sheetName val="622"/>
      <sheetName val="622B"/>
      <sheetName val="627"/>
      <sheetName val="155"/>
      <sheetName val="154"/>
      <sheetName val="IN"/>
      <sheetName val="XNT152"/>
      <sheetName val="152"/>
      <sheetName val="153"/>
      <sheetName val="Sheet1"/>
      <sheetName val="THC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amp; NOZZLES"/>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TERIALS"/>
      <sheetName val="BOM"/>
      <sheetName val="MTO"/>
      <sheetName val="Sheet3"/>
      <sheetName val="MTO (du pho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f_flat_center"/>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IPING"/>
      <sheetName val="STLSTR"/>
      <sheetName val="EQUIP"/>
      <sheetName val="INDIRECT"/>
      <sheetName val="MP"/>
      <sheetName val="CONEQ."/>
      <sheetName val="TOOL"/>
      <sheetName val="SCHE"/>
      <sheetName val="LABOR"/>
      <sheetName val="일위대가"/>
      <sheetName val="PROCESS"/>
      <sheetName val="98-034-1"/>
      <sheetName val="BEAM"/>
      <sheetName val="cov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BCTHOP"/>
      <sheetName val="PHAN NHOM"/>
      <sheetName val="QUYCACH"/>
      <sheetName val="Sheet2"/>
      <sheetName val="ngay"/>
      <sheetName val="ptthang "/>
      <sheetName val="GROUP"/>
      <sheetName val="G-XUAT"/>
      <sheetName val="00000000"/>
      <sheetName val="10000000"/>
      <sheetName val="XL4Poppy"/>
    </sheetNames>
    <sheetDataSet>
      <sheetData sheetId="0"/>
      <sheetData sheetId="1"/>
      <sheetData sheetId="2">
        <row r="5">
          <cell r="C5" t="str">
            <v>H1</v>
          </cell>
          <cell r="D5" t="str">
            <v>TK99</v>
          </cell>
          <cell r="E5" t="str">
            <v>HJSCSEAAÄ86593706</v>
          </cell>
          <cell r="F5" t="str">
            <v>USA</v>
          </cell>
          <cell r="G5" t="str">
            <v>S0001861</v>
          </cell>
          <cell r="H5" t="str">
            <v>HANJIN</v>
          </cell>
          <cell r="I5" t="str">
            <v>06.02.04</v>
          </cell>
        </row>
        <row r="6">
          <cell r="C6" t="str">
            <v>H2</v>
          </cell>
          <cell r="D6" t="str">
            <v>TK128</v>
          </cell>
          <cell r="E6" t="str">
            <v>OIACAN-10121</v>
          </cell>
          <cell r="F6" t="str">
            <v>CHINA</v>
          </cell>
          <cell r="G6" t="str">
            <v>SAHCC0902</v>
          </cell>
          <cell r="H6" t="str">
            <v>TS-LINE</v>
          </cell>
          <cell r="I6" t="str">
            <v>11.02.04</v>
          </cell>
        </row>
        <row r="7">
          <cell r="C7" t="str">
            <v>H3</v>
          </cell>
          <cell r="D7" t="str">
            <v>TK150</v>
          </cell>
          <cell r="E7" t="str">
            <v>HJSCSEAAÄ86616002</v>
          </cell>
          <cell r="F7" t="str">
            <v>USA</v>
          </cell>
          <cell r="G7" t="str">
            <v>S0001907</v>
          </cell>
          <cell r="H7" t="str">
            <v>HANJIN</v>
          </cell>
          <cell r="I7" t="str">
            <v>13.02.04</v>
          </cell>
        </row>
        <row r="8">
          <cell r="C8" t="str">
            <v>H4</v>
          </cell>
          <cell r="D8" t="str">
            <v>TK176</v>
          </cell>
          <cell r="E8" t="str">
            <v>HJSCSEAA86643601</v>
          </cell>
          <cell r="F8" t="str">
            <v>USA</v>
          </cell>
          <cell r="G8" t="str">
            <v>S0001945</v>
          </cell>
          <cell r="H8" t="str">
            <v>HANJIN</v>
          </cell>
          <cell r="I8" t="str">
            <v>17.02.04</v>
          </cell>
        </row>
        <row r="9">
          <cell r="C9" t="str">
            <v>H5</v>
          </cell>
          <cell r="D9" t="str">
            <v>TK192</v>
          </cell>
          <cell r="E9" t="str">
            <v>OIACAN-10123</v>
          </cell>
          <cell r="F9" t="str">
            <v>CHINA</v>
          </cell>
          <cell r="G9" t="str">
            <v>S0002050</v>
          </cell>
          <cell r="H9" t="str">
            <v>TS-LINE</v>
          </cell>
          <cell r="I9" t="str">
            <v>21.02.04</v>
          </cell>
        </row>
        <row r="10">
          <cell r="C10" t="str">
            <v>H6</v>
          </cell>
          <cell r="D10" t="str">
            <v>TK196</v>
          </cell>
          <cell r="E10" t="str">
            <v>0IACAN-10126</v>
          </cell>
          <cell r="F10" t="str">
            <v>CHINA</v>
          </cell>
          <cell r="G10" t="str">
            <v>S0002099</v>
          </cell>
          <cell r="H10" t="str">
            <v>TS-LINE</v>
          </cell>
          <cell r="I10" t="str">
            <v>23.02.04</v>
          </cell>
        </row>
        <row r="11">
          <cell r="C11" t="str">
            <v>H7</v>
          </cell>
          <cell r="D11" t="str">
            <v>TK214</v>
          </cell>
          <cell r="E11" t="str">
            <v>HJCSEAA86670406</v>
          </cell>
          <cell r="F11" t="str">
            <v>USA</v>
          </cell>
          <cell r="G11" t="str">
            <v>S0001977</v>
          </cell>
          <cell r="H11" t="str">
            <v>TS-LINE</v>
          </cell>
          <cell r="I11" t="str">
            <v>25.02.04</v>
          </cell>
        </row>
        <row r="12">
          <cell r="C12" t="str">
            <v>H8</v>
          </cell>
          <cell r="D12" t="str">
            <v>TK227</v>
          </cell>
          <cell r="E12" t="str">
            <v>OIACAN-10130</v>
          </cell>
          <cell r="F12" t="str">
            <v>CHINA</v>
          </cell>
          <cell r="G12" t="str">
            <v>S0002143</v>
          </cell>
          <cell r="H12" t="str">
            <v>TS-LINE</v>
          </cell>
          <cell r="I12" t="str">
            <v>01.03.04</v>
          </cell>
        </row>
        <row r="13">
          <cell r="C13" t="str">
            <v>H9</v>
          </cell>
          <cell r="D13" t="str">
            <v>TK243</v>
          </cell>
          <cell r="E13" t="str">
            <v>OIACAN-10132</v>
          </cell>
          <cell r="F13" t="str">
            <v>CHINA</v>
          </cell>
          <cell r="G13" t="str">
            <v>SAHCC0910</v>
          </cell>
          <cell r="H13" t="str">
            <v>TS-LINE</v>
          </cell>
          <cell r="I13" t="str">
            <v>08.03.04</v>
          </cell>
        </row>
        <row r="14">
          <cell r="C14" t="str">
            <v>H10</v>
          </cell>
          <cell r="D14" t="str">
            <v>TK250</v>
          </cell>
          <cell r="E14" t="str">
            <v xml:space="preserve">HJSCSEAA86714203/111058-1 </v>
          </cell>
          <cell r="F14" t="str">
            <v>USA</v>
          </cell>
          <cell r="G14" t="str">
            <v>S0002017</v>
          </cell>
          <cell r="H14" t="str">
            <v>HANJIN</v>
          </cell>
          <cell r="I14" t="str">
            <v>12.03.04</v>
          </cell>
        </row>
        <row r="15">
          <cell r="C15" t="str">
            <v>H11</v>
          </cell>
          <cell r="D15" t="str">
            <v>TK251</v>
          </cell>
          <cell r="E15" t="str">
            <v>OIACA-10134</v>
          </cell>
          <cell r="F15" t="str">
            <v>CHINA</v>
          </cell>
          <cell r="G15" t="str">
            <v>YMLUI333012970</v>
          </cell>
          <cell r="H15" t="str">
            <v>TS-LINE</v>
          </cell>
          <cell r="I15" t="str">
            <v>12.03.04</v>
          </cell>
        </row>
        <row r="16">
          <cell r="C16" t="str">
            <v>H12</v>
          </cell>
          <cell r="D16" t="str">
            <v>TK252</v>
          </cell>
          <cell r="E16" t="str">
            <v>00LU98265380</v>
          </cell>
          <cell r="F16" t="str">
            <v>TAIWAN</v>
          </cell>
          <cell r="G16" t="str">
            <v>S0002228</v>
          </cell>
          <cell r="H16" t="str">
            <v>OOCL</v>
          </cell>
          <cell r="I16" t="str">
            <v>13.03.04</v>
          </cell>
        </row>
        <row r="17">
          <cell r="C17" t="str">
            <v>H13</v>
          </cell>
          <cell r="D17" t="str">
            <v>TK240</v>
          </cell>
          <cell r="E17" t="str">
            <v>KKLUUS0512199</v>
          </cell>
          <cell r="F17" t="str">
            <v>USA</v>
          </cell>
          <cell r="G17" t="str">
            <v>S0002003</v>
          </cell>
          <cell r="H17" t="str">
            <v xml:space="preserve"> K-LINE</v>
          </cell>
          <cell r="I17" t="str">
            <v>05.03.04</v>
          </cell>
        </row>
        <row r="18">
          <cell r="C18" t="str">
            <v>H14</v>
          </cell>
          <cell r="D18" t="str">
            <v>TK254</v>
          </cell>
          <cell r="E18" t="str">
            <v>HJSCUEAA86743804</v>
          </cell>
          <cell r="F18" t="str">
            <v>USA</v>
          </cell>
          <cell r="G18" t="str">
            <v>S0002049</v>
          </cell>
          <cell r="H18" t="str">
            <v>HANJIN</v>
          </cell>
          <cell r="I18" t="str">
            <v>16.03.04</v>
          </cell>
        </row>
        <row r="19">
          <cell r="C19" t="str">
            <v>H15</v>
          </cell>
          <cell r="D19" t="str">
            <v>TK255</v>
          </cell>
          <cell r="E19" t="str">
            <v>OIACAN-10136</v>
          </cell>
          <cell r="F19" t="str">
            <v>CHINA</v>
          </cell>
          <cell r="G19" t="str">
            <v>S0002231</v>
          </cell>
          <cell r="H19" t="str">
            <v>TS-LINE</v>
          </cell>
          <cell r="I19" t="str">
            <v>18.03.04</v>
          </cell>
        </row>
        <row r="20">
          <cell r="C20" t="str">
            <v>H16</v>
          </cell>
          <cell r="D20" t="str">
            <v>TK257</v>
          </cell>
          <cell r="E20" t="str">
            <v>OIACAN-10138</v>
          </cell>
          <cell r="F20" t="str">
            <v>CHINA</v>
          </cell>
          <cell r="G20" t="str">
            <v>S0002288</v>
          </cell>
          <cell r="H20" t="str">
            <v>TS-LINE</v>
          </cell>
          <cell r="I20" t="str">
            <v>22.03.04</v>
          </cell>
        </row>
        <row r="21">
          <cell r="C21" t="str">
            <v>H17</v>
          </cell>
          <cell r="D21" t="str">
            <v>TK260</v>
          </cell>
          <cell r="E21" t="str">
            <v>OIACAN-10137</v>
          </cell>
          <cell r="F21" t="str">
            <v>CHINA</v>
          </cell>
          <cell r="G21" t="str">
            <v>S0002231</v>
          </cell>
          <cell r="H21" t="str">
            <v>TS-LINE</v>
          </cell>
          <cell r="I21" t="str">
            <v>24.03.04</v>
          </cell>
        </row>
        <row r="22">
          <cell r="C22" t="str">
            <v>H18</v>
          </cell>
          <cell r="D22" t="str">
            <v>TK262</v>
          </cell>
          <cell r="E22" t="str">
            <v>HSCSEAA86767500</v>
          </cell>
          <cell r="F22" t="str">
            <v>USA</v>
          </cell>
          <cell r="G22" t="str">
            <v>S0002098</v>
          </cell>
          <cell r="H22" t="str">
            <v>HANJIN</v>
          </cell>
          <cell r="I22" t="str">
            <v>24.03.04</v>
          </cell>
        </row>
        <row r="23">
          <cell r="C23" t="str">
            <v>H19</v>
          </cell>
          <cell r="D23" t="str">
            <v>TK263</v>
          </cell>
          <cell r="E23" t="str">
            <v>00LU98265381</v>
          </cell>
          <cell r="F23" t="str">
            <v>TAIWAN</v>
          </cell>
          <cell r="G23" t="str">
            <v>S0002228</v>
          </cell>
          <cell r="H23" t="str">
            <v>GENARTRANS</v>
          </cell>
          <cell r="I23" t="str">
            <v>22.03.04</v>
          </cell>
        </row>
        <row r="24">
          <cell r="C24" t="str">
            <v>H20</v>
          </cell>
          <cell r="D24" t="str">
            <v>TK264</v>
          </cell>
          <cell r="E24" t="str">
            <v>0IACAN-10139</v>
          </cell>
          <cell r="F24" t="str">
            <v>CHINA</v>
          </cell>
          <cell r="G24">
            <v>0</v>
          </cell>
          <cell r="H24" t="str">
            <v>TS-LINE</v>
          </cell>
          <cell r="I24" t="str">
            <v>30.03.04</v>
          </cell>
        </row>
        <row r="25">
          <cell r="C25" t="str">
            <v>H21</v>
          </cell>
          <cell r="D25" t="str">
            <v>TK266</v>
          </cell>
          <cell r="E25" t="str">
            <v>HJSCEAA86797200</v>
          </cell>
          <cell r="F25" t="str">
            <v>USA</v>
          </cell>
          <cell r="G25" t="str">
            <v>S0002142</v>
          </cell>
          <cell r="H25" t="str">
            <v>HANJIN</v>
          </cell>
          <cell r="I25" t="str">
            <v>29.03.04</v>
          </cell>
        </row>
        <row r="26">
          <cell r="C26" t="str">
            <v>H22</v>
          </cell>
          <cell r="D26" t="str">
            <v>TK271</v>
          </cell>
          <cell r="E26" t="str">
            <v>EISU 003400485058</v>
          </cell>
          <cell r="F26" t="str">
            <v>TAIWAN</v>
          </cell>
          <cell r="G26" t="str">
            <v>S0002338</v>
          </cell>
          <cell r="H26" t="str">
            <v>EVERGEEN</v>
          </cell>
          <cell r="I26" t="str">
            <v>31.03.04</v>
          </cell>
        </row>
        <row r="27">
          <cell r="C27" t="str">
            <v>H23</v>
          </cell>
          <cell r="D27" t="str">
            <v>TK272</v>
          </cell>
          <cell r="E27" t="str">
            <v>HJSCEAA86812202</v>
          </cell>
          <cell r="F27" t="str">
            <v>USA</v>
          </cell>
          <cell r="G27" t="str">
            <v>S0002193</v>
          </cell>
          <cell r="H27" t="str">
            <v>HANJIN</v>
          </cell>
          <cell r="I27" t="str">
            <v>04.04.04</v>
          </cell>
        </row>
        <row r="28">
          <cell r="C28" t="str">
            <v>H24</v>
          </cell>
          <cell r="D28" t="str">
            <v>TK278</v>
          </cell>
          <cell r="E28" t="str">
            <v>0014114092</v>
          </cell>
          <cell r="F28" t="str">
            <v>TAIWAN</v>
          </cell>
          <cell r="G28" t="str">
            <v>S0002381</v>
          </cell>
          <cell r="H28" t="str">
            <v>WAN HAI</v>
          </cell>
          <cell r="I28" t="str">
            <v>07.04.04</v>
          </cell>
        </row>
        <row r="29">
          <cell r="C29" t="str">
            <v>H25</v>
          </cell>
          <cell r="D29" t="str">
            <v>TK280</v>
          </cell>
          <cell r="E29" t="str">
            <v>TAHCC6403</v>
          </cell>
          <cell r="F29" t="str">
            <v>TAIWAN</v>
          </cell>
          <cell r="G29" t="str">
            <v>S0002385</v>
          </cell>
          <cell r="H29" t="str">
            <v>TSLINE</v>
          </cell>
          <cell r="I29" t="str">
            <v>08.04.04</v>
          </cell>
        </row>
        <row r="30">
          <cell r="C30" t="str">
            <v>H26</v>
          </cell>
          <cell r="D30" t="str">
            <v>TK281</v>
          </cell>
          <cell r="E30" t="str">
            <v>0014116691</v>
          </cell>
          <cell r="F30" t="str">
            <v>TAIWAN</v>
          </cell>
          <cell r="G30" t="str">
            <v>S002386; S002430</v>
          </cell>
          <cell r="H30" t="str">
            <v>WANHAI</v>
          </cell>
          <cell r="I30" t="str">
            <v>12.04.04</v>
          </cell>
        </row>
        <row r="31">
          <cell r="C31" t="str">
            <v>H27</v>
          </cell>
          <cell r="D31" t="str">
            <v>TK283</v>
          </cell>
          <cell r="E31" t="str">
            <v>0014116692</v>
          </cell>
          <cell r="F31" t="str">
            <v>TAIWAN</v>
          </cell>
          <cell r="G31" t="str">
            <v>S0002471</v>
          </cell>
          <cell r="H31" t="str">
            <v>WANHAI</v>
          </cell>
          <cell r="I31" t="str">
            <v>19.04.04</v>
          </cell>
        </row>
        <row r="32">
          <cell r="C32" t="str">
            <v>H28</v>
          </cell>
          <cell r="D32" t="str">
            <v>TK287</v>
          </cell>
          <cell r="E32" t="str">
            <v>OOLU98263440</v>
          </cell>
          <cell r="F32" t="str">
            <v>TAIWAN</v>
          </cell>
          <cell r="G32" t="str">
            <v>S0002522</v>
          </cell>
          <cell r="H32" t="str">
            <v>00CL/GENARTRANS</v>
          </cell>
          <cell r="I32" t="str">
            <v>26.04.04</v>
          </cell>
        </row>
        <row r="33">
          <cell r="C33" t="str">
            <v>H29</v>
          </cell>
          <cell r="D33" t="str">
            <v>TK290</v>
          </cell>
          <cell r="E33" t="str">
            <v>EISU003400602321</v>
          </cell>
          <cell r="F33" t="str">
            <v>TAIWAN</v>
          </cell>
          <cell r="G33" t="str">
            <v>S0002547</v>
          </cell>
          <cell r="H33" t="str">
            <v>EVERGEEN</v>
          </cell>
          <cell r="I33" t="str">
            <v>30.04.04</v>
          </cell>
        </row>
        <row r="34">
          <cell r="C34" t="str">
            <v>H30</v>
          </cell>
          <cell r="D34" t="str">
            <v>TK293</v>
          </cell>
          <cell r="E34" t="str">
            <v>EISU 003400602509</v>
          </cell>
          <cell r="F34" t="str">
            <v>TAIWAN</v>
          </cell>
          <cell r="G34" t="str">
            <v>S0002621</v>
          </cell>
          <cell r="H34" t="str">
            <v>EVERGEEN</v>
          </cell>
          <cell r="I34" t="str">
            <v>07.05.04</v>
          </cell>
        </row>
        <row r="35">
          <cell r="C35" t="str">
            <v>H31</v>
          </cell>
          <cell r="D35" t="str">
            <v>TK 295</v>
          </cell>
          <cell r="E35" t="str">
            <v>EISU 003400603254</v>
          </cell>
          <cell r="F35" t="str">
            <v>TAIWAN</v>
          </cell>
          <cell r="G35" t="str">
            <v>S0002661</v>
          </cell>
          <cell r="I35" t="str">
            <v>14.05.04</v>
          </cell>
        </row>
        <row r="36">
          <cell r="C36" t="str">
            <v>H32</v>
          </cell>
          <cell r="D36" t="str">
            <v>TK298</v>
          </cell>
          <cell r="E36" t="str">
            <v>EISU 003400603301</v>
          </cell>
          <cell r="F36" t="str">
            <v>TAIWAN</v>
          </cell>
          <cell r="G36" t="str">
            <v>S0002680</v>
          </cell>
          <cell r="I36" t="str">
            <v>21,05,04</v>
          </cell>
        </row>
        <row r="37">
          <cell r="C37" t="str">
            <v>H33</v>
          </cell>
          <cell r="D37" t="str">
            <v>TK304</v>
          </cell>
          <cell r="E37" t="str">
            <v>EISU 003400745393</v>
          </cell>
          <cell r="F37" t="str">
            <v>TAIWAN</v>
          </cell>
          <cell r="G37" t="str">
            <v>S0002718</v>
          </cell>
          <cell r="I37" t="str">
            <v>28.05.04</v>
          </cell>
        </row>
        <row r="38">
          <cell r="C38" t="str">
            <v>H34</v>
          </cell>
          <cell r="D38" t="str">
            <v>TK307</v>
          </cell>
          <cell r="E38" t="str">
            <v>02/04/KNQ (EISU 003400745407)</v>
          </cell>
          <cell r="F38" t="str">
            <v>TAIWAN</v>
          </cell>
          <cell r="G38" t="str">
            <v>S0002761</v>
          </cell>
          <cell r="I38" t="str">
            <v>04.06.04</v>
          </cell>
        </row>
        <row r="39">
          <cell r="C39" t="str">
            <v>H35</v>
          </cell>
          <cell r="D39" t="str">
            <v>TK310</v>
          </cell>
          <cell r="E39" t="str">
            <v>03/04/KNQ (EISU 003400926932)</v>
          </cell>
          <cell r="F39" t="str">
            <v>TAIWAN</v>
          </cell>
          <cell r="G39" t="str">
            <v>S0002802</v>
          </cell>
          <cell r="I39" t="str">
            <v>11.06.04</v>
          </cell>
        </row>
        <row r="40">
          <cell r="C40" t="str">
            <v>H36</v>
          </cell>
          <cell r="D40" t="str">
            <v>TK312</v>
          </cell>
          <cell r="E40" t="str">
            <v>04/04/HDKNQ(EISU 003400926975)</v>
          </cell>
          <cell r="F40" t="str">
            <v>TAIWAN</v>
          </cell>
          <cell r="G40" t="str">
            <v>S0002841</v>
          </cell>
          <cell r="I40" t="str">
            <v>18.06.04</v>
          </cell>
        </row>
        <row r="41">
          <cell r="C41" t="str">
            <v>H37</v>
          </cell>
          <cell r="D41" t="str">
            <v>TK317</v>
          </cell>
          <cell r="E41" t="str">
            <v>05/04/HDKNQ(EISU 003400926983)</v>
          </cell>
          <cell r="F41" t="str">
            <v>TAIWAN</v>
          </cell>
          <cell r="G41" t="str">
            <v>S0002886</v>
          </cell>
          <cell r="I41" t="str">
            <v>30.06.04</v>
          </cell>
        </row>
        <row r="42">
          <cell r="C42" t="str">
            <v>H38</v>
          </cell>
          <cell r="D42" t="str">
            <v>TK318</v>
          </cell>
          <cell r="E42" t="str">
            <v>06/04/HDKNQ(AT413SNPT4101)</v>
          </cell>
          <cell r="F42" t="str">
            <v>TAIWAN, CHINA, USA</v>
          </cell>
          <cell r="G42" t="str">
            <v>M0000001</v>
          </cell>
          <cell r="I42" t="str">
            <v>01.07.04</v>
          </cell>
        </row>
        <row r="43">
          <cell r="C43" t="str">
            <v>H39</v>
          </cell>
          <cell r="D43" t="str">
            <v>TK 323</v>
          </cell>
          <cell r="E43" t="str">
            <v>07/04/HDKNQ(EISU 003400926991)</v>
          </cell>
          <cell r="F43" t="str">
            <v>TAIWAN</v>
          </cell>
          <cell r="G43" t="str">
            <v>S0002912</v>
          </cell>
          <cell r="I43" t="str">
            <v>02.04.04</v>
          </cell>
        </row>
        <row r="44">
          <cell r="C44" t="str">
            <v>H40</v>
          </cell>
          <cell r="D44" t="str">
            <v>TK327</v>
          </cell>
          <cell r="E44" t="str">
            <v>08/04/04HDKNQ(GOSUBKK2041590)</v>
          </cell>
          <cell r="F44" t="str">
            <v>USA, TAIWAN, CHINA</v>
          </cell>
          <cell r="G44" t="str">
            <v>M0000002B</v>
          </cell>
          <cell r="I44" t="str">
            <v>03.07.04</v>
          </cell>
        </row>
        <row r="45">
          <cell r="C45" t="str">
            <v>H41</v>
          </cell>
          <cell r="D45" t="str">
            <v>TK328</v>
          </cell>
          <cell r="E45" t="str">
            <v>08/04/04 (GOSUBKK2041589)</v>
          </cell>
          <cell r="F45" t="str">
            <v>USA</v>
          </cell>
          <cell r="G45" t="str">
            <v>M000002A</v>
          </cell>
          <cell r="I45" t="str">
            <v>03.07.04</v>
          </cell>
        </row>
        <row r="46">
          <cell r="C46" t="str">
            <v>H42</v>
          </cell>
          <cell r="D46" t="str">
            <v>TK331</v>
          </cell>
          <cell r="E46" t="str">
            <v>10/04/KNQ (EISU 003401176970)</v>
          </cell>
          <cell r="F46" t="str">
            <v>TAIWAN</v>
          </cell>
          <cell r="G46" t="str">
            <v>S0002977</v>
          </cell>
          <cell r="I46">
            <v>38177</v>
          </cell>
        </row>
        <row r="47">
          <cell r="C47" t="str">
            <v>H43</v>
          </cell>
          <cell r="D47" t="str">
            <v>TK332</v>
          </cell>
          <cell r="E47" t="str">
            <v>11/04/HDKNQ (EISU 003401176767)</v>
          </cell>
          <cell r="F47" t="str">
            <v>TAIWAN</v>
          </cell>
          <cell r="G47" t="str">
            <v>S0002999</v>
          </cell>
          <cell r="I47">
            <v>38184</v>
          </cell>
        </row>
        <row r="48">
          <cell r="C48" t="str">
            <v>H44</v>
          </cell>
          <cell r="D48" t="str">
            <v>TK335</v>
          </cell>
          <cell r="E48" t="str">
            <v>09/04/HDKNQ(HJSCEAA17167004)</v>
          </cell>
          <cell r="F48" t="str">
            <v>USA</v>
          </cell>
          <cell r="G48" t="str">
            <v>S0002887</v>
          </cell>
          <cell r="I48">
            <v>38186</v>
          </cell>
        </row>
        <row r="49">
          <cell r="C49" t="str">
            <v>H45</v>
          </cell>
          <cell r="D49" t="str">
            <v>TK336</v>
          </cell>
          <cell r="E49" t="str">
            <v>12/04/HDKNQ(EISU003401176988)</v>
          </cell>
          <cell r="F49" t="str">
            <v>TAIWAN</v>
          </cell>
          <cell r="G49" t="str">
            <v>S0003067</v>
          </cell>
          <cell r="I49">
            <v>38191</v>
          </cell>
        </row>
        <row r="50">
          <cell r="C50" t="str">
            <v>H46</v>
          </cell>
          <cell r="D50" t="str">
            <v>TK340</v>
          </cell>
          <cell r="E50" t="str">
            <v>15/04/04HDKNQ(EISU 003401176996)</v>
          </cell>
          <cell r="F50" t="str">
            <v>TAIWAN</v>
          </cell>
          <cell r="G50" t="str">
            <v>S0003131</v>
          </cell>
          <cell r="I50">
            <v>38198</v>
          </cell>
        </row>
        <row r="51">
          <cell r="C51" t="str">
            <v>H47</v>
          </cell>
          <cell r="D51" t="str">
            <v>TK341</v>
          </cell>
          <cell r="E51" t="str">
            <v>13/04/04HDKNQ(HJSCEAA17199406)</v>
          </cell>
          <cell r="F51" t="str">
            <v>USA</v>
          </cell>
          <cell r="G51" t="str">
            <v>S0002987</v>
          </cell>
          <cell r="I51">
            <v>38203</v>
          </cell>
        </row>
        <row r="52">
          <cell r="C52" t="str">
            <v>H48</v>
          </cell>
          <cell r="D52" t="str">
            <v>TK345</v>
          </cell>
          <cell r="E52" t="str">
            <v>16/04/HDKNQ (EISU003401177003)</v>
          </cell>
          <cell r="F52" t="str">
            <v>TAIWAN</v>
          </cell>
          <cell r="G52" t="str">
            <v>S0003184</v>
          </cell>
          <cell r="I52">
            <v>38205</v>
          </cell>
        </row>
        <row r="53">
          <cell r="C53" t="str">
            <v>H49</v>
          </cell>
          <cell r="D53" t="str">
            <v>TK346</v>
          </cell>
          <cell r="E53" t="str">
            <v>14/04/KNQ (HJSCEAA17222306)</v>
          </cell>
          <cell r="F53" t="str">
            <v>USA</v>
          </cell>
          <cell r="G53" t="str">
            <v>S0003060)</v>
          </cell>
          <cell r="I53">
            <v>38207</v>
          </cell>
        </row>
        <row r="54">
          <cell r="C54" t="str">
            <v>H50</v>
          </cell>
          <cell r="D54" t="str">
            <v>TK347</v>
          </cell>
          <cell r="E54" t="str">
            <v>17/04/KNQ (EISU 003401427808)</v>
          </cell>
          <cell r="F54" t="str">
            <v>TAIWAN</v>
          </cell>
          <cell r="G54" t="str">
            <v>S0003232</v>
          </cell>
          <cell r="I54">
            <v>38212</v>
          </cell>
        </row>
        <row r="55">
          <cell r="C55" t="str">
            <v>H51</v>
          </cell>
          <cell r="D55" t="str">
            <v>TK349</v>
          </cell>
          <cell r="E55" t="str">
            <v>19/04/04 (EISU 003401427816)</v>
          </cell>
          <cell r="F55" t="str">
            <v>TAIWAN</v>
          </cell>
          <cell r="G55" t="str">
            <v>S0003259</v>
          </cell>
          <cell r="I55">
            <v>38219</v>
          </cell>
        </row>
        <row r="56">
          <cell r="C56" t="str">
            <v>H52</v>
          </cell>
          <cell r="D56" t="str">
            <v>TK352</v>
          </cell>
          <cell r="E56" t="str">
            <v>18/04/HDKNQ(HJSCEAA17251402)</v>
          </cell>
          <cell r="F56" t="str">
            <v>USA</v>
          </cell>
          <cell r="G56" t="str">
            <v>S0003148</v>
          </cell>
          <cell r="I56">
            <v>38223</v>
          </cell>
        </row>
        <row r="57">
          <cell r="C57" t="str">
            <v>H53</v>
          </cell>
          <cell r="D57" t="str">
            <v>TK353</v>
          </cell>
          <cell r="E57" t="str">
            <v>20/04/HDNQ (HDMUQIHM9500747)</v>
          </cell>
          <cell r="F57" t="str">
            <v>USA</v>
          </cell>
          <cell r="G57" t="str">
            <v>M0000003</v>
          </cell>
          <cell r="I57">
            <v>38226</v>
          </cell>
        </row>
        <row r="58">
          <cell r="C58" t="str">
            <v>H54</v>
          </cell>
          <cell r="D58" t="str">
            <v>TK355</v>
          </cell>
          <cell r="E58" t="str">
            <v>21/04/HDKNQ (EISU 003401427824)</v>
          </cell>
          <cell r="F58" t="str">
            <v>TAIWAN</v>
          </cell>
          <cell r="G58" t="str">
            <v>S0003308</v>
          </cell>
          <cell r="I58">
            <v>38231</v>
          </cell>
        </row>
        <row r="59">
          <cell r="C59" t="str">
            <v>H55</v>
          </cell>
          <cell r="D59" t="str">
            <v>TK359</v>
          </cell>
          <cell r="E59" t="str">
            <v>23/04/HDKNQ(0014389403)</v>
          </cell>
          <cell r="F59" t="str">
            <v>TAIWAN</v>
          </cell>
          <cell r="G59" t="str">
            <v>S0003347</v>
          </cell>
          <cell r="I59">
            <v>38238</v>
          </cell>
        </row>
        <row r="60">
          <cell r="C60" t="str">
            <v>H56</v>
          </cell>
          <cell r="D60" t="str">
            <v>TK360</v>
          </cell>
          <cell r="E60" t="str">
            <v>24/04/HDKNQ(EISU003401584687)</v>
          </cell>
          <cell r="F60" t="str">
            <v>TAIWAN</v>
          </cell>
          <cell r="G60" t="str">
            <v>S0003387</v>
          </cell>
          <cell r="I60">
            <v>38240</v>
          </cell>
        </row>
        <row r="61">
          <cell r="C61" t="str">
            <v>H57</v>
          </cell>
          <cell r="D61" t="str">
            <v>TK362</v>
          </cell>
          <cell r="E61" t="str">
            <v>22/04/HÑKNQ(HJSCEAA17311500)</v>
          </cell>
          <cell r="F61" t="str">
            <v>USA</v>
          </cell>
          <cell r="G61" t="str">
            <v>S0003272</v>
          </cell>
          <cell r="I61">
            <v>38243</v>
          </cell>
        </row>
        <row r="62">
          <cell r="C62" t="str">
            <v>H58</v>
          </cell>
          <cell r="D62" t="str">
            <v>TK364</v>
          </cell>
          <cell r="E62" t="str">
            <v>25/04/04HDKNQ(EISU003401584695)</v>
          </cell>
          <cell r="F62" t="str">
            <v>TAIWAN</v>
          </cell>
          <cell r="G62" t="str">
            <v>S0003423</v>
          </cell>
          <cell r="I62">
            <v>38247</v>
          </cell>
        </row>
        <row r="63">
          <cell r="C63" t="str">
            <v>H59</v>
          </cell>
          <cell r="D63" t="str">
            <v>TK366</v>
          </cell>
          <cell r="E63" t="str">
            <v>28/04/HDK(EISU003401584709)</v>
          </cell>
          <cell r="F63" t="str">
            <v>TAIWAN</v>
          </cell>
          <cell r="G63" t="str">
            <v>S0003468</v>
          </cell>
          <cell r="I63">
            <v>38254</v>
          </cell>
        </row>
        <row r="64">
          <cell r="C64" t="str">
            <v>H60</v>
          </cell>
          <cell r="D64" t="str">
            <v>TK370</v>
          </cell>
          <cell r="E64" t="str">
            <v>29/04/HDK(EISU003401584717)</v>
          </cell>
          <cell r="F64" t="str">
            <v>TAIWAN</v>
          </cell>
          <cell r="G64" t="str">
            <v>S0003514</v>
          </cell>
          <cell r="I64">
            <v>38261</v>
          </cell>
        </row>
        <row r="65">
          <cell r="C65" t="str">
            <v>H61</v>
          </cell>
          <cell r="D65" t="str">
            <v>TK374</v>
          </cell>
          <cell r="E65" t="str">
            <v>30/04/HDNQ</v>
          </cell>
          <cell r="F65" t="str">
            <v>TAIWAN</v>
          </cell>
          <cell r="G65" t="str">
            <v>S0003548/ S0003570</v>
          </cell>
          <cell r="I65">
            <v>38268</v>
          </cell>
        </row>
        <row r="66">
          <cell r="C66" t="str">
            <v>H62</v>
          </cell>
          <cell r="D66" t="str">
            <v>TK376</v>
          </cell>
          <cell r="E66" t="str">
            <v>27/04/KNQ(HJSCEAA00009807)</v>
          </cell>
          <cell r="F66" t="str">
            <v>USA</v>
          </cell>
          <cell r="G66" t="str">
            <v>S0003395</v>
          </cell>
          <cell r="I66">
            <v>38267</v>
          </cell>
        </row>
        <row r="67">
          <cell r="C67" t="str">
            <v>H63</v>
          </cell>
          <cell r="D67" t="str">
            <v>TK375</v>
          </cell>
          <cell r="E67" t="str">
            <v>26/04HDNQ(HJSCEAA00010005)</v>
          </cell>
          <cell r="F67" t="str">
            <v>USA</v>
          </cell>
          <cell r="G67" t="str">
            <v>S0003349</v>
          </cell>
          <cell r="I67">
            <v>38267</v>
          </cell>
        </row>
        <row r="68">
          <cell r="C68" t="str">
            <v>H64</v>
          </cell>
          <cell r="D68" t="str">
            <v>TK381</v>
          </cell>
          <cell r="E68" t="str">
            <v>31/04/04(EISU 003401853891)</v>
          </cell>
          <cell r="F68" t="str">
            <v>TAIWAN</v>
          </cell>
          <cell r="G68" t="str">
            <v>S0003633</v>
          </cell>
          <cell r="I68">
            <v>38275</v>
          </cell>
        </row>
        <row r="69">
          <cell r="C69" t="str">
            <v>H65</v>
          </cell>
          <cell r="D69" t="str">
            <v>TK386</v>
          </cell>
          <cell r="E69" t="str">
            <v>32/04/HDKNQ (HJSCEAA00052206)</v>
          </cell>
          <cell r="F69" t="str">
            <v>USA</v>
          </cell>
          <cell r="G69" t="str">
            <v>S0003471</v>
          </cell>
          <cell r="I69">
            <v>38279</v>
          </cell>
        </row>
        <row r="70">
          <cell r="C70" t="str">
            <v>H66</v>
          </cell>
          <cell r="D70" t="str">
            <v>TK388</v>
          </cell>
          <cell r="E70" t="str">
            <v>33/04/HDNQ (EISU 003401853904)</v>
          </cell>
          <cell r="F70" t="str">
            <v>TAIWAN</v>
          </cell>
          <cell r="G70" t="str">
            <v>S0003682</v>
          </cell>
          <cell r="I70">
            <v>38282</v>
          </cell>
        </row>
        <row r="71">
          <cell r="C71" t="str">
            <v>H67</v>
          </cell>
          <cell r="D71" t="str">
            <v>TK392</v>
          </cell>
          <cell r="E71" t="str">
            <v>34/04/KNQ (EISU 003401853912)</v>
          </cell>
          <cell r="F71" t="str">
            <v>TAIWAN</v>
          </cell>
          <cell r="G71" t="str">
            <v>S0003712</v>
          </cell>
          <cell r="I71">
            <v>38289</v>
          </cell>
        </row>
        <row r="72">
          <cell r="C72" t="str">
            <v>H68</v>
          </cell>
          <cell r="D72">
            <v>0</v>
          </cell>
          <cell r="E72">
            <v>0</v>
          </cell>
          <cell r="F72">
            <v>0</v>
          </cell>
          <cell r="G72">
            <v>0</v>
          </cell>
        </row>
        <row r="73">
          <cell r="C73" t="str">
            <v>H69</v>
          </cell>
          <cell r="D73">
            <v>0</v>
          </cell>
          <cell r="E73">
            <v>0</v>
          </cell>
          <cell r="F73">
            <v>0</v>
          </cell>
          <cell r="G73">
            <v>0</v>
          </cell>
        </row>
        <row r="74">
          <cell r="C74" t="str">
            <v>H70</v>
          </cell>
          <cell r="D74">
            <v>0</v>
          </cell>
          <cell r="E74">
            <v>0</v>
          </cell>
          <cell r="F74">
            <v>0</v>
          </cell>
          <cell r="G74">
            <v>0</v>
          </cell>
        </row>
        <row r="75">
          <cell r="C75" t="str">
            <v>H71</v>
          </cell>
          <cell r="D75">
            <v>0</v>
          </cell>
          <cell r="E75">
            <v>0</v>
          </cell>
          <cell r="F75">
            <v>0</v>
          </cell>
          <cell r="G75">
            <v>0</v>
          </cell>
        </row>
        <row r="76">
          <cell r="C76" t="str">
            <v>H72</v>
          </cell>
          <cell r="D76">
            <v>0</v>
          </cell>
          <cell r="E76">
            <v>0</v>
          </cell>
          <cell r="F76">
            <v>0</v>
          </cell>
          <cell r="G76">
            <v>0</v>
          </cell>
        </row>
        <row r="77">
          <cell r="C77" t="str">
            <v>H73</v>
          </cell>
          <cell r="D77">
            <v>0</v>
          </cell>
          <cell r="E77">
            <v>0</v>
          </cell>
          <cell r="F77">
            <v>0</v>
          </cell>
          <cell r="G77">
            <v>0</v>
          </cell>
        </row>
        <row r="78">
          <cell r="C78" t="str">
            <v>H74</v>
          </cell>
          <cell r="D78">
            <v>0</v>
          </cell>
          <cell r="E78">
            <v>0</v>
          </cell>
          <cell r="F78">
            <v>0</v>
          </cell>
          <cell r="G78">
            <v>0</v>
          </cell>
        </row>
        <row r="79">
          <cell r="C79" t="str">
            <v>H75</v>
          </cell>
          <cell r="D79">
            <v>0</v>
          </cell>
          <cell r="E79">
            <v>0</v>
          </cell>
          <cell r="F79">
            <v>0</v>
          </cell>
          <cell r="G79">
            <v>0</v>
          </cell>
        </row>
        <row r="80">
          <cell r="C80" t="str">
            <v>H76</v>
          </cell>
          <cell r="D80">
            <v>0</v>
          </cell>
          <cell r="E80">
            <v>0</v>
          </cell>
          <cell r="F80">
            <v>0</v>
          </cell>
          <cell r="G80">
            <v>0</v>
          </cell>
        </row>
        <row r="81">
          <cell r="C81" t="str">
            <v>H77</v>
          </cell>
          <cell r="D81">
            <v>0</v>
          </cell>
          <cell r="E81">
            <v>0</v>
          </cell>
          <cell r="F81">
            <v>0</v>
          </cell>
          <cell r="G81">
            <v>0</v>
          </cell>
        </row>
        <row r="82">
          <cell r="C82" t="str">
            <v>H78</v>
          </cell>
          <cell r="D82">
            <v>0</v>
          </cell>
          <cell r="E82">
            <v>0</v>
          </cell>
          <cell r="F82">
            <v>0</v>
          </cell>
          <cell r="G82">
            <v>0</v>
          </cell>
        </row>
        <row r="83">
          <cell r="C83" t="str">
            <v>H79</v>
          </cell>
          <cell r="D83">
            <v>0</v>
          </cell>
          <cell r="E83">
            <v>0</v>
          </cell>
          <cell r="F83">
            <v>0</v>
          </cell>
          <cell r="G83">
            <v>0</v>
          </cell>
        </row>
        <row r="84">
          <cell r="C84" t="str">
            <v>H80</v>
          </cell>
          <cell r="D84">
            <v>0</v>
          </cell>
          <cell r="E84">
            <v>0</v>
          </cell>
          <cell r="F84">
            <v>0</v>
          </cell>
          <cell r="G84">
            <v>0</v>
          </cell>
        </row>
        <row r="85">
          <cell r="C85" t="str">
            <v>H81</v>
          </cell>
          <cell r="D85">
            <v>0</v>
          </cell>
          <cell r="E85">
            <v>0</v>
          </cell>
          <cell r="F85">
            <v>0</v>
          </cell>
          <cell r="G85">
            <v>0</v>
          </cell>
        </row>
        <row r="86">
          <cell r="C86" t="str">
            <v>H82</v>
          </cell>
          <cell r="D86">
            <v>0</v>
          </cell>
          <cell r="E86">
            <v>0</v>
          </cell>
          <cell r="F86">
            <v>0</v>
          </cell>
          <cell r="G86">
            <v>0</v>
          </cell>
        </row>
        <row r="87">
          <cell r="C87" t="str">
            <v>H83</v>
          </cell>
          <cell r="D87">
            <v>0</v>
          </cell>
          <cell r="E87">
            <v>0</v>
          </cell>
          <cell r="F87">
            <v>0</v>
          </cell>
          <cell r="G87">
            <v>0</v>
          </cell>
        </row>
        <row r="88">
          <cell r="C88" t="str">
            <v>H84</v>
          </cell>
          <cell r="D88">
            <v>0</v>
          </cell>
          <cell r="E88">
            <v>0</v>
          </cell>
          <cell r="F88">
            <v>0</v>
          </cell>
          <cell r="G88">
            <v>0</v>
          </cell>
        </row>
        <row r="89">
          <cell r="C89" t="str">
            <v>H85</v>
          </cell>
          <cell r="D89">
            <v>0</v>
          </cell>
          <cell r="E89">
            <v>0</v>
          </cell>
          <cell r="F89">
            <v>0</v>
          </cell>
          <cell r="G89">
            <v>0</v>
          </cell>
        </row>
        <row r="90">
          <cell r="C90" t="str">
            <v>H86</v>
          </cell>
          <cell r="D90">
            <v>0</v>
          </cell>
          <cell r="E90">
            <v>0</v>
          </cell>
          <cell r="F90">
            <v>0</v>
          </cell>
          <cell r="G90">
            <v>0</v>
          </cell>
        </row>
        <row r="91">
          <cell r="C91" t="str">
            <v>H87</v>
          </cell>
          <cell r="D91">
            <v>0</v>
          </cell>
          <cell r="E91">
            <v>0</v>
          </cell>
          <cell r="F91">
            <v>0</v>
          </cell>
          <cell r="G91">
            <v>0</v>
          </cell>
        </row>
        <row r="92">
          <cell r="C92" t="str">
            <v>H88</v>
          </cell>
          <cell r="D92">
            <v>0</v>
          </cell>
          <cell r="E92">
            <v>0</v>
          </cell>
          <cell r="F92">
            <v>0</v>
          </cell>
          <cell r="G92">
            <v>0</v>
          </cell>
        </row>
        <row r="93">
          <cell r="C93" t="str">
            <v>H89</v>
          </cell>
          <cell r="D93">
            <v>0</v>
          </cell>
          <cell r="E93">
            <v>0</v>
          </cell>
          <cell r="F93">
            <v>0</v>
          </cell>
          <cell r="G93">
            <v>0</v>
          </cell>
        </row>
        <row r="94">
          <cell r="C94" t="str">
            <v>H90</v>
          </cell>
          <cell r="D94">
            <v>0</v>
          </cell>
          <cell r="E94">
            <v>0</v>
          </cell>
          <cell r="F94">
            <v>0</v>
          </cell>
          <cell r="G94">
            <v>0</v>
          </cell>
        </row>
        <row r="95">
          <cell r="C95" t="str">
            <v>H91</v>
          </cell>
          <cell r="D95">
            <v>0</v>
          </cell>
          <cell r="E95">
            <v>0</v>
          </cell>
          <cell r="F95">
            <v>0</v>
          </cell>
          <cell r="G95">
            <v>0</v>
          </cell>
        </row>
        <row r="96">
          <cell r="C96" t="str">
            <v>H92</v>
          </cell>
          <cell r="D96">
            <v>0</v>
          </cell>
          <cell r="E96">
            <v>0</v>
          </cell>
          <cell r="F96">
            <v>0</v>
          </cell>
          <cell r="G96">
            <v>0</v>
          </cell>
        </row>
        <row r="97">
          <cell r="C97" t="str">
            <v>H93</v>
          </cell>
          <cell r="D97">
            <v>0</v>
          </cell>
          <cell r="E97">
            <v>0</v>
          </cell>
          <cell r="F97">
            <v>0</v>
          </cell>
          <cell r="G97">
            <v>0</v>
          </cell>
        </row>
        <row r="98">
          <cell r="C98" t="str">
            <v>H94</v>
          </cell>
          <cell r="D98">
            <v>0</v>
          </cell>
          <cell r="E98">
            <v>0</v>
          </cell>
          <cell r="F98">
            <v>0</v>
          </cell>
          <cell r="G98">
            <v>0</v>
          </cell>
        </row>
        <row r="99">
          <cell r="C99" t="str">
            <v>H95</v>
          </cell>
          <cell r="D99">
            <v>0</v>
          </cell>
          <cell r="E99">
            <v>0</v>
          </cell>
          <cell r="F99">
            <v>0</v>
          </cell>
          <cell r="G99">
            <v>0</v>
          </cell>
        </row>
        <row r="100">
          <cell r="C100" t="str">
            <v>H96</v>
          </cell>
          <cell r="D100">
            <v>0</v>
          </cell>
          <cell r="E100">
            <v>0</v>
          </cell>
          <cell r="F100">
            <v>0</v>
          </cell>
          <cell r="G100">
            <v>0</v>
          </cell>
        </row>
        <row r="101">
          <cell r="C101" t="str">
            <v>H97</v>
          </cell>
          <cell r="D101">
            <v>0</v>
          </cell>
          <cell r="E101">
            <v>0</v>
          </cell>
          <cell r="F101">
            <v>0</v>
          </cell>
          <cell r="G101">
            <v>0</v>
          </cell>
        </row>
        <row r="102">
          <cell r="C102" t="str">
            <v>H98</v>
          </cell>
          <cell r="D102">
            <v>0</v>
          </cell>
          <cell r="E102">
            <v>0</v>
          </cell>
          <cell r="F102">
            <v>0</v>
          </cell>
          <cell r="G102">
            <v>0</v>
          </cell>
        </row>
        <row r="103">
          <cell r="C103" t="str">
            <v>H99</v>
          </cell>
          <cell r="D103">
            <v>0</v>
          </cell>
          <cell r="E103">
            <v>0</v>
          </cell>
          <cell r="F103">
            <v>0</v>
          </cell>
          <cell r="G103">
            <v>0</v>
          </cell>
        </row>
        <row r="104">
          <cell r="C104" t="str">
            <v>H100</v>
          </cell>
          <cell r="D104">
            <v>0</v>
          </cell>
          <cell r="E104">
            <v>0</v>
          </cell>
          <cell r="F104">
            <v>0</v>
          </cell>
          <cell r="G104">
            <v>0</v>
          </cell>
        </row>
        <row r="105">
          <cell r="C105" t="str">
            <v>H101</v>
          </cell>
          <cell r="D105">
            <v>0</v>
          </cell>
          <cell r="E105">
            <v>0</v>
          </cell>
          <cell r="F105">
            <v>0</v>
          </cell>
          <cell r="G105">
            <v>0</v>
          </cell>
        </row>
        <row r="106">
          <cell r="C106" t="str">
            <v>H102</v>
          </cell>
          <cell r="D106">
            <v>0</v>
          </cell>
          <cell r="E106">
            <v>0</v>
          </cell>
          <cell r="F106">
            <v>0</v>
          </cell>
          <cell r="G106">
            <v>0</v>
          </cell>
        </row>
        <row r="107">
          <cell r="C107" t="str">
            <v>H103</v>
          </cell>
          <cell r="D107">
            <v>0</v>
          </cell>
          <cell r="E107">
            <v>0</v>
          </cell>
          <cell r="F107">
            <v>0</v>
          </cell>
          <cell r="G107">
            <v>0</v>
          </cell>
        </row>
        <row r="108">
          <cell r="C108" t="str">
            <v>H104</v>
          </cell>
          <cell r="D108">
            <v>0</v>
          </cell>
          <cell r="E108">
            <v>0</v>
          </cell>
          <cell r="F108">
            <v>0</v>
          </cell>
          <cell r="G108">
            <v>0</v>
          </cell>
        </row>
        <row r="109">
          <cell r="C109" t="str">
            <v>H105</v>
          </cell>
          <cell r="D109">
            <v>0</v>
          </cell>
          <cell r="E109">
            <v>0</v>
          </cell>
          <cell r="F109">
            <v>0</v>
          </cell>
          <cell r="G109">
            <v>0</v>
          </cell>
        </row>
        <row r="110">
          <cell r="C110" t="str">
            <v>H106</v>
          </cell>
          <cell r="D110">
            <v>0</v>
          </cell>
          <cell r="E110">
            <v>0</v>
          </cell>
          <cell r="F110">
            <v>0</v>
          </cell>
          <cell r="G110">
            <v>0</v>
          </cell>
        </row>
        <row r="111">
          <cell r="C111" t="str">
            <v>H107</v>
          </cell>
          <cell r="D111">
            <v>0</v>
          </cell>
          <cell r="E111">
            <v>0</v>
          </cell>
          <cell r="F111">
            <v>0</v>
          </cell>
          <cell r="G111">
            <v>0</v>
          </cell>
        </row>
        <row r="112">
          <cell r="C112" t="str">
            <v>H108</v>
          </cell>
          <cell r="D112">
            <v>0</v>
          </cell>
          <cell r="E112">
            <v>0</v>
          </cell>
          <cell r="F112">
            <v>0</v>
          </cell>
          <cell r="G112">
            <v>0</v>
          </cell>
        </row>
        <row r="113">
          <cell r="C113" t="str">
            <v>H109</v>
          </cell>
          <cell r="D113">
            <v>0</v>
          </cell>
          <cell r="E113">
            <v>0</v>
          </cell>
          <cell r="F113">
            <v>0</v>
          </cell>
          <cell r="G113">
            <v>0</v>
          </cell>
        </row>
        <row r="114">
          <cell r="C114" t="str">
            <v>H110</v>
          </cell>
          <cell r="D114">
            <v>0</v>
          </cell>
          <cell r="E114">
            <v>0</v>
          </cell>
          <cell r="F114">
            <v>0</v>
          </cell>
          <cell r="G114">
            <v>0</v>
          </cell>
        </row>
        <row r="115">
          <cell r="C115" t="str">
            <v>H111</v>
          </cell>
          <cell r="D115">
            <v>0</v>
          </cell>
          <cell r="E115">
            <v>0</v>
          </cell>
          <cell r="F115">
            <v>0</v>
          </cell>
          <cell r="G115">
            <v>0</v>
          </cell>
        </row>
        <row r="116">
          <cell r="C116" t="str">
            <v>H112</v>
          </cell>
          <cell r="D116">
            <v>0</v>
          </cell>
          <cell r="E116">
            <v>0</v>
          </cell>
          <cell r="F116">
            <v>0</v>
          </cell>
          <cell r="G116">
            <v>0</v>
          </cell>
        </row>
        <row r="117">
          <cell r="C117" t="str">
            <v>H113</v>
          </cell>
          <cell r="D117">
            <v>0</v>
          </cell>
          <cell r="E117">
            <v>0</v>
          </cell>
          <cell r="F117">
            <v>0</v>
          </cell>
          <cell r="G117">
            <v>0</v>
          </cell>
        </row>
        <row r="118">
          <cell r="C118" t="str">
            <v>H114</v>
          </cell>
          <cell r="D118">
            <v>0</v>
          </cell>
          <cell r="E118">
            <v>0</v>
          </cell>
          <cell r="F118">
            <v>0</v>
          </cell>
          <cell r="G118">
            <v>0</v>
          </cell>
        </row>
        <row r="119">
          <cell r="C119" t="str">
            <v>H115</v>
          </cell>
          <cell r="D119">
            <v>0</v>
          </cell>
          <cell r="E119">
            <v>0</v>
          </cell>
          <cell r="F119">
            <v>0</v>
          </cell>
          <cell r="G119">
            <v>0</v>
          </cell>
        </row>
        <row r="120">
          <cell r="C120" t="str">
            <v>H116</v>
          </cell>
          <cell r="D120">
            <v>0</v>
          </cell>
          <cell r="E120">
            <v>0</v>
          </cell>
          <cell r="F120">
            <v>0</v>
          </cell>
          <cell r="G120">
            <v>0</v>
          </cell>
        </row>
        <row r="121">
          <cell r="C121" t="str">
            <v>H117</v>
          </cell>
          <cell r="D121">
            <v>0</v>
          </cell>
          <cell r="E121">
            <v>0</v>
          </cell>
          <cell r="F121">
            <v>0</v>
          </cell>
          <cell r="G121">
            <v>0</v>
          </cell>
        </row>
        <row r="122">
          <cell r="C122" t="str">
            <v>H118</v>
          </cell>
          <cell r="D122">
            <v>0</v>
          </cell>
          <cell r="E122">
            <v>0</v>
          </cell>
          <cell r="F122">
            <v>0</v>
          </cell>
          <cell r="G122">
            <v>0</v>
          </cell>
        </row>
        <row r="123">
          <cell r="C123" t="str">
            <v>H119</v>
          </cell>
          <cell r="D123">
            <v>0</v>
          </cell>
          <cell r="E123">
            <v>0</v>
          </cell>
          <cell r="F123">
            <v>0</v>
          </cell>
          <cell r="G123">
            <v>0</v>
          </cell>
        </row>
        <row r="124">
          <cell r="C124" t="str">
            <v>H120</v>
          </cell>
          <cell r="D124">
            <v>0</v>
          </cell>
          <cell r="E124">
            <v>0</v>
          </cell>
          <cell r="F124">
            <v>0</v>
          </cell>
          <cell r="G124">
            <v>0</v>
          </cell>
        </row>
        <row r="125">
          <cell r="C125" t="str">
            <v>H121</v>
          </cell>
          <cell r="D125">
            <v>0</v>
          </cell>
          <cell r="E125">
            <v>0</v>
          </cell>
          <cell r="F125">
            <v>0</v>
          </cell>
          <cell r="G125">
            <v>0</v>
          </cell>
        </row>
        <row r="126">
          <cell r="C126" t="str">
            <v>H122</v>
          </cell>
          <cell r="D126">
            <v>0</v>
          </cell>
          <cell r="E126">
            <v>0</v>
          </cell>
          <cell r="F126">
            <v>0</v>
          </cell>
          <cell r="G126">
            <v>0</v>
          </cell>
        </row>
        <row r="127">
          <cell r="C127" t="str">
            <v>H123</v>
          </cell>
          <cell r="D127">
            <v>0</v>
          </cell>
          <cell r="E127">
            <v>0</v>
          </cell>
          <cell r="F127">
            <v>0</v>
          </cell>
          <cell r="G127">
            <v>0</v>
          </cell>
        </row>
        <row r="128">
          <cell r="C128" t="str">
            <v>H124</v>
          </cell>
          <cell r="D128">
            <v>0</v>
          </cell>
          <cell r="E128">
            <v>0</v>
          </cell>
          <cell r="F128">
            <v>0</v>
          </cell>
          <cell r="G128">
            <v>0</v>
          </cell>
        </row>
        <row r="129">
          <cell r="C129" t="str">
            <v>H125</v>
          </cell>
          <cell r="D129">
            <v>0</v>
          </cell>
          <cell r="E129">
            <v>0</v>
          </cell>
          <cell r="F129">
            <v>0</v>
          </cell>
          <cell r="G129">
            <v>0</v>
          </cell>
        </row>
        <row r="130">
          <cell r="C130" t="str">
            <v>H126</v>
          </cell>
          <cell r="D130">
            <v>0</v>
          </cell>
          <cell r="E130">
            <v>0</v>
          </cell>
          <cell r="F130">
            <v>0</v>
          </cell>
          <cell r="G130">
            <v>0</v>
          </cell>
        </row>
        <row r="131">
          <cell r="C131" t="str">
            <v>H127</v>
          </cell>
          <cell r="D131">
            <v>0</v>
          </cell>
          <cell r="E131">
            <v>0</v>
          </cell>
          <cell r="F131">
            <v>0</v>
          </cell>
          <cell r="G131">
            <v>0</v>
          </cell>
        </row>
        <row r="132">
          <cell r="C132" t="str">
            <v>H128</v>
          </cell>
          <cell r="D132">
            <v>0</v>
          </cell>
          <cell r="E132">
            <v>0</v>
          </cell>
          <cell r="F132">
            <v>0</v>
          </cell>
          <cell r="G132">
            <v>0</v>
          </cell>
        </row>
        <row r="133">
          <cell r="C133" t="str">
            <v>H129</v>
          </cell>
          <cell r="D133">
            <v>0</v>
          </cell>
          <cell r="E133">
            <v>0</v>
          </cell>
          <cell r="F133">
            <v>0</v>
          </cell>
          <cell r="G133">
            <v>0</v>
          </cell>
        </row>
        <row r="134">
          <cell r="C134" t="str">
            <v>H130</v>
          </cell>
          <cell r="D134">
            <v>0</v>
          </cell>
          <cell r="E134">
            <v>0</v>
          </cell>
          <cell r="F134">
            <v>0</v>
          </cell>
          <cell r="G134">
            <v>0</v>
          </cell>
        </row>
        <row r="135">
          <cell r="C135" t="str">
            <v>H131</v>
          </cell>
          <cell r="D135">
            <v>0</v>
          </cell>
          <cell r="E135">
            <v>0</v>
          </cell>
          <cell r="F135">
            <v>0</v>
          </cell>
          <cell r="G135">
            <v>0</v>
          </cell>
        </row>
        <row r="136">
          <cell r="C136" t="str">
            <v>H132</v>
          </cell>
          <cell r="D136">
            <v>0</v>
          </cell>
          <cell r="E136">
            <v>0</v>
          </cell>
          <cell r="F136">
            <v>0</v>
          </cell>
          <cell r="G136">
            <v>0</v>
          </cell>
        </row>
        <row r="137">
          <cell r="C137" t="str">
            <v>H133</v>
          </cell>
          <cell r="D137">
            <v>0</v>
          </cell>
          <cell r="E137">
            <v>0</v>
          </cell>
          <cell r="F137">
            <v>0</v>
          </cell>
          <cell r="G137">
            <v>0</v>
          </cell>
        </row>
        <row r="138">
          <cell r="C138" t="str">
            <v>H134</v>
          </cell>
          <cell r="D138">
            <v>0</v>
          </cell>
          <cell r="E138">
            <v>0</v>
          </cell>
          <cell r="F138">
            <v>0</v>
          </cell>
          <cell r="G138">
            <v>0</v>
          </cell>
        </row>
        <row r="139">
          <cell r="C139" t="str">
            <v>H135</v>
          </cell>
          <cell r="D139">
            <v>0</v>
          </cell>
          <cell r="E139">
            <v>0</v>
          </cell>
          <cell r="F139">
            <v>0</v>
          </cell>
          <cell r="G139">
            <v>0</v>
          </cell>
        </row>
        <row r="140">
          <cell r="C140" t="str">
            <v>H136</v>
          </cell>
          <cell r="D140">
            <v>0</v>
          </cell>
          <cell r="E140">
            <v>0</v>
          </cell>
          <cell r="F140">
            <v>0</v>
          </cell>
          <cell r="G140">
            <v>0</v>
          </cell>
        </row>
        <row r="141">
          <cell r="C141" t="str">
            <v>H137</v>
          </cell>
          <cell r="D141">
            <v>0</v>
          </cell>
          <cell r="E141">
            <v>0</v>
          </cell>
          <cell r="F141">
            <v>0</v>
          </cell>
          <cell r="G141">
            <v>0</v>
          </cell>
        </row>
        <row r="142">
          <cell r="C142" t="str">
            <v>H138</v>
          </cell>
          <cell r="D142">
            <v>0</v>
          </cell>
          <cell r="E142">
            <v>0</v>
          </cell>
          <cell r="F142">
            <v>0</v>
          </cell>
          <cell r="G142">
            <v>0</v>
          </cell>
        </row>
        <row r="143">
          <cell r="C143" t="str">
            <v>H139</v>
          </cell>
          <cell r="D143">
            <v>0</v>
          </cell>
          <cell r="E143">
            <v>0</v>
          </cell>
          <cell r="F143">
            <v>0</v>
          </cell>
          <cell r="G143">
            <v>0</v>
          </cell>
        </row>
        <row r="144">
          <cell r="C144" t="str">
            <v>H140</v>
          </cell>
          <cell r="D144">
            <v>0</v>
          </cell>
          <cell r="E144">
            <v>0</v>
          </cell>
          <cell r="F144">
            <v>0</v>
          </cell>
          <cell r="G144">
            <v>0</v>
          </cell>
        </row>
        <row r="145">
          <cell r="C145" t="str">
            <v>H141</v>
          </cell>
          <cell r="D145">
            <v>0</v>
          </cell>
          <cell r="E145">
            <v>0</v>
          </cell>
          <cell r="F145">
            <v>0</v>
          </cell>
          <cell r="G145">
            <v>0</v>
          </cell>
        </row>
        <row r="146">
          <cell r="C146" t="str">
            <v>H142</v>
          </cell>
          <cell r="D146">
            <v>0</v>
          </cell>
          <cell r="E146">
            <v>0</v>
          </cell>
          <cell r="F146">
            <v>0</v>
          </cell>
          <cell r="G146">
            <v>0</v>
          </cell>
        </row>
        <row r="147">
          <cell r="C147" t="str">
            <v>H143</v>
          </cell>
          <cell r="D147">
            <v>0</v>
          </cell>
          <cell r="E147">
            <v>0</v>
          </cell>
          <cell r="F147">
            <v>0</v>
          </cell>
          <cell r="G147">
            <v>0</v>
          </cell>
        </row>
        <row r="148">
          <cell r="C148" t="str">
            <v>H144</v>
          </cell>
          <cell r="D148">
            <v>0</v>
          </cell>
          <cell r="E148">
            <v>0</v>
          </cell>
          <cell r="F148">
            <v>0</v>
          </cell>
          <cell r="G148">
            <v>0</v>
          </cell>
        </row>
        <row r="149">
          <cell r="C149" t="str">
            <v>H145</v>
          </cell>
          <cell r="D149">
            <v>0</v>
          </cell>
          <cell r="E149">
            <v>0</v>
          </cell>
          <cell r="F149">
            <v>0</v>
          </cell>
          <cell r="G149">
            <v>0</v>
          </cell>
        </row>
        <row r="150">
          <cell r="C150" t="str">
            <v>H146</v>
          </cell>
          <cell r="D150">
            <v>0</v>
          </cell>
          <cell r="E150">
            <v>0</v>
          </cell>
          <cell r="F150">
            <v>0</v>
          </cell>
          <cell r="G150">
            <v>0</v>
          </cell>
        </row>
        <row r="151">
          <cell r="C151" t="str">
            <v>H147</v>
          </cell>
          <cell r="D151">
            <v>0</v>
          </cell>
          <cell r="E151">
            <v>0</v>
          </cell>
          <cell r="F151">
            <v>0</v>
          </cell>
          <cell r="G151">
            <v>0</v>
          </cell>
        </row>
        <row r="152">
          <cell r="C152" t="str">
            <v>H148</v>
          </cell>
          <cell r="D152">
            <v>0</v>
          </cell>
          <cell r="E152">
            <v>0</v>
          </cell>
          <cell r="F152">
            <v>0</v>
          </cell>
          <cell r="G152">
            <v>0</v>
          </cell>
        </row>
        <row r="153">
          <cell r="C153" t="str">
            <v>H149</v>
          </cell>
          <cell r="D153">
            <v>0</v>
          </cell>
          <cell r="E153">
            <v>0</v>
          </cell>
          <cell r="F153">
            <v>0</v>
          </cell>
          <cell r="G153">
            <v>0</v>
          </cell>
        </row>
        <row r="154">
          <cell r="C154" t="str">
            <v>H150</v>
          </cell>
          <cell r="D154">
            <v>0</v>
          </cell>
          <cell r="E154">
            <v>0</v>
          </cell>
          <cell r="F154">
            <v>0</v>
          </cell>
          <cell r="G154">
            <v>0</v>
          </cell>
        </row>
        <row r="155">
          <cell r="C155" t="str">
            <v>H151</v>
          </cell>
          <cell r="D155">
            <v>0</v>
          </cell>
          <cell r="E155">
            <v>0</v>
          </cell>
          <cell r="F155">
            <v>0</v>
          </cell>
          <cell r="G155">
            <v>0</v>
          </cell>
        </row>
        <row r="156">
          <cell r="C156" t="str">
            <v>H152</v>
          </cell>
          <cell r="D156">
            <v>0</v>
          </cell>
          <cell r="E156">
            <v>0</v>
          </cell>
          <cell r="F156">
            <v>0</v>
          </cell>
          <cell r="G156">
            <v>0</v>
          </cell>
        </row>
        <row r="157">
          <cell r="C157" t="str">
            <v>H153</v>
          </cell>
          <cell r="D157">
            <v>0</v>
          </cell>
          <cell r="E157">
            <v>0</v>
          </cell>
          <cell r="F157">
            <v>0</v>
          </cell>
          <cell r="G157">
            <v>0</v>
          </cell>
        </row>
        <row r="158">
          <cell r="C158" t="str">
            <v>H154</v>
          </cell>
          <cell r="D158">
            <v>0</v>
          </cell>
          <cell r="E158">
            <v>0</v>
          </cell>
          <cell r="F158">
            <v>0</v>
          </cell>
          <cell r="G158">
            <v>0</v>
          </cell>
        </row>
        <row r="159">
          <cell r="C159" t="str">
            <v>H155</v>
          </cell>
          <cell r="D159">
            <v>0</v>
          </cell>
          <cell r="E159">
            <v>0</v>
          </cell>
          <cell r="F159">
            <v>0</v>
          </cell>
          <cell r="G159">
            <v>0</v>
          </cell>
        </row>
        <row r="160">
          <cell r="C160" t="str">
            <v>H156</v>
          </cell>
          <cell r="D160">
            <v>0</v>
          </cell>
          <cell r="E160">
            <v>0</v>
          </cell>
          <cell r="F160">
            <v>0</v>
          </cell>
          <cell r="G160">
            <v>0</v>
          </cell>
        </row>
        <row r="161">
          <cell r="C161" t="str">
            <v>H157</v>
          </cell>
          <cell r="D161">
            <v>0</v>
          </cell>
          <cell r="E161">
            <v>0</v>
          </cell>
          <cell r="F161">
            <v>0</v>
          </cell>
          <cell r="G161">
            <v>0</v>
          </cell>
        </row>
        <row r="162">
          <cell r="C162" t="str">
            <v>H158</v>
          </cell>
          <cell r="D162">
            <v>0</v>
          </cell>
          <cell r="E162">
            <v>0</v>
          </cell>
          <cell r="F162">
            <v>0</v>
          </cell>
          <cell r="G162">
            <v>0</v>
          </cell>
        </row>
        <row r="163">
          <cell r="C163" t="str">
            <v>H159</v>
          </cell>
          <cell r="D163">
            <v>0</v>
          </cell>
          <cell r="E163">
            <v>0</v>
          </cell>
          <cell r="F163">
            <v>0</v>
          </cell>
          <cell r="G163">
            <v>0</v>
          </cell>
        </row>
        <row r="164">
          <cell r="C164" t="str">
            <v>H160</v>
          </cell>
          <cell r="D164">
            <v>0</v>
          </cell>
          <cell r="E164">
            <v>0</v>
          </cell>
          <cell r="F164">
            <v>0</v>
          </cell>
          <cell r="G164">
            <v>0</v>
          </cell>
        </row>
        <row r="165">
          <cell r="C165" t="str">
            <v>H161</v>
          </cell>
          <cell r="D165">
            <v>0</v>
          </cell>
          <cell r="E165">
            <v>0</v>
          </cell>
          <cell r="F165">
            <v>0</v>
          </cell>
          <cell r="G165">
            <v>0</v>
          </cell>
        </row>
        <row r="166">
          <cell r="C166" t="str">
            <v>H162</v>
          </cell>
          <cell r="D166">
            <v>0</v>
          </cell>
          <cell r="E166">
            <v>0</v>
          </cell>
          <cell r="F166">
            <v>0</v>
          </cell>
          <cell r="G166">
            <v>0</v>
          </cell>
        </row>
        <row r="167">
          <cell r="C167" t="str">
            <v>H163</v>
          </cell>
          <cell r="D167">
            <v>0</v>
          </cell>
          <cell r="E167">
            <v>0</v>
          </cell>
          <cell r="F167">
            <v>0</v>
          </cell>
          <cell r="G167">
            <v>0</v>
          </cell>
        </row>
        <row r="168">
          <cell r="C168" t="str">
            <v>H164</v>
          </cell>
          <cell r="D168">
            <v>0</v>
          </cell>
          <cell r="E168">
            <v>0</v>
          </cell>
          <cell r="F168">
            <v>0</v>
          </cell>
          <cell r="G168">
            <v>0</v>
          </cell>
        </row>
        <row r="169">
          <cell r="C169" t="str">
            <v>H165</v>
          </cell>
          <cell r="D169">
            <v>0</v>
          </cell>
          <cell r="E169">
            <v>0</v>
          </cell>
          <cell r="F169">
            <v>0</v>
          </cell>
          <cell r="G169">
            <v>0</v>
          </cell>
        </row>
        <row r="170">
          <cell r="C170" t="str">
            <v>H166</v>
          </cell>
          <cell r="D170">
            <v>0</v>
          </cell>
          <cell r="E170">
            <v>0</v>
          </cell>
          <cell r="F170">
            <v>0</v>
          </cell>
          <cell r="G170">
            <v>0</v>
          </cell>
        </row>
        <row r="171">
          <cell r="C171" t="str">
            <v>H167</v>
          </cell>
          <cell r="D171">
            <v>0</v>
          </cell>
          <cell r="E171">
            <v>0</v>
          </cell>
          <cell r="F171">
            <v>0</v>
          </cell>
          <cell r="G171">
            <v>0</v>
          </cell>
        </row>
        <row r="172">
          <cell r="C172" t="str">
            <v>H168</v>
          </cell>
          <cell r="D172">
            <v>0</v>
          </cell>
          <cell r="E172">
            <v>0</v>
          </cell>
          <cell r="F172">
            <v>0</v>
          </cell>
          <cell r="G172">
            <v>0</v>
          </cell>
        </row>
        <row r="173">
          <cell r="C173" t="str">
            <v>H169</v>
          </cell>
          <cell r="D173">
            <v>0</v>
          </cell>
          <cell r="E173">
            <v>0</v>
          </cell>
          <cell r="F173">
            <v>0</v>
          </cell>
          <cell r="G173">
            <v>0</v>
          </cell>
        </row>
        <row r="174">
          <cell r="C174" t="str">
            <v>H170</v>
          </cell>
          <cell r="D174">
            <v>0</v>
          </cell>
          <cell r="E174">
            <v>0</v>
          </cell>
          <cell r="F174">
            <v>0</v>
          </cell>
          <cell r="G174">
            <v>0</v>
          </cell>
        </row>
        <row r="175">
          <cell r="C175" t="str">
            <v>H171</v>
          </cell>
          <cell r="D175">
            <v>0</v>
          </cell>
          <cell r="E175">
            <v>0</v>
          </cell>
          <cell r="F175">
            <v>0</v>
          </cell>
          <cell r="G175">
            <v>0</v>
          </cell>
        </row>
        <row r="176">
          <cell r="C176" t="str">
            <v>H172</v>
          </cell>
          <cell r="D176">
            <v>0</v>
          </cell>
          <cell r="E176">
            <v>0</v>
          </cell>
          <cell r="F176">
            <v>0</v>
          </cell>
          <cell r="G176">
            <v>0</v>
          </cell>
        </row>
        <row r="177">
          <cell r="C177" t="str">
            <v>H173</v>
          </cell>
          <cell r="D177">
            <v>0</v>
          </cell>
          <cell r="E177">
            <v>0</v>
          </cell>
          <cell r="F177">
            <v>0</v>
          </cell>
          <cell r="G177">
            <v>0</v>
          </cell>
        </row>
        <row r="178">
          <cell r="C178" t="str">
            <v>H174</v>
          </cell>
          <cell r="D178">
            <v>0</v>
          </cell>
          <cell r="E178">
            <v>0</v>
          </cell>
          <cell r="F178">
            <v>0</v>
          </cell>
          <cell r="G178">
            <v>0</v>
          </cell>
        </row>
        <row r="179">
          <cell r="C179" t="str">
            <v>H175</v>
          </cell>
          <cell r="D179">
            <v>0</v>
          </cell>
          <cell r="E179">
            <v>0</v>
          </cell>
          <cell r="F179">
            <v>0</v>
          </cell>
          <cell r="G179">
            <v>0</v>
          </cell>
        </row>
        <row r="180">
          <cell r="C180" t="str">
            <v>H176</v>
          </cell>
          <cell r="D180">
            <v>0</v>
          </cell>
          <cell r="E180">
            <v>0</v>
          </cell>
          <cell r="F180">
            <v>0</v>
          </cell>
          <cell r="G180">
            <v>0</v>
          </cell>
        </row>
        <row r="181">
          <cell r="C181" t="str">
            <v>H177</v>
          </cell>
          <cell r="D181">
            <v>0</v>
          </cell>
          <cell r="E181">
            <v>0</v>
          </cell>
          <cell r="F181">
            <v>0</v>
          </cell>
          <cell r="G181">
            <v>0</v>
          </cell>
        </row>
        <row r="182">
          <cell r="C182" t="str">
            <v>H178</v>
          </cell>
          <cell r="D182">
            <v>0</v>
          </cell>
          <cell r="E182">
            <v>0</v>
          </cell>
          <cell r="F182">
            <v>0</v>
          </cell>
          <cell r="G182">
            <v>0</v>
          </cell>
        </row>
        <row r="183">
          <cell r="C183" t="str">
            <v>H179</v>
          </cell>
          <cell r="D183">
            <v>0</v>
          </cell>
          <cell r="E183">
            <v>0</v>
          </cell>
          <cell r="F183">
            <v>0</v>
          </cell>
          <cell r="G183">
            <v>0</v>
          </cell>
        </row>
        <row r="184">
          <cell r="C184" t="str">
            <v>H180</v>
          </cell>
          <cell r="D184">
            <v>0</v>
          </cell>
          <cell r="E184">
            <v>0</v>
          </cell>
          <cell r="F184">
            <v>0</v>
          </cell>
          <cell r="G184">
            <v>0</v>
          </cell>
        </row>
        <row r="185">
          <cell r="C185" t="str">
            <v>H181</v>
          </cell>
          <cell r="D185">
            <v>0</v>
          </cell>
          <cell r="E185">
            <v>0</v>
          </cell>
          <cell r="F185">
            <v>0</v>
          </cell>
          <cell r="G185">
            <v>0</v>
          </cell>
        </row>
        <row r="186">
          <cell r="C186" t="str">
            <v>H182</v>
          </cell>
          <cell r="D186">
            <v>0</v>
          </cell>
          <cell r="E186">
            <v>0</v>
          </cell>
          <cell r="F186">
            <v>0</v>
          </cell>
          <cell r="G186">
            <v>0</v>
          </cell>
        </row>
        <row r="187">
          <cell r="C187" t="str">
            <v>H183</v>
          </cell>
          <cell r="D187">
            <v>0</v>
          </cell>
          <cell r="E187">
            <v>0</v>
          </cell>
          <cell r="F187">
            <v>0</v>
          </cell>
          <cell r="G187">
            <v>0</v>
          </cell>
        </row>
        <row r="188">
          <cell r="C188" t="str">
            <v>H184</v>
          </cell>
          <cell r="D188">
            <v>0</v>
          </cell>
          <cell r="E188">
            <v>0</v>
          </cell>
          <cell r="F188">
            <v>0</v>
          </cell>
          <cell r="G188">
            <v>0</v>
          </cell>
        </row>
        <row r="189">
          <cell r="C189" t="str">
            <v>H185</v>
          </cell>
          <cell r="D189">
            <v>0</v>
          </cell>
          <cell r="E189">
            <v>0</v>
          </cell>
          <cell r="F189">
            <v>0</v>
          </cell>
          <cell r="G189">
            <v>0</v>
          </cell>
        </row>
        <row r="190">
          <cell r="C190" t="str">
            <v>H186</v>
          </cell>
          <cell r="D190">
            <v>0</v>
          </cell>
          <cell r="E190">
            <v>0</v>
          </cell>
          <cell r="F190">
            <v>0</v>
          </cell>
          <cell r="G190">
            <v>0</v>
          </cell>
        </row>
        <row r="191">
          <cell r="C191" t="str">
            <v>H187</v>
          </cell>
          <cell r="D191">
            <v>0</v>
          </cell>
          <cell r="E191">
            <v>0</v>
          </cell>
          <cell r="F191">
            <v>0</v>
          </cell>
          <cell r="G191">
            <v>0</v>
          </cell>
        </row>
        <row r="192">
          <cell r="C192" t="str">
            <v>H188</v>
          </cell>
          <cell r="D192">
            <v>0</v>
          </cell>
          <cell r="E192">
            <v>0</v>
          </cell>
          <cell r="F192">
            <v>0</v>
          </cell>
          <cell r="G192">
            <v>0</v>
          </cell>
        </row>
        <row r="193">
          <cell r="C193" t="str">
            <v>H189</v>
          </cell>
          <cell r="D193">
            <v>0</v>
          </cell>
          <cell r="E193">
            <v>0</v>
          </cell>
          <cell r="F193">
            <v>0</v>
          </cell>
          <cell r="G193">
            <v>0</v>
          </cell>
        </row>
        <row r="194">
          <cell r="C194" t="str">
            <v>H190</v>
          </cell>
          <cell r="D194">
            <v>0</v>
          </cell>
          <cell r="E194">
            <v>0</v>
          </cell>
          <cell r="F194">
            <v>0</v>
          </cell>
          <cell r="G194">
            <v>0</v>
          </cell>
        </row>
        <row r="195">
          <cell r="C195" t="str">
            <v>H191</v>
          </cell>
          <cell r="D195">
            <v>0</v>
          </cell>
          <cell r="E195">
            <v>0</v>
          </cell>
          <cell r="F195">
            <v>0</v>
          </cell>
          <cell r="G195">
            <v>0</v>
          </cell>
        </row>
        <row r="196">
          <cell r="C196" t="str">
            <v>H192</v>
          </cell>
          <cell r="D196">
            <v>0</v>
          </cell>
          <cell r="E196">
            <v>0</v>
          </cell>
          <cell r="F196">
            <v>0</v>
          </cell>
          <cell r="G196">
            <v>0</v>
          </cell>
        </row>
        <row r="197">
          <cell r="C197" t="str">
            <v>H193</v>
          </cell>
          <cell r="D197">
            <v>0</v>
          </cell>
          <cell r="E197">
            <v>0</v>
          </cell>
          <cell r="F197">
            <v>0</v>
          </cell>
          <cell r="G197">
            <v>0</v>
          </cell>
        </row>
        <row r="198">
          <cell r="C198" t="str">
            <v>H194</v>
          </cell>
          <cell r="D198">
            <v>0</v>
          </cell>
          <cell r="E198">
            <v>0</v>
          </cell>
          <cell r="F198">
            <v>0</v>
          </cell>
          <cell r="G198">
            <v>0</v>
          </cell>
        </row>
        <row r="199">
          <cell r="C199" t="str">
            <v>H195</v>
          </cell>
          <cell r="D199">
            <v>0</v>
          </cell>
          <cell r="E199">
            <v>0</v>
          </cell>
          <cell r="F199">
            <v>0</v>
          </cell>
          <cell r="G199">
            <v>0</v>
          </cell>
        </row>
        <row r="200">
          <cell r="C200" t="str">
            <v>H196</v>
          </cell>
          <cell r="D200">
            <v>0</v>
          </cell>
          <cell r="E200">
            <v>0</v>
          </cell>
          <cell r="F200">
            <v>0</v>
          </cell>
          <cell r="G200">
            <v>0</v>
          </cell>
        </row>
        <row r="201">
          <cell r="C201" t="str">
            <v>H197</v>
          </cell>
          <cell r="D201">
            <v>0</v>
          </cell>
          <cell r="E201">
            <v>0</v>
          </cell>
          <cell r="F201">
            <v>0</v>
          </cell>
          <cell r="G201">
            <v>0</v>
          </cell>
        </row>
        <row r="202">
          <cell r="C202" t="str">
            <v>H198</v>
          </cell>
          <cell r="D202">
            <v>0</v>
          </cell>
          <cell r="E202">
            <v>0</v>
          </cell>
          <cell r="F202">
            <v>0</v>
          </cell>
          <cell r="G202">
            <v>0</v>
          </cell>
        </row>
        <row r="203">
          <cell r="C203" t="str">
            <v>H199</v>
          </cell>
          <cell r="D203">
            <v>0</v>
          </cell>
          <cell r="E203">
            <v>0</v>
          </cell>
          <cell r="F203">
            <v>0</v>
          </cell>
          <cell r="G203">
            <v>0</v>
          </cell>
        </row>
        <row r="204">
          <cell r="C204" t="str">
            <v>H200</v>
          </cell>
          <cell r="D204">
            <v>0</v>
          </cell>
          <cell r="E204">
            <v>0</v>
          </cell>
          <cell r="F204">
            <v>0</v>
          </cell>
          <cell r="G204">
            <v>0</v>
          </cell>
        </row>
        <row r="205">
          <cell r="C205" t="str">
            <v>H201</v>
          </cell>
          <cell r="D205">
            <v>0</v>
          </cell>
          <cell r="E205">
            <v>0</v>
          </cell>
          <cell r="F205">
            <v>0</v>
          </cell>
          <cell r="G205">
            <v>0</v>
          </cell>
        </row>
        <row r="206">
          <cell r="C206" t="str">
            <v>H202</v>
          </cell>
          <cell r="D206">
            <v>0</v>
          </cell>
          <cell r="E206">
            <v>0</v>
          </cell>
          <cell r="F206">
            <v>0</v>
          </cell>
          <cell r="G206">
            <v>0</v>
          </cell>
        </row>
        <row r="207">
          <cell r="C207" t="str">
            <v>H203</v>
          </cell>
          <cell r="D207">
            <v>0</v>
          </cell>
          <cell r="E207">
            <v>0</v>
          </cell>
          <cell r="F207">
            <v>0</v>
          </cell>
          <cell r="G207">
            <v>0</v>
          </cell>
        </row>
        <row r="208">
          <cell r="C208" t="str">
            <v>H204</v>
          </cell>
          <cell r="D208">
            <v>0</v>
          </cell>
          <cell r="E208">
            <v>0</v>
          </cell>
          <cell r="F208">
            <v>0</v>
          </cell>
          <cell r="G208">
            <v>0</v>
          </cell>
        </row>
        <row r="209">
          <cell r="C209" t="str">
            <v>H205</v>
          </cell>
          <cell r="D209">
            <v>0</v>
          </cell>
          <cell r="E209">
            <v>0</v>
          </cell>
          <cell r="F209">
            <v>0</v>
          </cell>
          <cell r="G209">
            <v>0</v>
          </cell>
        </row>
        <row r="210">
          <cell r="C210" t="str">
            <v>H206</v>
          </cell>
          <cell r="D210">
            <v>0</v>
          </cell>
          <cell r="E210">
            <v>0</v>
          </cell>
          <cell r="F210">
            <v>0</v>
          </cell>
          <cell r="G210">
            <v>0</v>
          </cell>
        </row>
        <row r="211">
          <cell r="C211" t="str">
            <v>H207</v>
          </cell>
          <cell r="D211">
            <v>0</v>
          </cell>
          <cell r="E211">
            <v>0</v>
          </cell>
          <cell r="F211">
            <v>0</v>
          </cell>
          <cell r="G211">
            <v>0</v>
          </cell>
        </row>
        <row r="212">
          <cell r="C212" t="str">
            <v>H208</v>
          </cell>
          <cell r="D212">
            <v>0</v>
          </cell>
          <cell r="E212">
            <v>0</v>
          </cell>
          <cell r="F212">
            <v>0</v>
          </cell>
          <cell r="G212">
            <v>0</v>
          </cell>
        </row>
        <row r="213">
          <cell r="C213" t="str">
            <v>H209</v>
          </cell>
          <cell r="D213">
            <v>0</v>
          </cell>
          <cell r="E213">
            <v>0</v>
          </cell>
          <cell r="F213">
            <v>0</v>
          </cell>
          <cell r="G213">
            <v>0</v>
          </cell>
        </row>
        <row r="214">
          <cell r="C214" t="str">
            <v>H210</v>
          </cell>
          <cell r="D214">
            <v>0</v>
          </cell>
          <cell r="E214">
            <v>0</v>
          </cell>
          <cell r="F214">
            <v>0</v>
          </cell>
          <cell r="G214">
            <v>0</v>
          </cell>
        </row>
        <row r="215">
          <cell r="C215" t="str">
            <v>H211</v>
          </cell>
          <cell r="D215">
            <v>0</v>
          </cell>
          <cell r="E215">
            <v>0</v>
          </cell>
          <cell r="F215">
            <v>0</v>
          </cell>
          <cell r="G215">
            <v>0</v>
          </cell>
        </row>
        <row r="216">
          <cell r="C216" t="str">
            <v>H212</v>
          </cell>
          <cell r="D216">
            <v>0</v>
          </cell>
          <cell r="E216">
            <v>0</v>
          </cell>
          <cell r="F216">
            <v>0</v>
          </cell>
          <cell r="G216">
            <v>0</v>
          </cell>
        </row>
        <row r="217">
          <cell r="C217" t="str">
            <v>H213</v>
          </cell>
          <cell r="D217">
            <v>0</v>
          </cell>
          <cell r="E217">
            <v>0</v>
          </cell>
          <cell r="F217">
            <v>0</v>
          </cell>
          <cell r="G217">
            <v>0</v>
          </cell>
        </row>
        <row r="218">
          <cell r="C218" t="str">
            <v>H214</v>
          </cell>
          <cell r="D218">
            <v>0</v>
          </cell>
          <cell r="E218">
            <v>0</v>
          </cell>
          <cell r="F218">
            <v>0</v>
          </cell>
          <cell r="G218">
            <v>0</v>
          </cell>
        </row>
        <row r="219">
          <cell r="C219" t="str">
            <v>H215</v>
          </cell>
          <cell r="D219">
            <v>0</v>
          </cell>
          <cell r="E219">
            <v>0</v>
          </cell>
          <cell r="F219">
            <v>0</v>
          </cell>
          <cell r="G219">
            <v>0</v>
          </cell>
        </row>
        <row r="220">
          <cell r="C220" t="str">
            <v>H216</v>
          </cell>
          <cell r="D220">
            <v>0</v>
          </cell>
          <cell r="E220">
            <v>0</v>
          </cell>
          <cell r="F220">
            <v>0</v>
          </cell>
          <cell r="G220">
            <v>0</v>
          </cell>
        </row>
        <row r="221">
          <cell r="C221" t="str">
            <v>H217</v>
          </cell>
          <cell r="D221">
            <v>0</v>
          </cell>
          <cell r="E221">
            <v>0</v>
          </cell>
          <cell r="F221">
            <v>0</v>
          </cell>
          <cell r="G221">
            <v>0</v>
          </cell>
        </row>
        <row r="222">
          <cell r="C222" t="str">
            <v>H218</v>
          </cell>
          <cell r="D222">
            <v>0</v>
          </cell>
          <cell r="E222">
            <v>0</v>
          </cell>
          <cell r="F222">
            <v>0</v>
          </cell>
          <cell r="G222">
            <v>0</v>
          </cell>
        </row>
        <row r="223">
          <cell r="C223" t="str">
            <v>H219</v>
          </cell>
          <cell r="D223">
            <v>0</v>
          </cell>
          <cell r="E223">
            <v>0</v>
          </cell>
          <cell r="F223">
            <v>0</v>
          </cell>
          <cell r="G223">
            <v>0</v>
          </cell>
        </row>
        <row r="224">
          <cell r="C224" t="str">
            <v>H220</v>
          </cell>
          <cell r="D224">
            <v>0</v>
          </cell>
          <cell r="E224">
            <v>0</v>
          </cell>
          <cell r="F224">
            <v>0</v>
          </cell>
          <cell r="G224">
            <v>0</v>
          </cell>
        </row>
        <row r="225">
          <cell r="C225" t="str">
            <v>H221</v>
          </cell>
          <cell r="D225">
            <v>0</v>
          </cell>
          <cell r="E225">
            <v>0</v>
          </cell>
          <cell r="F225">
            <v>0</v>
          </cell>
          <cell r="G225">
            <v>0</v>
          </cell>
        </row>
        <row r="226">
          <cell r="C226" t="str">
            <v>H222</v>
          </cell>
          <cell r="D226">
            <v>0</v>
          </cell>
          <cell r="E226">
            <v>0</v>
          </cell>
          <cell r="F226">
            <v>0</v>
          </cell>
          <cell r="G226">
            <v>0</v>
          </cell>
        </row>
        <row r="227">
          <cell r="C227" t="str">
            <v>H223</v>
          </cell>
          <cell r="D227">
            <v>0</v>
          </cell>
          <cell r="E227">
            <v>0</v>
          </cell>
          <cell r="F227">
            <v>0</v>
          </cell>
          <cell r="G227">
            <v>0</v>
          </cell>
        </row>
        <row r="228">
          <cell r="C228" t="str">
            <v>H224</v>
          </cell>
          <cell r="D228">
            <v>0</v>
          </cell>
          <cell r="E228">
            <v>0</v>
          </cell>
          <cell r="F228">
            <v>0</v>
          </cell>
          <cell r="G228">
            <v>0</v>
          </cell>
        </row>
        <row r="229">
          <cell r="C229" t="str">
            <v>H225</v>
          </cell>
          <cell r="D229">
            <v>0</v>
          </cell>
          <cell r="E229">
            <v>0</v>
          </cell>
          <cell r="F229">
            <v>0</v>
          </cell>
          <cell r="G229">
            <v>0</v>
          </cell>
        </row>
        <row r="230">
          <cell r="C230" t="str">
            <v>H226</v>
          </cell>
          <cell r="D230">
            <v>0</v>
          </cell>
          <cell r="E230">
            <v>0</v>
          </cell>
          <cell r="F230">
            <v>0</v>
          </cell>
          <cell r="G230">
            <v>0</v>
          </cell>
        </row>
        <row r="231">
          <cell r="C231" t="str">
            <v>H227</v>
          </cell>
          <cell r="D231">
            <v>0</v>
          </cell>
          <cell r="E231">
            <v>0</v>
          </cell>
          <cell r="F231">
            <v>0</v>
          </cell>
          <cell r="G231">
            <v>0</v>
          </cell>
        </row>
        <row r="232">
          <cell r="C232" t="str">
            <v>H228</v>
          </cell>
          <cell r="D232">
            <v>0</v>
          </cell>
          <cell r="E232">
            <v>0</v>
          </cell>
          <cell r="F232">
            <v>0</v>
          </cell>
          <cell r="G232">
            <v>0</v>
          </cell>
        </row>
        <row r="233">
          <cell r="C233" t="str">
            <v>H229</v>
          </cell>
          <cell r="D233">
            <v>0</v>
          </cell>
          <cell r="E233">
            <v>0</v>
          </cell>
          <cell r="F233">
            <v>0</v>
          </cell>
          <cell r="G233">
            <v>0</v>
          </cell>
        </row>
        <row r="234">
          <cell r="C234" t="str">
            <v>H230</v>
          </cell>
          <cell r="D234">
            <v>0</v>
          </cell>
          <cell r="E234">
            <v>0</v>
          </cell>
          <cell r="F234">
            <v>0</v>
          </cell>
          <cell r="G234">
            <v>0</v>
          </cell>
        </row>
        <row r="235">
          <cell r="C235" t="str">
            <v>H231</v>
          </cell>
          <cell r="D235">
            <v>0</v>
          </cell>
          <cell r="E235">
            <v>0</v>
          </cell>
          <cell r="F235">
            <v>0</v>
          </cell>
          <cell r="G235">
            <v>0</v>
          </cell>
        </row>
        <row r="236">
          <cell r="C236" t="str">
            <v>H232</v>
          </cell>
          <cell r="D236">
            <v>0</v>
          </cell>
          <cell r="E236">
            <v>0</v>
          </cell>
          <cell r="F236">
            <v>0</v>
          </cell>
          <cell r="G236">
            <v>0</v>
          </cell>
        </row>
        <row r="237">
          <cell r="C237" t="str">
            <v>H233</v>
          </cell>
          <cell r="D237">
            <v>0</v>
          </cell>
          <cell r="E237">
            <v>0</v>
          </cell>
          <cell r="F237">
            <v>0</v>
          </cell>
          <cell r="G237">
            <v>0</v>
          </cell>
        </row>
        <row r="238">
          <cell r="C238" t="str">
            <v>H234</v>
          </cell>
          <cell r="D238">
            <v>0</v>
          </cell>
          <cell r="E238">
            <v>0</v>
          </cell>
          <cell r="F238">
            <v>0</v>
          </cell>
          <cell r="G238">
            <v>0</v>
          </cell>
        </row>
        <row r="239">
          <cell r="C239" t="str">
            <v>H235</v>
          </cell>
          <cell r="D239">
            <v>0</v>
          </cell>
          <cell r="E239">
            <v>0</v>
          </cell>
          <cell r="F239">
            <v>0</v>
          </cell>
          <cell r="G239">
            <v>0</v>
          </cell>
        </row>
        <row r="240">
          <cell r="C240" t="str">
            <v>H236</v>
          </cell>
          <cell r="D240">
            <v>0</v>
          </cell>
          <cell r="E240">
            <v>0</v>
          </cell>
          <cell r="F240">
            <v>0</v>
          </cell>
          <cell r="G240">
            <v>0</v>
          </cell>
        </row>
        <row r="241">
          <cell r="C241" t="str">
            <v>H237</v>
          </cell>
          <cell r="D241">
            <v>0</v>
          </cell>
          <cell r="E241">
            <v>0</v>
          </cell>
          <cell r="F241">
            <v>0</v>
          </cell>
          <cell r="G241">
            <v>0</v>
          </cell>
        </row>
        <row r="242">
          <cell r="C242" t="str">
            <v>H238</v>
          </cell>
          <cell r="D242">
            <v>0</v>
          </cell>
          <cell r="E242">
            <v>0</v>
          </cell>
          <cell r="F242">
            <v>0</v>
          </cell>
          <cell r="G242">
            <v>0</v>
          </cell>
        </row>
        <row r="243">
          <cell r="C243" t="str">
            <v>H239</v>
          </cell>
          <cell r="D243">
            <v>0</v>
          </cell>
          <cell r="E243">
            <v>0</v>
          </cell>
          <cell r="F243">
            <v>0</v>
          </cell>
          <cell r="G243">
            <v>0</v>
          </cell>
        </row>
        <row r="244">
          <cell r="C244" t="str">
            <v>H240</v>
          </cell>
          <cell r="D244">
            <v>0</v>
          </cell>
          <cell r="E244">
            <v>0</v>
          </cell>
          <cell r="F244">
            <v>0</v>
          </cell>
          <cell r="G244">
            <v>0</v>
          </cell>
        </row>
        <row r="245">
          <cell r="C245" t="str">
            <v>H241</v>
          </cell>
          <cell r="D245">
            <v>0</v>
          </cell>
          <cell r="E245">
            <v>0</v>
          </cell>
          <cell r="F245">
            <v>0</v>
          </cell>
          <cell r="G245">
            <v>0</v>
          </cell>
        </row>
        <row r="246">
          <cell r="C246" t="str">
            <v>H242</v>
          </cell>
          <cell r="D246">
            <v>0</v>
          </cell>
          <cell r="E246">
            <v>0</v>
          </cell>
          <cell r="F246">
            <v>0</v>
          </cell>
          <cell r="G246">
            <v>0</v>
          </cell>
        </row>
        <row r="247">
          <cell r="C247" t="str">
            <v>H243</v>
          </cell>
          <cell r="D247">
            <v>0</v>
          </cell>
          <cell r="E247">
            <v>0</v>
          </cell>
          <cell r="F247">
            <v>0</v>
          </cell>
          <cell r="G247">
            <v>0</v>
          </cell>
        </row>
        <row r="248">
          <cell r="C248" t="str">
            <v>H244</v>
          </cell>
          <cell r="D248">
            <v>0</v>
          </cell>
          <cell r="E248">
            <v>0</v>
          </cell>
          <cell r="F248">
            <v>0</v>
          </cell>
          <cell r="G248">
            <v>0</v>
          </cell>
        </row>
        <row r="249">
          <cell r="C249" t="str">
            <v>H245</v>
          </cell>
          <cell r="D249">
            <v>0</v>
          </cell>
          <cell r="E249">
            <v>0</v>
          </cell>
          <cell r="F249">
            <v>0</v>
          </cell>
          <cell r="G249">
            <v>0</v>
          </cell>
        </row>
        <row r="250">
          <cell r="C250" t="str">
            <v>H246</v>
          </cell>
          <cell r="D250">
            <v>0</v>
          </cell>
          <cell r="E250">
            <v>0</v>
          </cell>
          <cell r="F250">
            <v>0</v>
          </cell>
          <cell r="G250">
            <v>0</v>
          </cell>
        </row>
        <row r="251">
          <cell r="C251" t="str">
            <v>H247</v>
          </cell>
          <cell r="D251">
            <v>0</v>
          </cell>
          <cell r="E251">
            <v>0</v>
          </cell>
          <cell r="F251">
            <v>0</v>
          </cell>
          <cell r="G251">
            <v>0</v>
          </cell>
        </row>
        <row r="252">
          <cell r="C252" t="str">
            <v>H248</v>
          </cell>
          <cell r="D252">
            <v>0</v>
          </cell>
          <cell r="E252">
            <v>0</v>
          </cell>
          <cell r="F252">
            <v>0</v>
          </cell>
          <cell r="G252">
            <v>0</v>
          </cell>
        </row>
        <row r="253">
          <cell r="C253" t="str">
            <v>H249</v>
          </cell>
          <cell r="D253">
            <v>0</v>
          </cell>
          <cell r="E253">
            <v>0</v>
          </cell>
          <cell r="F253">
            <v>0</v>
          </cell>
          <cell r="G253">
            <v>0</v>
          </cell>
        </row>
        <row r="254">
          <cell r="C254" t="str">
            <v>H250</v>
          </cell>
          <cell r="D254">
            <v>0</v>
          </cell>
          <cell r="E254">
            <v>0</v>
          </cell>
          <cell r="F254">
            <v>0</v>
          </cell>
          <cell r="G254">
            <v>0</v>
          </cell>
        </row>
        <row r="255">
          <cell r="C255" t="str">
            <v>H251</v>
          </cell>
          <cell r="D255">
            <v>0</v>
          </cell>
          <cell r="E255">
            <v>0</v>
          </cell>
          <cell r="F255">
            <v>0</v>
          </cell>
          <cell r="G255">
            <v>0</v>
          </cell>
        </row>
        <row r="256">
          <cell r="C256" t="str">
            <v>H252</v>
          </cell>
          <cell r="D256">
            <v>0</v>
          </cell>
          <cell r="E256">
            <v>0</v>
          </cell>
          <cell r="F256">
            <v>0</v>
          </cell>
          <cell r="G256">
            <v>0</v>
          </cell>
        </row>
        <row r="257">
          <cell r="C257" t="str">
            <v>H253</v>
          </cell>
          <cell r="D257">
            <v>0</v>
          </cell>
          <cell r="E257">
            <v>0</v>
          </cell>
          <cell r="F257">
            <v>0</v>
          </cell>
          <cell r="G257">
            <v>0</v>
          </cell>
        </row>
        <row r="258">
          <cell r="C258" t="str">
            <v>H254</v>
          </cell>
          <cell r="D258">
            <v>0</v>
          </cell>
          <cell r="E258">
            <v>0</v>
          </cell>
          <cell r="F258">
            <v>0</v>
          </cell>
          <cell r="G258">
            <v>0</v>
          </cell>
        </row>
        <row r="259">
          <cell r="C259" t="str">
            <v>H255</v>
          </cell>
          <cell r="D259">
            <v>0</v>
          </cell>
          <cell r="E259">
            <v>0</v>
          </cell>
          <cell r="F259">
            <v>0</v>
          </cell>
          <cell r="G259">
            <v>0</v>
          </cell>
        </row>
        <row r="260">
          <cell r="C260" t="str">
            <v>H256</v>
          </cell>
          <cell r="D260">
            <v>0</v>
          </cell>
          <cell r="E260">
            <v>0</v>
          </cell>
          <cell r="F260">
            <v>0</v>
          </cell>
          <cell r="G260">
            <v>0</v>
          </cell>
        </row>
        <row r="261">
          <cell r="C261" t="str">
            <v>H257</v>
          </cell>
          <cell r="D261">
            <v>0</v>
          </cell>
          <cell r="E261">
            <v>0</v>
          </cell>
          <cell r="F261">
            <v>0</v>
          </cell>
          <cell r="G261">
            <v>0</v>
          </cell>
        </row>
        <row r="262">
          <cell r="C262" t="str">
            <v>H258</v>
          </cell>
          <cell r="D262">
            <v>0</v>
          </cell>
          <cell r="E262">
            <v>0</v>
          </cell>
          <cell r="F262">
            <v>0</v>
          </cell>
          <cell r="G262">
            <v>0</v>
          </cell>
        </row>
        <row r="263">
          <cell r="C263" t="str">
            <v>H259</v>
          </cell>
          <cell r="D263">
            <v>0</v>
          </cell>
          <cell r="E263">
            <v>0</v>
          </cell>
          <cell r="F263">
            <v>0</v>
          </cell>
          <cell r="G263">
            <v>0</v>
          </cell>
        </row>
        <row r="264">
          <cell r="C264" t="str">
            <v>H260</v>
          </cell>
          <cell r="D264">
            <v>0</v>
          </cell>
          <cell r="E264">
            <v>0</v>
          </cell>
          <cell r="F264">
            <v>0</v>
          </cell>
          <cell r="G264">
            <v>0</v>
          </cell>
        </row>
        <row r="265">
          <cell r="C265" t="str">
            <v>H261</v>
          </cell>
          <cell r="D265">
            <v>0</v>
          </cell>
          <cell r="E265">
            <v>0</v>
          </cell>
          <cell r="F265">
            <v>0</v>
          </cell>
          <cell r="G265">
            <v>0</v>
          </cell>
        </row>
        <row r="266">
          <cell r="C266" t="str">
            <v>H262</v>
          </cell>
          <cell r="D266">
            <v>0</v>
          </cell>
          <cell r="E266">
            <v>0</v>
          </cell>
          <cell r="F266">
            <v>0</v>
          </cell>
          <cell r="G266">
            <v>0</v>
          </cell>
        </row>
        <row r="267">
          <cell r="C267" t="str">
            <v>H263</v>
          </cell>
          <cell r="D267">
            <v>0</v>
          </cell>
          <cell r="E267">
            <v>0</v>
          </cell>
          <cell r="F267">
            <v>0</v>
          </cell>
          <cell r="G267">
            <v>0</v>
          </cell>
        </row>
        <row r="268">
          <cell r="C268" t="str">
            <v>H264</v>
          </cell>
          <cell r="D268">
            <v>0</v>
          </cell>
          <cell r="E268">
            <v>0</v>
          </cell>
          <cell r="F268">
            <v>0</v>
          </cell>
          <cell r="G268">
            <v>0</v>
          </cell>
        </row>
        <row r="269">
          <cell r="C269" t="str">
            <v>H265</v>
          </cell>
          <cell r="D269">
            <v>0</v>
          </cell>
          <cell r="E269">
            <v>0</v>
          </cell>
          <cell r="F269">
            <v>0</v>
          </cell>
          <cell r="G269">
            <v>0</v>
          </cell>
        </row>
        <row r="270">
          <cell r="C270" t="str">
            <v>H266</v>
          </cell>
          <cell r="D270">
            <v>0</v>
          </cell>
          <cell r="E270">
            <v>0</v>
          </cell>
          <cell r="F270">
            <v>0</v>
          </cell>
          <cell r="G270">
            <v>0</v>
          </cell>
        </row>
        <row r="271">
          <cell r="C271" t="str">
            <v>H267</v>
          </cell>
          <cell r="D271">
            <v>0</v>
          </cell>
          <cell r="E271">
            <v>0</v>
          </cell>
          <cell r="F271">
            <v>0</v>
          </cell>
          <cell r="G271">
            <v>0</v>
          </cell>
        </row>
        <row r="272">
          <cell r="C272" t="str">
            <v>H268</v>
          </cell>
          <cell r="D272">
            <v>0</v>
          </cell>
          <cell r="E272">
            <v>0</v>
          </cell>
          <cell r="F272">
            <v>0</v>
          </cell>
          <cell r="G272">
            <v>0</v>
          </cell>
        </row>
        <row r="273">
          <cell r="C273" t="str">
            <v>H269</v>
          </cell>
          <cell r="D273">
            <v>0</v>
          </cell>
          <cell r="E273">
            <v>0</v>
          </cell>
          <cell r="F273">
            <v>0</v>
          </cell>
          <cell r="G273">
            <v>0</v>
          </cell>
        </row>
        <row r="274">
          <cell r="C274" t="str">
            <v>H270</v>
          </cell>
          <cell r="D274">
            <v>0</v>
          </cell>
          <cell r="E274">
            <v>0</v>
          </cell>
          <cell r="F274">
            <v>0</v>
          </cell>
          <cell r="G274">
            <v>0</v>
          </cell>
        </row>
        <row r="275">
          <cell r="C275" t="str">
            <v>H271</v>
          </cell>
          <cell r="D275">
            <v>0</v>
          </cell>
          <cell r="E275">
            <v>0</v>
          </cell>
          <cell r="F275">
            <v>0</v>
          </cell>
          <cell r="G275">
            <v>0</v>
          </cell>
        </row>
        <row r="276">
          <cell r="C276" t="str">
            <v>H272</v>
          </cell>
          <cell r="D276">
            <v>0</v>
          </cell>
          <cell r="E276">
            <v>0</v>
          </cell>
          <cell r="F276">
            <v>0</v>
          </cell>
          <cell r="G276">
            <v>0</v>
          </cell>
        </row>
        <row r="277">
          <cell r="C277" t="str">
            <v>H273</v>
          </cell>
          <cell r="D277">
            <v>0</v>
          </cell>
          <cell r="E277">
            <v>0</v>
          </cell>
          <cell r="F277">
            <v>0</v>
          </cell>
          <cell r="G277">
            <v>0</v>
          </cell>
        </row>
        <row r="278">
          <cell r="C278" t="str">
            <v>H274</v>
          </cell>
          <cell r="D278">
            <v>0</v>
          </cell>
          <cell r="E278">
            <v>0</v>
          </cell>
          <cell r="F278">
            <v>0</v>
          </cell>
          <cell r="G278">
            <v>0</v>
          </cell>
        </row>
        <row r="279">
          <cell r="C279" t="str">
            <v>H275</v>
          </cell>
          <cell r="D279">
            <v>0</v>
          </cell>
          <cell r="E279">
            <v>0</v>
          </cell>
          <cell r="F279">
            <v>0</v>
          </cell>
          <cell r="G279">
            <v>0</v>
          </cell>
        </row>
        <row r="280">
          <cell r="C280" t="str">
            <v>H276</v>
          </cell>
          <cell r="D280">
            <v>0</v>
          </cell>
          <cell r="E280">
            <v>0</v>
          </cell>
          <cell r="F280">
            <v>0</v>
          </cell>
          <cell r="G280">
            <v>0</v>
          </cell>
        </row>
        <row r="281">
          <cell r="C281" t="str">
            <v>H277</v>
          </cell>
          <cell r="D281">
            <v>0</v>
          </cell>
          <cell r="E281">
            <v>0</v>
          </cell>
          <cell r="F281">
            <v>0</v>
          </cell>
          <cell r="G281">
            <v>0</v>
          </cell>
        </row>
        <row r="282">
          <cell r="C282" t="str">
            <v>H278</v>
          </cell>
          <cell r="D282">
            <v>0</v>
          </cell>
          <cell r="E282">
            <v>0</v>
          </cell>
          <cell r="F282">
            <v>0</v>
          </cell>
          <cell r="G282">
            <v>0</v>
          </cell>
        </row>
        <row r="283">
          <cell r="C283" t="str">
            <v>H279</v>
          </cell>
          <cell r="D283">
            <v>0</v>
          </cell>
          <cell r="E283">
            <v>0</v>
          </cell>
          <cell r="F283">
            <v>0</v>
          </cell>
          <cell r="G283">
            <v>0</v>
          </cell>
        </row>
        <row r="284">
          <cell r="C284" t="str">
            <v>H280</v>
          </cell>
          <cell r="D284">
            <v>0</v>
          </cell>
          <cell r="E284">
            <v>0</v>
          </cell>
          <cell r="F284">
            <v>0</v>
          </cell>
          <cell r="G284">
            <v>0</v>
          </cell>
        </row>
        <row r="285">
          <cell r="C285" t="str">
            <v>H281</v>
          </cell>
          <cell r="D285">
            <v>0</v>
          </cell>
          <cell r="E285">
            <v>0</v>
          </cell>
          <cell r="F285">
            <v>0</v>
          </cell>
          <cell r="G285">
            <v>0</v>
          </cell>
        </row>
        <row r="286">
          <cell r="C286" t="str">
            <v>H282</v>
          </cell>
          <cell r="D286">
            <v>0</v>
          </cell>
          <cell r="E286">
            <v>0</v>
          </cell>
          <cell r="F286">
            <v>0</v>
          </cell>
          <cell r="G286">
            <v>0</v>
          </cell>
        </row>
        <row r="287">
          <cell r="C287" t="str">
            <v>H283</v>
          </cell>
          <cell r="D287">
            <v>0</v>
          </cell>
          <cell r="E287">
            <v>0</v>
          </cell>
          <cell r="F287">
            <v>0</v>
          </cell>
          <cell r="G287">
            <v>0</v>
          </cell>
        </row>
        <row r="288">
          <cell r="C288" t="str">
            <v>H284</v>
          </cell>
          <cell r="D288">
            <v>0</v>
          </cell>
          <cell r="E288">
            <v>0</v>
          </cell>
          <cell r="F288">
            <v>0</v>
          </cell>
          <cell r="G288">
            <v>0</v>
          </cell>
        </row>
        <row r="289">
          <cell r="C289" t="str">
            <v>H285</v>
          </cell>
          <cell r="D289">
            <v>0</v>
          </cell>
          <cell r="E289">
            <v>0</v>
          </cell>
          <cell r="F289">
            <v>0</v>
          </cell>
          <cell r="G289">
            <v>0</v>
          </cell>
        </row>
        <row r="290">
          <cell r="C290" t="str">
            <v>H286</v>
          </cell>
          <cell r="D290">
            <v>0</v>
          </cell>
          <cell r="E290">
            <v>0</v>
          </cell>
          <cell r="F290">
            <v>0</v>
          </cell>
          <cell r="G290">
            <v>0</v>
          </cell>
        </row>
        <row r="291">
          <cell r="C291" t="str">
            <v>H287</v>
          </cell>
          <cell r="D291">
            <v>0</v>
          </cell>
          <cell r="E291">
            <v>0</v>
          </cell>
          <cell r="F291">
            <v>0</v>
          </cell>
          <cell r="G291">
            <v>0</v>
          </cell>
        </row>
        <row r="292">
          <cell r="C292" t="str">
            <v>H288</v>
          </cell>
          <cell r="D292">
            <v>0</v>
          </cell>
          <cell r="E292">
            <v>0</v>
          </cell>
          <cell r="F292">
            <v>0</v>
          </cell>
          <cell r="G292">
            <v>0</v>
          </cell>
        </row>
        <row r="293">
          <cell r="C293" t="str">
            <v>H289</v>
          </cell>
          <cell r="D293">
            <v>0</v>
          </cell>
          <cell r="E293">
            <v>0</v>
          </cell>
          <cell r="F293">
            <v>0</v>
          </cell>
          <cell r="G293">
            <v>0</v>
          </cell>
        </row>
        <row r="294">
          <cell r="C294" t="str">
            <v>H290</v>
          </cell>
          <cell r="D294">
            <v>0</v>
          </cell>
          <cell r="E294">
            <v>0</v>
          </cell>
          <cell r="F294">
            <v>0</v>
          </cell>
          <cell r="G294">
            <v>0</v>
          </cell>
        </row>
        <row r="295">
          <cell r="C295" t="str">
            <v>H291</v>
          </cell>
          <cell r="D295">
            <v>0</v>
          </cell>
          <cell r="E295">
            <v>0</v>
          </cell>
          <cell r="F295">
            <v>0</v>
          </cell>
          <cell r="G295">
            <v>0</v>
          </cell>
        </row>
        <row r="296">
          <cell r="C296" t="str">
            <v>H292</v>
          </cell>
          <cell r="D296">
            <v>0</v>
          </cell>
          <cell r="E296">
            <v>0</v>
          </cell>
          <cell r="F296">
            <v>0</v>
          </cell>
          <cell r="G296">
            <v>0</v>
          </cell>
        </row>
        <row r="297">
          <cell r="C297" t="str">
            <v>H293</v>
          </cell>
          <cell r="D297">
            <v>0</v>
          </cell>
          <cell r="E297">
            <v>0</v>
          </cell>
          <cell r="F297">
            <v>0</v>
          </cell>
          <cell r="G297">
            <v>0</v>
          </cell>
        </row>
        <row r="298">
          <cell r="C298" t="str">
            <v>H294</v>
          </cell>
          <cell r="D298">
            <v>0</v>
          </cell>
          <cell r="E298">
            <v>0</v>
          </cell>
          <cell r="F298">
            <v>0</v>
          </cell>
          <cell r="G298">
            <v>0</v>
          </cell>
        </row>
        <row r="299">
          <cell r="C299" t="str">
            <v>H295</v>
          </cell>
          <cell r="D299">
            <v>0</v>
          </cell>
          <cell r="E299">
            <v>0</v>
          </cell>
          <cell r="F299">
            <v>0</v>
          </cell>
          <cell r="G299">
            <v>0</v>
          </cell>
        </row>
        <row r="300">
          <cell r="C300" t="str">
            <v>H296</v>
          </cell>
          <cell r="D300">
            <v>0</v>
          </cell>
          <cell r="E300">
            <v>0</v>
          </cell>
          <cell r="F300">
            <v>0</v>
          </cell>
          <cell r="G300">
            <v>0</v>
          </cell>
        </row>
        <row r="301">
          <cell r="C301" t="str">
            <v>H297</v>
          </cell>
          <cell r="D301">
            <v>0</v>
          </cell>
          <cell r="E301">
            <v>0</v>
          </cell>
          <cell r="F301">
            <v>0</v>
          </cell>
          <cell r="G301">
            <v>0</v>
          </cell>
        </row>
        <row r="302">
          <cell r="C302" t="str">
            <v>H298</v>
          </cell>
          <cell r="D302">
            <v>0</v>
          </cell>
          <cell r="E302">
            <v>0</v>
          </cell>
          <cell r="F302">
            <v>0</v>
          </cell>
          <cell r="G302">
            <v>0</v>
          </cell>
        </row>
        <row r="303">
          <cell r="C303" t="str">
            <v>H299</v>
          </cell>
          <cell r="D303">
            <v>0</v>
          </cell>
          <cell r="E303">
            <v>0</v>
          </cell>
          <cell r="F303">
            <v>0</v>
          </cell>
          <cell r="G303">
            <v>0</v>
          </cell>
        </row>
        <row r="304">
          <cell r="C304" t="str">
            <v>H300</v>
          </cell>
          <cell r="D304">
            <v>0</v>
          </cell>
          <cell r="E304">
            <v>0</v>
          </cell>
          <cell r="F304">
            <v>0</v>
          </cell>
          <cell r="G304">
            <v>0</v>
          </cell>
        </row>
        <row r="305">
          <cell r="C305" t="str">
            <v>H301</v>
          </cell>
          <cell r="D305">
            <v>0</v>
          </cell>
          <cell r="E305">
            <v>0</v>
          </cell>
          <cell r="F305">
            <v>0</v>
          </cell>
          <cell r="G305">
            <v>0</v>
          </cell>
        </row>
        <row r="306">
          <cell r="C306" t="str">
            <v>H302</v>
          </cell>
          <cell r="D306">
            <v>0</v>
          </cell>
          <cell r="E306">
            <v>0</v>
          </cell>
          <cell r="F306">
            <v>0</v>
          </cell>
          <cell r="G306">
            <v>0</v>
          </cell>
        </row>
        <row r="307">
          <cell r="C307" t="str">
            <v>H303</v>
          </cell>
          <cell r="D307">
            <v>0</v>
          </cell>
          <cell r="E307">
            <v>0</v>
          </cell>
          <cell r="F307">
            <v>0</v>
          </cell>
          <cell r="G307">
            <v>0</v>
          </cell>
        </row>
        <row r="308">
          <cell r="C308" t="str">
            <v>H304</v>
          </cell>
          <cell r="D308">
            <v>0</v>
          </cell>
          <cell r="E308">
            <v>0</v>
          </cell>
          <cell r="F308">
            <v>0</v>
          </cell>
          <cell r="G308">
            <v>0</v>
          </cell>
        </row>
        <row r="309">
          <cell r="C309" t="str">
            <v>H305</v>
          </cell>
          <cell r="D309">
            <v>0</v>
          </cell>
          <cell r="E309">
            <v>0</v>
          </cell>
          <cell r="F309">
            <v>0</v>
          </cell>
          <cell r="G309">
            <v>0</v>
          </cell>
        </row>
        <row r="310">
          <cell r="C310" t="str">
            <v>H306</v>
          </cell>
          <cell r="D310">
            <v>0</v>
          </cell>
          <cell r="E310">
            <v>0</v>
          </cell>
          <cell r="F310">
            <v>0</v>
          </cell>
          <cell r="G310">
            <v>0</v>
          </cell>
        </row>
        <row r="311">
          <cell r="C311" t="str">
            <v>H307</v>
          </cell>
          <cell r="D311">
            <v>0</v>
          </cell>
          <cell r="E311">
            <v>0</v>
          </cell>
          <cell r="F311">
            <v>0</v>
          </cell>
          <cell r="G311">
            <v>0</v>
          </cell>
        </row>
        <row r="312">
          <cell r="C312" t="str">
            <v>H308</v>
          </cell>
          <cell r="D312">
            <v>0</v>
          </cell>
          <cell r="E312">
            <v>0</v>
          </cell>
          <cell r="F312">
            <v>0</v>
          </cell>
          <cell r="G312">
            <v>0</v>
          </cell>
        </row>
        <row r="313">
          <cell r="C313" t="str">
            <v>H309</v>
          </cell>
          <cell r="D313">
            <v>0</v>
          </cell>
          <cell r="E313">
            <v>0</v>
          </cell>
          <cell r="F313">
            <v>0</v>
          </cell>
          <cell r="G313">
            <v>0</v>
          </cell>
        </row>
        <row r="314">
          <cell r="C314" t="str">
            <v>H310</v>
          </cell>
          <cell r="D314">
            <v>0</v>
          </cell>
          <cell r="E314">
            <v>0</v>
          </cell>
          <cell r="F314">
            <v>0</v>
          </cell>
          <cell r="G314">
            <v>0</v>
          </cell>
        </row>
        <row r="315">
          <cell r="C315" t="str">
            <v>H311</v>
          </cell>
          <cell r="D315">
            <v>0</v>
          </cell>
          <cell r="E315">
            <v>0</v>
          </cell>
          <cell r="F315">
            <v>0</v>
          </cell>
          <cell r="G315">
            <v>0</v>
          </cell>
        </row>
        <row r="316">
          <cell r="C316" t="str">
            <v>H312</v>
          </cell>
          <cell r="D316">
            <v>0</v>
          </cell>
          <cell r="E316">
            <v>0</v>
          </cell>
          <cell r="F316">
            <v>0</v>
          </cell>
          <cell r="G316">
            <v>0</v>
          </cell>
        </row>
        <row r="317">
          <cell r="C317" t="str">
            <v>H313</v>
          </cell>
          <cell r="D317">
            <v>0</v>
          </cell>
          <cell r="E317">
            <v>0</v>
          </cell>
          <cell r="F317">
            <v>0</v>
          </cell>
          <cell r="G317">
            <v>0</v>
          </cell>
        </row>
        <row r="318">
          <cell r="C318" t="str">
            <v>H314</v>
          </cell>
          <cell r="D318">
            <v>0</v>
          </cell>
          <cell r="E318">
            <v>0</v>
          </cell>
          <cell r="F318">
            <v>0</v>
          </cell>
          <cell r="G318">
            <v>0</v>
          </cell>
        </row>
        <row r="319">
          <cell r="C319" t="str">
            <v>H315</v>
          </cell>
          <cell r="D319">
            <v>0</v>
          </cell>
          <cell r="E319">
            <v>0</v>
          </cell>
          <cell r="F319">
            <v>0</v>
          </cell>
          <cell r="G319">
            <v>0</v>
          </cell>
        </row>
        <row r="320">
          <cell r="C320" t="str">
            <v>H316</v>
          </cell>
          <cell r="D320">
            <v>0</v>
          </cell>
          <cell r="E320">
            <v>0</v>
          </cell>
          <cell r="F320">
            <v>0</v>
          </cell>
          <cell r="G320">
            <v>0</v>
          </cell>
        </row>
        <row r="321">
          <cell r="C321" t="str">
            <v>H317</v>
          </cell>
          <cell r="D321">
            <v>0</v>
          </cell>
          <cell r="E321">
            <v>0</v>
          </cell>
          <cell r="F321">
            <v>0</v>
          </cell>
          <cell r="G321">
            <v>0</v>
          </cell>
        </row>
        <row r="322">
          <cell r="C322" t="str">
            <v>H318</v>
          </cell>
          <cell r="D322">
            <v>0</v>
          </cell>
          <cell r="E322">
            <v>0</v>
          </cell>
          <cell r="F322">
            <v>0</v>
          </cell>
          <cell r="G322">
            <v>0</v>
          </cell>
        </row>
        <row r="323">
          <cell r="C323" t="str">
            <v>H319</v>
          </cell>
          <cell r="D323">
            <v>0</v>
          </cell>
          <cell r="E323">
            <v>0</v>
          </cell>
          <cell r="F323">
            <v>0</v>
          </cell>
          <cell r="G323">
            <v>0</v>
          </cell>
        </row>
        <row r="324">
          <cell r="C324" t="str">
            <v>H320</v>
          </cell>
          <cell r="D324">
            <v>0</v>
          </cell>
          <cell r="E324">
            <v>0</v>
          </cell>
          <cell r="F324">
            <v>0</v>
          </cell>
          <cell r="G324">
            <v>0</v>
          </cell>
        </row>
        <row r="325">
          <cell r="C325" t="str">
            <v>H321</v>
          </cell>
          <cell r="D325">
            <v>0</v>
          </cell>
          <cell r="E325">
            <v>0</v>
          </cell>
          <cell r="F325">
            <v>0</v>
          </cell>
          <cell r="G325">
            <v>0</v>
          </cell>
        </row>
        <row r="326">
          <cell r="C326" t="str">
            <v>H322</v>
          </cell>
          <cell r="D326">
            <v>0</v>
          </cell>
          <cell r="E326">
            <v>0</v>
          </cell>
          <cell r="F326">
            <v>0</v>
          </cell>
          <cell r="G326">
            <v>0</v>
          </cell>
        </row>
        <row r="327">
          <cell r="C327" t="str">
            <v>H323</v>
          </cell>
          <cell r="D327">
            <v>0</v>
          </cell>
          <cell r="E327">
            <v>0</v>
          </cell>
          <cell r="F327">
            <v>0</v>
          </cell>
          <cell r="G327">
            <v>0</v>
          </cell>
        </row>
        <row r="328">
          <cell r="C328" t="str">
            <v>H324</v>
          </cell>
          <cell r="D328">
            <v>0</v>
          </cell>
          <cell r="E328">
            <v>0</v>
          </cell>
          <cell r="F328">
            <v>0</v>
          </cell>
          <cell r="G328">
            <v>0</v>
          </cell>
        </row>
        <row r="329">
          <cell r="C329" t="str">
            <v>H325</v>
          </cell>
          <cell r="D329">
            <v>0</v>
          </cell>
          <cell r="E329">
            <v>0</v>
          </cell>
          <cell r="F329">
            <v>0</v>
          </cell>
          <cell r="G329">
            <v>0</v>
          </cell>
        </row>
        <row r="330">
          <cell r="C330" t="str">
            <v>H326</v>
          </cell>
          <cell r="D330">
            <v>0</v>
          </cell>
          <cell r="E330">
            <v>0</v>
          </cell>
          <cell r="F330">
            <v>0</v>
          </cell>
          <cell r="G330">
            <v>0</v>
          </cell>
        </row>
        <row r="331">
          <cell r="C331" t="str">
            <v>H327</v>
          </cell>
          <cell r="D331">
            <v>0</v>
          </cell>
          <cell r="E331">
            <v>0</v>
          </cell>
          <cell r="F331">
            <v>0</v>
          </cell>
          <cell r="G331">
            <v>0</v>
          </cell>
        </row>
        <row r="332">
          <cell r="C332" t="str">
            <v>H328</v>
          </cell>
          <cell r="D332">
            <v>0</v>
          </cell>
          <cell r="E332">
            <v>0</v>
          </cell>
          <cell r="F332">
            <v>0</v>
          </cell>
          <cell r="G332">
            <v>0</v>
          </cell>
        </row>
        <row r="333">
          <cell r="C333" t="str">
            <v>H329</v>
          </cell>
          <cell r="D333">
            <v>0</v>
          </cell>
          <cell r="E333">
            <v>0</v>
          </cell>
          <cell r="F333">
            <v>0</v>
          </cell>
          <cell r="G333">
            <v>0</v>
          </cell>
        </row>
        <row r="334">
          <cell r="C334" t="str">
            <v>H330</v>
          </cell>
          <cell r="D334">
            <v>0</v>
          </cell>
          <cell r="E334">
            <v>0</v>
          </cell>
          <cell r="F334">
            <v>0</v>
          </cell>
          <cell r="G334">
            <v>0</v>
          </cell>
        </row>
        <row r="335">
          <cell r="C335" t="str">
            <v>H331</v>
          </cell>
          <cell r="D335">
            <v>0</v>
          </cell>
          <cell r="E335">
            <v>0</v>
          </cell>
          <cell r="F335">
            <v>0</v>
          </cell>
          <cell r="G335">
            <v>0</v>
          </cell>
        </row>
        <row r="336">
          <cell r="C336" t="str">
            <v>H332</v>
          </cell>
          <cell r="D336">
            <v>0</v>
          </cell>
          <cell r="E336">
            <v>0</v>
          </cell>
          <cell r="F336">
            <v>0</v>
          </cell>
          <cell r="G336">
            <v>0</v>
          </cell>
        </row>
        <row r="337">
          <cell r="C337" t="str">
            <v>H333</v>
          </cell>
          <cell r="D337">
            <v>0</v>
          </cell>
          <cell r="E337">
            <v>0</v>
          </cell>
          <cell r="F337">
            <v>0</v>
          </cell>
          <cell r="G337">
            <v>0</v>
          </cell>
        </row>
        <row r="338">
          <cell r="C338" t="str">
            <v>H334</v>
          </cell>
          <cell r="D338">
            <v>0</v>
          </cell>
          <cell r="E338">
            <v>0</v>
          </cell>
          <cell r="F338">
            <v>0</v>
          </cell>
          <cell r="G338">
            <v>0</v>
          </cell>
        </row>
        <row r="339">
          <cell r="C339" t="str">
            <v>H335</v>
          </cell>
          <cell r="D339">
            <v>0</v>
          </cell>
          <cell r="E339">
            <v>0</v>
          </cell>
          <cell r="F339">
            <v>0</v>
          </cell>
          <cell r="G339">
            <v>0</v>
          </cell>
        </row>
        <row r="340">
          <cell r="C340" t="str">
            <v>H336</v>
          </cell>
          <cell r="D340">
            <v>0</v>
          </cell>
          <cell r="E340">
            <v>0</v>
          </cell>
          <cell r="F340">
            <v>0</v>
          </cell>
          <cell r="G340">
            <v>0</v>
          </cell>
        </row>
        <row r="341">
          <cell r="C341" t="str">
            <v>H337</v>
          </cell>
          <cell r="D341">
            <v>0</v>
          </cell>
          <cell r="E341">
            <v>0</v>
          </cell>
          <cell r="F341">
            <v>0</v>
          </cell>
          <cell r="G341">
            <v>0</v>
          </cell>
        </row>
        <row r="342">
          <cell r="C342" t="str">
            <v>H338</v>
          </cell>
          <cell r="D342">
            <v>0</v>
          </cell>
          <cell r="E342">
            <v>0</v>
          </cell>
          <cell r="F342">
            <v>0</v>
          </cell>
          <cell r="G342">
            <v>0</v>
          </cell>
        </row>
        <row r="343">
          <cell r="C343" t="str">
            <v>H339</v>
          </cell>
          <cell r="D343">
            <v>0</v>
          </cell>
          <cell r="E343">
            <v>0</v>
          </cell>
          <cell r="F343">
            <v>0</v>
          </cell>
          <cell r="G343">
            <v>0</v>
          </cell>
        </row>
        <row r="344">
          <cell r="C344" t="str">
            <v>H340</v>
          </cell>
          <cell r="D344">
            <v>0</v>
          </cell>
          <cell r="E344">
            <v>0</v>
          </cell>
          <cell r="F344">
            <v>0</v>
          </cell>
          <cell r="G344">
            <v>0</v>
          </cell>
        </row>
        <row r="345">
          <cell r="C345" t="str">
            <v>H341</v>
          </cell>
          <cell r="D345">
            <v>0</v>
          </cell>
          <cell r="E345">
            <v>0</v>
          </cell>
          <cell r="F345">
            <v>0</v>
          </cell>
          <cell r="G345">
            <v>0</v>
          </cell>
        </row>
        <row r="346">
          <cell r="C346" t="str">
            <v>H342</v>
          </cell>
          <cell r="D346">
            <v>0</v>
          </cell>
          <cell r="E346">
            <v>0</v>
          </cell>
          <cell r="F346">
            <v>0</v>
          </cell>
          <cell r="G346">
            <v>0</v>
          </cell>
        </row>
        <row r="347">
          <cell r="C347" t="str">
            <v>H343</v>
          </cell>
          <cell r="D347">
            <v>0</v>
          </cell>
          <cell r="E347">
            <v>0</v>
          </cell>
          <cell r="F347">
            <v>0</v>
          </cell>
          <cell r="G347">
            <v>0</v>
          </cell>
        </row>
        <row r="348">
          <cell r="C348" t="str">
            <v>H344</v>
          </cell>
          <cell r="D348">
            <v>0</v>
          </cell>
          <cell r="E348">
            <v>0</v>
          </cell>
          <cell r="F348">
            <v>0</v>
          </cell>
          <cell r="G348">
            <v>0</v>
          </cell>
        </row>
        <row r="349">
          <cell r="C349" t="str">
            <v>H345</v>
          </cell>
          <cell r="D349">
            <v>0</v>
          </cell>
          <cell r="E349">
            <v>0</v>
          </cell>
          <cell r="F349">
            <v>0</v>
          </cell>
          <cell r="G349">
            <v>0</v>
          </cell>
        </row>
        <row r="350">
          <cell r="C350" t="str">
            <v>H346</v>
          </cell>
          <cell r="D350">
            <v>0</v>
          </cell>
          <cell r="E350">
            <v>0</v>
          </cell>
          <cell r="F350">
            <v>0</v>
          </cell>
          <cell r="G350">
            <v>0</v>
          </cell>
        </row>
        <row r="351">
          <cell r="C351" t="str">
            <v>H347</v>
          </cell>
          <cell r="D351">
            <v>0</v>
          </cell>
          <cell r="E351">
            <v>0</v>
          </cell>
          <cell r="F351">
            <v>0</v>
          </cell>
          <cell r="G351">
            <v>0</v>
          </cell>
        </row>
        <row r="352">
          <cell r="C352" t="str">
            <v>H348</v>
          </cell>
          <cell r="D352">
            <v>0</v>
          </cell>
          <cell r="E352">
            <v>0</v>
          </cell>
          <cell r="F352">
            <v>0</v>
          </cell>
          <cell r="G352">
            <v>0</v>
          </cell>
        </row>
        <row r="353">
          <cell r="C353" t="str">
            <v>H349</v>
          </cell>
          <cell r="D353">
            <v>0</v>
          </cell>
          <cell r="E353">
            <v>0</v>
          </cell>
          <cell r="F353">
            <v>0</v>
          </cell>
          <cell r="G353">
            <v>0</v>
          </cell>
        </row>
        <row r="354">
          <cell r="C354" t="str">
            <v>H350</v>
          </cell>
          <cell r="D354">
            <v>0</v>
          </cell>
          <cell r="E354">
            <v>0</v>
          </cell>
          <cell r="F354">
            <v>0</v>
          </cell>
          <cell r="G354">
            <v>0</v>
          </cell>
        </row>
        <row r="355">
          <cell r="C355" t="str">
            <v>H351</v>
          </cell>
          <cell r="D355">
            <v>0</v>
          </cell>
          <cell r="E355">
            <v>0</v>
          </cell>
          <cell r="F355">
            <v>0</v>
          </cell>
          <cell r="G355">
            <v>0</v>
          </cell>
        </row>
        <row r="356">
          <cell r="C356" t="str">
            <v>H352</v>
          </cell>
          <cell r="D356">
            <v>0</v>
          </cell>
          <cell r="E356">
            <v>0</v>
          </cell>
          <cell r="F356">
            <v>0</v>
          </cell>
          <cell r="G356">
            <v>0</v>
          </cell>
        </row>
        <row r="357">
          <cell r="C357" t="str">
            <v>H353</v>
          </cell>
          <cell r="D357">
            <v>0</v>
          </cell>
          <cell r="E357">
            <v>0</v>
          </cell>
          <cell r="F357">
            <v>0</v>
          </cell>
          <cell r="G357">
            <v>0</v>
          </cell>
        </row>
        <row r="358">
          <cell r="C358" t="str">
            <v>H354</v>
          </cell>
          <cell r="D358">
            <v>0</v>
          </cell>
          <cell r="E358">
            <v>0</v>
          </cell>
          <cell r="F358">
            <v>0</v>
          </cell>
          <cell r="G358">
            <v>0</v>
          </cell>
        </row>
        <row r="359">
          <cell r="C359" t="str">
            <v>H355</v>
          </cell>
          <cell r="D359">
            <v>0</v>
          </cell>
          <cell r="E359">
            <v>0</v>
          </cell>
          <cell r="F359">
            <v>0</v>
          </cell>
          <cell r="G359">
            <v>0</v>
          </cell>
        </row>
        <row r="360">
          <cell r="C360" t="str">
            <v>H356</v>
          </cell>
          <cell r="D360">
            <v>0</v>
          </cell>
          <cell r="E360">
            <v>0</v>
          </cell>
          <cell r="F360">
            <v>0</v>
          </cell>
          <cell r="G360">
            <v>0</v>
          </cell>
        </row>
        <row r="361">
          <cell r="C361" t="str">
            <v>H357</v>
          </cell>
          <cell r="D361">
            <v>0</v>
          </cell>
          <cell r="E361">
            <v>0</v>
          </cell>
          <cell r="F361">
            <v>0</v>
          </cell>
          <cell r="G361">
            <v>0</v>
          </cell>
        </row>
        <row r="362">
          <cell r="C362" t="str">
            <v>H358</v>
          </cell>
          <cell r="D362">
            <v>0</v>
          </cell>
          <cell r="E362">
            <v>0</v>
          </cell>
          <cell r="F362">
            <v>0</v>
          </cell>
          <cell r="G362">
            <v>0</v>
          </cell>
        </row>
        <row r="363">
          <cell r="C363" t="str">
            <v>H359</v>
          </cell>
          <cell r="D363">
            <v>0</v>
          </cell>
          <cell r="E363">
            <v>0</v>
          </cell>
          <cell r="F363">
            <v>0</v>
          </cell>
          <cell r="G363">
            <v>0</v>
          </cell>
        </row>
        <row r="364">
          <cell r="C364" t="str">
            <v>H360</v>
          </cell>
          <cell r="D364">
            <v>0</v>
          </cell>
          <cell r="E364">
            <v>0</v>
          </cell>
          <cell r="F364">
            <v>0</v>
          </cell>
          <cell r="G364">
            <v>0</v>
          </cell>
        </row>
        <row r="365">
          <cell r="C365" t="str">
            <v>H361</v>
          </cell>
          <cell r="D365">
            <v>0</v>
          </cell>
          <cell r="E365">
            <v>0</v>
          </cell>
          <cell r="F365">
            <v>0</v>
          </cell>
          <cell r="G365">
            <v>0</v>
          </cell>
        </row>
        <row r="366">
          <cell r="C366" t="str">
            <v>H362</v>
          </cell>
          <cell r="D366">
            <v>0</v>
          </cell>
          <cell r="E366">
            <v>0</v>
          </cell>
          <cell r="F366">
            <v>0</v>
          </cell>
          <cell r="G366">
            <v>0</v>
          </cell>
        </row>
        <row r="367">
          <cell r="C367" t="str">
            <v>H363</v>
          </cell>
          <cell r="D367">
            <v>0</v>
          </cell>
          <cell r="E367">
            <v>0</v>
          </cell>
          <cell r="F367">
            <v>0</v>
          </cell>
          <cell r="G367">
            <v>0</v>
          </cell>
        </row>
        <row r="368">
          <cell r="C368" t="str">
            <v>H364</v>
          </cell>
          <cell r="D368">
            <v>0</v>
          </cell>
          <cell r="E368">
            <v>0</v>
          </cell>
          <cell r="F368">
            <v>0</v>
          </cell>
          <cell r="G368">
            <v>0</v>
          </cell>
        </row>
        <row r="369">
          <cell r="C369" t="str">
            <v>H365</v>
          </cell>
          <cell r="D369">
            <v>0</v>
          </cell>
          <cell r="E369">
            <v>0</v>
          </cell>
          <cell r="F369">
            <v>0</v>
          </cell>
          <cell r="G369">
            <v>0</v>
          </cell>
        </row>
        <row r="370">
          <cell r="C370" t="str">
            <v>H366</v>
          </cell>
          <cell r="D370">
            <v>0</v>
          </cell>
          <cell r="E370">
            <v>0</v>
          </cell>
          <cell r="F370">
            <v>0</v>
          </cell>
          <cell r="G370">
            <v>0</v>
          </cell>
        </row>
        <row r="371">
          <cell r="C371" t="str">
            <v>H367</v>
          </cell>
          <cell r="D371">
            <v>0</v>
          </cell>
          <cell r="E371">
            <v>0</v>
          </cell>
          <cell r="F371">
            <v>0</v>
          </cell>
          <cell r="G371">
            <v>0</v>
          </cell>
        </row>
        <row r="372">
          <cell r="C372" t="str">
            <v>H368</v>
          </cell>
          <cell r="D372">
            <v>0</v>
          </cell>
          <cell r="E372">
            <v>0</v>
          </cell>
          <cell r="F372">
            <v>0</v>
          </cell>
          <cell r="G372">
            <v>0</v>
          </cell>
        </row>
        <row r="373">
          <cell r="C373" t="str">
            <v>H369</v>
          </cell>
          <cell r="D373">
            <v>0</v>
          </cell>
          <cell r="E373">
            <v>0</v>
          </cell>
          <cell r="F373">
            <v>0</v>
          </cell>
          <cell r="G373">
            <v>0</v>
          </cell>
        </row>
        <row r="374">
          <cell r="C374" t="str">
            <v>H370</v>
          </cell>
          <cell r="D374">
            <v>0</v>
          </cell>
          <cell r="E374">
            <v>0</v>
          </cell>
          <cell r="F374">
            <v>0</v>
          </cell>
          <cell r="G374">
            <v>0</v>
          </cell>
        </row>
        <row r="375">
          <cell r="C375" t="str">
            <v>H371</v>
          </cell>
          <cell r="D375">
            <v>0</v>
          </cell>
          <cell r="E375">
            <v>0</v>
          </cell>
          <cell r="F375">
            <v>0</v>
          </cell>
          <cell r="G375">
            <v>0</v>
          </cell>
        </row>
        <row r="376">
          <cell r="C376" t="str">
            <v>H372</v>
          </cell>
          <cell r="D376">
            <v>0</v>
          </cell>
          <cell r="E376">
            <v>0</v>
          </cell>
          <cell r="F376">
            <v>0</v>
          </cell>
          <cell r="G376">
            <v>0</v>
          </cell>
        </row>
        <row r="377">
          <cell r="C377" t="str">
            <v>H373</v>
          </cell>
          <cell r="D377">
            <v>0</v>
          </cell>
          <cell r="E377">
            <v>0</v>
          </cell>
          <cell r="F377">
            <v>0</v>
          </cell>
          <cell r="G377">
            <v>0</v>
          </cell>
        </row>
        <row r="378">
          <cell r="C378" t="str">
            <v>H374</v>
          </cell>
          <cell r="D378">
            <v>0</v>
          </cell>
          <cell r="E378">
            <v>0</v>
          </cell>
          <cell r="F378">
            <v>0</v>
          </cell>
          <cell r="G378">
            <v>0</v>
          </cell>
        </row>
        <row r="379">
          <cell r="C379" t="str">
            <v>H375</v>
          </cell>
          <cell r="D379">
            <v>0</v>
          </cell>
          <cell r="E379">
            <v>0</v>
          </cell>
          <cell r="F379">
            <v>0</v>
          </cell>
          <cell r="G379">
            <v>0</v>
          </cell>
        </row>
        <row r="380">
          <cell r="C380" t="str">
            <v>H376</v>
          </cell>
          <cell r="D380">
            <v>0</v>
          </cell>
          <cell r="E380">
            <v>0</v>
          </cell>
          <cell r="F380">
            <v>0</v>
          </cell>
          <cell r="G380">
            <v>0</v>
          </cell>
        </row>
        <row r="381">
          <cell r="C381" t="str">
            <v>H377</v>
          </cell>
          <cell r="D381">
            <v>0</v>
          </cell>
          <cell r="E381">
            <v>0</v>
          </cell>
          <cell r="F381">
            <v>0</v>
          </cell>
          <cell r="G381">
            <v>0</v>
          </cell>
        </row>
        <row r="382">
          <cell r="C382" t="str">
            <v>H378</v>
          </cell>
          <cell r="D382">
            <v>0</v>
          </cell>
          <cell r="E382">
            <v>0</v>
          </cell>
          <cell r="F382">
            <v>0</v>
          </cell>
          <cell r="G382">
            <v>0</v>
          </cell>
        </row>
        <row r="383">
          <cell r="C383" t="str">
            <v>H379</v>
          </cell>
          <cell r="D383">
            <v>0</v>
          </cell>
          <cell r="E383">
            <v>0</v>
          </cell>
          <cell r="F383">
            <v>0</v>
          </cell>
          <cell r="G383">
            <v>0</v>
          </cell>
        </row>
        <row r="384">
          <cell r="C384" t="str">
            <v>H380</v>
          </cell>
          <cell r="D384">
            <v>0</v>
          </cell>
          <cell r="E384">
            <v>0</v>
          </cell>
          <cell r="F384">
            <v>0</v>
          </cell>
          <cell r="G384">
            <v>0</v>
          </cell>
        </row>
        <row r="385">
          <cell r="C385" t="str">
            <v>H381</v>
          </cell>
          <cell r="D385">
            <v>0</v>
          </cell>
          <cell r="E385">
            <v>0</v>
          </cell>
          <cell r="F385">
            <v>0</v>
          </cell>
          <cell r="G385">
            <v>0</v>
          </cell>
        </row>
        <row r="386">
          <cell r="C386" t="str">
            <v>H382</v>
          </cell>
          <cell r="D386">
            <v>0</v>
          </cell>
          <cell r="E386">
            <v>0</v>
          </cell>
          <cell r="F386">
            <v>0</v>
          </cell>
          <cell r="G386">
            <v>0</v>
          </cell>
        </row>
        <row r="387">
          <cell r="C387" t="str">
            <v>H383</v>
          </cell>
          <cell r="D387">
            <v>0</v>
          </cell>
          <cell r="E387">
            <v>0</v>
          </cell>
          <cell r="F387">
            <v>0</v>
          </cell>
          <cell r="G387">
            <v>0</v>
          </cell>
        </row>
        <row r="388">
          <cell r="C388" t="str">
            <v>H384</v>
          </cell>
          <cell r="D388">
            <v>0</v>
          </cell>
          <cell r="E388">
            <v>0</v>
          </cell>
          <cell r="F388">
            <v>0</v>
          </cell>
          <cell r="G388">
            <v>0</v>
          </cell>
        </row>
        <row r="389">
          <cell r="C389" t="str">
            <v>H385</v>
          </cell>
          <cell r="D389">
            <v>0</v>
          </cell>
          <cell r="E389">
            <v>0</v>
          </cell>
          <cell r="F389">
            <v>0</v>
          </cell>
          <cell r="G389">
            <v>0</v>
          </cell>
        </row>
        <row r="390">
          <cell r="C390" t="str">
            <v>H386</v>
          </cell>
          <cell r="D390">
            <v>0</v>
          </cell>
          <cell r="E390">
            <v>0</v>
          </cell>
          <cell r="F390">
            <v>0</v>
          </cell>
          <cell r="G390">
            <v>0</v>
          </cell>
        </row>
        <row r="391">
          <cell r="C391" t="str">
            <v>H387</v>
          </cell>
          <cell r="D391">
            <v>0</v>
          </cell>
          <cell r="E391">
            <v>0</v>
          </cell>
          <cell r="F391">
            <v>0</v>
          </cell>
          <cell r="G391">
            <v>0</v>
          </cell>
        </row>
        <row r="392">
          <cell r="C392" t="str">
            <v>H388</v>
          </cell>
          <cell r="D392">
            <v>0</v>
          </cell>
          <cell r="E392">
            <v>0</v>
          </cell>
          <cell r="F392">
            <v>0</v>
          </cell>
          <cell r="G392">
            <v>0</v>
          </cell>
        </row>
        <row r="393">
          <cell r="C393" t="str">
            <v>H389</v>
          </cell>
          <cell r="D393">
            <v>0</v>
          </cell>
          <cell r="E393">
            <v>0</v>
          </cell>
          <cell r="F393">
            <v>0</v>
          </cell>
          <cell r="G393">
            <v>0</v>
          </cell>
        </row>
        <row r="394">
          <cell r="C394" t="str">
            <v>H390</v>
          </cell>
          <cell r="D394">
            <v>0</v>
          </cell>
          <cell r="E394">
            <v>0</v>
          </cell>
          <cell r="F394">
            <v>0</v>
          </cell>
          <cell r="G394">
            <v>0</v>
          </cell>
        </row>
        <row r="395">
          <cell r="C395" t="str">
            <v>H391</v>
          </cell>
          <cell r="D395">
            <v>0</v>
          </cell>
          <cell r="E395">
            <v>0</v>
          </cell>
          <cell r="F395">
            <v>0</v>
          </cell>
          <cell r="G395">
            <v>0</v>
          </cell>
        </row>
        <row r="396">
          <cell r="C396" t="str">
            <v>H392</v>
          </cell>
          <cell r="D396">
            <v>0</v>
          </cell>
          <cell r="E396">
            <v>0</v>
          </cell>
          <cell r="F396">
            <v>0</v>
          </cell>
          <cell r="G396">
            <v>0</v>
          </cell>
        </row>
        <row r="397">
          <cell r="C397" t="str">
            <v>H393</v>
          </cell>
          <cell r="D397">
            <v>0</v>
          </cell>
          <cell r="E397">
            <v>0</v>
          </cell>
          <cell r="F397">
            <v>0</v>
          </cell>
          <cell r="G397">
            <v>0</v>
          </cell>
        </row>
        <row r="398">
          <cell r="C398" t="str">
            <v>H394</v>
          </cell>
          <cell r="D398">
            <v>0</v>
          </cell>
          <cell r="E398">
            <v>0</v>
          </cell>
          <cell r="F398">
            <v>0</v>
          </cell>
          <cell r="G398">
            <v>0</v>
          </cell>
        </row>
        <row r="399">
          <cell r="C399" t="str">
            <v>H395</v>
          </cell>
          <cell r="D399">
            <v>0</v>
          </cell>
          <cell r="E399">
            <v>0</v>
          </cell>
          <cell r="F399">
            <v>0</v>
          </cell>
          <cell r="G399">
            <v>0</v>
          </cell>
        </row>
        <row r="400">
          <cell r="C400" t="str">
            <v>H396</v>
          </cell>
          <cell r="D400">
            <v>0</v>
          </cell>
          <cell r="E400">
            <v>0</v>
          </cell>
          <cell r="F400">
            <v>0</v>
          </cell>
          <cell r="G400">
            <v>0</v>
          </cell>
        </row>
        <row r="401">
          <cell r="C401" t="str">
            <v>H397</v>
          </cell>
          <cell r="D401">
            <v>0</v>
          </cell>
          <cell r="E401">
            <v>0</v>
          </cell>
          <cell r="F401">
            <v>0</v>
          </cell>
          <cell r="G401">
            <v>0</v>
          </cell>
        </row>
        <row r="402">
          <cell r="C402" t="str">
            <v>H398</v>
          </cell>
          <cell r="D402">
            <v>0</v>
          </cell>
          <cell r="E402">
            <v>0</v>
          </cell>
          <cell r="F402">
            <v>0</v>
          </cell>
          <cell r="G402">
            <v>0</v>
          </cell>
        </row>
        <row r="403">
          <cell r="C403" t="str">
            <v>H399</v>
          </cell>
          <cell r="D403">
            <v>0</v>
          </cell>
          <cell r="E403">
            <v>0</v>
          </cell>
          <cell r="F403">
            <v>0</v>
          </cell>
          <cell r="G403">
            <v>0</v>
          </cell>
        </row>
        <row r="404">
          <cell r="C404" t="str">
            <v>H400</v>
          </cell>
          <cell r="D404">
            <v>0</v>
          </cell>
          <cell r="E404">
            <v>0</v>
          </cell>
          <cell r="F404">
            <v>0</v>
          </cell>
          <cell r="G404">
            <v>0</v>
          </cell>
        </row>
        <row r="405">
          <cell r="C405" t="str">
            <v>H401</v>
          </cell>
          <cell r="D405">
            <v>0</v>
          </cell>
          <cell r="E405">
            <v>0</v>
          </cell>
          <cell r="F405">
            <v>0</v>
          </cell>
          <cell r="G405">
            <v>0</v>
          </cell>
        </row>
        <row r="406">
          <cell r="C406" t="str">
            <v>H402</v>
          </cell>
          <cell r="D406">
            <v>0</v>
          </cell>
          <cell r="E406">
            <v>0</v>
          </cell>
          <cell r="F406">
            <v>0</v>
          </cell>
          <cell r="G406">
            <v>0</v>
          </cell>
        </row>
        <row r="407">
          <cell r="C407" t="str">
            <v>H403</v>
          </cell>
          <cell r="D407">
            <v>0</v>
          </cell>
          <cell r="E407">
            <v>0</v>
          </cell>
          <cell r="F407">
            <v>0</v>
          </cell>
          <cell r="G407">
            <v>0</v>
          </cell>
        </row>
        <row r="408">
          <cell r="C408" t="str">
            <v>H404</v>
          </cell>
          <cell r="D408">
            <v>0</v>
          </cell>
          <cell r="E408">
            <v>0</v>
          </cell>
          <cell r="F408">
            <v>0</v>
          </cell>
          <cell r="G408">
            <v>0</v>
          </cell>
        </row>
        <row r="409">
          <cell r="C409" t="str">
            <v>H405</v>
          </cell>
          <cell r="D409">
            <v>0</v>
          </cell>
          <cell r="E409">
            <v>0</v>
          </cell>
          <cell r="F409">
            <v>0</v>
          </cell>
          <cell r="G409">
            <v>0</v>
          </cell>
        </row>
        <row r="410">
          <cell r="C410" t="str">
            <v>H406</v>
          </cell>
          <cell r="D410">
            <v>0</v>
          </cell>
          <cell r="E410">
            <v>0</v>
          </cell>
          <cell r="F410">
            <v>0</v>
          </cell>
          <cell r="G410">
            <v>0</v>
          </cell>
        </row>
        <row r="411">
          <cell r="C411" t="str">
            <v>H407</v>
          </cell>
          <cell r="D411">
            <v>0</v>
          </cell>
          <cell r="E411">
            <v>0</v>
          </cell>
          <cell r="F411">
            <v>0</v>
          </cell>
          <cell r="G411">
            <v>0</v>
          </cell>
        </row>
        <row r="412">
          <cell r="C412" t="str">
            <v>H408</v>
          </cell>
          <cell r="D412">
            <v>0</v>
          </cell>
          <cell r="E412">
            <v>0</v>
          </cell>
          <cell r="F412">
            <v>0</v>
          </cell>
          <cell r="G412">
            <v>0</v>
          </cell>
        </row>
        <row r="413">
          <cell r="C413" t="str">
            <v>H409</v>
          </cell>
          <cell r="D413">
            <v>0</v>
          </cell>
          <cell r="E413">
            <v>0</v>
          </cell>
          <cell r="F413">
            <v>0</v>
          </cell>
          <cell r="G413">
            <v>0</v>
          </cell>
        </row>
        <row r="414">
          <cell r="C414" t="str">
            <v>H410</v>
          </cell>
          <cell r="D414">
            <v>0</v>
          </cell>
          <cell r="E414">
            <v>0</v>
          </cell>
          <cell r="F414">
            <v>0</v>
          </cell>
          <cell r="G414">
            <v>0</v>
          </cell>
        </row>
        <row r="415">
          <cell r="C415" t="str">
            <v>H411</v>
          </cell>
          <cell r="D415">
            <v>0</v>
          </cell>
          <cell r="E415">
            <v>0</v>
          </cell>
          <cell r="F415">
            <v>0</v>
          </cell>
          <cell r="G415">
            <v>0</v>
          </cell>
        </row>
        <row r="416">
          <cell r="C416" t="str">
            <v>H412</v>
          </cell>
          <cell r="D416">
            <v>0</v>
          </cell>
          <cell r="E416">
            <v>0</v>
          </cell>
          <cell r="F416">
            <v>0</v>
          </cell>
          <cell r="G416">
            <v>0</v>
          </cell>
        </row>
        <row r="417">
          <cell r="C417" t="str">
            <v>H413</v>
          </cell>
          <cell r="D417">
            <v>0</v>
          </cell>
          <cell r="E417">
            <v>0</v>
          </cell>
          <cell r="F417">
            <v>0</v>
          </cell>
          <cell r="G417">
            <v>0</v>
          </cell>
        </row>
        <row r="418">
          <cell r="C418" t="str">
            <v>H414</v>
          </cell>
          <cell r="D418">
            <v>0</v>
          </cell>
          <cell r="E418">
            <v>0</v>
          </cell>
          <cell r="F418">
            <v>0</v>
          </cell>
          <cell r="G418">
            <v>0</v>
          </cell>
        </row>
        <row r="419">
          <cell r="C419" t="str">
            <v>H415</v>
          </cell>
          <cell r="D419">
            <v>0</v>
          </cell>
          <cell r="E419">
            <v>0</v>
          </cell>
          <cell r="F419">
            <v>0</v>
          </cell>
          <cell r="G419">
            <v>0</v>
          </cell>
        </row>
        <row r="420">
          <cell r="C420" t="str">
            <v>H416</v>
          </cell>
          <cell r="D420">
            <v>0</v>
          </cell>
          <cell r="E420">
            <v>0</v>
          </cell>
          <cell r="F420">
            <v>0</v>
          </cell>
          <cell r="G420">
            <v>0</v>
          </cell>
        </row>
        <row r="421">
          <cell r="C421" t="str">
            <v>H417</v>
          </cell>
          <cell r="D421">
            <v>0</v>
          </cell>
          <cell r="E421">
            <v>0</v>
          </cell>
          <cell r="F421">
            <v>0</v>
          </cell>
          <cell r="G421">
            <v>0</v>
          </cell>
        </row>
        <row r="422">
          <cell r="C422" t="str">
            <v>H418</v>
          </cell>
          <cell r="D422">
            <v>0</v>
          </cell>
          <cell r="E422">
            <v>0</v>
          </cell>
          <cell r="F422">
            <v>0</v>
          </cell>
          <cell r="G422">
            <v>0</v>
          </cell>
        </row>
        <row r="423">
          <cell r="C423" t="str">
            <v>H419</v>
          </cell>
          <cell r="D423">
            <v>0</v>
          </cell>
          <cell r="E423">
            <v>0</v>
          </cell>
          <cell r="F423">
            <v>0</v>
          </cell>
          <cell r="G423">
            <v>0</v>
          </cell>
        </row>
        <row r="424">
          <cell r="C424" t="str">
            <v>H420</v>
          </cell>
          <cell r="D424">
            <v>0</v>
          </cell>
          <cell r="E424">
            <v>0</v>
          </cell>
          <cell r="F424">
            <v>0</v>
          </cell>
          <cell r="G424">
            <v>0</v>
          </cell>
        </row>
        <row r="425">
          <cell r="C425" t="str">
            <v>H421</v>
          </cell>
          <cell r="D425">
            <v>0</v>
          </cell>
          <cell r="E425">
            <v>0</v>
          </cell>
          <cell r="F425">
            <v>0</v>
          </cell>
          <cell r="G425">
            <v>0</v>
          </cell>
        </row>
        <row r="426">
          <cell r="C426" t="str">
            <v>H422</v>
          </cell>
          <cell r="D426">
            <v>0</v>
          </cell>
          <cell r="E426">
            <v>0</v>
          </cell>
          <cell r="F426">
            <v>0</v>
          </cell>
          <cell r="G426">
            <v>0</v>
          </cell>
        </row>
        <row r="427">
          <cell r="C427" t="str">
            <v>H423</v>
          </cell>
          <cell r="D427">
            <v>0</v>
          </cell>
          <cell r="E427">
            <v>0</v>
          </cell>
          <cell r="F427">
            <v>0</v>
          </cell>
          <cell r="G427">
            <v>0</v>
          </cell>
        </row>
        <row r="428">
          <cell r="C428" t="str">
            <v>H424</v>
          </cell>
          <cell r="D428">
            <v>0</v>
          </cell>
          <cell r="E428">
            <v>0</v>
          </cell>
          <cell r="F428">
            <v>0</v>
          </cell>
          <cell r="G428">
            <v>0</v>
          </cell>
        </row>
        <row r="429">
          <cell r="C429" t="str">
            <v>H425</v>
          </cell>
          <cell r="D429">
            <v>0</v>
          </cell>
          <cell r="E429">
            <v>0</v>
          </cell>
          <cell r="F429">
            <v>0</v>
          </cell>
          <cell r="G429">
            <v>0</v>
          </cell>
        </row>
        <row r="430">
          <cell r="C430" t="str">
            <v>H426</v>
          </cell>
          <cell r="D430">
            <v>0</v>
          </cell>
          <cell r="E430">
            <v>0</v>
          </cell>
          <cell r="F430">
            <v>0</v>
          </cell>
          <cell r="G430">
            <v>0</v>
          </cell>
        </row>
        <row r="431">
          <cell r="C431" t="str">
            <v>H427</v>
          </cell>
          <cell r="D431">
            <v>0</v>
          </cell>
          <cell r="E431">
            <v>0</v>
          </cell>
          <cell r="F431">
            <v>0</v>
          </cell>
          <cell r="G431">
            <v>0</v>
          </cell>
        </row>
        <row r="432">
          <cell r="C432" t="str">
            <v>H428</v>
          </cell>
          <cell r="D432">
            <v>0</v>
          </cell>
          <cell r="E432">
            <v>0</v>
          </cell>
          <cell r="F432">
            <v>0</v>
          </cell>
          <cell r="G432">
            <v>0</v>
          </cell>
        </row>
        <row r="433">
          <cell r="C433" t="str">
            <v>H429</v>
          </cell>
          <cell r="D433">
            <v>0</v>
          </cell>
          <cell r="E433">
            <v>0</v>
          </cell>
          <cell r="F433">
            <v>0</v>
          </cell>
          <cell r="G433">
            <v>0</v>
          </cell>
        </row>
        <row r="434">
          <cell r="C434" t="str">
            <v>H430</v>
          </cell>
          <cell r="D434">
            <v>0</v>
          </cell>
          <cell r="E434">
            <v>0</v>
          </cell>
          <cell r="F434">
            <v>0</v>
          </cell>
          <cell r="G434">
            <v>0</v>
          </cell>
        </row>
        <row r="435">
          <cell r="C435" t="str">
            <v>H431</v>
          </cell>
          <cell r="D435">
            <v>0</v>
          </cell>
          <cell r="E435">
            <v>0</v>
          </cell>
          <cell r="F435">
            <v>0</v>
          </cell>
          <cell r="G435">
            <v>0</v>
          </cell>
        </row>
        <row r="436">
          <cell r="C436" t="str">
            <v>H432</v>
          </cell>
          <cell r="D436">
            <v>0</v>
          </cell>
          <cell r="E436">
            <v>0</v>
          </cell>
          <cell r="F436">
            <v>0</v>
          </cell>
          <cell r="G436">
            <v>0</v>
          </cell>
        </row>
        <row r="437">
          <cell r="C437" t="str">
            <v>H433</v>
          </cell>
          <cell r="D437">
            <v>0</v>
          </cell>
          <cell r="E437">
            <v>0</v>
          </cell>
          <cell r="F437">
            <v>0</v>
          </cell>
          <cell r="G437">
            <v>0</v>
          </cell>
        </row>
        <row r="438">
          <cell r="C438" t="str">
            <v>H434</v>
          </cell>
          <cell r="D438">
            <v>0</v>
          </cell>
          <cell r="E438">
            <v>0</v>
          </cell>
          <cell r="F438">
            <v>0</v>
          </cell>
          <cell r="G438">
            <v>0</v>
          </cell>
        </row>
        <row r="439">
          <cell r="C439" t="str">
            <v>H435</v>
          </cell>
          <cell r="D439">
            <v>0</v>
          </cell>
          <cell r="E439">
            <v>0</v>
          </cell>
          <cell r="F439">
            <v>0</v>
          </cell>
          <cell r="G439">
            <v>0</v>
          </cell>
        </row>
        <row r="440">
          <cell r="C440" t="str">
            <v>H436</v>
          </cell>
          <cell r="D440">
            <v>0</v>
          </cell>
          <cell r="E440">
            <v>0</v>
          </cell>
          <cell r="F440">
            <v>0</v>
          </cell>
          <cell r="G440">
            <v>0</v>
          </cell>
        </row>
        <row r="441">
          <cell r="C441" t="str">
            <v>H437</v>
          </cell>
          <cell r="D441">
            <v>0</v>
          </cell>
          <cell r="E441">
            <v>0</v>
          </cell>
          <cell r="F441">
            <v>0</v>
          </cell>
          <cell r="G441">
            <v>0</v>
          </cell>
        </row>
        <row r="442">
          <cell r="C442" t="str">
            <v>H438</v>
          </cell>
          <cell r="D442">
            <v>0</v>
          </cell>
          <cell r="E442">
            <v>0</v>
          </cell>
          <cell r="F442">
            <v>0</v>
          </cell>
          <cell r="G442">
            <v>0</v>
          </cell>
        </row>
        <row r="443">
          <cell r="C443" t="str">
            <v>H439</v>
          </cell>
          <cell r="D443">
            <v>0</v>
          </cell>
          <cell r="E443">
            <v>0</v>
          </cell>
          <cell r="F443">
            <v>0</v>
          </cell>
          <cell r="G443">
            <v>0</v>
          </cell>
        </row>
        <row r="444">
          <cell r="C444" t="str">
            <v>H440</v>
          </cell>
          <cell r="D444">
            <v>0</v>
          </cell>
          <cell r="E444">
            <v>0</v>
          </cell>
          <cell r="F444">
            <v>0</v>
          </cell>
          <cell r="G444">
            <v>0</v>
          </cell>
        </row>
        <row r="445">
          <cell r="C445" t="str">
            <v>H441</v>
          </cell>
          <cell r="D445">
            <v>0</v>
          </cell>
          <cell r="E445">
            <v>0</v>
          </cell>
          <cell r="F445">
            <v>0</v>
          </cell>
          <cell r="G445">
            <v>0</v>
          </cell>
        </row>
        <row r="446">
          <cell r="C446" t="str">
            <v>H442</v>
          </cell>
          <cell r="D446">
            <v>0</v>
          </cell>
          <cell r="E446">
            <v>0</v>
          </cell>
          <cell r="F446">
            <v>0</v>
          </cell>
          <cell r="G446">
            <v>0</v>
          </cell>
        </row>
        <row r="447">
          <cell r="C447" t="str">
            <v>H443</v>
          </cell>
          <cell r="D447">
            <v>0</v>
          </cell>
          <cell r="E447">
            <v>0</v>
          </cell>
          <cell r="F447">
            <v>0</v>
          </cell>
          <cell r="G447">
            <v>0</v>
          </cell>
        </row>
        <row r="448">
          <cell r="C448" t="str">
            <v>H444</v>
          </cell>
          <cell r="D448">
            <v>0</v>
          </cell>
          <cell r="E448">
            <v>0</v>
          </cell>
          <cell r="F448">
            <v>0</v>
          </cell>
          <cell r="G448">
            <v>0</v>
          </cell>
        </row>
        <row r="449">
          <cell r="C449" t="str">
            <v>H445</v>
          </cell>
          <cell r="D449">
            <v>0</v>
          </cell>
          <cell r="E449">
            <v>0</v>
          </cell>
          <cell r="F449">
            <v>0</v>
          </cell>
          <cell r="G449">
            <v>0</v>
          </cell>
        </row>
        <row r="450">
          <cell r="C450" t="str">
            <v>H446</v>
          </cell>
          <cell r="D450">
            <v>0</v>
          </cell>
          <cell r="E450">
            <v>0</v>
          </cell>
          <cell r="F450">
            <v>0</v>
          </cell>
          <cell r="G450">
            <v>0</v>
          </cell>
        </row>
        <row r="451">
          <cell r="C451" t="str">
            <v>H447</v>
          </cell>
          <cell r="D451">
            <v>0</v>
          </cell>
          <cell r="E451">
            <v>0</v>
          </cell>
          <cell r="F451">
            <v>0</v>
          </cell>
          <cell r="G451">
            <v>0</v>
          </cell>
        </row>
        <row r="452">
          <cell r="C452" t="str">
            <v>H448</v>
          </cell>
          <cell r="D452">
            <v>0</v>
          </cell>
          <cell r="E452">
            <v>0</v>
          </cell>
          <cell r="F452">
            <v>0</v>
          </cell>
          <cell r="G452">
            <v>0</v>
          </cell>
        </row>
        <row r="453">
          <cell r="C453" t="str">
            <v>H449</v>
          </cell>
          <cell r="D453">
            <v>0</v>
          </cell>
          <cell r="E453">
            <v>0</v>
          </cell>
          <cell r="F453">
            <v>0</v>
          </cell>
          <cell r="G453">
            <v>0</v>
          </cell>
        </row>
        <row r="454">
          <cell r="C454" t="str">
            <v>H450</v>
          </cell>
          <cell r="D454">
            <v>0</v>
          </cell>
          <cell r="E454">
            <v>0</v>
          </cell>
          <cell r="F454">
            <v>0</v>
          </cell>
          <cell r="G454">
            <v>0</v>
          </cell>
        </row>
        <row r="455">
          <cell r="C455" t="str">
            <v>H451</v>
          </cell>
          <cell r="D455">
            <v>0</v>
          </cell>
          <cell r="E455">
            <v>0</v>
          </cell>
          <cell r="F455">
            <v>0</v>
          </cell>
          <cell r="G455">
            <v>0</v>
          </cell>
        </row>
        <row r="456">
          <cell r="C456" t="str">
            <v>H452</v>
          </cell>
          <cell r="D456">
            <v>0</v>
          </cell>
          <cell r="E456">
            <v>0</v>
          </cell>
          <cell r="F456">
            <v>0</v>
          </cell>
          <cell r="G456">
            <v>0</v>
          </cell>
        </row>
        <row r="457">
          <cell r="C457" t="str">
            <v>H453</v>
          </cell>
          <cell r="D457">
            <v>0</v>
          </cell>
          <cell r="E457">
            <v>0</v>
          </cell>
          <cell r="F457">
            <v>0</v>
          </cell>
          <cell r="G457">
            <v>0</v>
          </cell>
        </row>
        <row r="458">
          <cell r="C458" t="str">
            <v>H454</v>
          </cell>
          <cell r="D458">
            <v>0</v>
          </cell>
          <cell r="E458">
            <v>0</v>
          </cell>
          <cell r="F458">
            <v>0</v>
          </cell>
          <cell r="G458">
            <v>0</v>
          </cell>
        </row>
        <row r="459">
          <cell r="C459" t="str">
            <v>H455</v>
          </cell>
          <cell r="D459">
            <v>0</v>
          </cell>
          <cell r="E459">
            <v>0</v>
          </cell>
          <cell r="F459">
            <v>0</v>
          </cell>
          <cell r="G459">
            <v>0</v>
          </cell>
        </row>
        <row r="460">
          <cell r="C460" t="str">
            <v>H456</v>
          </cell>
          <cell r="D460">
            <v>0</v>
          </cell>
          <cell r="E460">
            <v>0</v>
          </cell>
          <cell r="F460">
            <v>0</v>
          </cell>
          <cell r="G460">
            <v>0</v>
          </cell>
        </row>
        <row r="461">
          <cell r="C461" t="str">
            <v>H457</v>
          </cell>
          <cell r="D461">
            <v>0</v>
          </cell>
          <cell r="E461">
            <v>0</v>
          </cell>
          <cell r="F461">
            <v>0</v>
          </cell>
          <cell r="G461">
            <v>0</v>
          </cell>
        </row>
        <row r="462">
          <cell r="C462" t="str">
            <v>H458</v>
          </cell>
          <cell r="D462">
            <v>0</v>
          </cell>
          <cell r="E462">
            <v>0</v>
          </cell>
          <cell r="F462">
            <v>0</v>
          </cell>
          <cell r="G462">
            <v>0</v>
          </cell>
        </row>
        <row r="463">
          <cell r="C463" t="str">
            <v>H459</v>
          </cell>
          <cell r="D463">
            <v>0</v>
          </cell>
          <cell r="E463">
            <v>0</v>
          </cell>
          <cell r="F463">
            <v>0</v>
          </cell>
          <cell r="G463">
            <v>0</v>
          </cell>
        </row>
        <row r="464">
          <cell r="C464" t="str">
            <v>H460</v>
          </cell>
          <cell r="D464">
            <v>0</v>
          </cell>
          <cell r="E464">
            <v>0</v>
          </cell>
          <cell r="F464">
            <v>0</v>
          </cell>
          <cell r="G464">
            <v>0</v>
          </cell>
        </row>
        <row r="465">
          <cell r="C465" t="str">
            <v>H461</v>
          </cell>
          <cell r="D465">
            <v>0</v>
          </cell>
          <cell r="E465">
            <v>0</v>
          </cell>
          <cell r="F465">
            <v>0</v>
          </cell>
          <cell r="G465">
            <v>0</v>
          </cell>
        </row>
        <row r="466">
          <cell r="C466" t="str">
            <v>H462</v>
          </cell>
          <cell r="D466">
            <v>0</v>
          </cell>
          <cell r="E466">
            <v>0</v>
          </cell>
          <cell r="F466">
            <v>0</v>
          </cell>
          <cell r="G466">
            <v>0</v>
          </cell>
        </row>
        <row r="467">
          <cell r="C467" t="str">
            <v>H463</v>
          </cell>
          <cell r="D467">
            <v>0</v>
          </cell>
          <cell r="E467">
            <v>0</v>
          </cell>
          <cell r="F467">
            <v>0</v>
          </cell>
          <cell r="G467">
            <v>0</v>
          </cell>
        </row>
        <row r="468">
          <cell r="C468" t="str">
            <v>H464</v>
          </cell>
          <cell r="D468">
            <v>0</v>
          </cell>
          <cell r="E468">
            <v>0</v>
          </cell>
          <cell r="F468">
            <v>0</v>
          </cell>
          <cell r="G468">
            <v>0</v>
          </cell>
        </row>
        <row r="469">
          <cell r="C469" t="str">
            <v>H465</v>
          </cell>
          <cell r="D469">
            <v>0</v>
          </cell>
          <cell r="E469">
            <v>0</v>
          </cell>
          <cell r="F469">
            <v>0</v>
          </cell>
          <cell r="G469">
            <v>0</v>
          </cell>
        </row>
        <row r="470">
          <cell r="C470" t="str">
            <v>H466</v>
          </cell>
          <cell r="D470">
            <v>0</v>
          </cell>
          <cell r="E470">
            <v>0</v>
          </cell>
          <cell r="F470">
            <v>0</v>
          </cell>
          <cell r="G470">
            <v>0</v>
          </cell>
        </row>
        <row r="471">
          <cell r="C471" t="str">
            <v>H467</v>
          </cell>
          <cell r="D471">
            <v>0</v>
          </cell>
          <cell r="E471">
            <v>0</v>
          </cell>
          <cell r="F471">
            <v>0</v>
          </cell>
          <cell r="G471">
            <v>0</v>
          </cell>
        </row>
        <row r="472">
          <cell r="C472" t="str">
            <v>H468</v>
          </cell>
          <cell r="D472">
            <v>0</v>
          </cell>
          <cell r="E472">
            <v>0</v>
          </cell>
          <cell r="F472">
            <v>0</v>
          </cell>
          <cell r="G472">
            <v>0</v>
          </cell>
        </row>
        <row r="473">
          <cell r="C473" t="str">
            <v>H469</v>
          </cell>
          <cell r="D473">
            <v>0</v>
          </cell>
          <cell r="E473">
            <v>0</v>
          </cell>
          <cell r="F473">
            <v>0</v>
          </cell>
          <cell r="G473">
            <v>0</v>
          </cell>
        </row>
        <row r="474">
          <cell r="C474" t="str">
            <v>H470</v>
          </cell>
          <cell r="D474">
            <v>0</v>
          </cell>
          <cell r="E474">
            <v>0</v>
          </cell>
          <cell r="F474">
            <v>0</v>
          </cell>
          <cell r="G474">
            <v>0</v>
          </cell>
        </row>
        <row r="475">
          <cell r="C475" t="str">
            <v>H471</v>
          </cell>
          <cell r="D475">
            <v>0</v>
          </cell>
          <cell r="E475">
            <v>0</v>
          </cell>
          <cell r="F475">
            <v>0</v>
          </cell>
          <cell r="G475">
            <v>0</v>
          </cell>
        </row>
        <row r="476">
          <cell r="C476" t="str">
            <v>H472</v>
          </cell>
          <cell r="D476">
            <v>0</v>
          </cell>
          <cell r="E476">
            <v>0</v>
          </cell>
          <cell r="F476">
            <v>0</v>
          </cell>
          <cell r="G476">
            <v>0</v>
          </cell>
        </row>
        <row r="477">
          <cell r="C477" t="str">
            <v>H473</v>
          </cell>
          <cell r="D477">
            <v>0</v>
          </cell>
          <cell r="E477">
            <v>0</v>
          </cell>
          <cell r="F477">
            <v>0</v>
          </cell>
          <cell r="G477">
            <v>0</v>
          </cell>
        </row>
        <row r="478">
          <cell r="C478" t="str">
            <v>H474</v>
          </cell>
          <cell r="D478">
            <v>0</v>
          </cell>
          <cell r="E478">
            <v>0</v>
          </cell>
          <cell r="F478">
            <v>0</v>
          </cell>
          <cell r="G478">
            <v>0</v>
          </cell>
        </row>
        <row r="479">
          <cell r="C479" t="str">
            <v>H475</v>
          </cell>
          <cell r="D479">
            <v>0</v>
          </cell>
          <cell r="E479">
            <v>0</v>
          </cell>
          <cell r="F479">
            <v>0</v>
          </cell>
          <cell r="G479">
            <v>0</v>
          </cell>
        </row>
        <row r="480">
          <cell r="C480" t="str">
            <v>H476</v>
          </cell>
          <cell r="D480">
            <v>0</v>
          </cell>
          <cell r="E480">
            <v>0</v>
          </cell>
          <cell r="F480">
            <v>0</v>
          </cell>
          <cell r="G480">
            <v>0</v>
          </cell>
        </row>
        <row r="481">
          <cell r="C481" t="str">
            <v>H477</v>
          </cell>
          <cell r="D481">
            <v>0</v>
          </cell>
          <cell r="E481">
            <v>0</v>
          </cell>
          <cell r="F481">
            <v>0</v>
          </cell>
          <cell r="G481">
            <v>0</v>
          </cell>
        </row>
        <row r="482">
          <cell r="C482" t="str">
            <v>H478</v>
          </cell>
          <cell r="D482">
            <v>0</v>
          </cell>
          <cell r="E482">
            <v>0</v>
          </cell>
          <cell r="F482">
            <v>0</v>
          </cell>
          <cell r="G482">
            <v>0</v>
          </cell>
        </row>
        <row r="483">
          <cell r="C483" t="str">
            <v>H479</v>
          </cell>
          <cell r="D483">
            <v>0</v>
          </cell>
          <cell r="E483">
            <v>0</v>
          </cell>
          <cell r="F483">
            <v>0</v>
          </cell>
          <cell r="G483">
            <v>0</v>
          </cell>
        </row>
        <row r="484">
          <cell r="C484" t="str">
            <v>H480</v>
          </cell>
          <cell r="D484">
            <v>0</v>
          </cell>
          <cell r="E484">
            <v>0</v>
          </cell>
          <cell r="F484">
            <v>0</v>
          </cell>
          <cell r="G484">
            <v>0</v>
          </cell>
        </row>
        <row r="485">
          <cell r="C485" t="str">
            <v>H481</v>
          </cell>
          <cell r="D485">
            <v>0</v>
          </cell>
          <cell r="E485">
            <v>0</v>
          </cell>
          <cell r="F485">
            <v>0</v>
          </cell>
          <cell r="G485">
            <v>0</v>
          </cell>
        </row>
        <row r="486">
          <cell r="C486" t="str">
            <v>H482</v>
          </cell>
          <cell r="D486">
            <v>0</v>
          </cell>
          <cell r="E486">
            <v>0</v>
          </cell>
          <cell r="F486">
            <v>0</v>
          </cell>
          <cell r="G486">
            <v>0</v>
          </cell>
        </row>
        <row r="487">
          <cell r="C487" t="str">
            <v>H483</v>
          </cell>
          <cell r="D487">
            <v>0</v>
          </cell>
          <cell r="E487">
            <v>0</v>
          </cell>
          <cell r="F487">
            <v>0</v>
          </cell>
          <cell r="G487">
            <v>0</v>
          </cell>
        </row>
        <row r="488">
          <cell r="C488" t="str">
            <v>H484</v>
          </cell>
          <cell r="D488">
            <v>0</v>
          </cell>
          <cell r="E488">
            <v>0</v>
          </cell>
          <cell r="F488">
            <v>0</v>
          </cell>
          <cell r="G488">
            <v>0</v>
          </cell>
        </row>
        <row r="489">
          <cell r="C489" t="str">
            <v>H485</v>
          </cell>
          <cell r="D489">
            <v>0</v>
          </cell>
          <cell r="E489">
            <v>0</v>
          </cell>
          <cell r="F489">
            <v>0</v>
          </cell>
          <cell r="G489">
            <v>0</v>
          </cell>
        </row>
        <row r="490">
          <cell r="C490" t="str">
            <v>H486</v>
          </cell>
          <cell r="D490">
            <v>0</v>
          </cell>
          <cell r="E490">
            <v>0</v>
          </cell>
          <cell r="F490">
            <v>0</v>
          </cell>
          <cell r="G490">
            <v>0</v>
          </cell>
        </row>
        <row r="491">
          <cell r="C491" t="str">
            <v>H487</v>
          </cell>
          <cell r="D491">
            <v>0</v>
          </cell>
          <cell r="E491">
            <v>0</v>
          </cell>
          <cell r="F491">
            <v>0</v>
          </cell>
          <cell r="G491">
            <v>0</v>
          </cell>
        </row>
        <row r="492">
          <cell r="C492" t="str">
            <v>H488</v>
          </cell>
          <cell r="D492">
            <v>0</v>
          </cell>
          <cell r="E492">
            <v>0</v>
          </cell>
          <cell r="F492">
            <v>0</v>
          </cell>
          <cell r="G492">
            <v>0</v>
          </cell>
        </row>
        <row r="493">
          <cell r="C493" t="str">
            <v>H489</v>
          </cell>
          <cell r="D493">
            <v>0</v>
          </cell>
          <cell r="E493">
            <v>0</v>
          </cell>
          <cell r="F493">
            <v>0</v>
          </cell>
          <cell r="G493">
            <v>0</v>
          </cell>
        </row>
        <row r="494">
          <cell r="C494" t="str">
            <v>H490</v>
          </cell>
          <cell r="D494">
            <v>0</v>
          </cell>
          <cell r="E494">
            <v>0</v>
          </cell>
          <cell r="F494">
            <v>0</v>
          </cell>
          <cell r="G494">
            <v>0</v>
          </cell>
        </row>
        <row r="495">
          <cell r="C495" t="str">
            <v>H491</v>
          </cell>
          <cell r="D495">
            <v>0</v>
          </cell>
          <cell r="E495">
            <v>0</v>
          </cell>
          <cell r="F495">
            <v>0</v>
          </cell>
          <cell r="G495">
            <v>0</v>
          </cell>
        </row>
        <row r="496">
          <cell r="C496" t="str">
            <v>H492</v>
          </cell>
          <cell r="D496">
            <v>0</v>
          </cell>
          <cell r="E496">
            <v>0</v>
          </cell>
          <cell r="F496">
            <v>0</v>
          </cell>
          <cell r="G496">
            <v>0</v>
          </cell>
        </row>
        <row r="497">
          <cell r="C497" t="str">
            <v>H493</v>
          </cell>
          <cell r="D497">
            <v>0</v>
          </cell>
          <cell r="E497">
            <v>0</v>
          </cell>
          <cell r="F497">
            <v>0</v>
          </cell>
          <cell r="G497">
            <v>0</v>
          </cell>
        </row>
        <row r="498">
          <cell r="C498" t="str">
            <v>H494</v>
          </cell>
          <cell r="D498">
            <v>0</v>
          </cell>
          <cell r="E498">
            <v>0</v>
          </cell>
          <cell r="F498">
            <v>0</v>
          </cell>
          <cell r="G498">
            <v>0</v>
          </cell>
        </row>
        <row r="499">
          <cell r="C499" t="str">
            <v>H495</v>
          </cell>
          <cell r="D499">
            <v>0</v>
          </cell>
          <cell r="E499">
            <v>0</v>
          </cell>
          <cell r="F499">
            <v>0</v>
          </cell>
          <cell r="G499">
            <v>0</v>
          </cell>
        </row>
        <row r="500">
          <cell r="C500" t="str">
            <v>H496</v>
          </cell>
          <cell r="D500">
            <v>0</v>
          </cell>
          <cell r="E500">
            <v>0</v>
          </cell>
          <cell r="F500">
            <v>0</v>
          </cell>
          <cell r="G500">
            <v>0</v>
          </cell>
        </row>
        <row r="501">
          <cell r="C501" t="str">
            <v>H497</v>
          </cell>
          <cell r="D501">
            <v>0</v>
          </cell>
          <cell r="E501">
            <v>0</v>
          </cell>
          <cell r="F501">
            <v>0</v>
          </cell>
          <cell r="G501">
            <v>0</v>
          </cell>
        </row>
        <row r="502">
          <cell r="C502" t="str">
            <v>H498</v>
          </cell>
          <cell r="D502">
            <v>0</v>
          </cell>
          <cell r="E502">
            <v>0</v>
          </cell>
          <cell r="F502">
            <v>0</v>
          </cell>
          <cell r="G502">
            <v>0</v>
          </cell>
        </row>
        <row r="503">
          <cell r="C503" t="str">
            <v>H499</v>
          </cell>
          <cell r="D503">
            <v>0</v>
          </cell>
          <cell r="E503">
            <v>0</v>
          </cell>
          <cell r="F503">
            <v>0</v>
          </cell>
          <cell r="G503">
            <v>0</v>
          </cell>
        </row>
        <row r="504">
          <cell r="C504" t="str">
            <v>H500</v>
          </cell>
          <cell r="D504">
            <v>0</v>
          </cell>
          <cell r="E504">
            <v>0</v>
          </cell>
          <cell r="F504">
            <v>0</v>
          </cell>
          <cell r="G504">
            <v>0</v>
          </cell>
        </row>
        <row r="505">
          <cell r="C505" t="str">
            <v>H501</v>
          </cell>
          <cell r="D505">
            <v>0</v>
          </cell>
          <cell r="E505">
            <v>0</v>
          </cell>
          <cell r="F505">
            <v>0</v>
          </cell>
          <cell r="G505">
            <v>0</v>
          </cell>
        </row>
        <row r="506">
          <cell r="C506" t="str">
            <v>H502</v>
          </cell>
          <cell r="D506">
            <v>0</v>
          </cell>
          <cell r="E506">
            <v>0</v>
          </cell>
          <cell r="F506">
            <v>0</v>
          </cell>
          <cell r="G506">
            <v>0</v>
          </cell>
        </row>
        <row r="507">
          <cell r="C507" t="str">
            <v>H503</v>
          </cell>
          <cell r="D507">
            <v>0</v>
          </cell>
          <cell r="E507">
            <v>0</v>
          </cell>
          <cell r="F507">
            <v>0</v>
          </cell>
          <cell r="G507">
            <v>0</v>
          </cell>
        </row>
        <row r="508">
          <cell r="C508" t="str">
            <v>H504</v>
          </cell>
          <cell r="D508">
            <v>0</v>
          </cell>
          <cell r="E508">
            <v>0</v>
          </cell>
          <cell r="F508">
            <v>0</v>
          </cell>
          <cell r="G508">
            <v>0</v>
          </cell>
        </row>
        <row r="509">
          <cell r="C509" t="str">
            <v>H505</v>
          </cell>
          <cell r="D509">
            <v>0</v>
          </cell>
          <cell r="E509">
            <v>0</v>
          </cell>
          <cell r="F509">
            <v>0</v>
          </cell>
          <cell r="G509">
            <v>0</v>
          </cell>
        </row>
        <row r="510">
          <cell r="C510" t="str">
            <v>H506</v>
          </cell>
          <cell r="D510">
            <v>0</v>
          </cell>
          <cell r="E510">
            <v>0</v>
          </cell>
          <cell r="F510">
            <v>0</v>
          </cell>
          <cell r="G510">
            <v>0</v>
          </cell>
        </row>
        <row r="511">
          <cell r="C511" t="str">
            <v>H507</v>
          </cell>
          <cell r="D511">
            <v>0</v>
          </cell>
          <cell r="E511">
            <v>0</v>
          </cell>
          <cell r="F511">
            <v>0</v>
          </cell>
          <cell r="G511">
            <v>0</v>
          </cell>
        </row>
        <row r="512">
          <cell r="C512" t="str">
            <v>H508</v>
          </cell>
          <cell r="D512">
            <v>0</v>
          </cell>
          <cell r="E512">
            <v>0</v>
          </cell>
          <cell r="F512">
            <v>0</v>
          </cell>
          <cell r="G512">
            <v>0</v>
          </cell>
        </row>
        <row r="513">
          <cell r="C513" t="str">
            <v>H509</v>
          </cell>
          <cell r="D513">
            <v>0</v>
          </cell>
          <cell r="E513">
            <v>0</v>
          </cell>
          <cell r="F513">
            <v>0</v>
          </cell>
          <cell r="G513">
            <v>0</v>
          </cell>
        </row>
        <row r="514">
          <cell r="C514" t="str">
            <v>H510</v>
          </cell>
          <cell r="D514">
            <v>0</v>
          </cell>
          <cell r="E514">
            <v>0</v>
          </cell>
          <cell r="F514">
            <v>0</v>
          </cell>
          <cell r="G514">
            <v>0</v>
          </cell>
        </row>
        <row r="515">
          <cell r="C515" t="str">
            <v>H511</v>
          </cell>
          <cell r="D515">
            <v>0</v>
          </cell>
          <cell r="E515">
            <v>0</v>
          </cell>
          <cell r="F515">
            <v>0</v>
          </cell>
          <cell r="G515">
            <v>0</v>
          </cell>
        </row>
        <row r="516">
          <cell r="C516" t="str">
            <v>H512</v>
          </cell>
          <cell r="D516">
            <v>0</v>
          </cell>
          <cell r="E516">
            <v>0</v>
          </cell>
          <cell r="F516">
            <v>0</v>
          </cell>
          <cell r="G516">
            <v>0</v>
          </cell>
        </row>
        <row r="517">
          <cell r="C517" t="str">
            <v>H513</v>
          </cell>
          <cell r="D517">
            <v>0</v>
          </cell>
          <cell r="E517">
            <v>0</v>
          </cell>
          <cell r="F517">
            <v>0</v>
          </cell>
          <cell r="G517">
            <v>0</v>
          </cell>
        </row>
        <row r="518">
          <cell r="C518" t="str">
            <v>H514</v>
          </cell>
          <cell r="D518">
            <v>0</v>
          </cell>
          <cell r="E518">
            <v>0</v>
          </cell>
          <cell r="F518">
            <v>0</v>
          </cell>
          <cell r="G518">
            <v>0</v>
          </cell>
        </row>
        <row r="519">
          <cell r="C519" t="str">
            <v>H515</v>
          </cell>
          <cell r="D519">
            <v>0</v>
          </cell>
          <cell r="E519">
            <v>0</v>
          </cell>
          <cell r="F519">
            <v>0</v>
          </cell>
          <cell r="G519">
            <v>0</v>
          </cell>
        </row>
        <row r="520">
          <cell r="C520" t="str">
            <v>H516</v>
          </cell>
          <cell r="D520">
            <v>0</v>
          </cell>
          <cell r="E520">
            <v>0</v>
          </cell>
          <cell r="F520">
            <v>0</v>
          </cell>
          <cell r="G520">
            <v>0</v>
          </cell>
        </row>
        <row r="521">
          <cell r="C521" t="str">
            <v>H517</v>
          </cell>
          <cell r="D521">
            <v>0</v>
          </cell>
          <cell r="E521">
            <v>0</v>
          </cell>
          <cell r="F521">
            <v>0</v>
          </cell>
          <cell r="G521">
            <v>0</v>
          </cell>
        </row>
        <row r="522">
          <cell r="C522" t="str">
            <v>H518</v>
          </cell>
          <cell r="D522">
            <v>0</v>
          </cell>
          <cell r="E522">
            <v>0</v>
          </cell>
          <cell r="F522">
            <v>0</v>
          </cell>
          <cell r="G522">
            <v>0</v>
          </cell>
        </row>
        <row r="523">
          <cell r="C523" t="str">
            <v>H519</v>
          </cell>
          <cell r="D523">
            <v>0</v>
          </cell>
          <cell r="E523">
            <v>0</v>
          </cell>
          <cell r="F523">
            <v>0</v>
          </cell>
          <cell r="G523">
            <v>0</v>
          </cell>
        </row>
        <row r="524">
          <cell r="C524" t="str">
            <v>H520</v>
          </cell>
          <cell r="D524">
            <v>0</v>
          </cell>
          <cell r="E524">
            <v>0</v>
          </cell>
          <cell r="F524">
            <v>0</v>
          </cell>
          <cell r="G524">
            <v>0</v>
          </cell>
        </row>
        <row r="525">
          <cell r="C525" t="str">
            <v>H521</v>
          </cell>
          <cell r="D525">
            <v>0</v>
          </cell>
          <cell r="E525">
            <v>0</v>
          </cell>
          <cell r="F525">
            <v>0</v>
          </cell>
          <cell r="G525">
            <v>0</v>
          </cell>
        </row>
        <row r="526">
          <cell r="C526" t="str">
            <v>H522</v>
          </cell>
          <cell r="D526">
            <v>0</v>
          </cell>
          <cell r="E526">
            <v>0</v>
          </cell>
          <cell r="F526">
            <v>0</v>
          </cell>
          <cell r="G526">
            <v>0</v>
          </cell>
        </row>
        <row r="527">
          <cell r="C527" t="str">
            <v>H523</v>
          </cell>
          <cell r="D527">
            <v>0</v>
          </cell>
          <cell r="E527">
            <v>0</v>
          </cell>
          <cell r="F527">
            <v>0</v>
          </cell>
          <cell r="G527">
            <v>0</v>
          </cell>
        </row>
        <row r="528">
          <cell r="C528" t="str">
            <v>H524</v>
          </cell>
          <cell r="D528">
            <v>0</v>
          </cell>
          <cell r="E528">
            <v>0</v>
          </cell>
          <cell r="F528">
            <v>0</v>
          </cell>
          <cell r="G528">
            <v>0</v>
          </cell>
        </row>
        <row r="529">
          <cell r="C529" t="str">
            <v>H525</v>
          </cell>
          <cell r="D529">
            <v>0</v>
          </cell>
          <cell r="E529">
            <v>0</v>
          </cell>
          <cell r="F529">
            <v>0</v>
          </cell>
          <cell r="G529">
            <v>0</v>
          </cell>
        </row>
        <row r="530">
          <cell r="C530" t="str">
            <v>H526</v>
          </cell>
          <cell r="D530">
            <v>0</v>
          </cell>
          <cell r="E530">
            <v>0</v>
          </cell>
          <cell r="F530">
            <v>0</v>
          </cell>
          <cell r="G530">
            <v>0</v>
          </cell>
        </row>
        <row r="531">
          <cell r="C531" t="str">
            <v>H527</v>
          </cell>
          <cell r="D531">
            <v>0</v>
          </cell>
          <cell r="E531">
            <v>0</v>
          </cell>
          <cell r="F531">
            <v>0</v>
          </cell>
          <cell r="G531">
            <v>0</v>
          </cell>
        </row>
        <row r="532">
          <cell r="C532" t="str">
            <v>H528</v>
          </cell>
          <cell r="D532">
            <v>0</v>
          </cell>
          <cell r="E532">
            <v>0</v>
          </cell>
          <cell r="F532">
            <v>0</v>
          </cell>
          <cell r="G532">
            <v>0</v>
          </cell>
        </row>
        <row r="533">
          <cell r="C533" t="str">
            <v>H529</v>
          </cell>
          <cell r="D533">
            <v>0</v>
          </cell>
          <cell r="E533">
            <v>0</v>
          </cell>
          <cell r="F533">
            <v>0</v>
          </cell>
          <cell r="G533">
            <v>0</v>
          </cell>
        </row>
        <row r="534">
          <cell r="C534" t="str">
            <v>H530</v>
          </cell>
          <cell r="D534">
            <v>0</v>
          </cell>
          <cell r="E534">
            <v>0</v>
          </cell>
          <cell r="F534">
            <v>0</v>
          </cell>
          <cell r="G534">
            <v>0</v>
          </cell>
        </row>
        <row r="535">
          <cell r="C535" t="str">
            <v>H531</v>
          </cell>
          <cell r="D535">
            <v>0</v>
          </cell>
          <cell r="E535">
            <v>0</v>
          </cell>
          <cell r="F535">
            <v>0</v>
          </cell>
          <cell r="G535">
            <v>0</v>
          </cell>
        </row>
        <row r="536">
          <cell r="C536" t="str">
            <v>H532</v>
          </cell>
          <cell r="D536">
            <v>0</v>
          </cell>
          <cell r="E536">
            <v>0</v>
          </cell>
          <cell r="F536">
            <v>0</v>
          </cell>
          <cell r="G536">
            <v>0</v>
          </cell>
        </row>
        <row r="537">
          <cell r="C537" t="str">
            <v>H533</v>
          </cell>
          <cell r="D537">
            <v>0</v>
          </cell>
          <cell r="E537">
            <v>0</v>
          </cell>
          <cell r="F537">
            <v>0</v>
          </cell>
          <cell r="G537">
            <v>0</v>
          </cell>
        </row>
        <row r="538">
          <cell r="C538" t="str">
            <v>H534</v>
          </cell>
          <cell r="D538">
            <v>0</v>
          </cell>
          <cell r="E538">
            <v>0</v>
          </cell>
          <cell r="F538">
            <v>0</v>
          </cell>
          <cell r="G538">
            <v>0</v>
          </cell>
        </row>
        <row r="539">
          <cell r="C539" t="str">
            <v>H535</v>
          </cell>
          <cell r="D539">
            <v>0</v>
          </cell>
          <cell r="E539">
            <v>0</v>
          </cell>
          <cell r="F539">
            <v>0</v>
          </cell>
          <cell r="G539">
            <v>0</v>
          </cell>
        </row>
        <row r="540">
          <cell r="C540" t="str">
            <v>H536</v>
          </cell>
          <cell r="D540">
            <v>0</v>
          </cell>
          <cell r="E540">
            <v>0</v>
          </cell>
          <cell r="F540">
            <v>0</v>
          </cell>
          <cell r="G540">
            <v>0</v>
          </cell>
        </row>
        <row r="541">
          <cell r="C541" t="str">
            <v>H537</v>
          </cell>
          <cell r="D541">
            <v>0</v>
          </cell>
          <cell r="E541">
            <v>0</v>
          </cell>
          <cell r="F541">
            <v>0</v>
          </cell>
          <cell r="G541">
            <v>0</v>
          </cell>
        </row>
        <row r="542">
          <cell r="C542" t="str">
            <v>H538</v>
          </cell>
          <cell r="D542">
            <v>0</v>
          </cell>
          <cell r="E542">
            <v>0</v>
          </cell>
          <cell r="F542">
            <v>0</v>
          </cell>
          <cell r="G542">
            <v>0</v>
          </cell>
        </row>
        <row r="543">
          <cell r="C543" t="str">
            <v>H539</v>
          </cell>
          <cell r="D543">
            <v>0</v>
          </cell>
          <cell r="E543">
            <v>0</v>
          </cell>
          <cell r="F543">
            <v>0</v>
          </cell>
          <cell r="G543">
            <v>0</v>
          </cell>
        </row>
        <row r="544">
          <cell r="C544" t="str">
            <v>H540</v>
          </cell>
          <cell r="D544">
            <v>0</v>
          </cell>
          <cell r="E544">
            <v>0</v>
          </cell>
          <cell r="F544">
            <v>0</v>
          </cell>
          <cell r="G544">
            <v>0</v>
          </cell>
        </row>
        <row r="545">
          <cell r="C545" t="str">
            <v>H541</v>
          </cell>
          <cell r="D545">
            <v>0</v>
          </cell>
          <cell r="E545">
            <v>0</v>
          </cell>
          <cell r="F545">
            <v>0</v>
          </cell>
          <cell r="G545">
            <v>0</v>
          </cell>
        </row>
        <row r="546">
          <cell r="C546" t="str">
            <v>H542</v>
          </cell>
          <cell r="D546">
            <v>0</v>
          </cell>
          <cell r="E546">
            <v>0</v>
          </cell>
          <cell r="F546">
            <v>0</v>
          </cell>
          <cell r="G546">
            <v>0</v>
          </cell>
        </row>
        <row r="547">
          <cell r="C547" t="str">
            <v>H543</v>
          </cell>
          <cell r="D547">
            <v>0</v>
          </cell>
          <cell r="E547">
            <v>0</v>
          </cell>
          <cell r="F547">
            <v>0</v>
          </cell>
          <cell r="G547">
            <v>0</v>
          </cell>
        </row>
        <row r="548">
          <cell r="C548" t="str">
            <v>H544</v>
          </cell>
          <cell r="D548">
            <v>0</v>
          </cell>
          <cell r="E548">
            <v>0</v>
          </cell>
          <cell r="F548">
            <v>0</v>
          </cell>
          <cell r="G548">
            <v>0</v>
          </cell>
        </row>
        <row r="549">
          <cell r="C549" t="str">
            <v>H545</v>
          </cell>
          <cell r="D549">
            <v>0</v>
          </cell>
          <cell r="E549">
            <v>0</v>
          </cell>
          <cell r="F549">
            <v>0</v>
          </cell>
          <cell r="G549">
            <v>0</v>
          </cell>
        </row>
        <row r="550">
          <cell r="C550" t="str">
            <v>H546</v>
          </cell>
          <cell r="D550">
            <v>0</v>
          </cell>
          <cell r="E550">
            <v>0</v>
          </cell>
          <cell r="F550">
            <v>0</v>
          </cell>
          <cell r="G550">
            <v>0</v>
          </cell>
        </row>
        <row r="551">
          <cell r="C551" t="str">
            <v>H547</v>
          </cell>
          <cell r="D551">
            <v>0</v>
          </cell>
          <cell r="E551">
            <v>0</v>
          </cell>
          <cell r="F551">
            <v>0</v>
          </cell>
          <cell r="G551">
            <v>0</v>
          </cell>
        </row>
        <row r="552">
          <cell r="C552" t="str">
            <v>H548</v>
          </cell>
          <cell r="D552">
            <v>0</v>
          </cell>
          <cell r="E552">
            <v>0</v>
          </cell>
          <cell r="F552">
            <v>0</v>
          </cell>
          <cell r="G552">
            <v>0</v>
          </cell>
        </row>
        <row r="553">
          <cell r="C553" t="str">
            <v>H549</v>
          </cell>
          <cell r="D553">
            <v>0</v>
          </cell>
          <cell r="E553">
            <v>0</v>
          </cell>
          <cell r="F553">
            <v>0</v>
          </cell>
          <cell r="G553">
            <v>0</v>
          </cell>
        </row>
        <row r="554">
          <cell r="C554" t="str">
            <v>H550</v>
          </cell>
          <cell r="D554">
            <v>0</v>
          </cell>
          <cell r="E554">
            <v>0</v>
          </cell>
          <cell r="F554">
            <v>0</v>
          </cell>
          <cell r="G554">
            <v>0</v>
          </cell>
        </row>
        <row r="555">
          <cell r="C555" t="str">
            <v>H551</v>
          </cell>
          <cell r="D555">
            <v>0</v>
          </cell>
          <cell r="E555">
            <v>0</v>
          </cell>
          <cell r="F555">
            <v>0</v>
          </cell>
          <cell r="G555">
            <v>0</v>
          </cell>
        </row>
        <row r="556">
          <cell r="C556" t="str">
            <v>H552</v>
          </cell>
          <cell r="D556">
            <v>0</v>
          </cell>
          <cell r="E556">
            <v>0</v>
          </cell>
          <cell r="F556">
            <v>0</v>
          </cell>
          <cell r="G556">
            <v>0</v>
          </cell>
        </row>
        <row r="557">
          <cell r="C557" t="str">
            <v>H553</v>
          </cell>
          <cell r="D557">
            <v>0</v>
          </cell>
          <cell r="E557">
            <v>0</v>
          </cell>
          <cell r="F557">
            <v>0</v>
          </cell>
          <cell r="G557">
            <v>0</v>
          </cell>
        </row>
        <row r="558">
          <cell r="C558" t="str">
            <v>H554</v>
          </cell>
          <cell r="D558">
            <v>0</v>
          </cell>
          <cell r="E558">
            <v>0</v>
          </cell>
          <cell r="F558">
            <v>0</v>
          </cell>
          <cell r="G558">
            <v>0</v>
          </cell>
        </row>
        <row r="559">
          <cell r="C559" t="str">
            <v>H555</v>
          </cell>
          <cell r="D559">
            <v>0</v>
          </cell>
          <cell r="E559">
            <v>0</v>
          </cell>
          <cell r="F559">
            <v>0</v>
          </cell>
          <cell r="G559">
            <v>0</v>
          </cell>
        </row>
        <row r="560">
          <cell r="C560" t="str">
            <v>H556</v>
          </cell>
          <cell r="D560">
            <v>0</v>
          </cell>
          <cell r="E560">
            <v>0</v>
          </cell>
          <cell r="F560">
            <v>0</v>
          </cell>
          <cell r="G560">
            <v>0</v>
          </cell>
        </row>
        <row r="561">
          <cell r="C561" t="str">
            <v>H557</v>
          </cell>
          <cell r="D561">
            <v>0</v>
          </cell>
          <cell r="E561">
            <v>0</v>
          </cell>
          <cell r="F561">
            <v>0</v>
          </cell>
          <cell r="G561">
            <v>0</v>
          </cell>
        </row>
        <row r="562">
          <cell r="C562" t="str">
            <v>H558</v>
          </cell>
          <cell r="D562">
            <v>0</v>
          </cell>
          <cell r="E562">
            <v>0</v>
          </cell>
          <cell r="F562">
            <v>0</v>
          </cell>
          <cell r="G562">
            <v>0</v>
          </cell>
        </row>
        <row r="563">
          <cell r="C563" t="str">
            <v>H559</v>
          </cell>
          <cell r="D563">
            <v>0</v>
          </cell>
          <cell r="E563">
            <v>0</v>
          </cell>
          <cell r="F563">
            <v>0</v>
          </cell>
          <cell r="G563">
            <v>0</v>
          </cell>
        </row>
        <row r="564">
          <cell r="C564" t="str">
            <v>H560</v>
          </cell>
          <cell r="D564">
            <v>0</v>
          </cell>
          <cell r="E564">
            <v>0</v>
          </cell>
          <cell r="F564">
            <v>0</v>
          </cell>
          <cell r="G564">
            <v>0</v>
          </cell>
        </row>
        <row r="565">
          <cell r="C565" t="str">
            <v>H561</v>
          </cell>
          <cell r="D565">
            <v>0</v>
          </cell>
          <cell r="E565">
            <v>0</v>
          </cell>
          <cell r="F565">
            <v>0</v>
          </cell>
          <cell r="G565">
            <v>0</v>
          </cell>
        </row>
        <row r="566">
          <cell r="C566" t="str">
            <v>H562</v>
          </cell>
          <cell r="D566">
            <v>0</v>
          </cell>
          <cell r="E566">
            <v>0</v>
          </cell>
          <cell r="F566">
            <v>0</v>
          </cell>
          <cell r="G566">
            <v>0</v>
          </cell>
        </row>
        <row r="567">
          <cell r="C567" t="str">
            <v>H563</v>
          </cell>
          <cell r="D567">
            <v>0</v>
          </cell>
          <cell r="E567">
            <v>0</v>
          </cell>
          <cell r="F567">
            <v>0</v>
          </cell>
          <cell r="G567">
            <v>0</v>
          </cell>
        </row>
        <row r="568">
          <cell r="C568" t="str">
            <v>H564</v>
          </cell>
          <cell r="D568">
            <v>0</v>
          </cell>
          <cell r="E568">
            <v>0</v>
          </cell>
          <cell r="F568">
            <v>0</v>
          </cell>
          <cell r="G568">
            <v>0</v>
          </cell>
        </row>
        <row r="569">
          <cell r="C569" t="str">
            <v>H565</v>
          </cell>
          <cell r="D569">
            <v>0</v>
          </cell>
          <cell r="E569">
            <v>0</v>
          </cell>
          <cell r="F569">
            <v>0</v>
          </cell>
          <cell r="G569">
            <v>0</v>
          </cell>
        </row>
        <row r="570">
          <cell r="C570" t="str">
            <v>H566</v>
          </cell>
          <cell r="D570">
            <v>0</v>
          </cell>
          <cell r="E570">
            <v>0</v>
          </cell>
          <cell r="F570">
            <v>0</v>
          </cell>
          <cell r="G570">
            <v>0</v>
          </cell>
        </row>
        <row r="571">
          <cell r="C571" t="str">
            <v>H567</v>
          </cell>
          <cell r="D571">
            <v>0</v>
          </cell>
          <cell r="E571">
            <v>0</v>
          </cell>
          <cell r="F571">
            <v>0</v>
          </cell>
          <cell r="G571">
            <v>0</v>
          </cell>
        </row>
        <row r="572">
          <cell r="C572" t="str">
            <v>H568</v>
          </cell>
          <cell r="D572">
            <v>0</v>
          </cell>
          <cell r="E572">
            <v>0</v>
          </cell>
          <cell r="F572">
            <v>0</v>
          </cell>
          <cell r="G572">
            <v>0</v>
          </cell>
        </row>
        <row r="573">
          <cell r="C573" t="str">
            <v>H569</v>
          </cell>
          <cell r="D573">
            <v>0</v>
          </cell>
          <cell r="E573">
            <v>0</v>
          </cell>
          <cell r="F573">
            <v>0</v>
          </cell>
          <cell r="G573">
            <v>0</v>
          </cell>
        </row>
        <row r="574">
          <cell r="C574" t="str">
            <v>H570</v>
          </cell>
          <cell r="D574">
            <v>0</v>
          </cell>
          <cell r="E574">
            <v>0</v>
          </cell>
          <cell r="F574">
            <v>0</v>
          </cell>
          <cell r="G574">
            <v>0</v>
          </cell>
        </row>
        <row r="575">
          <cell r="C575" t="str">
            <v>H571</v>
          </cell>
          <cell r="D575">
            <v>0</v>
          </cell>
          <cell r="E575">
            <v>0</v>
          </cell>
          <cell r="F575">
            <v>0</v>
          </cell>
          <cell r="G575">
            <v>0</v>
          </cell>
        </row>
        <row r="576">
          <cell r="C576" t="str">
            <v>H572</v>
          </cell>
          <cell r="D576">
            <v>0</v>
          </cell>
          <cell r="E576">
            <v>0</v>
          </cell>
          <cell r="F576">
            <v>0</v>
          </cell>
          <cell r="G576">
            <v>0</v>
          </cell>
        </row>
        <row r="577">
          <cell r="C577" t="str">
            <v>H573</v>
          </cell>
          <cell r="D577">
            <v>0</v>
          </cell>
          <cell r="E577">
            <v>0</v>
          </cell>
          <cell r="F577">
            <v>0</v>
          </cell>
          <cell r="G577">
            <v>0</v>
          </cell>
        </row>
        <row r="578">
          <cell r="C578" t="str">
            <v>H574</v>
          </cell>
          <cell r="D578">
            <v>0</v>
          </cell>
          <cell r="E578">
            <v>0</v>
          </cell>
          <cell r="F578">
            <v>0</v>
          </cell>
          <cell r="G578">
            <v>0</v>
          </cell>
        </row>
        <row r="579">
          <cell r="C579" t="str">
            <v>H575</v>
          </cell>
          <cell r="D579">
            <v>0</v>
          </cell>
          <cell r="E579">
            <v>0</v>
          </cell>
          <cell r="F579">
            <v>0</v>
          </cell>
          <cell r="G579">
            <v>0</v>
          </cell>
        </row>
        <row r="580">
          <cell r="C580" t="str">
            <v>H576</v>
          </cell>
          <cell r="D580">
            <v>0</v>
          </cell>
          <cell r="E580">
            <v>0</v>
          </cell>
          <cell r="F580">
            <v>0</v>
          </cell>
          <cell r="G580">
            <v>0</v>
          </cell>
        </row>
        <row r="581">
          <cell r="C581" t="str">
            <v>H577</v>
          </cell>
          <cell r="D581">
            <v>0</v>
          </cell>
          <cell r="E581">
            <v>0</v>
          </cell>
          <cell r="F581">
            <v>0</v>
          </cell>
          <cell r="G581">
            <v>0</v>
          </cell>
        </row>
        <row r="582">
          <cell r="C582" t="str">
            <v>H578</v>
          </cell>
          <cell r="D582">
            <v>0</v>
          </cell>
          <cell r="E582">
            <v>0</v>
          </cell>
          <cell r="F582">
            <v>0</v>
          </cell>
          <cell r="G582">
            <v>0</v>
          </cell>
        </row>
        <row r="583">
          <cell r="C583" t="str">
            <v>H579</v>
          </cell>
          <cell r="D583">
            <v>0</v>
          </cell>
          <cell r="E583">
            <v>0</v>
          </cell>
          <cell r="F583">
            <v>0</v>
          </cell>
          <cell r="G583">
            <v>0</v>
          </cell>
        </row>
        <row r="584">
          <cell r="C584" t="str">
            <v>H580</v>
          </cell>
          <cell r="D584">
            <v>0</v>
          </cell>
          <cell r="E584">
            <v>0</v>
          </cell>
          <cell r="F584">
            <v>0</v>
          </cell>
          <cell r="G584">
            <v>0</v>
          </cell>
        </row>
        <row r="585">
          <cell r="C585" t="str">
            <v>H581</v>
          </cell>
          <cell r="D585">
            <v>0</v>
          </cell>
          <cell r="E585">
            <v>0</v>
          </cell>
          <cell r="F585">
            <v>0</v>
          </cell>
          <cell r="G585">
            <v>0</v>
          </cell>
        </row>
        <row r="586">
          <cell r="C586" t="str">
            <v>H582</v>
          </cell>
          <cell r="D586">
            <v>0</v>
          </cell>
          <cell r="E586">
            <v>0</v>
          </cell>
          <cell r="F586">
            <v>0</v>
          </cell>
          <cell r="G586">
            <v>0</v>
          </cell>
        </row>
        <row r="587">
          <cell r="C587" t="str">
            <v>H583</v>
          </cell>
          <cell r="D587">
            <v>0</v>
          </cell>
          <cell r="E587">
            <v>0</v>
          </cell>
          <cell r="F587">
            <v>0</v>
          </cell>
          <cell r="G587">
            <v>0</v>
          </cell>
        </row>
        <row r="588">
          <cell r="C588" t="str">
            <v>H584</v>
          </cell>
          <cell r="D588">
            <v>0</v>
          </cell>
          <cell r="E588">
            <v>0</v>
          </cell>
          <cell r="F588">
            <v>0</v>
          </cell>
          <cell r="G588">
            <v>0</v>
          </cell>
        </row>
        <row r="589">
          <cell r="C589" t="str">
            <v>H585</v>
          </cell>
          <cell r="D589">
            <v>0</v>
          </cell>
          <cell r="E589">
            <v>0</v>
          </cell>
          <cell r="F589">
            <v>0</v>
          </cell>
          <cell r="G589">
            <v>0</v>
          </cell>
        </row>
        <row r="590">
          <cell r="C590" t="str">
            <v>H586</v>
          </cell>
          <cell r="D590">
            <v>0</v>
          </cell>
          <cell r="E590">
            <v>0</v>
          </cell>
          <cell r="F590">
            <v>0</v>
          </cell>
          <cell r="G590">
            <v>0</v>
          </cell>
        </row>
        <row r="591">
          <cell r="C591" t="str">
            <v>H587</v>
          </cell>
          <cell r="D591">
            <v>0</v>
          </cell>
          <cell r="E591">
            <v>0</v>
          </cell>
          <cell r="F591">
            <v>0</v>
          </cell>
          <cell r="G591">
            <v>0</v>
          </cell>
        </row>
        <row r="592">
          <cell r="C592" t="str">
            <v>H588</v>
          </cell>
          <cell r="D592">
            <v>0</v>
          </cell>
          <cell r="E592">
            <v>0</v>
          </cell>
          <cell r="F592">
            <v>0</v>
          </cell>
          <cell r="G592">
            <v>0</v>
          </cell>
        </row>
        <row r="593">
          <cell r="C593" t="str">
            <v>H589</v>
          </cell>
          <cell r="D593">
            <v>0</v>
          </cell>
          <cell r="E593">
            <v>0</v>
          </cell>
          <cell r="F593">
            <v>0</v>
          </cell>
          <cell r="G593">
            <v>0</v>
          </cell>
        </row>
        <row r="594">
          <cell r="C594" t="str">
            <v>H590</v>
          </cell>
          <cell r="D594">
            <v>0</v>
          </cell>
          <cell r="E594">
            <v>0</v>
          </cell>
          <cell r="F594">
            <v>0</v>
          </cell>
          <cell r="G594">
            <v>0</v>
          </cell>
        </row>
        <row r="595">
          <cell r="C595" t="str">
            <v>H591</v>
          </cell>
          <cell r="D595">
            <v>0</v>
          </cell>
          <cell r="E595">
            <v>0</v>
          </cell>
          <cell r="F595">
            <v>0</v>
          </cell>
          <cell r="G595">
            <v>0</v>
          </cell>
        </row>
        <row r="596">
          <cell r="C596" t="str">
            <v>H592</v>
          </cell>
          <cell r="D596">
            <v>0</v>
          </cell>
          <cell r="E596">
            <v>0</v>
          </cell>
          <cell r="F596">
            <v>0</v>
          </cell>
          <cell r="G596">
            <v>0</v>
          </cell>
        </row>
        <row r="597">
          <cell r="C597" t="str">
            <v>H593</v>
          </cell>
          <cell r="D597">
            <v>0</v>
          </cell>
          <cell r="E597">
            <v>0</v>
          </cell>
          <cell r="F597">
            <v>0</v>
          </cell>
          <cell r="G597">
            <v>0</v>
          </cell>
        </row>
        <row r="598">
          <cell r="C598" t="str">
            <v>H594</v>
          </cell>
          <cell r="D598">
            <v>0</v>
          </cell>
          <cell r="E598">
            <v>0</v>
          </cell>
          <cell r="F598">
            <v>0</v>
          </cell>
          <cell r="G598">
            <v>0</v>
          </cell>
        </row>
        <row r="599">
          <cell r="C599" t="str">
            <v>H595</v>
          </cell>
          <cell r="D599">
            <v>0</v>
          </cell>
          <cell r="E599">
            <v>0</v>
          </cell>
          <cell r="F599">
            <v>0</v>
          </cell>
          <cell r="G599">
            <v>0</v>
          </cell>
        </row>
        <row r="600">
          <cell r="C600" t="str">
            <v>H596</v>
          </cell>
          <cell r="D600">
            <v>0</v>
          </cell>
          <cell r="E600">
            <v>0</v>
          </cell>
          <cell r="F600">
            <v>0</v>
          </cell>
          <cell r="G600">
            <v>0</v>
          </cell>
        </row>
        <row r="601">
          <cell r="C601" t="str">
            <v>H597</v>
          </cell>
          <cell r="D601">
            <v>0</v>
          </cell>
          <cell r="E601">
            <v>0</v>
          </cell>
          <cell r="F601">
            <v>0</v>
          </cell>
          <cell r="G601">
            <v>0</v>
          </cell>
        </row>
        <row r="602">
          <cell r="C602" t="str">
            <v>H598</v>
          </cell>
          <cell r="D602">
            <v>0</v>
          </cell>
          <cell r="E602">
            <v>0</v>
          </cell>
          <cell r="F602">
            <v>0</v>
          </cell>
          <cell r="G602">
            <v>0</v>
          </cell>
        </row>
        <row r="603">
          <cell r="C603" t="str">
            <v>H599</v>
          </cell>
          <cell r="D603">
            <v>0</v>
          </cell>
          <cell r="E603">
            <v>0</v>
          </cell>
          <cell r="F603">
            <v>0</v>
          </cell>
          <cell r="G603">
            <v>0</v>
          </cell>
        </row>
        <row r="604">
          <cell r="C604" t="str">
            <v>H600</v>
          </cell>
          <cell r="D604">
            <v>0</v>
          </cell>
          <cell r="E604">
            <v>0</v>
          </cell>
          <cell r="F604">
            <v>0</v>
          </cell>
          <cell r="G604">
            <v>0</v>
          </cell>
        </row>
        <row r="605">
          <cell r="C605" t="str">
            <v>H601</v>
          </cell>
          <cell r="D605">
            <v>0</v>
          </cell>
          <cell r="E605">
            <v>0</v>
          </cell>
          <cell r="F605">
            <v>0</v>
          </cell>
          <cell r="G605">
            <v>0</v>
          </cell>
        </row>
        <row r="606">
          <cell r="C606" t="str">
            <v>H602</v>
          </cell>
          <cell r="D606">
            <v>0</v>
          </cell>
          <cell r="E606">
            <v>0</v>
          </cell>
          <cell r="F606">
            <v>0</v>
          </cell>
          <cell r="G606">
            <v>0</v>
          </cell>
        </row>
        <row r="607">
          <cell r="C607" t="str">
            <v>H603</v>
          </cell>
          <cell r="D607">
            <v>0</v>
          </cell>
          <cell r="E607">
            <v>0</v>
          </cell>
          <cell r="F607">
            <v>0</v>
          </cell>
          <cell r="G607">
            <v>0</v>
          </cell>
        </row>
        <row r="608">
          <cell r="C608" t="str">
            <v>H604</v>
          </cell>
          <cell r="D608">
            <v>0</v>
          </cell>
          <cell r="E608">
            <v>0</v>
          </cell>
          <cell r="F608">
            <v>0</v>
          </cell>
          <cell r="G608">
            <v>0</v>
          </cell>
        </row>
        <row r="609">
          <cell r="C609" t="str">
            <v>H605</v>
          </cell>
          <cell r="D609">
            <v>0</v>
          </cell>
          <cell r="E609">
            <v>0</v>
          </cell>
          <cell r="F609">
            <v>0</v>
          </cell>
          <cell r="G609">
            <v>0</v>
          </cell>
        </row>
        <row r="610">
          <cell r="C610" t="str">
            <v>H606</v>
          </cell>
          <cell r="D610">
            <v>0</v>
          </cell>
          <cell r="E610">
            <v>0</v>
          </cell>
          <cell r="F610">
            <v>0</v>
          </cell>
          <cell r="G610">
            <v>0</v>
          </cell>
        </row>
        <row r="611">
          <cell r="C611" t="str">
            <v>H607</v>
          </cell>
          <cell r="D611">
            <v>0</v>
          </cell>
          <cell r="E611">
            <v>0</v>
          </cell>
          <cell r="F611">
            <v>0</v>
          </cell>
          <cell r="G611">
            <v>0</v>
          </cell>
        </row>
        <row r="612">
          <cell r="C612" t="str">
            <v>H608</v>
          </cell>
          <cell r="D612">
            <v>0</v>
          </cell>
          <cell r="E612">
            <v>0</v>
          </cell>
          <cell r="F612">
            <v>0</v>
          </cell>
          <cell r="G612">
            <v>0</v>
          </cell>
        </row>
        <row r="613">
          <cell r="C613" t="str">
            <v>H609</v>
          </cell>
          <cell r="D613">
            <v>0</v>
          </cell>
          <cell r="E613">
            <v>0</v>
          </cell>
          <cell r="F613">
            <v>0</v>
          </cell>
          <cell r="G613">
            <v>0</v>
          </cell>
        </row>
        <row r="614">
          <cell r="C614" t="str">
            <v>H610</v>
          </cell>
          <cell r="D614">
            <v>0</v>
          </cell>
          <cell r="E614">
            <v>0</v>
          </cell>
          <cell r="F614">
            <v>0</v>
          </cell>
          <cell r="G614">
            <v>0</v>
          </cell>
        </row>
        <row r="615">
          <cell r="C615" t="str">
            <v>H611</v>
          </cell>
          <cell r="D615">
            <v>0</v>
          </cell>
          <cell r="E615">
            <v>0</v>
          </cell>
          <cell r="F615">
            <v>0</v>
          </cell>
          <cell r="G615">
            <v>0</v>
          </cell>
        </row>
        <row r="616">
          <cell r="C616" t="str">
            <v>H612</v>
          </cell>
          <cell r="D616">
            <v>0</v>
          </cell>
          <cell r="E616">
            <v>0</v>
          </cell>
          <cell r="F616">
            <v>0</v>
          </cell>
          <cell r="G616">
            <v>0</v>
          </cell>
        </row>
        <row r="617">
          <cell r="C617" t="str">
            <v>H613</v>
          </cell>
          <cell r="D617">
            <v>0</v>
          </cell>
          <cell r="E617">
            <v>0</v>
          </cell>
          <cell r="F617">
            <v>0</v>
          </cell>
          <cell r="G617">
            <v>0</v>
          </cell>
        </row>
        <row r="618">
          <cell r="C618" t="str">
            <v>H614</v>
          </cell>
          <cell r="D618">
            <v>0</v>
          </cell>
          <cell r="E618">
            <v>0</v>
          </cell>
          <cell r="F618">
            <v>0</v>
          </cell>
          <cell r="G618">
            <v>0</v>
          </cell>
        </row>
        <row r="619">
          <cell r="C619" t="str">
            <v>H615</v>
          </cell>
          <cell r="D619">
            <v>0</v>
          </cell>
          <cell r="E619">
            <v>0</v>
          </cell>
          <cell r="F619">
            <v>0</v>
          </cell>
          <cell r="G619">
            <v>0</v>
          </cell>
        </row>
        <row r="620">
          <cell r="C620" t="str">
            <v>H616</v>
          </cell>
          <cell r="D620">
            <v>0</v>
          </cell>
          <cell r="E620">
            <v>0</v>
          </cell>
          <cell r="F620">
            <v>0</v>
          </cell>
          <cell r="G620">
            <v>0</v>
          </cell>
        </row>
        <row r="621">
          <cell r="C621" t="str">
            <v>H617</v>
          </cell>
          <cell r="D621">
            <v>0</v>
          </cell>
          <cell r="E621">
            <v>0</v>
          </cell>
          <cell r="F621">
            <v>0</v>
          </cell>
          <cell r="G621">
            <v>0</v>
          </cell>
        </row>
        <row r="622">
          <cell r="C622" t="str">
            <v>H618</v>
          </cell>
          <cell r="D622">
            <v>0</v>
          </cell>
          <cell r="E622">
            <v>0</v>
          </cell>
          <cell r="F622">
            <v>0</v>
          </cell>
          <cell r="G622">
            <v>0</v>
          </cell>
        </row>
        <row r="623">
          <cell r="C623" t="str">
            <v>H619</v>
          </cell>
          <cell r="D623">
            <v>0</v>
          </cell>
          <cell r="E623">
            <v>0</v>
          </cell>
          <cell r="F623">
            <v>0</v>
          </cell>
          <cell r="G623">
            <v>0</v>
          </cell>
        </row>
        <row r="624">
          <cell r="C624" t="str">
            <v>H620</v>
          </cell>
          <cell r="D624">
            <v>0</v>
          </cell>
          <cell r="E624">
            <v>0</v>
          </cell>
          <cell r="F624">
            <v>0</v>
          </cell>
          <cell r="G624">
            <v>0</v>
          </cell>
        </row>
        <row r="625">
          <cell r="C625" t="str">
            <v>H621</v>
          </cell>
          <cell r="D625">
            <v>0</v>
          </cell>
          <cell r="E625">
            <v>0</v>
          </cell>
          <cell r="F625">
            <v>0</v>
          </cell>
          <cell r="G625">
            <v>0</v>
          </cell>
        </row>
        <row r="626">
          <cell r="C626" t="str">
            <v>H622</v>
          </cell>
          <cell r="D626">
            <v>0</v>
          </cell>
          <cell r="E626">
            <v>0</v>
          </cell>
          <cell r="F626">
            <v>0</v>
          </cell>
          <cell r="G626">
            <v>0</v>
          </cell>
        </row>
        <row r="627">
          <cell r="C627" t="str">
            <v>H623</v>
          </cell>
          <cell r="D627">
            <v>0</v>
          </cell>
          <cell r="E627">
            <v>0</v>
          </cell>
          <cell r="F627">
            <v>0</v>
          </cell>
          <cell r="G627">
            <v>0</v>
          </cell>
        </row>
        <row r="628">
          <cell r="C628" t="str">
            <v>H624</v>
          </cell>
          <cell r="D628">
            <v>0</v>
          </cell>
          <cell r="E628">
            <v>0</v>
          </cell>
          <cell r="F628">
            <v>0</v>
          </cell>
          <cell r="G628">
            <v>0</v>
          </cell>
        </row>
        <row r="629">
          <cell r="C629" t="str">
            <v>H625</v>
          </cell>
          <cell r="D629">
            <v>0</v>
          </cell>
          <cell r="E629">
            <v>0</v>
          </cell>
          <cell r="F629">
            <v>0</v>
          </cell>
          <cell r="G629">
            <v>0</v>
          </cell>
        </row>
        <row r="630">
          <cell r="C630" t="str">
            <v>H626</v>
          </cell>
          <cell r="D630">
            <v>0</v>
          </cell>
          <cell r="E630">
            <v>0</v>
          </cell>
          <cell r="F630">
            <v>0</v>
          </cell>
          <cell r="G630">
            <v>0</v>
          </cell>
        </row>
        <row r="631">
          <cell r="C631" t="str">
            <v>H627</v>
          </cell>
          <cell r="D631">
            <v>0</v>
          </cell>
          <cell r="E631">
            <v>0</v>
          </cell>
          <cell r="F631">
            <v>0</v>
          </cell>
          <cell r="G631">
            <v>0</v>
          </cell>
        </row>
        <row r="632">
          <cell r="C632" t="str">
            <v>H628</v>
          </cell>
          <cell r="D632">
            <v>0</v>
          </cell>
          <cell r="E632">
            <v>0</v>
          </cell>
          <cell r="F632">
            <v>0</v>
          </cell>
          <cell r="G632">
            <v>0</v>
          </cell>
        </row>
        <row r="633">
          <cell r="C633" t="str">
            <v>H629</v>
          </cell>
          <cell r="D633">
            <v>0</v>
          </cell>
          <cell r="E633">
            <v>0</v>
          </cell>
          <cell r="F633">
            <v>0</v>
          </cell>
          <cell r="G633">
            <v>0</v>
          </cell>
        </row>
        <row r="634">
          <cell r="C634" t="str">
            <v>H630</v>
          </cell>
          <cell r="D634">
            <v>0</v>
          </cell>
          <cell r="E634">
            <v>0</v>
          </cell>
          <cell r="F634">
            <v>0</v>
          </cell>
          <cell r="G634">
            <v>0</v>
          </cell>
        </row>
        <row r="635">
          <cell r="C635" t="str">
            <v>H631</v>
          </cell>
          <cell r="D635">
            <v>0</v>
          </cell>
          <cell r="E635">
            <v>0</v>
          </cell>
          <cell r="F635">
            <v>0</v>
          </cell>
          <cell r="G635">
            <v>0</v>
          </cell>
        </row>
        <row r="636">
          <cell r="C636" t="str">
            <v>H632</v>
          </cell>
          <cell r="D636">
            <v>0</v>
          </cell>
          <cell r="E636">
            <v>0</v>
          </cell>
          <cell r="F636">
            <v>0</v>
          </cell>
          <cell r="G636">
            <v>0</v>
          </cell>
        </row>
        <row r="637">
          <cell r="C637" t="str">
            <v>H633</v>
          </cell>
          <cell r="D637">
            <v>0</v>
          </cell>
          <cell r="E637">
            <v>0</v>
          </cell>
          <cell r="F637">
            <v>0</v>
          </cell>
          <cell r="G637">
            <v>0</v>
          </cell>
        </row>
        <row r="638">
          <cell r="C638" t="str">
            <v>H634</v>
          </cell>
          <cell r="D638">
            <v>0</v>
          </cell>
          <cell r="E638">
            <v>0</v>
          </cell>
          <cell r="F638">
            <v>0</v>
          </cell>
          <cell r="G638">
            <v>0</v>
          </cell>
        </row>
        <row r="639">
          <cell r="C639" t="str">
            <v>H635</v>
          </cell>
          <cell r="D639">
            <v>0</v>
          </cell>
          <cell r="E639">
            <v>0</v>
          </cell>
          <cell r="F639">
            <v>0</v>
          </cell>
          <cell r="G639">
            <v>0</v>
          </cell>
        </row>
        <row r="640">
          <cell r="C640" t="str">
            <v>H636</v>
          </cell>
          <cell r="D640">
            <v>0</v>
          </cell>
          <cell r="E640">
            <v>0</v>
          </cell>
          <cell r="F640">
            <v>0</v>
          </cell>
          <cell r="G640">
            <v>0</v>
          </cell>
        </row>
        <row r="641">
          <cell r="C641" t="str">
            <v>H637</v>
          </cell>
          <cell r="D641">
            <v>0</v>
          </cell>
          <cell r="E641">
            <v>0</v>
          </cell>
          <cell r="F641">
            <v>0</v>
          </cell>
          <cell r="G641">
            <v>0</v>
          </cell>
        </row>
        <row r="642">
          <cell r="C642" t="str">
            <v>H638</v>
          </cell>
          <cell r="D642">
            <v>0</v>
          </cell>
          <cell r="E642">
            <v>0</v>
          </cell>
          <cell r="F642">
            <v>0</v>
          </cell>
          <cell r="G642">
            <v>0</v>
          </cell>
        </row>
        <row r="643">
          <cell r="C643" t="str">
            <v>H639</v>
          </cell>
          <cell r="D643">
            <v>0</v>
          </cell>
          <cell r="E643">
            <v>0</v>
          </cell>
          <cell r="F643">
            <v>0</v>
          </cell>
          <cell r="G643">
            <v>0</v>
          </cell>
        </row>
        <row r="644">
          <cell r="C644" t="str">
            <v>H640</v>
          </cell>
          <cell r="D644">
            <v>0</v>
          </cell>
          <cell r="E644">
            <v>0</v>
          </cell>
          <cell r="F644">
            <v>0</v>
          </cell>
          <cell r="G644">
            <v>0</v>
          </cell>
        </row>
        <row r="645">
          <cell r="C645" t="str">
            <v>H641</v>
          </cell>
          <cell r="D645">
            <v>0</v>
          </cell>
          <cell r="E645">
            <v>0</v>
          </cell>
          <cell r="F645">
            <v>0</v>
          </cell>
          <cell r="G645">
            <v>0</v>
          </cell>
        </row>
        <row r="646">
          <cell r="C646" t="str">
            <v>H642</v>
          </cell>
          <cell r="D646">
            <v>0</v>
          </cell>
          <cell r="E646">
            <v>0</v>
          </cell>
          <cell r="F646">
            <v>0</v>
          </cell>
          <cell r="G646">
            <v>0</v>
          </cell>
        </row>
        <row r="647">
          <cell r="C647" t="str">
            <v>H643</v>
          </cell>
          <cell r="D647">
            <v>0</v>
          </cell>
          <cell r="E647">
            <v>0</v>
          </cell>
          <cell r="F647">
            <v>0</v>
          </cell>
          <cell r="G647">
            <v>0</v>
          </cell>
        </row>
        <row r="648">
          <cell r="C648" t="str">
            <v>H644</v>
          </cell>
          <cell r="D648">
            <v>0</v>
          </cell>
          <cell r="E648">
            <v>0</v>
          </cell>
          <cell r="F648">
            <v>0</v>
          </cell>
          <cell r="G648">
            <v>0</v>
          </cell>
        </row>
        <row r="649">
          <cell r="C649" t="str">
            <v>H645</v>
          </cell>
          <cell r="D649">
            <v>0</v>
          </cell>
          <cell r="E649">
            <v>0</v>
          </cell>
          <cell r="F649">
            <v>0</v>
          </cell>
          <cell r="G649">
            <v>0</v>
          </cell>
        </row>
        <row r="650">
          <cell r="C650" t="str">
            <v>H646</v>
          </cell>
          <cell r="D650">
            <v>0</v>
          </cell>
          <cell r="E650">
            <v>0</v>
          </cell>
          <cell r="F650">
            <v>0</v>
          </cell>
          <cell r="G650">
            <v>0</v>
          </cell>
        </row>
        <row r="651">
          <cell r="C651" t="str">
            <v>H647</v>
          </cell>
          <cell r="D651">
            <v>0</v>
          </cell>
          <cell r="E651">
            <v>0</v>
          </cell>
          <cell r="F651">
            <v>0</v>
          </cell>
          <cell r="G651">
            <v>0</v>
          </cell>
        </row>
        <row r="652">
          <cell r="C652" t="str">
            <v>H648</v>
          </cell>
          <cell r="D652">
            <v>0</v>
          </cell>
          <cell r="E652">
            <v>0</v>
          </cell>
          <cell r="F652">
            <v>0</v>
          </cell>
          <cell r="G652">
            <v>0</v>
          </cell>
        </row>
        <row r="653">
          <cell r="C653" t="str">
            <v>H649</v>
          </cell>
          <cell r="D653">
            <v>0</v>
          </cell>
          <cell r="E653">
            <v>0</v>
          </cell>
          <cell r="F653">
            <v>0</v>
          </cell>
          <cell r="G653">
            <v>0</v>
          </cell>
        </row>
        <row r="654">
          <cell r="C654" t="str">
            <v>H650</v>
          </cell>
          <cell r="D654">
            <v>0</v>
          </cell>
          <cell r="E654">
            <v>0</v>
          </cell>
          <cell r="F654">
            <v>0</v>
          </cell>
          <cell r="G654">
            <v>0</v>
          </cell>
        </row>
        <row r="655">
          <cell r="C655" t="str">
            <v>H651</v>
          </cell>
          <cell r="D655">
            <v>0</v>
          </cell>
          <cell r="E655">
            <v>0</v>
          </cell>
          <cell r="F655">
            <v>0</v>
          </cell>
          <cell r="G655">
            <v>0</v>
          </cell>
        </row>
        <row r="656">
          <cell r="C656" t="str">
            <v>H652</v>
          </cell>
          <cell r="D656">
            <v>0</v>
          </cell>
          <cell r="E656">
            <v>0</v>
          </cell>
          <cell r="F656">
            <v>0</v>
          </cell>
          <cell r="G656">
            <v>0</v>
          </cell>
        </row>
        <row r="657">
          <cell r="C657" t="str">
            <v>H653</v>
          </cell>
          <cell r="D657">
            <v>0</v>
          </cell>
          <cell r="E657">
            <v>0</v>
          </cell>
          <cell r="F657">
            <v>0</v>
          </cell>
          <cell r="G657">
            <v>0</v>
          </cell>
        </row>
        <row r="658">
          <cell r="C658" t="str">
            <v>H654</v>
          </cell>
          <cell r="D658">
            <v>0</v>
          </cell>
          <cell r="E658">
            <v>0</v>
          </cell>
          <cell r="F658">
            <v>0</v>
          </cell>
          <cell r="G658">
            <v>0</v>
          </cell>
        </row>
        <row r="659">
          <cell r="C659" t="str">
            <v>H655</v>
          </cell>
          <cell r="D659">
            <v>0</v>
          </cell>
          <cell r="E659">
            <v>0</v>
          </cell>
          <cell r="F659">
            <v>0</v>
          </cell>
          <cell r="G659">
            <v>0</v>
          </cell>
        </row>
        <row r="660">
          <cell r="C660" t="str">
            <v>H656</v>
          </cell>
          <cell r="D660">
            <v>0</v>
          </cell>
          <cell r="E660">
            <v>0</v>
          </cell>
          <cell r="F660">
            <v>0</v>
          </cell>
          <cell r="G660">
            <v>0</v>
          </cell>
        </row>
        <row r="661">
          <cell r="C661" t="str">
            <v>H657</v>
          </cell>
          <cell r="D661">
            <v>0</v>
          </cell>
          <cell r="E661">
            <v>0</v>
          </cell>
          <cell r="F661">
            <v>0</v>
          </cell>
          <cell r="G661">
            <v>0</v>
          </cell>
        </row>
        <row r="662">
          <cell r="C662" t="str">
            <v>H658</v>
          </cell>
          <cell r="D662">
            <v>0</v>
          </cell>
          <cell r="E662">
            <v>0</v>
          </cell>
          <cell r="F662">
            <v>0</v>
          </cell>
          <cell r="G662">
            <v>0</v>
          </cell>
        </row>
        <row r="663">
          <cell r="C663" t="str">
            <v>H659</v>
          </cell>
          <cell r="D663">
            <v>0</v>
          </cell>
          <cell r="E663">
            <v>0</v>
          </cell>
          <cell r="F663">
            <v>0</v>
          </cell>
          <cell r="G663">
            <v>0</v>
          </cell>
        </row>
        <row r="664">
          <cell r="C664" t="str">
            <v>H660</v>
          </cell>
          <cell r="D664">
            <v>0</v>
          </cell>
          <cell r="E664">
            <v>0</v>
          </cell>
          <cell r="F664">
            <v>0</v>
          </cell>
          <cell r="G664">
            <v>0</v>
          </cell>
        </row>
        <row r="665">
          <cell r="C665" t="str">
            <v>H661</v>
          </cell>
          <cell r="D665">
            <v>0</v>
          </cell>
          <cell r="E665">
            <v>0</v>
          </cell>
          <cell r="F665">
            <v>0</v>
          </cell>
          <cell r="G665">
            <v>0</v>
          </cell>
        </row>
        <row r="666">
          <cell r="C666" t="str">
            <v>H662</v>
          </cell>
          <cell r="D666">
            <v>0</v>
          </cell>
          <cell r="E666">
            <v>0</v>
          </cell>
          <cell r="F666">
            <v>0</v>
          </cell>
          <cell r="G666">
            <v>0</v>
          </cell>
        </row>
        <row r="667">
          <cell r="C667" t="str">
            <v>H663</v>
          </cell>
          <cell r="D667">
            <v>0</v>
          </cell>
          <cell r="E667">
            <v>0</v>
          </cell>
          <cell r="F667">
            <v>0</v>
          </cell>
          <cell r="G667">
            <v>0</v>
          </cell>
        </row>
        <row r="668">
          <cell r="C668" t="str">
            <v>H664</v>
          </cell>
          <cell r="D668">
            <v>0</v>
          </cell>
          <cell r="E668">
            <v>0</v>
          </cell>
          <cell r="F668">
            <v>0</v>
          </cell>
          <cell r="G668">
            <v>0</v>
          </cell>
        </row>
        <row r="669">
          <cell r="C669" t="str">
            <v>H665</v>
          </cell>
          <cell r="D669">
            <v>0</v>
          </cell>
          <cell r="E669">
            <v>0</v>
          </cell>
          <cell r="F669">
            <v>0</v>
          </cell>
          <cell r="G669">
            <v>0</v>
          </cell>
        </row>
        <row r="670">
          <cell r="C670" t="str">
            <v>H666</v>
          </cell>
          <cell r="D670">
            <v>0</v>
          </cell>
          <cell r="E670">
            <v>0</v>
          </cell>
          <cell r="F670">
            <v>0</v>
          </cell>
          <cell r="G670">
            <v>0</v>
          </cell>
        </row>
        <row r="671">
          <cell r="C671" t="str">
            <v>H667</v>
          </cell>
          <cell r="D671">
            <v>0</v>
          </cell>
          <cell r="E671">
            <v>0</v>
          </cell>
          <cell r="F671">
            <v>0</v>
          </cell>
          <cell r="G671">
            <v>0</v>
          </cell>
        </row>
        <row r="672">
          <cell r="C672" t="str">
            <v>H668</v>
          </cell>
          <cell r="D672">
            <v>0</v>
          </cell>
          <cell r="E672">
            <v>0</v>
          </cell>
          <cell r="F672">
            <v>0</v>
          </cell>
          <cell r="G672">
            <v>0</v>
          </cell>
        </row>
        <row r="673">
          <cell r="C673" t="str">
            <v>H669</v>
          </cell>
          <cell r="D673">
            <v>0</v>
          </cell>
          <cell r="E673">
            <v>0</v>
          </cell>
          <cell r="F673">
            <v>0</v>
          </cell>
          <cell r="G673">
            <v>0</v>
          </cell>
        </row>
        <row r="674">
          <cell r="C674" t="str">
            <v>H670</v>
          </cell>
          <cell r="D674">
            <v>0</v>
          </cell>
          <cell r="E674">
            <v>0</v>
          </cell>
          <cell r="F674">
            <v>0</v>
          </cell>
          <cell r="G674">
            <v>0</v>
          </cell>
        </row>
        <row r="675">
          <cell r="C675" t="str">
            <v>H671</v>
          </cell>
          <cell r="D675">
            <v>0</v>
          </cell>
          <cell r="E675">
            <v>0</v>
          </cell>
          <cell r="F675">
            <v>0</v>
          </cell>
          <cell r="G675">
            <v>0</v>
          </cell>
        </row>
        <row r="676">
          <cell r="C676" t="str">
            <v>H672</v>
          </cell>
          <cell r="D676">
            <v>0</v>
          </cell>
          <cell r="E676">
            <v>0</v>
          </cell>
          <cell r="F676">
            <v>0</v>
          </cell>
          <cell r="G676">
            <v>0</v>
          </cell>
        </row>
        <row r="677">
          <cell r="C677" t="str">
            <v>H673</v>
          </cell>
          <cell r="D677">
            <v>0</v>
          </cell>
          <cell r="E677">
            <v>0</v>
          </cell>
          <cell r="F677">
            <v>0</v>
          </cell>
          <cell r="G677">
            <v>0</v>
          </cell>
        </row>
        <row r="678">
          <cell r="C678" t="str">
            <v>H674</v>
          </cell>
          <cell r="D678">
            <v>0</v>
          </cell>
          <cell r="E678">
            <v>0</v>
          </cell>
          <cell r="F678">
            <v>0</v>
          </cell>
          <cell r="G678">
            <v>0</v>
          </cell>
        </row>
        <row r="679">
          <cell r="C679" t="str">
            <v>H675</v>
          </cell>
          <cell r="D679">
            <v>0</v>
          </cell>
          <cell r="E679">
            <v>0</v>
          </cell>
          <cell r="F679">
            <v>0</v>
          </cell>
          <cell r="G679">
            <v>0</v>
          </cell>
        </row>
        <row r="680">
          <cell r="C680" t="str">
            <v>H676</v>
          </cell>
          <cell r="D680">
            <v>0</v>
          </cell>
          <cell r="E680">
            <v>0</v>
          </cell>
          <cell r="F680">
            <v>0</v>
          </cell>
          <cell r="G680">
            <v>0</v>
          </cell>
        </row>
        <row r="681">
          <cell r="C681" t="str">
            <v>H677</v>
          </cell>
          <cell r="D681">
            <v>0</v>
          </cell>
          <cell r="E681">
            <v>0</v>
          </cell>
          <cell r="F681">
            <v>0</v>
          </cell>
          <cell r="G681">
            <v>0</v>
          </cell>
        </row>
        <row r="682">
          <cell r="C682" t="str">
            <v>H678</v>
          </cell>
          <cell r="D682">
            <v>0</v>
          </cell>
          <cell r="E682">
            <v>0</v>
          </cell>
          <cell r="F682">
            <v>0</v>
          </cell>
          <cell r="G682">
            <v>0</v>
          </cell>
        </row>
        <row r="683">
          <cell r="C683" t="str">
            <v>H679</v>
          </cell>
          <cell r="D683">
            <v>0</v>
          </cell>
          <cell r="E683">
            <v>0</v>
          </cell>
          <cell r="F683">
            <v>0</v>
          </cell>
          <cell r="G683">
            <v>0</v>
          </cell>
        </row>
        <row r="684">
          <cell r="C684" t="str">
            <v>H680</v>
          </cell>
          <cell r="D684">
            <v>0</v>
          </cell>
          <cell r="E684">
            <v>0</v>
          </cell>
          <cell r="F684">
            <v>0</v>
          </cell>
          <cell r="G684">
            <v>0</v>
          </cell>
        </row>
        <row r="685">
          <cell r="C685" t="str">
            <v>H681</v>
          </cell>
          <cell r="D685">
            <v>0</v>
          </cell>
          <cell r="E685">
            <v>0</v>
          </cell>
          <cell r="F685">
            <v>0</v>
          </cell>
          <cell r="G685">
            <v>0</v>
          </cell>
        </row>
        <row r="686">
          <cell r="C686" t="str">
            <v>H682</v>
          </cell>
          <cell r="D686">
            <v>0</v>
          </cell>
          <cell r="E686">
            <v>0</v>
          </cell>
          <cell r="F686">
            <v>0</v>
          </cell>
          <cell r="G686">
            <v>0</v>
          </cell>
        </row>
        <row r="687">
          <cell r="C687" t="str">
            <v>H683</v>
          </cell>
          <cell r="D687">
            <v>0</v>
          </cell>
          <cell r="E687">
            <v>0</v>
          </cell>
          <cell r="F687">
            <v>0</v>
          </cell>
          <cell r="G687">
            <v>0</v>
          </cell>
        </row>
        <row r="688">
          <cell r="C688" t="str">
            <v>H684</v>
          </cell>
          <cell r="D688">
            <v>0</v>
          </cell>
          <cell r="E688">
            <v>0</v>
          </cell>
          <cell r="F688">
            <v>0</v>
          </cell>
          <cell r="G688">
            <v>0</v>
          </cell>
        </row>
        <row r="689">
          <cell r="C689" t="str">
            <v>H685</v>
          </cell>
          <cell r="D689">
            <v>0</v>
          </cell>
          <cell r="E689">
            <v>0</v>
          </cell>
          <cell r="F689">
            <v>0</v>
          </cell>
          <cell r="G689">
            <v>0</v>
          </cell>
        </row>
        <row r="690">
          <cell r="C690" t="str">
            <v>H686</v>
          </cell>
          <cell r="D690">
            <v>0</v>
          </cell>
          <cell r="E690">
            <v>0</v>
          </cell>
          <cell r="F690">
            <v>0</v>
          </cell>
          <cell r="G690">
            <v>0</v>
          </cell>
        </row>
        <row r="691">
          <cell r="C691" t="str">
            <v>H687</v>
          </cell>
          <cell r="D691">
            <v>0</v>
          </cell>
          <cell r="E691">
            <v>0</v>
          </cell>
          <cell r="F691">
            <v>0</v>
          </cell>
          <cell r="G691">
            <v>0</v>
          </cell>
        </row>
        <row r="692">
          <cell r="C692" t="str">
            <v>H688</v>
          </cell>
          <cell r="D692">
            <v>0</v>
          </cell>
          <cell r="E692">
            <v>0</v>
          </cell>
          <cell r="F692">
            <v>0</v>
          </cell>
          <cell r="G692">
            <v>0</v>
          </cell>
        </row>
        <row r="693">
          <cell r="C693" t="str">
            <v>H689</v>
          </cell>
          <cell r="D693">
            <v>0</v>
          </cell>
          <cell r="E693">
            <v>0</v>
          </cell>
          <cell r="F693">
            <v>0</v>
          </cell>
          <cell r="G693">
            <v>0</v>
          </cell>
        </row>
        <row r="694">
          <cell r="C694" t="str">
            <v>H690</v>
          </cell>
          <cell r="D694">
            <v>0</v>
          </cell>
          <cell r="E694">
            <v>0</v>
          </cell>
          <cell r="F694">
            <v>0</v>
          </cell>
          <cell r="G694">
            <v>0</v>
          </cell>
        </row>
        <row r="695">
          <cell r="C695" t="str">
            <v>H691</v>
          </cell>
          <cell r="D695">
            <v>0</v>
          </cell>
          <cell r="E695">
            <v>0</v>
          </cell>
          <cell r="F695">
            <v>0</v>
          </cell>
          <cell r="G695">
            <v>0</v>
          </cell>
        </row>
        <row r="696">
          <cell r="C696" t="str">
            <v>H692</v>
          </cell>
          <cell r="D696">
            <v>0</v>
          </cell>
          <cell r="E696">
            <v>0</v>
          </cell>
          <cell r="F696">
            <v>0</v>
          </cell>
          <cell r="G696">
            <v>0</v>
          </cell>
        </row>
        <row r="697">
          <cell r="C697" t="str">
            <v>H693</v>
          </cell>
          <cell r="D697">
            <v>0</v>
          </cell>
          <cell r="E697">
            <v>0</v>
          </cell>
          <cell r="F697">
            <v>0</v>
          </cell>
          <cell r="G697">
            <v>0</v>
          </cell>
        </row>
        <row r="698">
          <cell r="C698" t="str">
            <v>H694</v>
          </cell>
          <cell r="D698">
            <v>0</v>
          </cell>
          <cell r="E698">
            <v>0</v>
          </cell>
          <cell r="F698">
            <v>0</v>
          </cell>
          <cell r="G698">
            <v>0</v>
          </cell>
        </row>
        <row r="699">
          <cell r="C699" t="str">
            <v>H695</v>
          </cell>
          <cell r="D699">
            <v>0</v>
          </cell>
          <cell r="E699">
            <v>0</v>
          </cell>
          <cell r="F699">
            <v>0</v>
          </cell>
          <cell r="G699">
            <v>0</v>
          </cell>
        </row>
        <row r="700">
          <cell r="C700" t="str">
            <v>H696</v>
          </cell>
          <cell r="D700">
            <v>0</v>
          </cell>
          <cell r="E700">
            <v>0</v>
          </cell>
          <cell r="F700">
            <v>0</v>
          </cell>
          <cell r="G700">
            <v>0</v>
          </cell>
        </row>
        <row r="701">
          <cell r="C701" t="str">
            <v>H697</v>
          </cell>
          <cell r="D701">
            <v>0</v>
          </cell>
          <cell r="E701">
            <v>0</v>
          </cell>
          <cell r="F701">
            <v>0</v>
          </cell>
          <cell r="G701">
            <v>0</v>
          </cell>
        </row>
        <row r="702">
          <cell r="C702" t="str">
            <v>H698</v>
          </cell>
          <cell r="D702">
            <v>0</v>
          </cell>
          <cell r="E702">
            <v>0</v>
          </cell>
          <cell r="F702">
            <v>0</v>
          </cell>
          <cell r="G702">
            <v>0</v>
          </cell>
        </row>
        <row r="703">
          <cell r="C703" t="str">
            <v>H699</v>
          </cell>
          <cell r="D703">
            <v>0</v>
          </cell>
          <cell r="E703">
            <v>0</v>
          </cell>
          <cell r="F703">
            <v>0</v>
          </cell>
          <cell r="G703">
            <v>0</v>
          </cell>
        </row>
        <row r="704">
          <cell r="D704">
            <v>0</v>
          </cell>
          <cell r="E704">
            <v>0</v>
          </cell>
          <cell r="F704">
            <v>0</v>
          </cell>
          <cell r="G70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DB@Acess"/>
      <sheetName val="Input"/>
      <sheetName val="Erectn"/>
      <sheetName val="FCS"/>
      <sheetName val="eq_data"/>
      <sheetName val="DB_Acess"/>
      <sheetName val="실행내역서(DCU)"/>
      <sheetName val="#REF"/>
      <sheetName val="견적"/>
      <sheetName val="금액내역서"/>
      <sheetName val="Tables"/>
      <sheetName val="Mtl Summary"/>
      <sheetName val="PROCESS"/>
      <sheetName val="cement"/>
      <sheetName val="DRUM"/>
      <sheetName val="BOQ"/>
      <sheetName val="合成単価作成表-BLDG"/>
      <sheetName val="대비표"/>
      <sheetName val="jobhist"/>
      <sheetName val="Sheet1"/>
      <sheetName val="Graph (LGEN)"/>
      <sheetName val="out_prog"/>
      <sheetName val="선적schedule (2)"/>
      <sheetName val="산근"/>
      <sheetName val="자바라1"/>
      <sheetName val="해외 연수비용 계산-삭제"/>
      <sheetName val="해외 기술훈련비 (합계)"/>
      <sheetName val="CALCULATION"/>
      <sheetName val="Rate Analysis"/>
      <sheetName val="Macro"/>
      <sheetName val="Taux"/>
      <sheetName val="A"/>
      <sheetName val="h-013211-2"/>
      <sheetName val="cable-data"/>
      <sheetName val="LABTOTAL"/>
      <sheetName val="Q31-004-XFR(T)-301_2"/>
      <sheetName val="Questions to Vendor"/>
      <sheetName val="Data"/>
      <sheetName val="breakdown"/>
      <sheetName val="CAT_5"/>
      <sheetName val="123"/>
      <sheetName val="기준"/>
      <sheetName val="B"/>
      <sheetName val="Bend_fact "/>
      <sheetName val="부하계산서"/>
      <sheetName val="VLOOKUP"/>
      <sheetName val="cal-foamglass"/>
      <sheetName val="TTL"/>
      <sheetName val="DANGA"/>
      <sheetName val="HOMEOFFICE"/>
      <sheetName val="TEMP. FAC."/>
      <sheetName val="SUM "/>
      <sheetName val="Multi-currency"/>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SIZING"/>
      <sheetName val="현황CODE"/>
      <sheetName val="손익현황"/>
      <sheetName val="PROCESS"/>
      <sheetName val="RFP002"/>
      <sheetName val="RFP003E"/>
      <sheetName val="CABLE BULK"/>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P"/>
      <sheetName val="Corpi"/>
      <sheetName val="Summary"/>
      <sheetName val="Renf_flat_center"/>
    </sheetNames>
    <sheetDataSet>
      <sheetData sheetId="0" refreshError="1"/>
      <sheetData sheetId="1" refreshError="1"/>
      <sheetData sheetId="2" refreshError="1"/>
      <sheetData sheetId="3" refreshError="1"/>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OWN"/>
      <sheetName val="INDIRECT"/>
      <sheetName val="RATE"/>
      <sheetName val="Wage"/>
      <sheetName val="Process"/>
      <sheetName val="Manpower"/>
      <sheetName val="ConEq"/>
      <sheetName val="TOOL"/>
      <sheetName val="HR_Rate"/>
      <sheetName val="SUM"/>
      <sheetName val="Sheet2"/>
      <sheetName val="summary"/>
      <sheetName val="PIPING"/>
      <sheetName val="STLSTR"/>
      <sheetName val="EQUIP"/>
      <sheetName val="MP"/>
      <sheetName val="CONEQ."/>
      <sheetName val="SCHE"/>
      <sheetName val="LABOR"/>
      <sheetName val="일위대가"/>
      <sheetName val="w't table"/>
      <sheetName val="COA-17"/>
      <sheetName val="C-18"/>
      <sheetName val="CondPol"/>
      <sheetName val="costing_CV"/>
      <sheetName val="98-034-1"/>
      <sheetName val="S N"/>
      <sheetName val="GM 000"/>
      <sheetName val="VS배관내역서"/>
      <sheetName val="SIZING"/>
    </sheetNames>
    <definedNames>
      <definedName name="PRINT_OUT_SCcost_P3"/>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M (2)"/>
      <sheetName val="B-N BM"/>
      <sheetName val="b-n"/>
      <sheetName val="WE'T"/>
      <sheetName val="REDUCER"/>
      <sheetName val="AWWA FLG"/>
      <sheetName val="HELP SAMPLE"/>
      <sheetName val="SIZING"/>
      <sheetName val="POWER"/>
      <sheetName val="Final(1)summary"/>
      <sheetName val="price sch"/>
      <sheetName val="계측"/>
      <sheetName val=" FURNACE현설"/>
      <sheetName val="예산서"/>
      <sheetName val="cover"/>
      <sheetName val="WE_T"/>
      <sheetName val="남양시작동자105노65기1.3화1.2"/>
      <sheetName val="BM"/>
      <sheetName val="PipWT"/>
      <sheetName val="BQ_Methanol"/>
      <sheetName val="Insulation_Utl_Off"/>
      <sheetName val="Note_Piping"/>
      <sheetName val="Testing"/>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공구"/>
      <sheetName val="SKETCH"/>
      <sheetName val="evap_thick"/>
      <sheetName val="Sheet1"/>
      <sheetName val="영업2"/>
      <sheetName val="BLR-S"/>
      <sheetName val="출력X"/>
      <sheetName val="현황CODE"/>
      <sheetName val="손익현황"/>
      <sheetName val="IT-BAT"/>
      <sheetName val="검토내역서"/>
      <sheetName val="TWO PASS"/>
      <sheetName val="THREE PASS"/>
      <sheetName val="OUT"/>
      <sheetName val="최민영집계25"/>
      <sheetName val="#REF"/>
      <sheetName val="대호방조제 접속공"/>
      <sheetName val="누수관측공"/>
      <sheetName val="실행철강하도"/>
      <sheetName val="집계표"/>
      <sheetName val="6호기"/>
      <sheetName val="데이타"/>
      <sheetName val="식재인부"/>
      <sheetName val="토사(PE)"/>
      <sheetName val="자동제어"/>
    </sheetNames>
    <definedNames>
      <definedName name="RATING계산"/>
    </defined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results"/>
      <sheetName val="sheet"/>
      <sheetName val="costfab"/>
      <sheetName val="Mob-Demob"/>
      <sheetName val="Plant"/>
      <sheetName val="Direct Staff"/>
      <sheetName val="Equipment"/>
      <sheetName val="TEMFACIL,SOE"/>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MATERIALS"/>
      <sheetName val="dgct"/>
      <sheetName val="dtct"/>
      <sheetName val="gvl"/>
      <sheetName val="Sheet10"/>
      <sheetName val="Sheet11"/>
      <sheetName val="Sheet12"/>
      <sheetName val="Sheet13"/>
      <sheetName val="Sheet14"/>
      <sheetName val="Sheet15"/>
      <sheetName val="Sheet16"/>
      <sheetName val="Sheet1"/>
      <sheetName val="Sheet2"/>
      <sheetName val="Sheet3"/>
      <sheetName val="Sheet4"/>
      <sheetName val="Sheet6"/>
      <sheetName val="Sheet7"/>
      <sheetName val="Sheet8"/>
      <sheetName val="Sheet9"/>
      <sheetName val="XL4Poppy"/>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BOQ Field Tank Work"/>
      <sheetName val="Shipping Table"/>
      <sheetName val="Thuc thanh"/>
      <sheetName val="QL1A-QL1A moi"/>
      <sheetName val="C.Bong Lang"/>
      <sheetName val="Vanh dai III (TKKT)"/>
      <sheetName val="SL-NC-MB"/>
      <sheetName val="CX-AD-LC"/>
      <sheetName val="Cau-YBai-Tam"/>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KK bo sung"/>
      <sheetName val="MTO REV.0"/>
      <sheetName val="Tojg KLBS"/>
      <sheetName val="ɂIEN DONG"/>
      <sheetName val="NCong-Day-Su"/>
      <sheetName val="HK1"/>
      <sheetName val="HK2"/>
      <sheetName val="CANAM"/>
      <sheetName val="Maumo)"/>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S29_x0007__x0000__x0000_S"/>
      <sheetName val="dmuc"/>
      <sheetName val="PTVL"/>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Girder"/>
      <sheetName val="Tendon"/>
      <sheetName val="CHIET TINH TBA"/>
      <sheetName val="çha tri SX"/>
      <sheetName val="So Conç!îfhiep"/>
      <sheetName val="NEW-PANEL"/>
      <sheetName val="phi"/>
      <sheetName val="DG_"/>
      <sheetName val="Hạng mục 2"/>
      <sheetName val="ptdg"/>
      <sheetName val="Km227Э227_838s,"/>
      <sheetName val="XNGBQI-01 (02)"/>
      <sheetName val="Na2_x0000__x0000_01"/>
      <sheetName val="CT_x0000_doanh thu 2005"/>
      <sheetName val="XNGBQII-_x0010_4 (3)"/>
      <sheetName val="tra-vat-lieu"/>
      <sheetName val="CI     Lang"/>
      <sheetName val="Quy $-02"/>
      <sheetName val="NHAN"/>
      <sheetName val="CT"/>
      <sheetName val="KTQT-AF_x0003_"/>
      <sheetName val="KLDGT_x0014_&lt;120%"/>
      <sheetName val="Congt9"/>
      <sheetName val="coctuatrenda"/>
      <sheetName val="_x0000__x0000_쫀䃝Z"/>
      <sheetName val="_x0000__x0000__x0000__x0000_¢é@Z_x0000__x000d__x0000__x0004_"/>
      <sheetName val="M+MC"/>
      <sheetName val="Na2"/>
      <sheetName val=""/>
      <sheetName val="Vong KLBS"/>
      <sheetName val="tienluong"/>
      <sheetName val="GVL-NC-M"/>
      <sheetName val="Du Toan"/>
      <sheetName val="BGThau_x0008_??0000000_x0001__x0006_??Sheet1_x0008_??To"/>
      <sheetName val="4_x0004_??XN54_x0004_??XN33_x0004_??NK96_x0006_??Sheet4"/>
      <sheetName val="[Q3-01-duyet.xls]30000:00"/>
      <sheetName val="[Q3-01-duyet.xls]C/     Lang"/>
      <sheetName val="[Q3-01-duyet.xls][Q3-01-duyet.x"/>
      <sheetName val="TTTram"/>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Exterior Walls Finishes"/>
      <sheetName val="_x0000__x0000__x0000__x0000_¢é@Z_x0000__x000a__x0000__x0004_"/>
      <sheetName val="CPQL"/>
      <sheetName val="THCPQL"/>
      <sheetName val="Thep-MatCat"/>
      <sheetName val="Kiem-Toan"/>
      <sheetName val="NhapSL"/>
      <sheetName val="Du kien DT 9 thang de fop"/>
      <sheetName val="_x0000__x0000__x0000__x0000_€¢é@Z_x0000__x000d__x0000__x0004_"/>
      <sheetName val="Na2_x0000__x0000_€01"/>
      <sheetName val="00000003"/>
      <sheetName val="Khoi luong"/>
      <sheetName val="Pier"/>
      <sheetName val="Pile"/>
      <sheetName val="H?ng m?c 2"/>
      <sheetName val="Km227?227_838s,"/>
      <sheetName val="Hedging"/>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대비표"/>
      <sheetName val="XNGBQIV-02"/>
      <sheetName val="Tai_khկ"/>
      <sheetName val="thso sanh"/>
      <sheetName val="dutoan"/>
      <sheetName val="dtk490-491(PAI)"/>
      <sheetName val="dtk490-491(PAII)"/>
      <sheetName val="denbu"/>
      <sheetName val="tong hop"/>
      <sheetName val="phan tich DG"/>
      <sheetName val="gia vat lieu"/>
      <sheetName val="gia xe may"/>
      <sheetName val="gia nhan cong"/>
      <sheetName val="Goc Dien"/>
      <sheetName val="QTDien"/>
      <sheetName val="THKP"/>
      <sheetName val="QTNuoc"/>
      <sheetName val="DTnuoc"/>
      <sheetName val="DT dien"/>
      <sheetName val="QTCSet"/>
      <sheetName val="TBI+NUOC "/>
      <sheetName val="Dien"/>
      <sheetName val="TBIWC"/>
      <sheetName val="TBI nuoc"/>
      <sheetName val="MTL$-INTER"/>
      <sheetName val="PHAN DS 22 KV"/>
      <sheetName val="general"/>
      <sheetName val="Main Road"/>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BANGTRA"/>
      <sheetName val="QMCT"/>
      <sheetName val="hieuchinh30.11"/>
      <sheetName val="Bcaonhanh"/>
      <sheetName val="chitieth.chinh"/>
      <sheetName val="trinhEVN29.8"/>
      <sheetName val="cong"/>
      <sheetName val="phùn tich DG"/>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ia"/>
      <sheetName val="Breakdown bill"/>
      <sheetName val="Breakdown 2"/>
      <sheetName val="Ðoàn Vay Ti?n"/>
      <sheetName val="N? Ðoàn"/>
      <sheetName val="Ðoàn Vay Ti_n"/>
      <sheetName val="N_ Ðoàn"/>
      <sheetName val="dtk490_x000d_491(PAI_x0009_"/>
      <sheetName val="QTNugc"/>
      <sheetName val="10000_x0010_00"/>
      <sheetName val="Qheet1"/>
      <sheetName val="BanTinh"/>
      <sheetName val="dudoan"/>
      <sheetName val="Input"/>
      <sheetName val="dtk490_x000d_491(PAI "/>
      <sheetName val="gia vat_x0000_lieu"/>
      <sheetName val="thdt"/>
      <sheetName val="ptvl0-1"/>
      <sheetName val="0-1"/>
      <sheetName val="ptvl4-5"/>
      <sheetName val="4-5"/>
      <sheetName val="ptvl3-4"/>
      <sheetName val="3-4"/>
      <sheetName val="ptvl2-3"/>
      <sheetName val="2-3"/>
      <sheetName val="vlcong"/>
      <sheetName val="ptvl1-2"/>
      <sheetName val="1-2"/>
      <sheetName val="Tinh truoc VAT"/>
      <sheetName val="CP khaosat(Congtinh)"/>
      <sheetName val="CP khaosat(tuyettinh)"/>
      <sheetName val="Tai trong"/>
      <sheetName val="Pile-Br-Capacity"/>
      <sheetName val="dtk490_x000a_491(PAI_x0009_"/>
      <sheetName val="gia vat"/>
      <sheetName val="thso_sanh"/>
      <sheetName val="GIAVL"/>
      <sheetName val="T2"/>
      <sheetName val="T3"/>
      <sheetName val="T4"/>
      <sheetName val="T5"/>
      <sheetName val="THop"/>
      <sheetName val="THKD"/>
      <sheetName val="40000000"/>
      <sheetName val="CN kho doi"/>
      <sheetName val="CTHTchua TTn?ib?"/>
      <sheetName val="CN2004 N?p TCT"/>
      <sheetName val="dtk490_491(PAI_x0009_"/>
      <sheetName val="CTHTchua TTn_ib_"/>
      <sheetName val="CN2004 N_p TCT"/>
      <sheetName val="dtk490_491(PAI "/>
      <sheetName val="Truot_nen"/>
      <sheetName val="Gia vat tu"/>
      <sheetName val="G2G3_CDR_Dim"/>
      <sheetName val="G2_System_Inputs"/>
      <sheetName val="G2_TDT_Input"/>
      <sheetName val="G2_TDT_Advanced"/>
      <sheetName val="G2G3_GGSN_WC"/>
      <sheetName val="G3_System_Inputs"/>
      <sheetName val="G3_TDT_Input"/>
      <sheetName val="dtk490_x000a_491(PAI "/>
      <sheetName val="BANG TONG HOP (2)"/>
      <sheetName val="CD2000"/>
      <sheetName val="dtxl"/>
      <sheetName val="dtk486"/>
      <sheetName val="dtk490 491(PAI "/>
      <sheetName val="Temp"/>
      <sheetName val="dtk490࠭491(PAI)"/>
      <sheetName val="pc"/>
      <sheetName val="pt"/>
      <sheetName val="111"/>
      <sheetName val="th thu chi"/>
      <sheetName val="tam ung"/>
      <sheetName val="t.so"/>
      <sheetName val="infracstructure"/>
      <sheetName val="경비2내역"/>
      <sheetName val="FIRE ALARM _ FIRE FIGHTING"/>
      <sheetName val="ĐoànРVay Tiền"/>
      <sheetName val="갑지"/>
      <sheetName val="DON GIA CAN THO"/>
      <sheetName val="VL,NC"/>
      <sheetName val="토공"/>
      <sheetName val="Ca may"/>
      <sheetName val="TH kl cac cong tac"/>
      <sheetName val="KL cac cong tac chinh"/>
      <sheetName val="DGXL"/>
      <sheetName val="DM.DonVi (3)"/>
      <sheetName val="T.luc"/>
      <sheetName val="T.gian"/>
      <sheetName val="S.luong"/>
      <sheetName val="TD.Tho(1)"/>
      <sheetName val="TD.Tho(2)"/>
      <sheetName val="TD.Tho(3)"/>
      <sheetName val="Capdien"/>
      <sheetName val="Btra"/>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Ｎｏ.13"/>
      <sheetName val="gia vat_x005f_x0000_lieu"/>
      <sheetName val="dtk490_x005f_x000a_491(PAI_x005f_x0009_"/>
      <sheetName val="dtk490_x005f_x000a_491(PAI "/>
      <sheetName val="dtk490_491(PAI_x005f_x0009_"/>
      <sheetName val="一発シート"/>
      <sheetName val="L-Mechanical"/>
      <sheetName val="Quantity"/>
      <sheetName val="sort2"/>
      <sheetName val="KLHT"/>
      <sheetName val="DT1_x0000__x0000__x0000__x0000__x0000__x0000__x0000__x0000_"/>
      <sheetName val="DT1_x0000_"/>
      <sheetName val="S29_x0007__x0000_S"/>
      <sheetName val="BGThau_x0008__x0000_0000000_x0001__x0006__x0000_Sheet1_x0008__x0000_To"/>
      <sheetName val="NHAN?CONG"/>
      <sheetName val="BGThau_x0008_?0000000_x0001__x0006_?Sheet1_x0008_?To dr"/>
      <sheetName val="BGThau_x0008_?0000000_x0001__x0006_?Sheet1_x0008_?To"/>
      <sheetName val="Na2??01"/>
      <sheetName val="4_x0004_?XN54_x0004_?XN33_x0004_?NK96_x0006_?Sheet4"/>
      <sheetName val="CT?doanh thu 2005"/>
      <sheetName val="4_x0004__x0000_XN54_x0004__x0000_XN33_x0004__x0000_NK96_x0006__x0000_Sheet4"/>
      <sheetName val="ThongSo"/>
      <sheetName val="??쫀䃝Z"/>
      <sheetName val="Shѥet10"/>
      <sheetName val="????¢é@Z?_x000d_?_x0004_"/>
      <sheetName val="Qheet19"/>
      <sheetName val="THKL nghiamthu"/>
      <sheetName val="Balg du toan"/>
      <sheetName val="diachi"/>
      <sheetName val="Quy_2-20021"/>
      <sheetName val="BGThau0000000Sheet1To"/>
      <sheetName val="XNGBQII-4_(3)"/>
      <sheetName val="4XN54XN33NK96Sheet4"/>
      <sheetName val="_IEN_DONG"/>
      <sheetName val="S29__S"/>
      <sheetName val="S29_S"/>
      <sheetName val="NHAN_CWNG"/>
      <sheetName val="MTO_REV_2(ARMOR)"/>
      <sheetName val="BGThau0000000Sheet1To_dr"/>
      <sheetName val="XNGBQI-01_(02)"/>
      <sheetName val="CI_____Lang"/>
      <sheetName val="Du_kien_DT_9_thang_de_f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sheetData sheetId="359" refreshError="1"/>
      <sheetData sheetId="360" refreshError="1"/>
      <sheetData sheetId="361" refreshError="1"/>
      <sheetData sheetId="362"/>
      <sheetData sheetId="363"/>
      <sheetData sheetId="364" refreshError="1"/>
      <sheetData sheetId="365"/>
      <sheetData sheetId="366"/>
      <sheetData sheetId="367"/>
      <sheetData sheetId="368"/>
      <sheetData sheetId="369" refreshError="1"/>
      <sheetData sheetId="370"/>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sheetData sheetId="562"/>
      <sheetData sheetId="563"/>
      <sheetData sheetId="564"/>
      <sheetData sheetId="565"/>
      <sheetData sheetId="566" refreshError="1"/>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efreshError="1"/>
      <sheetData sheetId="699" refreshError="1"/>
      <sheetData sheetId="700"/>
      <sheetData sheetId="701"/>
      <sheetData sheetId="702" refreshError="1"/>
      <sheetData sheetId="703" refreshError="1"/>
      <sheetData sheetId="704" refreshError="1"/>
      <sheetData sheetId="705"/>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sheetData sheetId="816" refreshError="1"/>
      <sheetData sheetId="817" refreshError="1"/>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refreshError="1"/>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Basis"/>
      <sheetName val="tifico"/>
      <sheetName val="배수내역"/>
      <sheetName val="Pick List"/>
      <sheetName val="Config"/>
      <sheetName val="Consumables"/>
      <sheetName val="Summary"/>
      <sheetName val="D.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s"/>
      <sheetName val="steam table"/>
      <sheetName val="Sheet1"/>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pakg-1"/>
      <sheetName val="Setup"/>
      <sheetName val="CABLE BULK"/>
      <sheetName val="현장지지물물량"/>
      <sheetName val="Sat. Pek."/>
      <sheetName val="REDUCER"/>
      <sheetName val="WE'T"/>
      <sheetName val="BM"/>
      <sheetName val="PipWT"/>
      <sheetName val="BQ_Methanol"/>
      <sheetName val="Insulation_Utl_Off"/>
      <sheetName val="Note_Piping"/>
      <sheetName val="cover"/>
      <sheetName val="HRSG PRINT"/>
      <sheetName val="Code 02"/>
      <sheetName val="Code 03"/>
      <sheetName val="Code 04"/>
      <sheetName val="Code 05"/>
      <sheetName val="Code 06"/>
      <sheetName val="Code 07"/>
      <sheetName val="Code 09"/>
      <sheetName val="Code03"/>
      <sheetName val="SUMMARY"/>
      <sheetName val="5-Digit"/>
      <sheetName val="2.설계제원"/>
      <sheetName val="물량"/>
      <sheetName val="NEWDRAW"/>
      <sheetName val="IBASE"/>
      <sheetName val="자바라1"/>
    </sheetNames>
    <definedNames>
      <definedName nam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HG Unit"/>
      <sheetName val="HD Unit"/>
      <sheetName val="ASME B 36.10 M"/>
      <sheetName val="ASME B 36_10 M"/>
      <sheetName val="Piping material HG take off - R"/>
      <sheetName val="steam table"/>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환산표"/>
      <sheetName val="TTL"/>
      <sheetName val="Joints"/>
      <sheetName val="DB_ET200(R. A)"/>
      <sheetName val="mech"/>
      <sheetName val="REDUCER"/>
      <sheetName val="IBASE"/>
      <sheetName val="HG_Unit1"/>
      <sheetName val="HD_Unit1"/>
      <sheetName val="ASME_B_36_10_M2"/>
      <sheetName val="ASME_B_36_10_M3"/>
      <sheetName val="Piping_material_HG_take_off_-_1"/>
      <sheetName val="steam_table"/>
      <sheetName val="HG_Unit"/>
      <sheetName val="HD_Unit"/>
      <sheetName val="ASME_B_36_10_M"/>
      <sheetName val="ASME_B_36_10_M1"/>
      <sheetName val="Piping_material_HG_take_off_-_R"/>
      <sheetName val="POWER"/>
      <sheetName val="BM"/>
      <sheetName val="PipWT"/>
      <sheetName val="BQ_Methanol"/>
      <sheetName val="Insulation_Utl_Off"/>
      <sheetName val="Note_Piping"/>
      <sheetName val="6-2차"/>
      <sheetName val="Code 02"/>
      <sheetName val="Code 03"/>
      <sheetName val="Code 04"/>
      <sheetName val="Code 05"/>
      <sheetName val="Code 06"/>
      <sheetName val="Code 07"/>
      <sheetName val="Code 09"/>
      <sheetName val="갑지1"/>
      <sheetName val="MOTOR"/>
      <sheetName val="내역"/>
      <sheetName val="BILAL2"/>
      <sheetName val="HG_Unit2"/>
      <sheetName val="HD_Unit2"/>
      <sheetName val="ASME_B_36_10_M4"/>
      <sheetName val="ASME_B_36_10_M5"/>
      <sheetName val="Piping_material_HG_take_off_-_2"/>
      <sheetName val="steam_table1"/>
      <sheetName val="CABLE BULK"/>
      <sheetName val="실행철강하도"/>
    </sheetNames>
    <definedNames>
      <definedName name="scaffolding"/>
    </definedNames>
    <sheetDataSet>
      <sheetData sheetId="0"/>
      <sheetData sheetId="1"/>
      <sheetData sheetId="2">
        <row r="3">
          <cell r="E3">
            <v>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건설공사비"/>
      <sheetName val="Factor"/>
      <sheetName val="SPT vs PHI"/>
      <sheetName val="COST-850"/>
      <sheetName val="공정계획(내부계획25%,내부w.f)"/>
      <sheetName val="단중표-ST"/>
      <sheetName val="HVAC"/>
      <sheetName val="적용환율"/>
      <sheetName val="PipWT"/>
      <sheetName val="CAL"/>
      <sheetName val="shphdlelb"/>
      <sheetName val="fldhdlelb"/>
      <sheetName val="WALLTHK"/>
      <sheetName val="cable-data"/>
      <sheetName val="CBL_OD"/>
      <sheetName val="일위대가목차"/>
      <sheetName val="C3"/>
      <sheetName val="#2손익"/>
      <sheetName val="BQ"/>
      <sheetName val="Joints"/>
      <sheetName val="COVERSHEET"/>
      <sheetName val="CODE"/>
      <sheetName val="Load"/>
      <sheetName val="기기리스트"/>
      <sheetName val="Reference DB"/>
      <sheetName val="R.Lab Cos"/>
      <sheetName val="eq_data"/>
      <sheetName val="당초"/>
      <sheetName val="eqt list-견적팀"/>
      <sheetName val="Lot1"/>
      <sheetName val="Steam-Sys"/>
      <sheetName val="Piping Design Data"/>
      <sheetName val="parts-V2"/>
      <sheetName val="수입"/>
      <sheetName val="Table 1"/>
      <sheetName val="계수시트"/>
      <sheetName val="원가계산서"/>
      <sheetName val="DI-ESTI"/>
      <sheetName val="Contents"/>
      <sheetName val="V-VESSEL (WITH DEMISTER)"/>
      <sheetName val="IBASE"/>
      <sheetName val="12CGOU"/>
      <sheetName val="DATE"/>
      <sheetName val="PAGE-1"/>
      <sheetName val="steam table"/>
      <sheetName val="예산"/>
      <sheetName val="D-3"/>
      <sheetName val="DESIGN CRETERIA"/>
      <sheetName val="Schedule"/>
      <sheetName val="Summary Sheets"/>
      <sheetName val="EQT-ESTN"/>
      <sheetName val="INPUT DATA"/>
      <sheetName val="Summary"/>
      <sheetName val="S0"/>
      <sheetName val="PIPE내역(FCN)"/>
      <sheetName val="노임단가"/>
      <sheetName val="현장관리비"/>
      <sheetName val="AILC004"/>
      <sheetName val="Walls"/>
      <sheetName val="Sheet1"/>
      <sheetName val="내역서"/>
      <sheetName val="견적기준"/>
      <sheetName val="activity"/>
      <sheetName val="기준"/>
      <sheetName val="CBE-VSL"/>
      <sheetName val="UnitList"/>
      <sheetName val="DG3285"/>
      <sheetName val="6,000"/>
      <sheetName val="ITB COST"/>
      <sheetName val="간접비내역-1"/>
      <sheetName val="산근"/>
      <sheetName val="Rate"/>
      <sheetName val="MCCSUM"/>
      <sheetName val="Cost_total_배관-한남현"/>
      <sheetName val="pvc vent"/>
      <sheetName val="#REF"/>
      <sheetName val="LEGEND"/>
      <sheetName val="보할공정"/>
      <sheetName val="1.설계조건"/>
      <sheetName val="일위대가"/>
      <sheetName val="General Data"/>
      <sheetName val="직원동원계획"/>
      <sheetName val="Equipment"/>
      <sheetName val="Piping"/>
      <sheetName val="BQMPALOC"/>
      <sheetName val="Administrative Prices"/>
      <sheetName val="RFP002"/>
      <sheetName val="Final(1)summary"/>
      <sheetName val="Calculation Basis"/>
      <sheetName val="MB(LAB_No.2)"/>
      <sheetName val="환율표"/>
      <sheetName val="TPS Performance Model"/>
      <sheetName val="1공구계약서"/>
      <sheetName val="airComp"/>
      <sheetName val="공정계획(내부계획25%,내부w_f)"/>
      <sheetName val="SPT_vs_PHI"/>
      <sheetName val="steam_table"/>
      <sheetName val="ITB_COST"/>
      <sheetName val="Reference_DB"/>
      <sheetName val="R_Lab_Cos"/>
      <sheetName val="eqt_list-견적팀"/>
      <sheetName val="Table_1"/>
      <sheetName val="V-VESSEL_(WITH_DEMISTER)"/>
      <sheetName val="Piping_Design_Data"/>
      <sheetName val="pvc_vent"/>
      <sheetName val="DESIGN_CRETERIA"/>
      <sheetName val="Summary_Sheets"/>
      <sheetName val="INPUT_DATA"/>
      <sheetName val="1_설계조건"/>
      <sheetName val="General_Data"/>
      <sheetName val="Administrative_Prices"/>
      <sheetName val="Calculation_Basis"/>
      <sheetName val="MB(LAB_No_2)"/>
      <sheetName val="TPS_Performance_Model"/>
      <sheetName val="3514-HV-0201"/>
      <sheetName val="A CONDITIONS"/>
      <sheetName val="3. Piping"/>
      <sheetName val="1. Stationary"/>
      <sheetName val="공사비 내역 (가)"/>
      <sheetName val="Pump"/>
      <sheetName val="table"/>
      <sheetName val="식재"/>
      <sheetName val="시설물"/>
      <sheetName val="식재출력용"/>
      <sheetName val="유지관리"/>
      <sheetName val="단가"/>
      <sheetName val="STEEL STR_Selling"/>
      <sheetName val="DNT OSBL"/>
      <sheetName val="Matrix"/>
      <sheetName val="TL rieng"/>
      <sheetName val="Precios"/>
      <sheetName val="Tabla"/>
      <sheetName val="주관사업"/>
      <sheetName val="Tie Beam"/>
      <sheetName val="cement"/>
      <sheetName val="CONS. EQUIP.  "/>
      <sheetName val="Materials"/>
      <sheetName val="Estimate"/>
      <sheetName val="Major"/>
      <sheetName val="Valori"/>
      <sheetName val="TO GO MEST"/>
      <sheetName val="Piping BQ_Estimat-Original"/>
      <sheetName val="공정계획_내부계획25__내부w_f_"/>
      <sheetName val="집수정(600-700)"/>
      <sheetName val="지수"/>
      <sheetName val="입찰내역서"/>
      <sheetName val="VENDOR LIST"/>
      <sheetName val="공통비"/>
      <sheetName val="Material_Data"/>
      <sheetName val="2P-DETAL"/>
      <sheetName val="경비집계"/>
      <sheetName val="h-013211-2"/>
      <sheetName val="Price List"/>
      <sheetName val="Tubing"/>
      <sheetName val="cable"/>
      <sheetName val="static.cal"/>
      <sheetName val="WIP"/>
      <sheetName val="PPSD SumOps 3 29 02"/>
      <sheetName val="6BPRO"/>
      <sheetName val="공문"/>
      <sheetName val="대치판정"/>
      <sheetName val="Ind"/>
      <sheetName val="mhrrate"/>
      <sheetName val="SALA-002"/>
      <sheetName val="Chi tiet"/>
      <sheetName val="Status"/>
      <sheetName val=" Sum"/>
      <sheetName val="w't table"/>
      <sheetName val="S N"/>
      <sheetName val="RIEPILOGO"/>
      <sheetName val="COVER"/>
      <sheetName val="Unit Price"/>
      <sheetName val="HORI. VESSEL"/>
      <sheetName val="공정계획(내부계획25%,내부w_f)1"/>
      <sheetName val="Table_11"/>
      <sheetName val="Piping_Design_Data1"/>
      <sheetName val="SPT_vs_PHI1"/>
      <sheetName val="eqt_list-견적팀1"/>
      <sheetName val="steam_table1"/>
      <sheetName val="INPUT_DATA1"/>
      <sheetName val="Reference_DB1"/>
      <sheetName val="R_Lab_Cos1"/>
      <sheetName val="V-VESSEL_(WITH_DEMISTER)1"/>
      <sheetName val="1_설계조건1"/>
      <sheetName val="Summary_Sheets1"/>
      <sheetName val="DESIGN_CRETERIA1"/>
      <sheetName val="General_Data1"/>
      <sheetName val="A_CONDITIONS"/>
      <sheetName val="3__Piping"/>
      <sheetName val="1__Stationary"/>
      <sheetName val="공사비_내역_(가)"/>
      <sheetName val="VENDOR_LIST"/>
      <sheetName val="ITB_COST1"/>
      <sheetName val="pvc_vent1"/>
      <sheetName val="Administrative_Prices1"/>
      <sheetName val="Calculation_Basis1"/>
      <sheetName val="MB(LAB_No_2)1"/>
      <sheetName val="TPS_Performance_Model1"/>
      <sheetName val="STEEL_STR_Selling"/>
      <sheetName val="DNT_OSBL"/>
      <sheetName val="TL_rieng"/>
      <sheetName val="Tie_Beam"/>
      <sheetName val="CONS__EQUIP___"/>
      <sheetName val="HORI__VESSEL"/>
      <sheetName val="Keys"/>
      <sheetName val="기계내역서"/>
      <sheetName val="LOOKUP"/>
      <sheetName val="공사비SUM"/>
      <sheetName val="breakdown"/>
      <sheetName val="INVOICE_CERT EIV'S"/>
      <sheetName val="Rate Analysis"/>
      <sheetName val="Segment"/>
      <sheetName val="견적가집계표(1)"/>
      <sheetName val="ORIGN"/>
      <sheetName val="Macro"/>
      <sheetName val="Taux"/>
      <sheetName val="Cover sheet"/>
      <sheetName val="Main"/>
      <sheetName val="Data"/>
      <sheetName val="사기도장"/>
      <sheetName val="DELIVERIES"/>
      <sheetName val="inter"/>
      <sheetName val="TTL"/>
      <sheetName val="PRECAST lightconc-II"/>
      <sheetName val="Calc"/>
      <sheetName val="견적"/>
      <sheetName val="사업성검토"/>
      <sheetName val="33628-Rev. A"/>
      <sheetName val="Quantity"/>
      <sheetName val="KP_List"/>
      <sheetName val="Tank_3_1"/>
      <sheetName val="공정계획(내부계획25%,내부w_f)2"/>
      <sheetName val="공정계획(내부계획25%,내부w_f)3"/>
      <sheetName val="공정계획(내부계획25%,내부w_f)4"/>
      <sheetName val="도급양식"/>
      <sheetName val="실행내역"/>
      <sheetName val="간접비 총괄표"/>
      <sheetName val="SPT_vs_PHI2"/>
      <sheetName val="steam_table2"/>
      <sheetName val="ITB_COST2"/>
      <sheetName val="Reference_DB2"/>
      <sheetName val="R_Lab_Cos2"/>
      <sheetName val="eqt_list-견적팀2"/>
      <sheetName val="Table_12"/>
      <sheetName val="V-VESSEL_(WITH_DEMISTER)2"/>
      <sheetName val="Piping_Design_Data2"/>
      <sheetName val="pvc_vent2"/>
      <sheetName val="DESIGN_CRETERIA2"/>
      <sheetName val="Summary_Sheets2"/>
      <sheetName val="INPUT_DATA2"/>
      <sheetName val="1_설계조건2"/>
      <sheetName val="General_Data2"/>
      <sheetName val="Administrative_Prices2"/>
      <sheetName val="Calculation_Basis2"/>
      <sheetName val="MB(LAB_No_2)2"/>
      <sheetName val="TPS_Performance_Model2"/>
      <sheetName val="A_CONDITIONS1"/>
      <sheetName val="3__Piping1"/>
      <sheetName val="1__Stationary1"/>
      <sheetName val="공사비_내역_(가)1"/>
      <sheetName val="STEEL_STR_Selling1"/>
      <sheetName val="DNT_OSBL1"/>
      <sheetName val="TL_rieng1"/>
      <sheetName val="VENDOR_LIST1"/>
      <sheetName val="Tie_Beam1"/>
      <sheetName val="CONS__EQUIP___1"/>
      <sheetName val="TO_GO_MEST"/>
      <sheetName val="Piping_BQ_Estimat-Original"/>
      <sheetName val="Chi_tiet"/>
      <sheetName val="Price_List"/>
      <sheetName val="static_cal"/>
      <sheetName val="PPSD_SumOps_3_29_02"/>
      <sheetName val="_Sum"/>
      <sheetName val="w't_table"/>
      <sheetName val="S_N"/>
      <sheetName val="Unit_Price"/>
      <sheetName val="HORI__VESSEL1"/>
      <sheetName val="INVOICE_CERT_EIV'S"/>
      <sheetName val="Rate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 val="EQUIPMENT -2"/>
      <sheetName val="HVAC"/>
      <sheetName val="#REF"/>
      <sheetName val="DG3285"/>
      <sheetName val="DESIGN_CRETERIA"/>
      <sheetName val="차액보증"/>
      <sheetName val="Cover sheet"/>
      <sheetName val="COVER"/>
      <sheetName val="合成単価作成表-BLDG"/>
      <sheetName val="PROJ-CST"/>
      <sheetName val="일위대가"/>
      <sheetName val="조건표"/>
      <sheetName val="bm(CIcable)"/>
      <sheetName val="SG"/>
      <sheetName val="노임단가"/>
      <sheetName val="보온공사비대비표"/>
      <sheetName val="TIE-INS"/>
      <sheetName val="산근"/>
      <sheetName val="Summary"/>
      <sheetName val="노임"/>
      <sheetName val=" ｹ-ﾌﾞﾙ"/>
      <sheetName val="A(Rev.3)"/>
      <sheetName val="1100"/>
      <sheetName val="BQ List"/>
      <sheetName val="CASH"/>
      <sheetName val="BATCH"/>
      <sheetName val="INPUT DATA"/>
      <sheetName val="Piping Design Data"/>
      <sheetName val="5"/>
      <sheetName val="C1"/>
      <sheetName val="Main"/>
      <sheetName val="Data"/>
      <sheetName val="BQMPALOC"/>
      <sheetName val="H_Param"/>
      <sheetName val="BID"/>
      <sheetName val="EQUIPMENT _2"/>
      <sheetName val="DI-ESTI"/>
      <sheetName val="영업소실적"/>
      <sheetName val="SUM-AFC02_NP"/>
      <sheetName val="POWER"/>
      <sheetName val="갑지"/>
      <sheetName val="PROGRESS PH2"/>
      <sheetName val="Facturación A"/>
      <sheetName val="inter"/>
      <sheetName val="HYDROTEST DIAGRAM"/>
      <sheetName val="공사비 내역 (가)"/>
      <sheetName val="도급양식"/>
      <sheetName val="EQUIPMENT_-2"/>
      <sheetName val="Facturación_A"/>
      <sheetName val="PROGRESS_PH2"/>
      <sheetName val="D-3"/>
      <sheetName val="Cable Data"/>
      <sheetName val="A-12"/>
      <sheetName val="12CGOU"/>
      <sheetName val="Conn. Lib"/>
      <sheetName val="4000"/>
      <sheetName val="TABLAS"/>
      <sheetName val="ResCómpMét"/>
      <sheetName val="Equipments Level IV"/>
      <sheetName val="Table old fILE"/>
      <sheetName val="Lev III"/>
      <sheetName val="4 Piping"/>
      <sheetName val="3&amp;3A Equipments"/>
      <sheetName val="9 Insulation"/>
      <sheetName val="8 Painting"/>
      <sheetName val="10 Pre Commissioning"/>
      <sheetName val="5 Electrical"/>
      <sheetName val="6 Instrument"/>
      <sheetName val="7 Telecom"/>
      <sheetName val="Proc Reg"/>
      <sheetName val="SS2"/>
      <sheetName val="내역서"/>
      <sheetName val="BOQ"/>
      <sheetName val="AILC004"/>
      <sheetName val="집계표(OPTION)"/>
      <sheetName val="Macro"/>
      <sheetName val="Taux"/>
      <sheetName val="당진1,2호기전선관설치및접지4차공사내역서-을지"/>
      <sheetName val="EQT_ESTN"/>
      <sheetName val="Tabla"/>
      <sheetName val="VARIABLES"/>
      <sheetName val="PILE-C1"/>
      <sheetName val="BOQ fire proofing"/>
      <sheetName val="TOEC"/>
      <sheetName val="TL rieng"/>
      <sheetName val="Basis"/>
      <sheetName val="Steam-Sys"/>
      <sheetName val="Total"/>
      <sheetName val="계정"/>
      <sheetName val="주요공사"/>
      <sheetName val="골조물량"/>
      <sheetName val="PRECAST lightconc-II"/>
      <sheetName val="Sheet1"/>
      <sheetName val="MB(LAB_No.2)"/>
      <sheetName val="실행철강하도"/>
      <sheetName val="실행내역서 "/>
      <sheetName val="CTEMCOST"/>
      <sheetName val="Vat tu XD"/>
      <sheetName val="Khoi luong"/>
      <sheetName val="FWBS 100"/>
      <sheetName val="Quantity"/>
      <sheetName val="Param"/>
      <sheetName val="7. Aeration Tanks (ATV)"/>
      <sheetName val="8. Aeration"/>
      <sheetName val="1. Project Base"/>
      <sheetName val="Input"/>
      <sheetName val="주관사업"/>
      <sheetName val="H.Satuan"/>
      <sheetName val="EP0618"/>
      <sheetName val="BREAKDOWN(철거설치)"/>
      <sheetName val="견적조건"/>
      <sheetName val="Sheet2"/>
      <sheetName val="소비자가"/>
      <sheetName val="(A)내역서"/>
      <sheetName val="2.대외공문"/>
      <sheetName val="ABUT수량-A1"/>
      <sheetName val="교각1"/>
      <sheetName val="토목"/>
      <sheetName val="Summary Sheets"/>
      <sheetName val="STAND98"/>
      <sheetName val="잡철물"/>
      <sheetName val="경제지표"/>
      <sheetName val="총괄"/>
      <sheetName val="수량집계"/>
      <sheetName val="총괄집계표"/>
      <sheetName val="견적서"/>
      <sheetName val="간이연락"/>
      <sheetName val="設計計算"/>
      <sheetName val="B"/>
      <sheetName val="COVERSHEET"/>
      <sheetName val="FAB별"/>
      <sheetName val="MAT"/>
      <sheetName val="시가지우회도로공내역서"/>
      <sheetName val="프랜트면허"/>
      <sheetName val="관급"/>
      <sheetName val="대비"/>
      <sheetName val="DNT OSBL"/>
      <sheetName val="Factor"/>
      <sheetName val="S0"/>
      <sheetName val="데리네이타현황"/>
      <sheetName val="단가"/>
      <sheetName val="원가계산서(남측)"/>
      <sheetName val="세금자료"/>
      <sheetName val="steel data sheet"/>
      <sheetName val="LP"/>
      <sheetName val="D.Volume"/>
      <sheetName val="을"/>
      <sheetName val="DISCOUNT"/>
      <sheetName val="설계내역서"/>
      <sheetName val="Direction projet"/>
      <sheetName val="3.6M RETAINING WALL"/>
      <sheetName val="노임이"/>
      <sheetName val="01b. RTR PL Working 28 Mar 16"/>
      <sheetName val="PROC%"/>
      <sheetName val="XZLC004_PART2"/>
      <sheetName val="TTL"/>
      <sheetName val="CAT_5"/>
      <sheetName val="입출재고현황 (2)"/>
      <sheetName val="표지"/>
      <sheetName val="영동(D)"/>
      <sheetName val="code"/>
      <sheetName val="Equipments_Level_IV"/>
      <sheetName val="Table_old_fILE"/>
      <sheetName val="Lev_III"/>
      <sheetName val="4_Piping"/>
      <sheetName val="3&amp;3A_Equipments"/>
      <sheetName val="9_Insulation"/>
      <sheetName val="8_Painting"/>
      <sheetName val="10_Pre_Commissioning"/>
      <sheetName val="5_Electrical"/>
      <sheetName val="6_Instrument"/>
      <sheetName val="7_Telecom"/>
      <sheetName val="Proc_Reg"/>
      <sheetName val="_ｹ-ﾌﾞﾙ"/>
      <sheetName val="A(Rev_3)"/>
      <sheetName val="BQ_List"/>
      <sheetName val="HYDROTEST_DIAGRAM"/>
      <sheetName val="공사비_내역_(가)"/>
      <sheetName val="INPUT_DATA"/>
      <sheetName val="EQUIPOS"/>
      <sheetName val="77-Charts"/>
      <sheetName val="Malaysia incl. RET"/>
      <sheetName val="Riesgos y Oportunidades"/>
      <sheetName val="General Data"/>
      <sheetName val="BM(#4)"/>
      <sheetName val="날개벽수량표"/>
      <sheetName val="건축내역"/>
      <sheetName val="No.2LAB Unit"/>
      <sheetName val="Compressors"/>
      <sheetName val="DATOS"/>
      <sheetName val="LINEAS"/>
      <sheetName val="LOADING"/>
      <sheetName val="경비"/>
      <sheetName val="Page 1"/>
      <sheetName val="PIPEDATA"/>
      <sheetName val="hori. vessel(E-895)"/>
      <sheetName val="BM"/>
      <sheetName val="analysis"/>
      <sheetName val="10.Linkway"/>
      <sheetName val="11.Bus Shelter-Bay"/>
      <sheetName val="eq_data"/>
      <sheetName val="내역표지"/>
      <sheetName val="정산변경내역"/>
      <sheetName val="수량산출"/>
      <sheetName val="내역1"/>
      <sheetName val="BSD (2)"/>
      <sheetName val="차수"/>
      <sheetName val="자재단가"/>
      <sheetName val="DataBase 작성 샘플"/>
      <sheetName val="유해위험요인 분류체계"/>
      <sheetName val="경비2내역"/>
      <sheetName val="P2KLA"/>
      <sheetName val="3.바닥판설계"/>
      <sheetName val="96.12"/>
      <sheetName val="8.PILE  (돌출)"/>
      <sheetName val="현장관리비"/>
      <sheetName val="실행내역"/>
      <sheetName val="tienluong"/>
      <sheetName val="금광1터널"/>
      <sheetName val="TACT"/>
      <sheetName val="sum"/>
      <sheetName val="98비정기소모"/>
      <sheetName val="환율change"/>
      <sheetName val="LEGEND"/>
      <sheetName val="데이타"/>
      <sheetName val="식재인부"/>
      <sheetName val="정리내역"/>
      <sheetName val="Steam Table"/>
      <sheetName val="TOSHIBA-Structure"/>
      <sheetName val="TB-내역서"/>
      <sheetName val="CBL_OD"/>
      <sheetName val="기계"/>
      <sheetName val="ELECTRIC"/>
      <sheetName val="Price List"/>
      <sheetName val="견적서갑지"/>
      <sheetName val="공문"/>
      <sheetName val="환율전망"/>
      <sheetName val="(실사조정)총괄"/>
      <sheetName val="CONCRETE"/>
      <sheetName val="집계표"/>
      <sheetName val="일위대가 집계표"/>
      <sheetName val="검수고1-1층"/>
      <sheetName val="MEXICO-C"/>
      <sheetName val="갑지(추정)"/>
      <sheetName val="동해title"/>
      <sheetName val="Hauptdaten"/>
      <sheetName val="DJ1"/>
      <sheetName val="조명시설"/>
      <sheetName val="OUTICOLPIP"/>
      <sheetName val="Tech."/>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S"/>
      <sheetName val="Headers"/>
      <sheetName val="FT"/>
      <sheetName val="Casing"/>
      <sheetName val="Provisory Structure"/>
      <sheetName val="Frames"/>
      <sheetName val="Transport"/>
      <sheetName val="Planning"/>
      <sheetName val="Frais annexes"/>
      <sheetName val="Heures"/>
      <sheetName val="SUM UP"/>
      <sheetName val="TAUX"/>
      <sheetName val="DEFA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5.) Time Delays"/>
      <sheetName val="Inert Ball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Page 1"/>
      <sheetName val="T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IST (3)"/>
      <sheetName val="PLIST 2"/>
      <sheetName val="PHULUC1"/>
      <sheetName val="PHULUC1 (2)"/>
      <sheetName val="PLDT1 (2)"/>
      <sheetName val="P.LUC TGTT1"/>
      <sheetName val="P.LUC TGTT (2)"/>
      <sheetName val="TKDT"/>
      <sheetName val="PLDT"/>
      <sheetName val="TKSXXK"/>
      <sheetName val="PLXXK"/>
      <sheetName val="tkkd"/>
      <sheetName val="PLUCKD"/>
      <sheetName val="PLKD"/>
      <sheetName val="HDONG"/>
      <sheetName val="HDONG 1"/>
      <sheetName val="HD T.VIET"/>
      <sheetName val="HD.TVIET1"/>
      <sheetName val="INVOICE"/>
      <sheetName val="INVOICE 2"/>
      <sheetName val="DCK"/>
      <sheetName val="00000000"/>
      <sheetName val="10000000"/>
      <sheetName val="20000000"/>
      <sheetName val="00000001"/>
      <sheetName val="0000000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9">
          <cell r="C9" t="b">
            <v>1</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지입자재"/>
      <sheetName val="PIPE위치집계"/>
      <sheetName val="보호철판 집계표"/>
      <sheetName val="랜드마크 집계표"/>
      <sheetName val="프로텍터 집계표"/>
      <sheetName val="프로텍터 시공현황"/>
      <sheetName val="프로텍터 차선별 집계표"/>
      <sheetName val="ROLLER,SMOOTHER 집계표"/>
      <sheetName val="ROLLER,SMOOTHER 설치현황"/>
      <sheetName val="95신규호표"/>
      <sheetName val="VS배관내역서"/>
      <sheetName val="Factor"/>
      <sheetName val="Joints"/>
      <sheetName val="ASME B 36.10 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erSplit"/>
      <sheetName val="Organic Scav"/>
      <sheetName val="Air consumption"/>
      <sheetName val="Power consump"/>
      <sheetName val="Chem consump"/>
      <sheetName val="Co-current"/>
      <sheetName val="DMFHoriz"/>
      <sheetName val="DMFVert"/>
      <sheetName val="Counter "/>
      <sheetName val="Pipe Sizing"/>
      <sheetName val="RO Cleaning"/>
      <sheetName val="UPCORE"/>
      <sheetName val="MixBed"/>
      <sheetName val="Analy"/>
      <sheetName val="CondPol"/>
      <sheetName val="Sheet1"/>
      <sheetName val="CaCO3 Conversion"/>
      <sheetName val="Storage Tank"/>
      <sheetName val="ACF"/>
      <sheetName val="Clarifier"/>
      <sheetName val="Sheet23"/>
      <sheetName val="pHadj"/>
      <sheetName val="Degasif"/>
      <sheetName val="Filter Press"/>
      <sheetName val="Dosing"/>
      <sheetName val="Neutralization"/>
      <sheetName val="Greensand"/>
      <sheetName val="Soft Exchanger"/>
      <sheetName val="DB_ET200(R. A)"/>
      <sheetName val="VS배관내역서"/>
      <sheetName val="w't table"/>
      <sheetName val="ASME B 36.10 M"/>
      <sheetName val="DESIGN57"/>
      <sheetName val="steam table"/>
      <sheetName val="DCS"/>
      <sheetName val="ANALYSER"/>
      <sheetName val="Testing"/>
      <sheetName val="eq_data"/>
      <sheetName val="BLR 1"/>
      <sheetName val="GEN"/>
      <sheetName val="GAS"/>
      <sheetName val="DEAE"/>
      <sheetName val="BLR2"/>
      <sheetName val="BLR3"/>
      <sheetName val="BLR4"/>
      <sheetName val="BLR5"/>
      <sheetName val="DEM"/>
      <sheetName val="SAM"/>
      <sheetName val="CHEM"/>
      <sheetName val="COP"/>
      <sheetName val="BM"/>
      <sheetName val="Organic_Scav1"/>
      <sheetName val="Air_consumption1"/>
      <sheetName val="Power_consump1"/>
      <sheetName val="Chem_consump1"/>
      <sheetName val="Counter_1"/>
      <sheetName val="Pipe_Sizing1"/>
      <sheetName val="RO_Cleaning1"/>
      <sheetName val="CaCO3_Conversion1"/>
      <sheetName val="Storage_Tank1"/>
      <sheetName val="Filter_Press1"/>
      <sheetName val="Soft_Exchanger1"/>
      <sheetName val="DB_ET200(R__A)1"/>
      <sheetName val="ASME_B_36_10_M"/>
      <sheetName val="Organic_Scav"/>
      <sheetName val="Air_consumption"/>
      <sheetName val="Power_consump"/>
      <sheetName val="Chem_consump"/>
      <sheetName val="Counter_"/>
      <sheetName val="Pipe_Sizing"/>
      <sheetName val="RO_Cleaning"/>
      <sheetName val="CaCO3_Conversion"/>
      <sheetName val="Storage_Tank"/>
      <sheetName val="Filter_Press"/>
      <sheetName val="Soft_Exchanger"/>
      <sheetName val="DB_ET200(R__A)"/>
      <sheetName val="갑지1"/>
      <sheetName val="MOTOR"/>
      <sheetName val="내역"/>
      <sheetName val="F-302"/>
      <sheetName val="F301.303"/>
      <sheetName val="Fuel Oil"/>
      <sheetName val="Analisa Gabungan"/>
      <sheetName val="Sub"/>
      <sheetName val="Settings"/>
      <sheetName val="현장관리비"/>
      <sheetName val="실행내역"/>
      <sheetName val="basis"/>
      <sheetName val="DATA"/>
      <sheetName val="내역서을지"/>
      <sheetName val="Organic_Scav2"/>
      <sheetName val="Air_consumption2"/>
      <sheetName val="Power_consump2"/>
      <sheetName val="Chem_consump2"/>
      <sheetName val="Counter_2"/>
      <sheetName val="Pipe_Sizing2"/>
      <sheetName val="RO_Cleaning2"/>
      <sheetName val="CaCO3_Conversion2"/>
      <sheetName val="Storage_Tank2"/>
      <sheetName val="Filter_Press2"/>
      <sheetName val="Soft_Exchanger2"/>
      <sheetName val="DB_ET200(R__A)2"/>
      <sheetName val="ASME_B_36_10_M1"/>
      <sheetName val="환율표"/>
      <sheetName val="Factor"/>
      <sheetName val="Proposal"/>
      <sheetName val="당초"/>
      <sheetName val="NYS"/>
      <sheetName val="DATE"/>
      <sheetName val="12CGOU"/>
      <sheetName val="REDUC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Joints"/>
      <sheetName val="CondPol"/>
      <sheetName val="VS배관내역서"/>
      <sheetName val="w't table"/>
      <sheetName val="Factor"/>
      <sheetName val="A"/>
      <sheetName val="P-산#1-1(WOWA1)"/>
      <sheetName val="SS2"/>
      <sheetName val="ASCEandUBC"/>
      <sheetName val="BSD (2)"/>
      <sheetName val="대치판정"/>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COLPIP"/>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DON VI"/>
      <sheetName val="KIEMTRA"/>
      <sheetName val="NHAP"/>
      <sheetName val="XUAT"/>
      <sheetName val="HD"/>
      <sheetName val="BCTuan"/>
      <sheetName val="BC45"/>
      <sheetName val="KHO1"/>
      <sheetName val="KHO5"/>
      <sheetName val="KHO5 (2)"/>
      <sheetName val="KHO6"/>
      <sheetName val="KHO8"/>
      <sheetName val="KHO9"/>
      <sheetName val="KHO10"/>
      <sheetName val="AR"/>
      <sheetName val="ED"/>
      <sheetName val="FI"/>
      <sheetName val="SU"/>
      <sheetName val="VO"/>
      <sheetName val="Sheet1"/>
    </sheetNames>
    <sheetDataSet>
      <sheetData sheetId="0" refreshError="1"/>
      <sheetData sheetId="1" refreshError="1"/>
      <sheetData sheetId="2">
        <row r="6">
          <cell r="D6">
            <v>6</v>
          </cell>
          <cell r="E6">
            <v>37973</v>
          </cell>
          <cell r="F6">
            <v>1</v>
          </cell>
          <cell r="G6">
            <v>729</v>
          </cell>
          <cell r="H6" t="str">
            <v>CSP00384</v>
          </cell>
          <cell r="I6" t="str">
            <v>R1</v>
          </cell>
          <cell r="J6" t="str">
            <v>AR</v>
          </cell>
          <cell r="K6">
            <v>37966</v>
          </cell>
          <cell r="L6">
            <v>120</v>
          </cell>
          <cell r="M6">
            <v>1920</v>
          </cell>
          <cell r="N6">
            <v>114.965</v>
          </cell>
        </row>
        <row r="7">
          <cell r="D7">
            <v>2</v>
          </cell>
          <cell r="E7">
            <v>37972</v>
          </cell>
          <cell r="F7">
            <v>1</v>
          </cell>
          <cell r="G7">
            <v>728</v>
          </cell>
          <cell r="H7" t="str">
            <v>CSP00479</v>
          </cell>
          <cell r="I7" t="str">
            <v>R2</v>
          </cell>
          <cell r="J7" t="str">
            <v>AR</v>
          </cell>
          <cell r="K7">
            <v>37966</v>
          </cell>
          <cell r="L7">
            <v>119</v>
          </cell>
          <cell r="M7">
            <v>1920</v>
          </cell>
          <cell r="N7">
            <v>115.19</v>
          </cell>
        </row>
        <row r="8">
          <cell r="D8">
            <v>1</v>
          </cell>
          <cell r="E8">
            <v>37972</v>
          </cell>
          <cell r="F8">
            <v>1</v>
          </cell>
          <cell r="G8">
            <v>720</v>
          </cell>
          <cell r="H8" t="str">
            <v>CSP00432</v>
          </cell>
          <cell r="I8" t="str">
            <v>R2</v>
          </cell>
          <cell r="J8" t="str">
            <v>AR</v>
          </cell>
          <cell r="K8">
            <v>37966</v>
          </cell>
          <cell r="L8">
            <v>117</v>
          </cell>
          <cell r="M8">
            <v>1920</v>
          </cell>
          <cell r="N8">
            <v>115.14</v>
          </cell>
        </row>
        <row r="9">
          <cell r="D9">
            <v>4</v>
          </cell>
          <cell r="E9">
            <v>37972</v>
          </cell>
          <cell r="F9">
            <v>1</v>
          </cell>
          <cell r="G9">
            <v>727</v>
          </cell>
          <cell r="H9" t="str">
            <v>CSP00447</v>
          </cell>
          <cell r="I9" t="str">
            <v>R2</v>
          </cell>
          <cell r="J9" t="str">
            <v>AR</v>
          </cell>
          <cell r="K9">
            <v>37967</v>
          </cell>
          <cell r="L9">
            <v>118</v>
          </cell>
          <cell r="M9">
            <v>3840</v>
          </cell>
          <cell r="N9">
            <v>230.06100000000001</v>
          </cell>
        </row>
        <row r="10">
          <cell r="D10">
            <v>3</v>
          </cell>
          <cell r="E10">
            <v>37972</v>
          </cell>
          <cell r="F10">
            <v>1</v>
          </cell>
          <cell r="G10">
            <v>732</v>
          </cell>
          <cell r="H10" t="str">
            <v>CSP00509</v>
          </cell>
          <cell r="I10" t="str">
            <v>R2</v>
          </cell>
          <cell r="J10" t="str">
            <v>AR</v>
          </cell>
          <cell r="K10">
            <v>37967</v>
          </cell>
          <cell r="L10">
            <v>122</v>
          </cell>
          <cell r="M10">
            <v>1920</v>
          </cell>
          <cell r="N10">
            <v>115.111</v>
          </cell>
        </row>
        <row r="11">
          <cell r="D11">
            <v>11</v>
          </cell>
          <cell r="E11">
            <v>37975</v>
          </cell>
          <cell r="F11">
            <v>1</v>
          </cell>
          <cell r="G11">
            <v>738</v>
          </cell>
          <cell r="H11" t="str">
            <v>CSP00507</v>
          </cell>
          <cell r="I11" t="str">
            <v>R1</v>
          </cell>
          <cell r="J11" t="str">
            <v>AR</v>
          </cell>
          <cell r="K11">
            <v>37970</v>
          </cell>
          <cell r="L11">
            <v>126</v>
          </cell>
          <cell r="M11">
            <v>1920</v>
          </cell>
          <cell r="N11">
            <v>115.146</v>
          </cell>
        </row>
        <row r="12">
          <cell r="D12">
            <v>16</v>
          </cell>
          <cell r="E12">
            <v>37981</v>
          </cell>
          <cell r="F12">
            <v>1</v>
          </cell>
          <cell r="G12">
            <v>735</v>
          </cell>
          <cell r="H12" t="str">
            <v>CSP00492</v>
          </cell>
          <cell r="I12" t="str">
            <v>R1</v>
          </cell>
          <cell r="J12" t="str">
            <v>AR</v>
          </cell>
          <cell r="K12">
            <v>37970</v>
          </cell>
          <cell r="L12">
            <v>125</v>
          </cell>
          <cell r="M12">
            <v>3840</v>
          </cell>
          <cell r="N12">
            <v>229.928</v>
          </cell>
        </row>
        <row r="13">
          <cell r="D13">
            <v>8</v>
          </cell>
          <cell r="E13">
            <v>37973</v>
          </cell>
          <cell r="F13">
            <v>1</v>
          </cell>
          <cell r="G13">
            <v>733</v>
          </cell>
          <cell r="H13" t="str">
            <v>CSP00491</v>
          </cell>
          <cell r="I13" t="str">
            <v>R2</v>
          </cell>
          <cell r="J13" t="str">
            <v>AR</v>
          </cell>
          <cell r="K13">
            <v>37970</v>
          </cell>
          <cell r="L13">
            <v>123</v>
          </cell>
          <cell r="M13">
            <v>3840</v>
          </cell>
          <cell r="N13">
            <v>230.191</v>
          </cell>
        </row>
        <row r="14">
          <cell r="D14">
            <v>9</v>
          </cell>
          <cell r="E14">
            <v>37977</v>
          </cell>
          <cell r="F14">
            <v>1</v>
          </cell>
          <cell r="G14">
            <v>734</v>
          </cell>
          <cell r="H14" t="str">
            <v>CSP00501</v>
          </cell>
          <cell r="I14" t="str">
            <v>R2</v>
          </cell>
          <cell r="J14" t="str">
            <v>AR</v>
          </cell>
          <cell r="K14">
            <v>37970</v>
          </cell>
          <cell r="L14">
            <v>124</v>
          </cell>
          <cell r="M14">
            <v>3840</v>
          </cell>
          <cell r="N14">
            <v>230.14099999999999</v>
          </cell>
        </row>
        <row r="15">
          <cell r="D15">
            <v>5</v>
          </cell>
          <cell r="E15">
            <v>37971</v>
          </cell>
          <cell r="F15">
            <v>1</v>
          </cell>
          <cell r="G15">
            <v>741</v>
          </cell>
          <cell r="H15" t="str">
            <v>CSP00508</v>
          </cell>
          <cell r="I15" t="str">
            <v>R2</v>
          </cell>
          <cell r="J15" t="str">
            <v>AR</v>
          </cell>
          <cell r="K15">
            <v>37971</v>
          </cell>
          <cell r="L15">
            <v>128</v>
          </cell>
          <cell r="M15">
            <v>3200</v>
          </cell>
          <cell r="N15">
            <v>191.68199999999999</v>
          </cell>
        </row>
        <row r="16">
          <cell r="D16">
            <v>18</v>
          </cell>
          <cell r="E16">
            <v>37984</v>
          </cell>
          <cell r="F16">
            <v>1</v>
          </cell>
          <cell r="G16">
            <v>746</v>
          </cell>
          <cell r="H16" t="str">
            <v>P8816</v>
          </cell>
          <cell r="I16" t="str">
            <v>R1</v>
          </cell>
          <cell r="J16" t="str">
            <v>FI</v>
          </cell>
          <cell r="K16">
            <v>37972</v>
          </cell>
          <cell r="L16">
            <v>132</v>
          </cell>
          <cell r="M16">
            <v>1860</v>
          </cell>
          <cell r="N16">
            <v>111.545</v>
          </cell>
        </row>
        <row r="17">
          <cell r="D17">
            <v>7</v>
          </cell>
          <cell r="E17">
            <v>37973</v>
          </cell>
          <cell r="F17">
            <v>1</v>
          </cell>
          <cell r="G17">
            <v>745</v>
          </cell>
          <cell r="H17" t="str">
            <v>P8815</v>
          </cell>
          <cell r="I17" t="str">
            <v>R1</v>
          </cell>
          <cell r="J17" t="str">
            <v>FI</v>
          </cell>
          <cell r="K17">
            <v>37972</v>
          </cell>
          <cell r="L17">
            <v>131</v>
          </cell>
          <cell r="M17">
            <v>1860</v>
          </cell>
          <cell r="N17">
            <v>111.05800000000001</v>
          </cell>
        </row>
        <row r="18">
          <cell r="D18">
            <v>10</v>
          </cell>
          <cell r="E18">
            <v>37975</v>
          </cell>
          <cell r="F18">
            <v>1</v>
          </cell>
          <cell r="G18">
            <v>749</v>
          </cell>
          <cell r="H18" t="str">
            <v>CSP00511</v>
          </cell>
          <cell r="I18" t="str">
            <v>R2</v>
          </cell>
          <cell r="J18" t="str">
            <v>AR</v>
          </cell>
          <cell r="K18">
            <v>37973</v>
          </cell>
          <cell r="L18">
            <v>133</v>
          </cell>
          <cell r="M18">
            <v>3200</v>
          </cell>
          <cell r="N18">
            <v>191.78800000000001</v>
          </cell>
        </row>
        <row r="19">
          <cell r="D19">
            <v>12</v>
          </cell>
          <cell r="E19">
            <v>37977</v>
          </cell>
          <cell r="F19">
            <v>1</v>
          </cell>
          <cell r="G19">
            <v>755</v>
          </cell>
          <cell r="H19" t="str">
            <v>CSP00382</v>
          </cell>
          <cell r="I19" t="str">
            <v>R2</v>
          </cell>
          <cell r="J19" t="str">
            <v>AR</v>
          </cell>
          <cell r="K19">
            <v>37974</v>
          </cell>
          <cell r="L19">
            <v>135</v>
          </cell>
          <cell r="M19">
            <v>3840</v>
          </cell>
          <cell r="N19">
            <v>230.17099999999999</v>
          </cell>
        </row>
        <row r="20">
          <cell r="D20">
            <v>15</v>
          </cell>
          <cell r="E20">
            <v>37979</v>
          </cell>
          <cell r="F20">
            <v>1</v>
          </cell>
          <cell r="G20">
            <v>761</v>
          </cell>
          <cell r="H20" t="str">
            <v>CSP00379</v>
          </cell>
          <cell r="I20" t="str">
            <v>R2</v>
          </cell>
          <cell r="J20" t="str">
            <v>AR</v>
          </cell>
          <cell r="K20">
            <v>37977</v>
          </cell>
          <cell r="L20">
            <v>138</v>
          </cell>
          <cell r="M20">
            <v>1920</v>
          </cell>
          <cell r="N20">
            <v>115.167</v>
          </cell>
        </row>
        <row r="21">
          <cell r="D21">
            <v>13</v>
          </cell>
          <cell r="E21">
            <v>37978</v>
          </cell>
          <cell r="F21">
            <v>1</v>
          </cell>
          <cell r="G21">
            <v>763</v>
          </cell>
          <cell r="H21" t="str">
            <v>CSP00531</v>
          </cell>
          <cell r="I21" t="str">
            <v>R2</v>
          </cell>
          <cell r="J21" t="str">
            <v>AR</v>
          </cell>
          <cell r="K21">
            <v>37977</v>
          </cell>
          <cell r="L21">
            <v>140</v>
          </cell>
          <cell r="M21">
            <v>3200</v>
          </cell>
          <cell r="N21">
            <v>191.58099999999999</v>
          </cell>
        </row>
        <row r="22">
          <cell r="D22">
            <v>17</v>
          </cell>
          <cell r="E22">
            <v>37981</v>
          </cell>
          <cell r="F22">
            <v>1</v>
          </cell>
          <cell r="G22">
            <v>762</v>
          </cell>
          <cell r="H22" t="str">
            <v>CSP00529</v>
          </cell>
          <cell r="I22" t="str">
            <v>R2</v>
          </cell>
          <cell r="J22" t="str">
            <v>AR</v>
          </cell>
          <cell r="K22">
            <v>37977</v>
          </cell>
          <cell r="L22">
            <v>139</v>
          </cell>
          <cell r="M22">
            <v>3200</v>
          </cell>
          <cell r="N22">
            <v>191.73099999999999</v>
          </cell>
        </row>
        <row r="23">
          <cell r="D23">
            <v>19</v>
          </cell>
          <cell r="E23">
            <v>37985</v>
          </cell>
          <cell r="F23">
            <v>1</v>
          </cell>
          <cell r="G23">
            <v>764</v>
          </cell>
          <cell r="H23" t="str">
            <v>CSP00540</v>
          </cell>
          <cell r="I23" t="str">
            <v>R2</v>
          </cell>
          <cell r="J23" t="str">
            <v>AR</v>
          </cell>
          <cell r="K23">
            <v>37977</v>
          </cell>
          <cell r="L23">
            <v>141</v>
          </cell>
          <cell r="M23">
            <v>3200</v>
          </cell>
          <cell r="N23">
            <v>191.453</v>
          </cell>
        </row>
        <row r="24">
          <cell r="D24">
            <v>21</v>
          </cell>
          <cell r="E24">
            <v>37986</v>
          </cell>
          <cell r="F24">
            <v>8</v>
          </cell>
          <cell r="G24">
            <v>774</v>
          </cell>
          <cell r="H24" t="str">
            <v>CSP00541</v>
          </cell>
          <cell r="I24" t="str">
            <v>R2</v>
          </cell>
          <cell r="J24" t="str">
            <v>AR</v>
          </cell>
          <cell r="K24">
            <v>37977</v>
          </cell>
          <cell r="L24">
            <v>144</v>
          </cell>
          <cell r="M24">
            <v>3200</v>
          </cell>
          <cell r="N24">
            <v>191.863</v>
          </cell>
        </row>
        <row r="25">
          <cell r="D25">
            <v>22</v>
          </cell>
          <cell r="E25">
            <v>37988</v>
          </cell>
          <cell r="F25">
            <v>8</v>
          </cell>
          <cell r="G25">
            <v>773</v>
          </cell>
          <cell r="H25" t="str">
            <v>CSP00542</v>
          </cell>
          <cell r="I25" t="str">
            <v>R2</v>
          </cell>
          <cell r="J25" t="str">
            <v>AR</v>
          </cell>
          <cell r="K25">
            <v>37979</v>
          </cell>
          <cell r="L25">
            <v>143</v>
          </cell>
          <cell r="M25">
            <v>3200</v>
          </cell>
          <cell r="N25">
            <v>191.83699999999999</v>
          </cell>
        </row>
        <row r="26">
          <cell r="D26">
            <v>14</v>
          </cell>
          <cell r="E26">
            <v>37979</v>
          </cell>
          <cell r="F26">
            <v>1</v>
          </cell>
          <cell r="G26">
            <v>768</v>
          </cell>
          <cell r="H26" t="str">
            <v>CSP00488</v>
          </cell>
          <cell r="I26" t="str">
            <v>R1</v>
          </cell>
          <cell r="J26" t="str">
            <v>AR</v>
          </cell>
          <cell r="K26">
            <v>37978</v>
          </cell>
          <cell r="L26">
            <v>142</v>
          </cell>
          <cell r="M26">
            <v>3200</v>
          </cell>
          <cell r="N26">
            <v>191.84</v>
          </cell>
        </row>
        <row r="27">
          <cell r="D27">
            <v>20</v>
          </cell>
          <cell r="E27">
            <v>37986</v>
          </cell>
          <cell r="F27">
            <v>8</v>
          </cell>
          <cell r="G27">
            <v>776</v>
          </cell>
          <cell r="H27" t="str">
            <v>B021</v>
          </cell>
          <cell r="I27" t="str">
            <v>R1</v>
          </cell>
          <cell r="J27" t="str">
            <v>SU</v>
          </cell>
          <cell r="K27">
            <v>37978</v>
          </cell>
          <cell r="L27">
            <v>147</v>
          </cell>
          <cell r="M27">
            <v>3495</v>
          </cell>
          <cell r="N27">
            <v>206.18799999999999</v>
          </cell>
        </row>
        <row r="28">
          <cell r="D28">
            <v>37</v>
          </cell>
          <cell r="E28">
            <v>37981</v>
          </cell>
          <cell r="F28">
            <v>8</v>
          </cell>
          <cell r="G28">
            <v>777</v>
          </cell>
          <cell r="H28" t="str">
            <v>03-0411</v>
          </cell>
          <cell r="I28" t="str">
            <v>R2</v>
          </cell>
          <cell r="J28" t="str">
            <v>SU</v>
          </cell>
          <cell r="K28">
            <v>37979</v>
          </cell>
          <cell r="L28">
            <v>148</v>
          </cell>
          <cell r="M28">
            <v>5387</v>
          </cell>
          <cell r="N28">
            <v>322.97500000000002</v>
          </cell>
        </row>
        <row r="29">
          <cell r="D29">
            <v>23</v>
          </cell>
          <cell r="E29">
            <v>37989</v>
          </cell>
          <cell r="F29">
            <v>1</v>
          </cell>
          <cell r="G29">
            <v>794</v>
          </cell>
          <cell r="H29" t="str">
            <v>CSP00493</v>
          </cell>
          <cell r="I29" t="str">
            <v>R2</v>
          </cell>
          <cell r="J29" t="str">
            <v>AR</v>
          </cell>
          <cell r="K29">
            <v>37984</v>
          </cell>
          <cell r="L29">
            <v>151</v>
          </cell>
          <cell r="M29">
            <v>1920</v>
          </cell>
          <cell r="N29">
            <v>115.072</v>
          </cell>
        </row>
        <row r="30">
          <cell r="D30">
            <v>24</v>
          </cell>
          <cell r="E30">
            <v>37992</v>
          </cell>
          <cell r="F30">
            <v>8</v>
          </cell>
          <cell r="G30">
            <v>2</v>
          </cell>
          <cell r="H30" t="str">
            <v>CSP00494</v>
          </cell>
          <cell r="I30" t="str">
            <v>R2</v>
          </cell>
          <cell r="J30" t="str">
            <v>AR</v>
          </cell>
          <cell r="K30">
            <v>37988</v>
          </cell>
          <cell r="L30">
            <v>2</v>
          </cell>
          <cell r="M30">
            <v>1920</v>
          </cell>
          <cell r="N30">
            <v>115.057</v>
          </cell>
        </row>
        <row r="31">
          <cell r="D31">
            <v>34</v>
          </cell>
          <cell r="E31">
            <v>37999</v>
          </cell>
          <cell r="F31">
            <v>8</v>
          </cell>
          <cell r="G31">
            <v>8</v>
          </cell>
          <cell r="H31" t="str">
            <v>CSP00504</v>
          </cell>
          <cell r="I31" t="str">
            <v>R1</v>
          </cell>
          <cell r="J31" t="str">
            <v>AR</v>
          </cell>
          <cell r="K31">
            <v>37991</v>
          </cell>
          <cell r="L31">
            <v>3</v>
          </cell>
          <cell r="M31">
            <v>3200</v>
          </cell>
          <cell r="N31">
            <v>191.684</v>
          </cell>
        </row>
        <row r="32">
          <cell r="D32">
            <v>32</v>
          </cell>
          <cell r="E32">
            <v>37998</v>
          </cell>
          <cell r="F32">
            <v>8</v>
          </cell>
          <cell r="G32">
            <v>9</v>
          </cell>
          <cell r="H32" t="str">
            <v>CSP00539</v>
          </cell>
          <cell r="I32" t="str">
            <v>R2</v>
          </cell>
          <cell r="J32" t="str">
            <v>AR</v>
          </cell>
          <cell r="K32">
            <v>37991</v>
          </cell>
          <cell r="L32">
            <v>4</v>
          </cell>
          <cell r="M32">
            <v>3840</v>
          </cell>
          <cell r="N32">
            <v>230.20099999999999</v>
          </cell>
        </row>
        <row r="33">
          <cell r="D33">
            <v>52</v>
          </cell>
          <cell r="E33">
            <v>38002</v>
          </cell>
          <cell r="F33">
            <v>8</v>
          </cell>
          <cell r="G33">
            <v>15</v>
          </cell>
          <cell r="H33" t="str">
            <v>CSP00498</v>
          </cell>
          <cell r="I33" t="str">
            <v>R1</v>
          </cell>
          <cell r="J33" t="str">
            <v>AR</v>
          </cell>
          <cell r="K33">
            <v>37991</v>
          </cell>
          <cell r="L33">
            <v>7</v>
          </cell>
          <cell r="M33">
            <v>1920</v>
          </cell>
          <cell r="N33">
            <v>115.133</v>
          </cell>
        </row>
        <row r="34">
          <cell r="D34">
            <v>27</v>
          </cell>
          <cell r="E34">
            <v>37995</v>
          </cell>
          <cell r="F34">
            <v>8</v>
          </cell>
          <cell r="G34">
            <v>21</v>
          </cell>
          <cell r="H34" t="str">
            <v>CSP00484</v>
          </cell>
          <cell r="I34" t="str">
            <v>R2</v>
          </cell>
          <cell r="J34" t="str">
            <v>AR</v>
          </cell>
          <cell r="K34">
            <v>37992</v>
          </cell>
          <cell r="L34">
            <v>8</v>
          </cell>
          <cell r="M34">
            <v>1920</v>
          </cell>
          <cell r="N34">
            <v>115.075</v>
          </cell>
        </row>
        <row r="35">
          <cell r="D35">
            <v>25</v>
          </cell>
          <cell r="E35">
            <v>37994</v>
          </cell>
          <cell r="F35">
            <v>8</v>
          </cell>
          <cell r="G35">
            <v>25</v>
          </cell>
          <cell r="H35" t="str">
            <v>CSP00502</v>
          </cell>
          <cell r="I35" t="str">
            <v>R1</v>
          </cell>
          <cell r="J35" t="str">
            <v>AR</v>
          </cell>
          <cell r="K35">
            <v>37992</v>
          </cell>
          <cell r="L35">
            <v>11</v>
          </cell>
          <cell r="M35">
            <v>1920</v>
          </cell>
          <cell r="N35">
            <v>115.033</v>
          </cell>
        </row>
        <row r="36">
          <cell r="D36">
            <v>45</v>
          </cell>
          <cell r="E36">
            <v>38002</v>
          </cell>
          <cell r="F36">
            <v>8</v>
          </cell>
          <cell r="G36">
            <v>24</v>
          </cell>
          <cell r="H36" t="str">
            <v>CSP00522</v>
          </cell>
          <cell r="I36" t="str">
            <v>R2</v>
          </cell>
          <cell r="J36" t="str">
            <v>AR</v>
          </cell>
          <cell r="K36">
            <v>37992</v>
          </cell>
          <cell r="L36">
            <v>10</v>
          </cell>
          <cell r="M36">
            <v>1920</v>
          </cell>
          <cell r="N36">
            <v>115.06399999999999</v>
          </cell>
        </row>
        <row r="37">
          <cell r="D37">
            <v>42</v>
          </cell>
          <cell r="E37">
            <v>38001</v>
          </cell>
          <cell r="F37">
            <v>8</v>
          </cell>
          <cell r="G37">
            <v>23</v>
          </cell>
          <cell r="H37" t="str">
            <v>CSP00489</v>
          </cell>
          <cell r="I37" t="str">
            <v>R1</v>
          </cell>
          <cell r="J37" t="str">
            <v>AR</v>
          </cell>
          <cell r="K37">
            <v>37992</v>
          </cell>
          <cell r="L37">
            <v>9</v>
          </cell>
          <cell r="M37">
            <v>3200</v>
          </cell>
          <cell r="N37">
            <v>191.72800000000001</v>
          </cell>
        </row>
        <row r="38">
          <cell r="D38">
            <v>38</v>
          </cell>
          <cell r="E38">
            <v>38000</v>
          </cell>
          <cell r="F38">
            <v>8</v>
          </cell>
          <cell r="G38">
            <v>27</v>
          </cell>
          <cell r="H38" t="str">
            <v>CSP00506</v>
          </cell>
          <cell r="I38" t="str">
            <v>R2</v>
          </cell>
          <cell r="J38" t="str">
            <v>AR</v>
          </cell>
          <cell r="K38">
            <v>37992</v>
          </cell>
          <cell r="L38">
            <v>13</v>
          </cell>
          <cell r="M38">
            <v>3840</v>
          </cell>
          <cell r="N38">
            <v>230.09800000000001</v>
          </cell>
        </row>
        <row r="39">
          <cell r="D39">
            <v>30</v>
          </cell>
          <cell r="E39">
            <v>37998</v>
          </cell>
          <cell r="F39">
            <v>8</v>
          </cell>
          <cell r="G39">
            <v>26</v>
          </cell>
          <cell r="H39" t="str">
            <v>CSP00523</v>
          </cell>
          <cell r="I39" t="str">
            <v>R1</v>
          </cell>
          <cell r="J39" t="str">
            <v>AR</v>
          </cell>
          <cell r="K39">
            <v>37992</v>
          </cell>
          <cell r="L39">
            <v>12</v>
          </cell>
          <cell r="M39">
            <v>1920</v>
          </cell>
          <cell r="N39">
            <v>115.095</v>
          </cell>
        </row>
        <row r="40">
          <cell r="D40">
            <v>28</v>
          </cell>
          <cell r="E40">
            <v>37995</v>
          </cell>
          <cell r="F40">
            <v>8</v>
          </cell>
          <cell r="G40">
            <v>30</v>
          </cell>
          <cell r="H40" t="str">
            <v>CSP00503</v>
          </cell>
          <cell r="I40" t="str">
            <v>R2</v>
          </cell>
          <cell r="J40" t="str">
            <v>AR</v>
          </cell>
          <cell r="K40">
            <v>37993</v>
          </cell>
          <cell r="L40">
            <v>14</v>
          </cell>
          <cell r="M40">
            <v>1920</v>
          </cell>
          <cell r="N40">
            <v>115.136</v>
          </cell>
        </row>
        <row r="41">
          <cell r="D41">
            <v>47</v>
          </cell>
          <cell r="E41">
            <v>38002</v>
          </cell>
          <cell r="F41">
            <v>8</v>
          </cell>
          <cell r="G41">
            <v>31</v>
          </cell>
          <cell r="H41" t="str">
            <v>CSP00505</v>
          </cell>
          <cell r="I41" t="str">
            <v>R2</v>
          </cell>
          <cell r="J41" t="str">
            <v>AR</v>
          </cell>
          <cell r="K41">
            <v>37993</v>
          </cell>
          <cell r="L41">
            <v>15</v>
          </cell>
          <cell r="M41">
            <v>1920</v>
          </cell>
          <cell r="N41">
            <v>115.071</v>
          </cell>
        </row>
        <row r="42">
          <cell r="D42">
            <v>26</v>
          </cell>
          <cell r="E42">
            <v>37995</v>
          </cell>
          <cell r="F42">
            <v>8</v>
          </cell>
          <cell r="G42">
            <v>34</v>
          </cell>
          <cell r="H42" t="str">
            <v>04-0432</v>
          </cell>
          <cell r="I42" t="str">
            <v>R2</v>
          </cell>
          <cell r="J42" t="str">
            <v>SU</v>
          </cell>
          <cell r="K42">
            <v>37993</v>
          </cell>
          <cell r="L42">
            <v>18</v>
          </cell>
          <cell r="M42">
            <v>1920</v>
          </cell>
          <cell r="N42">
            <v>115.05200000000001</v>
          </cell>
        </row>
        <row r="43">
          <cell r="D43">
            <v>29</v>
          </cell>
          <cell r="E43">
            <v>37995</v>
          </cell>
          <cell r="F43">
            <v>8</v>
          </cell>
          <cell r="G43">
            <v>38</v>
          </cell>
          <cell r="H43" t="str">
            <v>04-0433</v>
          </cell>
          <cell r="I43" t="str">
            <v>R2</v>
          </cell>
          <cell r="J43" t="str">
            <v>SU</v>
          </cell>
          <cell r="K43">
            <v>37994</v>
          </cell>
          <cell r="L43">
            <v>21</v>
          </cell>
          <cell r="M43">
            <v>1320</v>
          </cell>
          <cell r="N43">
            <v>79.061999999999998</v>
          </cell>
        </row>
        <row r="44">
          <cell r="D44">
            <v>31</v>
          </cell>
          <cell r="E44">
            <v>37998</v>
          </cell>
          <cell r="F44">
            <v>8</v>
          </cell>
          <cell r="G44">
            <v>49</v>
          </cell>
          <cell r="H44" t="str">
            <v>04-0435</v>
          </cell>
          <cell r="I44" t="str">
            <v>R2</v>
          </cell>
          <cell r="J44" t="str">
            <v>SU</v>
          </cell>
          <cell r="K44">
            <v>37995</v>
          </cell>
          <cell r="L44">
            <v>23</v>
          </cell>
          <cell r="M44">
            <v>1040</v>
          </cell>
          <cell r="N44">
            <v>62.343000000000004</v>
          </cell>
        </row>
        <row r="45">
          <cell r="D45">
            <v>59</v>
          </cell>
          <cell r="E45">
            <v>38006</v>
          </cell>
          <cell r="F45">
            <v>8</v>
          </cell>
          <cell r="G45">
            <v>53</v>
          </cell>
          <cell r="H45" t="str">
            <v>04-0434</v>
          </cell>
          <cell r="I45" t="str">
            <v>R2</v>
          </cell>
          <cell r="J45" t="str">
            <v>SU</v>
          </cell>
          <cell r="K45">
            <v>37995</v>
          </cell>
          <cell r="L45">
            <v>26</v>
          </cell>
          <cell r="M45">
            <v>3840</v>
          </cell>
          <cell r="N45">
            <v>230.09899999999999</v>
          </cell>
        </row>
        <row r="46">
          <cell r="D46">
            <v>33</v>
          </cell>
          <cell r="E46">
            <v>37999</v>
          </cell>
          <cell r="F46">
            <v>8</v>
          </cell>
          <cell r="G46">
            <v>54</v>
          </cell>
          <cell r="H46" t="str">
            <v>P8890</v>
          </cell>
          <cell r="I46" t="str">
            <v>R2</v>
          </cell>
          <cell r="J46" t="str">
            <v>FI</v>
          </cell>
          <cell r="K46">
            <v>37995</v>
          </cell>
          <cell r="L46">
            <v>27</v>
          </cell>
          <cell r="M46">
            <v>1920</v>
          </cell>
          <cell r="N46">
            <v>114.85299999999999</v>
          </cell>
        </row>
        <row r="47">
          <cell r="D47">
            <v>46</v>
          </cell>
          <cell r="E47">
            <v>38002</v>
          </cell>
          <cell r="F47">
            <v>8</v>
          </cell>
          <cell r="G47">
            <v>57</v>
          </cell>
          <cell r="H47" t="str">
            <v>CSP00557</v>
          </cell>
          <cell r="I47" t="str">
            <v>R2</v>
          </cell>
          <cell r="J47" t="str">
            <v>AR</v>
          </cell>
          <cell r="K47">
            <v>37995</v>
          </cell>
          <cell r="L47">
            <v>29</v>
          </cell>
          <cell r="M47">
            <v>1920</v>
          </cell>
          <cell r="N47">
            <v>115.056</v>
          </cell>
        </row>
        <row r="48">
          <cell r="D48">
            <v>36</v>
          </cell>
          <cell r="E48">
            <v>38000</v>
          </cell>
          <cell r="F48">
            <v>8</v>
          </cell>
          <cell r="G48">
            <v>56</v>
          </cell>
          <cell r="H48" t="str">
            <v>CSP00543</v>
          </cell>
          <cell r="I48" t="str">
            <v>R2</v>
          </cell>
          <cell r="J48" t="str">
            <v>AR</v>
          </cell>
          <cell r="K48">
            <v>37995</v>
          </cell>
          <cell r="L48">
            <v>28</v>
          </cell>
          <cell r="M48">
            <v>3200</v>
          </cell>
          <cell r="N48">
            <v>191.75</v>
          </cell>
        </row>
        <row r="49">
          <cell r="D49">
            <v>41</v>
          </cell>
          <cell r="E49">
            <v>38001</v>
          </cell>
          <cell r="F49">
            <v>8</v>
          </cell>
          <cell r="G49">
            <v>60</v>
          </cell>
          <cell r="H49" t="str">
            <v>CSP00570</v>
          </cell>
          <cell r="I49" t="str">
            <v>R1</v>
          </cell>
          <cell r="J49" t="str">
            <v>AR</v>
          </cell>
          <cell r="K49">
            <v>37995</v>
          </cell>
          <cell r="L49">
            <v>30</v>
          </cell>
          <cell r="M49">
            <v>3840</v>
          </cell>
          <cell r="N49">
            <v>230.29560000000001</v>
          </cell>
        </row>
        <row r="50">
          <cell r="D50">
            <v>40</v>
          </cell>
          <cell r="E50">
            <v>38001</v>
          </cell>
          <cell r="F50">
            <v>8</v>
          </cell>
          <cell r="G50">
            <v>66</v>
          </cell>
          <cell r="H50" t="str">
            <v>CSP00553</v>
          </cell>
          <cell r="I50" t="str">
            <v>R1</v>
          </cell>
          <cell r="J50" t="str">
            <v>AR</v>
          </cell>
          <cell r="K50">
            <v>37998</v>
          </cell>
          <cell r="L50">
            <v>33</v>
          </cell>
          <cell r="M50">
            <v>3840</v>
          </cell>
          <cell r="N50">
            <v>229.72</v>
          </cell>
        </row>
        <row r="51">
          <cell r="D51">
            <v>35</v>
          </cell>
          <cell r="E51">
            <v>37999</v>
          </cell>
          <cell r="F51">
            <v>8</v>
          </cell>
          <cell r="G51">
            <v>67</v>
          </cell>
          <cell r="H51" t="str">
            <v>CSP00571</v>
          </cell>
          <cell r="I51" t="str">
            <v>R2</v>
          </cell>
          <cell r="J51" t="str">
            <v>AR</v>
          </cell>
          <cell r="K51">
            <v>37998</v>
          </cell>
          <cell r="L51">
            <v>34</v>
          </cell>
          <cell r="M51">
            <v>1920</v>
          </cell>
          <cell r="N51">
            <v>115.0258</v>
          </cell>
        </row>
        <row r="52">
          <cell r="D52">
            <v>49</v>
          </cell>
          <cell r="E52">
            <v>38002</v>
          </cell>
          <cell r="F52">
            <v>8</v>
          </cell>
          <cell r="G52">
            <v>74</v>
          </cell>
          <cell r="H52" t="str">
            <v>CSP00500</v>
          </cell>
          <cell r="I52" t="str">
            <v>R1</v>
          </cell>
          <cell r="J52" t="str">
            <v>AR</v>
          </cell>
          <cell r="K52">
            <v>37998</v>
          </cell>
          <cell r="L52">
            <v>40</v>
          </cell>
          <cell r="M52">
            <v>1920</v>
          </cell>
          <cell r="N52">
            <v>114.916</v>
          </cell>
        </row>
        <row r="53">
          <cell r="D53">
            <v>44</v>
          </cell>
          <cell r="E53">
            <v>38002</v>
          </cell>
          <cell r="F53">
            <v>8</v>
          </cell>
          <cell r="G53">
            <v>73</v>
          </cell>
          <cell r="H53" t="str">
            <v>03-0418</v>
          </cell>
          <cell r="I53" t="str">
            <v>R2</v>
          </cell>
          <cell r="J53" t="str">
            <v>SU</v>
          </cell>
          <cell r="K53">
            <v>37998</v>
          </cell>
          <cell r="L53">
            <v>39</v>
          </cell>
          <cell r="M53">
            <v>1920</v>
          </cell>
          <cell r="N53">
            <v>115.146</v>
          </cell>
        </row>
        <row r="54">
          <cell r="D54">
            <v>50</v>
          </cell>
          <cell r="E54">
            <v>38002</v>
          </cell>
          <cell r="F54">
            <v>8</v>
          </cell>
          <cell r="G54">
            <v>82</v>
          </cell>
          <cell r="H54" t="str">
            <v>CSP00567</v>
          </cell>
          <cell r="I54" t="str">
            <v>R1</v>
          </cell>
          <cell r="J54" t="str">
            <v>AR</v>
          </cell>
          <cell r="K54">
            <v>37999</v>
          </cell>
          <cell r="L54">
            <v>41</v>
          </cell>
          <cell r="M54">
            <v>3840</v>
          </cell>
          <cell r="N54">
            <v>230.38</v>
          </cell>
        </row>
        <row r="55">
          <cell r="D55">
            <v>51</v>
          </cell>
          <cell r="E55">
            <v>38002</v>
          </cell>
          <cell r="F55">
            <v>8</v>
          </cell>
          <cell r="G55">
            <v>83</v>
          </cell>
          <cell r="H55" t="str">
            <v>CSP00556</v>
          </cell>
          <cell r="I55" t="str">
            <v>R2</v>
          </cell>
          <cell r="J55" t="str">
            <v>AR</v>
          </cell>
          <cell r="K55">
            <v>37999</v>
          </cell>
          <cell r="L55">
            <v>42</v>
          </cell>
          <cell r="M55">
            <v>3840</v>
          </cell>
          <cell r="N55">
            <v>230.12899999999999</v>
          </cell>
        </row>
        <row r="56">
          <cell r="D56">
            <v>39</v>
          </cell>
          <cell r="E56">
            <v>38000</v>
          </cell>
          <cell r="F56">
            <v>8</v>
          </cell>
          <cell r="G56">
            <v>86</v>
          </cell>
          <cell r="H56" t="str">
            <v>CSP00564</v>
          </cell>
          <cell r="I56" t="str">
            <v>R1</v>
          </cell>
          <cell r="J56" t="str">
            <v>AR</v>
          </cell>
          <cell r="K56">
            <v>37999</v>
          </cell>
          <cell r="L56">
            <v>44</v>
          </cell>
          <cell r="M56">
            <v>1920</v>
          </cell>
          <cell r="N56">
            <v>115.069</v>
          </cell>
        </row>
        <row r="57">
          <cell r="D57">
            <v>63</v>
          </cell>
          <cell r="E57">
            <v>38017</v>
          </cell>
          <cell r="F57">
            <v>8</v>
          </cell>
          <cell r="G57">
            <v>102</v>
          </cell>
          <cell r="H57" t="str">
            <v>CSP00587</v>
          </cell>
          <cell r="I57" t="str">
            <v>R1</v>
          </cell>
          <cell r="J57" t="str">
            <v>AR</v>
          </cell>
          <cell r="K57">
            <v>38001</v>
          </cell>
          <cell r="L57">
            <v>52</v>
          </cell>
          <cell r="M57">
            <v>1920</v>
          </cell>
          <cell r="N57">
            <v>114.819</v>
          </cell>
        </row>
        <row r="58">
          <cell r="D58">
            <v>62</v>
          </cell>
          <cell r="E58">
            <v>38016</v>
          </cell>
          <cell r="F58">
            <v>8</v>
          </cell>
          <cell r="G58">
            <v>101</v>
          </cell>
          <cell r="H58" t="str">
            <v>CSP00586</v>
          </cell>
          <cell r="I58" t="str">
            <v>R2</v>
          </cell>
          <cell r="J58" t="str">
            <v>AR</v>
          </cell>
          <cell r="K58">
            <v>38001</v>
          </cell>
          <cell r="L58">
            <v>50</v>
          </cell>
          <cell r="M58">
            <v>1920</v>
          </cell>
          <cell r="N58">
            <v>115.11499999999999</v>
          </cell>
        </row>
        <row r="59">
          <cell r="D59">
            <v>48</v>
          </cell>
          <cell r="E59">
            <v>38002</v>
          </cell>
          <cell r="F59">
            <v>8</v>
          </cell>
          <cell r="G59">
            <v>98</v>
          </cell>
          <cell r="H59" t="str">
            <v>CSP00527</v>
          </cell>
          <cell r="I59" t="str">
            <v>R2</v>
          </cell>
          <cell r="J59" t="str">
            <v>AR</v>
          </cell>
          <cell r="K59">
            <v>38001</v>
          </cell>
          <cell r="L59">
            <v>48</v>
          </cell>
          <cell r="M59">
            <v>3840</v>
          </cell>
          <cell r="N59">
            <v>230.066</v>
          </cell>
        </row>
        <row r="60">
          <cell r="D60">
            <v>43</v>
          </cell>
          <cell r="E60">
            <v>38002</v>
          </cell>
          <cell r="F60">
            <v>8</v>
          </cell>
          <cell r="G60">
            <v>88</v>
          </cell>
          <cell r="H60" t="str">
            <v>04-0456</v>
          </cell>
          <cell r="I60" t="str">
            <v>R2</v>
          </cell>
          <cell r="J60" t="str">
            <v>SU</v>
          </cell>
          <cell r="K60">
            <v>38001</v>
          </cell>
          <cell r="L60">
            <v>46</v>
          </cell>
          <cell r="M60">
            <v>1920</v>
          </cell>
          <cell r="N60">
            <v>114.98699999999999</v>
          </cell>
        </row>
        <row r="61">
          <cell r="D61">
            <v>67</v>
          </cell>
          <cell r="E61">
            <v>38013</v>
          </cell>
          <cell r="F61">
            <v>8</v>
          </cell>
          <cell r="G61">
            <v>110</v>
          </cell>
          <cell r="H61" t="str">
            <v>CSP00499</v>
          </cell>
          <cell r="I61" t="str">
            <v>R2</v>
          </cell>
          <cell r="J61" t="str">
            <v>AR</v>
          </cell>
          <cell r="K61">
            <v>38002</v>
          </cell>
          <cell r="L61">
            <v>53</v>
          </cell>
          <cell r="M61">
            <v>1920</v>
          </cell>
          <cell r="N61">
            <v>115.045</v>
          </cell>
        </row>
        <row r="62">
          <cell r="D62">
            <v>54</v>
          </cell>
          <cell r="E62">
            <v>38015</v>
          </cell>
          <cell r="F62">
            <v>8</v>
          </cell>
          <cell r="G62">
            <v>128</v>
          </cell>
          <cell r="H62" t="str">
            <v>CSP00595</v>
          </cell>
          <cell r="I62" t="str">
            <v>R2</v>
          </cell>
          <cell r="J62" t="str">
            <v>AR</v>
          </cell>
          <cell r="K62">
            <v>38013</v>
          </cell>
          <cell r="L62">
            <v>56</v>
          </cell>
          <cell r="M62">
            <v>3840</v>
          </cell>
          <cell r="N62">
            <v>230.3563</v>
          </cell>
        </row>
        <row r="63">
          <cell r="D63">
            <v>53</v>
          </cell>
          <cell r="E63">
            <v>38015</v>
          </cell>
          <cell r="F63">
            <v>8</v>
          </cell>
          <cell r="G63">
            <v>130</v>
          </cell>
          <cell r="H63" t="str">
            <v>CSP00599</v>
          </cell>
          <cell r="I63" t="str">
            <v>R2</v>
          </cell>
          <cell r="J63" t="str">
            <v>AR</v>
          </cell>
          <cell r="K63">
            <v>38014</v>
          </cell>
          <cell r="L63">
            <v>60</v>
          </cell>
          <cell r="M63">
            <v>3840</v>
          </cell>
          <cell r="N63">
            <v>230.4</v>
          </cell>
        </row>
        <row r="64">
          <cell r="D64">
            <v>57</v>
          </cell>
          <cell r="E64">
            <v>38019</v>
          </cell>
          <cell r="F64">
            <v>8</v>
          </cell>
          <cell r="G64">
            <v>129</v>
          </cell>
          <cell r="H64" t="str">
            <v>CSP00600</v>
          </cell>
          <cell r="I64" t="str">
            <v>R2</v>
          </cell>
          <cell r="J64" t="str">
            <v>AR</v>
          </cell>
          <cell r="K64">
            <v>38014</v>
          </cell>
          <cell r="L64">
            <v>59</v>
          </cell>
          <cell r="M64">
            <v>3840</v>
          </cell>
          <cell r="N64">
            <v>230.34309999999999</v>
          </cell>
        </row>
        <row r="65">
          <cell r="D65">
            <v>55</v>
          </cell>
          <cell r="E65">
            <v>38016</v>
          </cell>
          <cell r="F65">
            <v>8</v>
          </cell>
          <cell r="G65">
            <v>135</v>
          </cell>
          <cell r="H65" t="str">
            <v>CSP00616</v>
          </cell>
          <cell r="I65" t="str">
            <v>R2</v>
          </cell>
          <cell r="J65" t="str">
            <v>AR</v>
          </cell>
          <cell r="K65">
            <v>38014</v>
          </cell>
          <cell r="L65">
            <v>61</v>
          </cell>
          <cell r="M65">
            <v>1920</v>
          </cell>
          <cell r="N65">
            <v>114.837</v>
          </cell>
        </row>
        <row r="66">
          <cell r="D66">
            <v>65</v>
          </cell>
          <cell r="E66">
            <v>38021</v>
          </cell>
          <cell r="F66">
            <v>8</v>
          </cell>
          <cell r="G66">
            <v>137</v>
          </cell>
          <cell r="H66" t="str">
            <v>CSP00609</v>
          </cell>
          <cell r="I66" t="str">
            <v>R1</v>
          </cell>
          <cell r="J66" t="str">
            <v>AR</v>
          </cell>
          <cell r="K66">
            <v>38015</v>
          </cell>
          <cell r="L66">
            <v>63</v>
          </cell>
          <cell r="M66">
            <v>3840</v>
          </cell>
          <cell r="N66">
            <v>230.18</v>
          </cell>
        </row>
        <row r="67">
          <cell r="D67">
            <v>56</v>
          </cell>
          <cell r="E67">
            <v>38019</v>
          </cell>
          <cell r="F67">
            <v>8</v>
          </cell>
          <cell r="G67">
            <v>136</v>
          </cell>
          <cell r="H67" t="str">
            <v>CSP00598</v>
          </cell>
          <cell r="I67" t="str">
            <v>R1</v>
          </cell>
          <cell r="J67" t="str">
            <v>AR</v>
          </cell>
          <cell r="K67">
            <v>38015</v>
          </cell>
          <cell r="L67">
            <v>62</v>
          </cell>
          <cell r="M67">
            <v>3840</v>
          </cell>
          <cell r="N67">
            <v>230.19800000000001</v>
          </cell>
        </row>
        <row r="68">
          <cell r="D68">
            <v>72</v>
          </cell>
          <cell r="E68">
            <v>38022</v>
          </cell>
          <cell r="F68">
            <v>8</v>
          </cell>
          <cell r="G68">
            <v>141</v>
          </cell>
          <cell r="H68" t="str">
            <v>P8817</v>
          </cell>
          <cell r="I68" t="str">
            <v>R1</v>
          </cell>
          <cell r="J68" t="str">
            <v>FI</v>
          </cell>
          <cell r="K68">
            <v>38016</v>
          </cell>
          <cell r="L68">
            <v>67</v>
          </cell>
          <cell r="M68">
            <v>1860</v>
          </cell>
          <cell r="N68">
            <v>110.745</v>
          </cell>
        </row>
        <row r="69">
          <cell r="D69">
            <v>71</v>
          </cell>
          <cell r="E69">
            <v>38022</v>
          </cell>
          <cell r="F69">
            <v>8</v>
          </cell>
          <cell r="G69">
            <v>142</v>
          </cell>
          <cell r="H69" t="str">
            <v>CSP00536</v>
          </cell>
          <cell r="I69" t="str">
            <v>R2</v>
          </cell>
          <cell r="J69" t="str">
            <v>AR</v>
          </cell>
          <cell r="K69">
            <v>38016</v>
          </cell>
          <cell r="L69">
            <v>68</v>
          </cell>
          <cell r="M69">
            <v>3840</v>
          </cell>
          <cell r="N69">
            <v>230.09200000000001</v>
          </cell>
        </row>
        <row r="70">
          <cell r="D70">
            <v>64</v>
          </cell>
          <cell r="E70">
            <v>38030</v>
          </cell>
          <cell r="F70">
            <v>8</v>
          </cell>
          <cell r="G70">
            <v>140</v>
          </cell>
          <cell r="H70" t="str">
            <v>CSP00569</v>
          </cell>
          <cell r="I70" t="str">
            <v>R1</v>
          </cell>
          <cell r="J70" t="str">
            <v>AR</v>
          </cell>
          <cell r="K70">
            <v>38016</v>
          </cell>
          <cell r="L70">
            <v>66</v>
          </cell>
          <cell r="M70">
            <v>3840</v>
          </cell>
          <cell r="N70">
            <v>229.65</v>
          </cell>
        </row>
        <row r="71">
          <cell r="D71">
            <v>90</v>
          </cell>
          <cell r="E71">
            <v>38028</v>
          </cell>
          <cell r="F71">
            <v>8</v>
          </cell>
          <cell r="G71">
            <v>144</v>
          </cell>
          <cell r="H71" t="str">
            <v>CSP00578</v>
          </cell>
          <cell r="I71" t="str">
            <v>R1</v>
          </cell>
          <cell r="J71" t="str">
            <v>AR</v>
          </cell>
          <cell r="K71">
            <v>38016</v>
          </cell>
          <cell r="L71">
            <v>69</v>
          </cell>
          <cell r="M71">
            <v>3840</v>
          </cell>
          <cell r="N71">
            <v>230.1446</v>
          </cell>
        </row>
        <row r="72">
          <cell r="D72">
            <v>61</v>
          </cell>
          <cell r="E72">
            <v>38020</v>
          </cell>
          <cell r="F72">
            <v>8</v>
          </cell>
          <cell r="G72">
            <v>145</v>
          </cell>
          <cell r="H72" t="str">
            <v>CSP00607</v>
          </cell>
          <cell r="I72" t="str">
            <v>R2</v>
          </cell>
          <cell r="J72" t="str">
            <v>AR</v>
          </cell>
          <cell r="K72">
            <v>38016</v>
          </cell>
          <cell r="L72">
            <v>70</v>
          </cell>
          <cell r="M72">
            <v>3840</v>
          </cell>
          <cell r="N72">
            <v>230.173</v>
          </cell>
        </row>
        <row r="73">
          <cell r="D73">
            <v>70</v>
          </cell>
          <cell r="E73">
            <v>38022</v>
          </cell>
          <cell r="F73">
            <v>8</v>
          </cell>
          <cell r="G73">
            <v>150</v>
          </cell>
          <cell r="H73" t="str">
            <v>CSP00603</v>
          </cell>
          <cell r="I73" t="str">
            <v>R2</v>
          </cell>
          <cell r="J73" t="str">
            <v>AR</v>
          </cell>
          <cell r="K73">
            <v>38019</v>
          </cell>
          <cell r="L73">
            <v>72</v>
          </cell>
          <cell r="M73">
            <v>3840</v>
          </cell>
          <cell r="N73">
            <v>229.92439999999999</v>
          </cell>
        </row>
        <row r="74">
          <cell r="D74">
            <v>80</v>
          </cell>
          <cell r="E74">
            <v>38026</v>
          </cell>
          <cell r="F74">
            <v>8</v>
          </cell>
          <cell r="G74">
            <v>151</v>
          </cell>
          <cell r="H74" t="str">
            <v>CSP00579</v>
          </cell>
          <cell r="I74" t="str">
            <v>R1</v>
          </cell>
          <cell r="J74" t="str">
            <v>AR</v>
          </cell>
          <cell r="K74">
            <v>38019</v>
          </cell>
          <cell r="L74">
            <v>73</v>
          </cell>
          <cell r="M74">
            <v>3840</v>
          </cell>
          <cell r="N74">
            <v>229.88</v>
          </cell>
        </row>
        <row r="75">
          <cell r="D75">
            <v>91</v>
          </cell>
          <cell r="E75">
            <v>38028</v>
          </cell>
          <cell r="F75">
            <v>9</v>
          </cell>
          <cell r="G75">
            <v>153</v>
          </cell>
          <cell r="H75" t="str">
            <v>CSP00610</v>
          </cell>
          <cell r="I75" t="str">
            <v>R1</v>
          </cell>
          <cell r="J75" t="str">
            <v>AR</v>
          </cell>
          <cell r="K75">
            <v>38019</v>
          </cell>
          <cell r="L75">
            <v>75</v>
          </cell>
          <cell r="M75">
            <v>3840</v>
          </cell>
          <cell r="N75">
            <v>230.05099999999999</v>
          </cell>
        </row>
        <row r="76">
          <cell r="D76">
            <v>58</v>
          </cell>
          <cell r="E76">
            <v>38020</v>
          </cell>
          <cell r="F76">
            <v>8</v>
          </cell>
          <cell r="G76">
            <v>149</v>
          </cell>
          <cell r="H76" t="str">
            <v>CSP00628</v>
          </cell>
          <cell r="I76" t="str">
            <v>R2</v>
          </cell>
          <cell r="J76" t="str">
            <v>AR</v>
          </cell>
          <cell r="K76">
            <v>38019</v>
          </cell>
          <cell r="L76">
            <v>71</v>
          </cell>
          <cell r="M76">
            <v>1920</v>
          </cell>
          <cell r="N76">
            <v>115.0046</v>
          </cell>
        </row>
        <row r="77">
          <cell r="D77">
            <v>60</v>
          </cell>
          <cell r="E77">
            <v>38020</v>
          </cell>
          <cell r="F77">
            <v>8</v>
          </cell>
          <cell r="G77">
            <v>152</v>
          </cell>
          <cell r="H77" t="str">
            <v>CSP00604</v>
          </cell>
          <cell r="I77" t="str">
            <v>R2</v>
          </cell>
          <cell r="J77" t="str">
            <v>AR</v>
          </cell>
          <cell r="K77">
            <v>38019</v>
          </cell>
          <cell r="L77">
            <v>74</v>
          </cell>
          <cell r="M77">
            <v>1920</v>
          </cell>
          <cell r="N77">
            <v>114.9</v>
          </cell>
        </row>
        <row r="78">
          <cell r="D78">
            <v>66</v>
          </cell>
          <cell r="E78">
            <v>38021</v>
          </cell>
          <cell r="F78">
            <v>8</v>
          </cell>
          <cell r="G78">
            <v>154</v>
          </cell>
          <cell r="H78" t="str">
            <v>CSP00583</v>
          </cell>
          <cell r="I78" t="str">
            <v>R2</v>
          </cell>
          <cell r="J78" t="str">
            <v>AR</v>
          </cell>
          <cell r="K78">
            <v>38019</v>
          </cell>
          <cell r="L78">
            <v>76</v>
          </cell>
          <cell r="M78">
            <v>1600</v>
          </cell>
          <cell r="N78">
            <v>95.769000000000005</v>
          </cell>
        </row>
        <row r="79">
          <cell r="D79">
            <v>81</v>
          </cell>
          <cell r="E79">
            <v>38026</v>
          </cell>
          <cell r="F79">
            <v>8</v>
          </cell>
          <cell r="G79">
            <v>155</v>
          </cell>
          <cell r="H79" t="str">
            <v>CSP00615</v>
          </cell>
          <cell r="I79" t="str">
            <v>R2</v>
          </cell>
          <cell r="J79" t="str">
            <v>AR</v>
          </cell>
          <cell r="K79">
            <v>38019</v>
          </cell>
          <cell r="L79">
            <v>77</v>
          </cell>
          <cell r="M79">
            <v>3840</v>
          </cell>
          <cell r="N79">
            <v>230.03299999999999</v>
          </cell>
        </row>
        <row r="80">
          <cell r="D80">
            <v>141</v>
          </cell>
          <cell r="E80">
            <v>38034</v>
          </cell>
          <cell r="F80">
            <v>8</v>
          </cell>
          <cell r="G80">
            <v>156</v>
          </cell>
          <cell r="H80" t="str">
            <v>CSP00585</v>
          </cell>
          <cell r="I80" t="str">
            <v>R1</v>
          </cell>
          <cell r="J80" t="str">
            <v>AR</v>
          </cell>
          <cell r="K80">
            <v>38019</v>
          </cell>
          <cell r="L80">
            <v>78</v>
          </cell>
          <cell r="M80">
            <v>3200</v>
          </cell>
          <cell r="N80">
            <v>191.55799999999999</v>
          </cell>
        </row>
        <row r="81">
          <cell r="D81">
            <v>68</v>
          </cell>
          <cell r="E81">
            <v>38022</v>
          </cell>
          <cell r="F81">
            <v>8</v>
          </cell>
          <cell r="G81">
            <v>157</v>
          </cell>
          <cell r="H81" t="str">
            <v>CSP00594</v>
          </cell>
          <cell r="I81" t="str">
            <v>R1</v>
          </cell>
          <cell r="J81" t="str">
            <v>AR</v>
          </cell>
          <cell r="K81">
            <v>38019</v>
          </cell>
          <cell r="L81">
            <v>79</v>
          </cell>
          <cell r="M81">
            <v>1920</v>
          </cell>
          <cell r="N81">
            <v>114.777</v>
          </cell>
        </row>
        <row r="82">
          <cell r="D82">
            <v>79</v>
          </cell>
          <cell r="E82">
            <v>38026</v>
          </cell>
          <cell r="F82">
            <v>8</v>
          </cell>
          <cell r="G82">
            <v>158</v>
          </cell>
          <cell r="H82" t="str">
            <v>CSP00572</v>
          </cell>
          <cell r="I82" t="str">
            <v>R1</v>
          </cell>
          <cell r="J82" t="str">
            <v>AR</v>
          </cell>
          <cell r="K82">
            <v>38019</v>
          </cell>
          <cell r="L82">
            <v>80</v>
          </cell>
          <cell r="M82">
            <v>1920</v>
          </cell>
          <cell r="N82">
            <v>114.991</v>
          </cell>
        </row>
        <row r="83">
          <cell r="D83">
            <v>115</v>
          </cell>
          <cell r="E83">
            <v>38033</v>
          </cell>
          <cell r="F83">
            <v>9</v>
          </cell>
          <cell r="G83">
            <v>164</v>
          </cell>
          <cell r="H83" t="str">
            <v>CSP00573</v>
          </cell>
          <cell r="I83" t="str">
            <v>R1</v>
          </cell>
          <cell r="J83" t="str">
            <v>AR</v>
          </cell>
          <cell r="K83">
            <v>38019</v>
          </cell>
          <cell r="L83">
            <v>82</v>
          </cell>
          <cell r="M83">
            <v>3840</v>
          </cell>
          <cell r="N83">
            <v>229.94499999999999</v>
          </cell>
        </row>
        <row r="84">
          <cell r="D84">
            <v>73</v>
          </cell>
          <cell r="E84">
            <v>38023</v>
          </cell>
          <cell r="F84">
            <v>8</v>
          </cell>
          <cell r="G84">
            <v>165</v>
          </cell>
          <cell r="H84" t="str">
            <v>CSP00588</v>
          </cell>
          <cell r="I84" t="str">
            <v>R2</v>
          </cell>
          <cell r="J84" t="str">
            <v>AR</v>
          </cell>
          <cell r="K84">
            <v>38019</v>
          </cell>
          <cell r="L84">
            <v>83</v>
          </cell>
          <cell r="M84">
            <v>3840</v>
          </cell>
          <cell r="N84">
            <v>229.97790000000001</v>
          </cell>
        </row>
        <row r="85">
          <cell r="D85">
            <v>106</v>
          </cell>
          <cell r="E85">
            <v>38030</v>
          </cell>
          <cell r="F85">
            <v>8</v>
          </cell>
          <cell r="G85">
            <v>163</v>
          </cell>
          <cell r="H85" t="str">
            <v>CSP00524</v>
          </cell>
          <cell r="I85" t="str">
            <v>R2</v>
          </cell>
          <cell r="J85" t="str">
            <v>AR</v>
          </cell>
          <cell r="K85">
            <v>38019</v>
          </cell>
          <cell r="L85">
            <v>81</v>
          </cell>
          <cell r="M85">
            <v>1920</v>
          </cell>
          <cell r="N85">
            <v>114.90900000000001</v>
          </cell>
        </row>
        <row r="86">
          <cell r="D86">
            <v>76</v>
          </cell>
          <cell r="E86">
            <v>38023</v>
          </cell>
          <cell r="F86">
            <v>8</v>
          </cell>
          <cell r="G86">
            <v>226</v>
          </cell>
          <cell r="H86">
            <v>51017</v>
          </cell>
          <cell r="I86" t="str">
            <v>R2</v>
          </cell>
          <cell r="J86" t="str">
            <v>ED</v>
          </cell>
          <cell r="K86">
            <v>38019</v>
          </cell>
          <cell r="L86">
            <v>84</v>
          </cell>
          <cell r="M86">
            <v>5000</v>
          </cell>
          <cell r="N86">
            <v>299.59300000000002</v>
          </cell>
        </row>
        <row r="87">
          <cell r="D87">
            <v>93</v>
          </cell>
          <cell r="E87">
            <v>38029</v>
          </cell>
          <cell r="F87">
            <v>8</v>
          </cell>
          <cell r="G87">
            <v>166</v>
          </cell>
          <cell r="H87" t="str">
            <v>CSP00574</v>
          </cell>
          <cell r="I87" t="str">
            <v>R1</v>
          </cell>
          <cell r="J87" t="str">
            <v>AR</v>
          </cell>
          <cell r="K87">
            <v>38019</v>
          </cell>
          <cell r="L87">
            <v>86</v>
          </cell>
          <cell r="M87">
            <v>3840</v>
          </cell>
          <cell r="N87">
            <v>229.917</v>
          </cell>
        </row>
        <row r="88">
          <cell r="D88">
            <v>78</v>
          </cell>
          <cell r="E88">
            <v>38026</v>
          </cell>
          <cell r="F88">
            <v>9</v>
          </cell>
          <cell r="G88">
            <v>172</v>
          </cell>
          <cell r="H88" t="str">
            <v>851/04</v>
          </cell>
          <cell r="I88" t="str">
            <v>R2</v>
          </cell>
          <cell r="J88" t="str">
            <v>ED</v>
          </cell>
          <cell r="K88">
            <v>38020</v>
          </cell>
          <cell r="L88">
            <v>90</v>
          </cell>
          <cell r="M88">
            <v>1800</v>
          </cell>
          <cell r="N88">
            <v>107.80200000000001</v>
          </cell>
        </row>
        <row r="89">
          <cell r="D89">
            <v>95</v>
          </cell>
          <cell r="E89">
            <v>38029</v>
          </cell>
          <cell r="F89">
            <v>8</v>
          </cell>
          <cell r="G89">
            <v>173</v>
          </cell>
          <cell r="H89" t="str">
            <v>853/04</v>
          </cell>
          <cell r="I89" t="str">
            <v>R2</v>
          </cell>
          <cell r="J89" t="str">
            <v>ED</v>
          </cell>
          <cell r="K89">
            <v>38020</v>
          </cell>
          <cell r="L89">
            <v>91</v>
          </cell>
          <cell r="M89">
            <v>7200</v>
          </cell>
          <cell r="N89">
            <v>431.44600000000003</v>
          </cell>
        </row>
        <row r="90">
          <cell r="D90">
            <v>74</v>
          </cell>
          <cell r="E90">
            <v>38023</v>
          </cell>
          <cell r="F90">
            <v>8</v>
          </cell>
          <cell r="G90">
            <v>170</v>
          </cell>
          <cell r="H90" t="str">
            <v>CSP00605</v>
          </cell>
          <cell r="I90" t="str">
            <v>R2</v>
          </cell>
          <cell r="J90" t="str">
            <v>AR</v>
          </cell>
          <cell r="K90">
            <v>38020</v>
          </cell>
          <cell r="L90">
            <v>88</v>
          </cell>
          <cell r="M90">
            <v>3840</v>
          </cell>
          <cell r="N90">
            <v>230.1266</v>
          </cell>
        </row>
        <row r="91">
          <cell r="D91">
            <v>84</v>
          </cell>
          <cell r="E91">
            <v>38027</v>
          </cell>
          <cell r="F91">
            <v>8</v>
          </cell>
          <cell r="G91">
            <v>171</v>
          </cell>
          <cell r="H91" t="str">
            <v>CSP00606</v>
          </cell>
          <cell r="I91" t="str">
            <v>R2</v>
          </cell>
          <cell r="J91" t="str">
            <v>AR</v>
          </cell>
          <cell r="K91">
            <v>38020</v>
          </cell>
          <cell r="L91">
            <v>89</v>
          </cell>
          <cell r="M91">
            <v>3840</v>
          </cell>
          <cell r="N91">
            <v>230.316</v>
          </cell>
        </row>
        <row r="92">
          <cell r="D92">
            <v>69</v>
          </cell>
          <cell r="E92">
            <v>38022</v>
          </cell>
          <cell r="F92">
            <v>8</v>
          </cell>
          <cell r="G92">
            <v>169</v>
          </cell>
          <cell r="H92" t="str">
            <v>824/04</v>
          </cell>
          <cell r="I92" t="str">
            <v>R1</v>
          </cell>
          <cell r="J92" t="str">
            <v>ED</v>
          </cell>
          <cell r="K92">
            <v>38020</v>
          </cell>
          <cell r="L92">
            <v>87</v>
          </cell>
          <cell r="M92">
            <v>1600</v>
          </cell>
          <cell r="N92">
            <v>95.765000000000001</v>
          </cell>
        </row>
        <row r="93">
          <cell r="D93" t="str">
            <v>85A</v>
          </cell>
          <cell r="E93">
            <v>38027</v>
          </cell>
          <cell r="F93">
            <v>9</v>
          </cell>
          <cell r="G93">
            <v>174</v>
          </cell>
          <cell r="H93" t="str">
            <v>845/04</v>
          </cell>
          <cell r="I93" t="str">
            <v>R2</v>
          </cell>
          <cell r="J93" t="str">
            <v>ED</v>
          </cell>
          <cell r="K93">
            <v>38020</v>
          </cell>
          <cell r="L93">
            <v>93</v>
          </cell>
          <cell r="M93">
            <v>1920</v>
          </cell>
          <cell r="N93">
            <v>114.919</v>
          </cell>
        </row>
        <row r="94">
          <cell r="D94">
            <v>77</v>
          </cell>
          <cell r="E94">
            <v>38026</v>
          </cell>
          <cell r="F94">
            <v>8</v>
          </cell>
          <cell r="G94">
            <v>175</v>
          </cell>
          <cell r="H94" t="str">
            <v>CSP00590</v>
          </cell>
          <cell r="I94" t="str">
            <v>R2</v>
          </cell>
          <cell r="J94" t="str">
            <v>AR</v>
          </cell>
          <cell r="K94">
            <v>38020</v>
          </cell>
          <cell r="L94">
            <v>92</v>
          </cell>
          <cell r="M94">
            <v>1920</v>
          </cell>
          <cell r="N94">
            <v>115</v>
          </cell>
        </row>
        <row r="95">
          <cell r="D95">
            <v>83</v>
          </cell>
          <cell r="E95">
            <v>38027</v>
          </cell>
          <cell r="F95">
            <v>8</v>
          </cell>
          <cell r="G95">
            <v>179</v>
          </cell>
          <cell r="H95" t="str">
            <v>CSP00622</v>
          </cell>
          <cell r="I95" t="str">
            <v>R1</v>
          </cell>
          <cell r="J95" t="str">
            <v>AR</v>
          </cell>
          <cell r="K95">
            <v>38021</v>
          </cell>
          <cell r="L95">
            <v>94</v>
          </cell>
          <cell r="M95">
            <v>3200</v>
          </cell>
          <cell r="N95">
            <v>191.63499999999999</v>
          </cell>
        </row>
        <row r="96">
          <cell r="D96">
            <v>107</v>
          </cell>
          <cell r="E96">
            <v>38030</v>
          </cell>
          <cell r="F96">
            <v>9</v>
          </cell>
          <cell r="G96">
            <v>249</v>
          </cell>
          <cell r="H96">
            <v>51016</v>
          </cell>
          <cell r="I96" t="str">
            <v>R2</v>
          </cell>
          <cell r="J96" t="str">
            <v>ED</v>
          </cell>
          <cell r="K96">
            <v>38021</v>
          </cell>
          <cell r="L96">
            <v>95</v>
          </cell>
          <cell r="M96">
            <v>5000</v>
          </cell>
          <cell r="N96">
            <v>299.46699999999998</v>
          </cell>
        </row>
        <row r="97">
          <cell r="D97">
            <v>75</v>
          </cell>
          <cell r="E97">
            <v>38023</v>
          </cell>
          <cell r="F97">
            <v>8</v>
          </cell>
          <cell r="G97">
            <v>189</v>
          </cell>
          <cell r="H97" t="str">
            <v>P8886</v>
          </cell>
          <cell r="I97" t="str">
            <v>R2</v>
          </cell>
          <cell r="J97" t="str">
            <v>FI</v>
          </cell>
          <cell r="K97">
            <v>38022</v>
          </cell>
          <cell r="L97">
            <v>97</v>
          </cell>
          <cell r="M97">
            <v>1920</v>
          </cell>
          <cell r="N97">
            <v>115.059</v>
          </cell>
        </row>
        <row r="98">
          <cell r="D98">
            <v>100</v>
          </cell>
          <cell r="E98">
            <v>38030</v>
          </cell>
          <cell r="F98">
            <v>8</v>
          </cell>
          <cell r="G98">
            <v>188</v>
          </cell>
          <cell r="H98" t="str">
            <v>CSP00614</v>
          </cell>
          <cell r="I98" t="str">
            <v>R2</v>
          </cell>
          <cell r="J98" t="str">
            <v>AR</v>
          </cell>
          <cell r="K98">
            <v>38022</v>
          </cell>
          <cell r="L98">
            <v>96</v>
          </cell>
          <cell r="M98">
            <v>3840</v>
          </cell>
          <cell r="N98">
            <v>229.85839999999999</v>
          </cell>
        </row>
        <row r="99">
          <cell r="D99">
            <v>92</v>
          </cell>
          <cell r="E99">
            <v>38029</v>
          </cell>
          <cell r="F99">
            <v>9</v>
          </cell>
          <cell r="G99">
            <v>190</v>
          </cell>
          <cell r="H99" t="str">
            <v>CSP00591</v>
          </cell>
          <cell r="I99" t="str">
            <v>R2</v>
          </cell>
          <cell r="J99" t="str">
            <v>AR</v>
          </cell>
          <cell r="K99">
            <v>38022</v>
          </cell>
          <cell r="L99">
            <v>98</v>
          </cell>
          <cell r="M99">
            <v>1920</v>
          </cell>
          <cell r="N99">
            <v>115.143</v>
          </cell>
        </row>
        <row r="100">
          <cell r="D100">
            <v>88</v>
          </cell>
          <cell r="E100">
            <v>38028</v>
          </cell>
          <cell r="F100">
            <v>9</v>
          </cell>
          <cell r="G100">
            <v>191</v>
          </cell>
          <cell r="H100" t="str">
            <v>CSP00656</v>
          </cell>
          <cell r="I100" t="str">
            <v>R1</v>
          </cell>
          <cell r="J100" t="str">
            <v>AR</v>
          </cell>
          <cell r="K100">
            <v>38022</v>
          </cell>
          <cell r="L100">
            <v>100</v>
          </cell>
          <cell r="M100">
            <v>3200</v>
          </cell>
          <cell r="N100">
            <v>191.755</v>
          </cell>
        </row>
        <row r="101">
          <cell r="D101">
            <v>94</v>
          </cell>
          <cell r="E101">
            <v>38029</v>
          </cell>
          <cell r="F101">
            <v>9</v>
          </cell>
          <cell r="G101">
            <v>192</v>
          </cell>
          <cell r="H101" t="str">
            <v>CSP00562</v>
          </cell>
          <cell r="I101" t="str">
            <v>R2</v>
          </cell>
          <cell r="J101" t="str">
            <v>AR</v>
          </cell>
          <cell r="K101">
            <v>38022</v>
          </cell>
          <cell r="L101">
            <v>101</v>
          </cell>
          <cell r="M101">
            <v>7680</v>
          </cell>
          <cell r="N101">
            <v>460.17200000000003</v>
          </cell>
        </row>
        <row r="102">
          <cell r="D102">
            <v>132</v>
          </cell>
          <cell r="E102">
            <v>38040</v>
          </cell>
          <cell r="F102">
            <v>9</v>
          </cell>
          <cell r="G102">
            <v>195</v>
          </cell>
          <cell r="H102" t="str">
            <v>CSP00608</v>
          </cell>
          <cell r="I102" t="str">
            <v>R2</v>
          </cell>
          <cell r="J102" t="str">
            <v>AR</v>
          </cell>
          <cell r="K102">
            <v>38023</v>
          </cell>
          <cell r="L102">
            <v>104</v>
          </cell>
          <cell r="M102">
            <v>3840</v>
          </cell>
          <cell r="N102">
            <v>230.1694</v>
          </cell>
        </row>
        <row r="103">
          <cell r="D103">
            <v>102</v>
          </cell>
          <cell r="E103">
            <v>38030</v>
          </cell>
          <cell r="F103">
            <v>9</v>
          </cell>
          <cell r="G103">
            <v>194</v>
          </cell>
          <cell r="H103" t="str">
            <v>CSP00592</v>
          </cell>
          <cell r="I103" t="str">
            <v>R1</v>
          </cell>
          <cell r="J103" t="str">
            <v>AR</v>
          </cell>
          <cell r="K103">
            <v>38023</v>
          </cell>
          <cell r="L103">
            <v>103</v>
          </cell>
          <cell r="M103">
            <v>1920</v>
          </cell>
          <cell r="N103">
            <v>115.09099999999999</v>
          </cell>
        </row>
        <row r="104">
          <cell r="D104">
            <v>99</v>
          </cell>
          <cell r="E104">
            <v>38030</v>
          </cell>
          <cell r="F104">
            <v>9</v>
          </cell>
          <cell r="G104">
            <v>196</v>
          </cell>
          <cell r="H104" t="str">
            <v>CSP00575</v>
          </cell>
          <cell r="I104" t="str">
            <v>R1</v>
          </cell>
          <cell r="J104" t="str">
            <v>AR</v>
          </cell>
          <cell r="K104">
            <v>38023</v>
          </cell>
          <cell r="L104">
            <v>105</v>
          </cell>
          <cell r="M104">
            <v>3840</v>
          </cell>
          <cell r="N104">
            <v>230.04939999999999</v>
          </cell>
        </row>
        <row r="105">
          <cell r="D105">
            <v>82</v>
          </cell>
          <cell r="E105">
            <v>38026</v>
          </cell>
          <cell r="F105">
            <v>9</v>
          </cell>
          <cell r="G105">
            <v>214</v>
          </cell>
          <cell r="H105" t="str">
            <v>812/04</v>
          </cell>
          <cell r="I105" t="str">
            <v>R1</v>
          </cell>
          <cell r="J105" t="str">
            <v>ED</v>
          </cell>
          <cell r="K105">
            <v>38026</v>
          </cell>
          <cell r="L105">
            <v>111</v>
          </cell>
          <cell r="M105">
            <v>900</v>
          </cell>
          <cell r="N105">
            <v>54</v>
          </cell>
        </row>
        <row r="106">
          <cell r="D106" t="str">
            <v>89A</v>
          </cell>
          <cell r="E106">
            <v>38028</v>
          </cell>
          <cell r="F106">
            <v>9</v>
          </cell>
          <cell r="G106">
            <v>210</v>
          </cell>
          <cell r="H106" t="str">
            <v>P016.632A</v>
          </cell>
          <cell r="I106" t="str">
            <v>R2</v>
          </cell>
          <cell r="J106" t="str">
            <v>VO</v>
          </cell>
          <cell r="K106">
            <v>38026</v>
          </cell>
          <cell r="L106">
            <v>108</v>
          </cell>
          <cell r="M106">
            <v>2100</v>
          </cell>
          <cell r="N106">
            <v>126</v>
          </cell>
        </row>
        <row r="107">
          <cell r="D107" t="str">
            <v>89B</v>
          </cell>
          <cell r="E107">
            <v>38028</v>
          </cell>
          <cell r="F107">
            <v>9</v>
          </cell>
          <cell r="G107">
            <v>211</v>
          </cell>
          <cell r="H107" t="str">
            <v>P016.632B</v>
          </cell>
          <cell r="I107" t="str">
            <v>R2</v>
          </cell>
          <cell r="J107" t="str">
            <v>VO</v>
          </cell>
          <cell r="K107">
            <v>38026</v>
          </cell>
          <cell r="L107">
            <v>109</v>
          </cell>
          <cell r="M107">
            <v>2100</v>
          </cell>
          <cell r="N107">
            <v>126</v>
          </cell>
        </row>
        <row r="108">
          <cell r="D108">
            <v>104</v>
          </cell>
          <cell r="E108">
            <v>38030</v>
          </cell>
          <cell r="F108">
            <v>9</v>
          </cell>
          <cell r="G108">
            <v>276</v>
          </cell>
          <cell r="H108">
            <v>51018</v>
          </cell>
          <cell r="I108" t="str">
            <v>R2</v>
          </cell>
          <cell r="J108" t="str">
            <v>ED</v>
          </cell>
          <cell r="K108">
            <v>38026</v>
          </cell>
          <cell r="L108">
            <v>112</v>
          </cell>
          <cell r="M108">
            <v>5000</v>
          </cell>
          <cell r="N108">
            <v>299.50299999999999</v>
          </cell>
        </row>
        <row r="109">
          <cell r="D109">
            <v>86</v>
          </cell>
          <cell r="E109">
            <v>38028</v>
          </cell>
          <cell r="F109">
            <v>8</v>
          </cell>
          <cell r="G109">
            <v>227</v>
          </cell>
          <cell r="H109" t="str">
            <v>P8898</v>
          </cell>
          <cell r="I109" t="str">
            <v>R2</v>
          </cell>
          <cell r="J109" t="str">
            <v>FI</v>
          </cell>
          <cell r="K109">
            <v>38027</v>
          </cell>
          <cell r="L109">
            <v>121</v>
          </cell>
          <cell r="M109">
            <v>1920</v>
          </cell>
          <cell r="N109">
            <v>114.995</v>
          </cell>
        </row>
        <row r="110">
          <cell r="D110">
            <v>96</v>
          </cell>
          <cell r="E110">
            <v>38030</v>
          </cell>
          <cell r="F110">
            <v>9</v>
          </cell>
          <cell r="G110">
            <v>229</v>
          </cell>
          <cell r="H110" t="str">
            <v>P016.633</v>
          </cell>
          <cell r="I110" t="str">
            <v>R2</v>
          </cell>
          <cell r="J110" t="str">
            <v>VO</v>
          </cell>
          <cell r="K110">
            <v>38027</v>
          </cell>
          <cell r="L110">
            <v>123</v>
          </cell>
          <cell r="M110">
            <v>4200</v>
          </cell>
          <cell r="N110">
            <v>252</v>
          </cell>
        </row>
        <row r="111">
          <cell r="D111" t="str">
            <v>85B</v>
          </cell>
          <cell r="E111">
            <v>38027</v>
          </cell>
          <cell r="F111">
            <v>9</v>
          </cell>
          <cell r="G111">
            <v>226</v>
          </cell>
          <cell r="H111" t="str">
            <v>845/04B</v>
          </cell>
          <cell r="I111" t="str">
            <v>R2</v>
          </cell>
          <cell r="J111" t="str">
            <v>ED</v>
          </cell>
          <cell r="K111">
            <v>38027</v>
          </cell>
          <cell r="L111">
            <v>120</v>
          </cell>
          <cell r="M111">
            <v>180</v>
          </cell>
          <cell r="N111">
            <v>10.8</v>
          </cell>
        </row>
        <row r="112">
          <cell r="D112">
            <v>87</v>
          </cell>
          <cell r="E112">
            <v>38028</v>
          </cell>
          <cell r="F112">
            <v>8</v>
          </cell>
          <cell r="G112">
            <v>228</v>
          </cell>
          <cell r="H112" t="str">
            <v>813/04</v>
          </cell>
          <cell r="I112" t="str">
            <v>R1</v>
          </cell>
          <cell r="J112" t="str">
            <v>ED</v>
          </cell>
          <cell r="K112">
            <v>38027</v>
          </cell>
          <cell r="L112">
            <v>122</v>
          </cell>
          <cell r="M112">
            <v>900</v>
          </cell>
          <cell r="N112">
            <v>53.881999999999998</v>
          </cell>
        </row>
        <row r="113">
          <cell r="D113">
            <v>138</v>
          </cell>
          <cell r="E113">
            <v>38041</v>
          </cell>
          <cell r="F113">
            <v>9</v>
          </cell>
          <cell r="G113">
            <v>230</v>
          </cell>
          <cell r="H113" t="str">
            <v>P016.725</v>
          </cell>
          <cell r="I113" t="str">
            <v>R2</v>
          </cell>
          <cell r="J113" t="str">
            <v>VO</v>
          </cell>
          <cell r="K113">
            <v>38027</v>
          </cell>
          <cell r="L113">
            <v>124</v>
          </cell>
          <cell r="M113">
            <v>3600</v>
          </cell>
          <cell r="N113">
            <v>216</v>
          </cell>
        </row>
        <row r="114">
          <cell r="D114">
            <v>109</v>
          </cell>
          <cell r="E114">
            <v>38033</v>
          </cell>
          <cell r="F114">
            <v>8</v>
          </cell>
          <cell r="G114">
            <v>232</v>
          </cell>
          <cell r="H114" t="str">
            <v>CSP00620</v>
          </cell>
          <cell r="I114" t="str">
            <v>R2</v>
          </cell>
          <cell r="J114" t="str">
            <v>AR</v>
          </cell>
          <cell r="K114">
            <v>38027</v>
          </cell>
          <cell r="L114">
            <v>126</v>
          </cell>
          <cell r="M114">
            <v>3840</v>
          </cell>
          <cell r="N114">
            <v>230.07900000000001</v>
          </cell>
        </row>
        <row r="115">
          <cell r="D115">
            <v>116</v>
          </cell>
          <cell r="E115">
            <v>38034</v>
          </cell>
          <cell r="F115">
            <v>9</v>
          </cell>
          <cell r="G115">
            <v>231</v>
          </cell>
          <cell r="H115" t="str">
            <v>CSP00589</v>
          </cell>
          <cell r="I115" t="str">
            <v>R1</v>
          </cell>
          <cell r="J115" t="str">
            <v>AR</v>
          </cell>
          <cell r="K115">
            <v>38027</v>
          </cell>
          <cell r="L115">
            <v>125</v>
          </cell>
          <cell r="M115">
            <v>3840</v>
          </cell>
          <cell r="N115">
            <v>229.95099999999999</v>
          </cell>
        </row>
        <row r="116">
          <cell r="D116">
            <v>105</v>
          </cell>
          <cell r="E116">
            <v>38030</v>
          </cell>
          <cell r="F116">
            <v>9</v>
          </cell>
          <cell r="G116">
            <v>304</v>
          </cell>
          <cell r="H116">
            <v>51019</v>
          </cell>
          <cell r="I116" t="str">
            <v>R2</v>
          </cell>
          <cell r="J116" t="str">
            <v>ED</v>
          </cell>
          <cell r="K116">
            <v>38027</v>
          </cell>
          <cell r="L116">
            <v>129</v>
          </cell>
          <cell r="M116">
            <v>5000</v>
          </cell>
          <cell r="N116">
            <v>299.38900000000001</v>
          </cell>
        </row>
        <row r="117">
          <cell r="D117">
            <v>127</v>
          </cell>
          <cell r="E117">
            <v>38036</v>
          </cell>
          <cell r="F117">
            <v>9</v>
          </cell>
          <cell r="G117">
            <v>248</v>
          </cell>
          <cell r="H117" t="str">
            <v>CSP00657</v>
          </cell>
          <cell r="I117" t="str">
            <v>R1</v>
          </cell>
          <cell r="J117" t="str">
            <v>AR</v>
          </cell>
          <cell r="K117">
            <v>38028</v>
          </cell>
          <cell r="L117">
            <v>140</v>
          </cell>
          <cell r="M117">
            <v>1920</v>
          </cell>
          <cell r="N117">
            <v>114.917</v>
          </cell>
        </row>
        <row r="118">
          <cell r="D118">
            <v>117</v>
          </cell>
          <cell r="E118">
            <v>38034</v>
          </cell>
          <cell r="F118">
            <v>9</v>
          </cell>
          <cell r="G118">
            <v>239</v>
          </cell>
          <cell r="H118" t="str">
            <v>CSP00632</v>
          </cell>
          <cell r="I118" t="str">
            <v>R2</v>
          </cell>
          <cell r="J118" t="str">
            <v>AR</v>
          </cell>
          <cell r="K118">
            <v>38028</v>
          </cell>
          <cell r="L118">
            <v>131</v>
          </cell>
          <cell r="M118">
            <v>3840</v>
          </cell>
          <cell r="N118">
            <v>230.13499999999999</v>
          </cell>
        </row>
        <row r="119">
          <cell r="D119">
            <v>150</v>
          </cell>
          <cell r="E119">
            <v>38044</v>
          </cell>
          <cell r="F119">
            <v>8</v>
          </cell>
          <cell r="G119">
            <v>240</v>
          </cell>
          <cell r="H119" t="str">
            <v>846/04</v>
          </cell>
          <cell r="I119" t="str">
            <v>R2</v>
          </cell>
          <cell r="J119" t="str">
            <v>ED</v>
          </cell>
          <cell r="K119">
            <v>38028</v>
          </cell>
          <cell r="L119">
            <v>132</v>
          </cell>
          <cell r="M119">
            <v>2100</v>
          </cell>
          <cell r="N119">
            <v>125.85599999999999</v>
          </cell>
        </row>
        <row r="120">
          <cell r="D120">
            <v>122</v>
          </cell>
          <cell r="E120">
            <v>38036</v>
          </cell>
          <cell r="F120">
            <v>8</v>
          </cell>
          <cell r="G120">
            <v>243</v>
          </cell>
          <cell r="H120" t="str">
            <v>811/04</v>
          </cell>
          <cell r="I120" t="str">
            <v>R1</v>
          </cell>
          <cell r="J120" t="str">
            <v>ED</v>
          </cell>
          <cell r="K120">
            <v>38028</v>
          </cell>
          <cell r="L120">
            <v>135</v>
          </cell>
          <cell r="M120">
            <v>900</v>
          </cell>
          <cell r="N120">
            <v>53.83</v>
          </cell>
        </row>
        <row r="121">
          <cell r="D121">
            <v>114</v>
          </cell>
          <cell r="E121">
            <v>38033</v>
          </cell>
          <cell r="F121">
            <v>9</v>
          </cell>
          <cell r="G121">
            <v>242</v>
          </cell>
          <cell r="H121" t="str">
            <v>856/04</v>
          </cell>
          <cell r="I121" t="str">
            <v>R1</v>
          </cell>
          <cell r="J121" t="str">
            <v>ED</v>
          </cell>
          <cell r="K121">
            <v>38028</v>
          </cell>
          <cell r="L121">
            <v>134</v>
          </cell>
          <cell r="M121">
            <v>2100</v>
          </cell>
          <cell r="N121">
            <v>125.84</v>
          </cell>
        </row>
        <row r="122">
          <cell r="D122">
            <v>118</v>
          </cell>
          <cell r="E122">
            <v>38034</v>
          </cell>
          <cell r="F122">
            <v>9</v>
          </cell>
          <cell r="G122">
            <v>241</v>
          </cell>
          <cell r="H122" t="str">
            <v>CSP00636</v>
          </cell>
          <cell r="I122" t="str">
            <v>R1</v>
          </cell>
          <cell r="J122" t="str">
            <v>AR</v>
          </cell>
          <cell r="K122">
            <v>38028</v>
          </cell>
          <cell r="L122">
            <v>133</v>
          </cell>
          <cell r="M122">
            <v>1920</v>
          </cell>
          <cell r="N122">
            <v>115.011</v>
          </cell>
        </row>
        <row r="123">
          <cell r="D123">
            <v>98</v>
          </cell>
          <cell r="E123">
            <v>38030</v>
          </cell>
          <cell r="F123">
            <v>9</v>
          </cell>
          <cell r="G123">
            <v>247</v>
          </cell>
          <cell r="H123" t="str">
            <v>P016.634</v>
          </cell>
          <cell r="I123" t="str">
            <v>R2</v>
          </cell>
          <cell r="J123" t="str">
            <v>VO</v>
          </cell>
          <cell r="K123">
            <v>38028</v>
          </cell>
          <cell r="L123">
            <v>139</v>
          </cell>
          <cell r="M123">
            <v>4200</v>
          </cell>
          <cell r="N123">
            <v>252</v>
          </cell>
        </row>
        <row r="124">
          <cell r="D124">
            <v>97</v>
          </cell>
          <cell r="E124">
            <v>38030</v>
          </cell>
          <cell r="F124">
            <v>9</v>
          </cell>
          <cell r="G124">
            <v>246</v>
          </cell>
          <cell r="H124" t="str">
            <v>P016.635</v>
          </cell>
          <cell r="I124" t="str">
            <v>R2</v>
          </cell>
          <cell r="J124" t="str">
            <v>VO</v>
          </cell>
          <cell r="K124">
            <v>38028</v>
          </cell>
          <cell r="L124">
            <v>138</v>
          </cell>
          <cell r="M124">
            <v>4200</v>
          </cell>
          <cell r="N124">
            <v>252</v>
          </cell>
        </row>
        <row r="125">
          <cell r="D125">
            <v>110</v>
          </cell>
          <cell r="E125">
            <v>38033</v>
          </cell>
          <cell r="F125">
            <v>9</v>
          </cell>
          <cell r="G125">
            <v>245</v>
          </cell>
          <cell r="H125" t="str">
            <v>CSP00624</v>
          </cell>
          <cell r="I125" t="str">
            <v>R1</v>
          </cell>
          <cell r="J125" t="str">
            <v>AR</v>
          </cell>
          <cell r="K125">
            <v>38028</v>
          </cell>
          <cell r="L125">
            <v>137</v>
          </cell>
          <cell r="M125">
            <v>3200</v>
          </cell>
          <cell r="N125">
            <v>191.58699999999999</v>
          </cell>
        </row>
        <row r="126">
          <cell r="D126">
            <v>103</v>
          </cell>
          <cell r="E126">
            <v>38030</v>
          </cell>
          <cell r="F126">
            <v>9</v>
          </cell>
          <cell r="G126">
            <v>244</v>
          </cell>
          <cell r="H126" t="str">
            <v>CSP00582</v>
          </cell>
          <cell r="I126" t="str">
            <v>R1</v>
          </cell>
          <cell r="J126" t="str">
            <v>AR</v>
          </cell>
          <cell r="K126">
            <v>38028</v>
          </cell>
          <cell r="L126">
            <v>136</v>
          </cell>
          <cell r="M126">
            <v>3840</v>
          </cell>
          <cell r="N126">
            <v>230.18100000000001</v>
          </cell>
        </row>
        <row r="127">
          <cell r="D127">
            <v>123</v>
          </cell>
          <cell r="E127">
            <v>38036</v>
          </cell>
          <cell r="F127">
            <v>9</v>
          </cell>
          <cell r="G127">
            <v>253</v>
          </cell>
          <cell r="H127" t="str">
            <v>P016.518</v>
          </cell>
          <cell r="I127" t="str">
            <v>R2</v>
          </cell>
          <cell r="J127" t="str">
            <v>VO</v>
          </cell>
          <cell r="K127">
            <v>38029</v>
          </cell>
          <cell r="L127">
            <v>143</v>
          </cell>
          <cell r="M127">
            <v>4200</v>
          </cell>
          <cell r="N127">
            <v>252</v>
          </cell>
        </row>
        <row r="128">
          <cell r="D128">
            <v>111</v>
          </cell>
          <cell r="E128">
            <v>38033</v>
          </cell>
          <cell r="F128">
            <v>9</v>
          </cell>
          <cell r="G128">
            <v>255</v>
          </cell>
          <cell r="H128" t="str">
            <v>P016.637</v>
          </cell>
          <cell r="I128" t="str">
            <v>R2</v>
          </cell>
          <cell r="J128" t="str">
            <v>VO</v>
          </cell>
          <cell r="K128">
            <v>38029</v>
          </cell>
          <cell r="L128">
            <v>145</v>
          </cell>
          <cell r="M128">
            <v>4200</v>
          </cell>
          <cell r="N128">
            <v>252</v>
          </cell>
        </row>
        <row r="129">
          <cell r="D129">
            <v>112</v>
          </cell>
          <cell r="E129">
            <v>38033</v>
          </cell>
          <cell r="F129">
            <v>9</v>
          </cell>
          <cell r="G129">
            <v>252</v>
          </cell>
          <cell r="H129" t="str">
            <v>P016.636</v>
          </cell>
          <cell r="I129" t="str">
            <v>R2</v>
          </cell>
          <cell r="J129" t="str">
            <v>VO</v>
          </cell>
          <cell r="K129">
            <v>38029</v>
          </cell>
          <cell r="L129">
            <v>142</v>
          </cell>
          <cell r="M129">
            <v>4200</v>
          </cell>
          <cell r="N129">
            <v>252</v>
          </cell>
        </row>
        <row r="130">
          <cell r="D130">
            <v>129</v>
          </cell>
          <cell r="E130">
            <v>38037</v>
          </cell>
          <cell r="F130">
            <v>9</v>
          </cell>
          <cell r="G130">
            <v>254</v>
          </cell>
          <cell r="H130" t="str">
            <v>P016.519</v>
          </cell>
          <cell r="I130" t="str">
            <v>R2</v>
          </cell>
          <cell r="J130" t="str">
            <v>VO</v>
          </cell>
          <cell r="K130">
            <v>38029</v>
          </cell>
          <cell r="L130">
            <v>144</v>
          </cell>
          <cell r="M130">
            <v>4200</v>
          </cell>
          <cell r="N130">
            <v>252</v>
          </cell>
        </row>
        <row r="131">
          <cell r="D131">
            <v>139</v>
          </cell>
          <cell r="E131">
            <v>38041</v>
          </cell>
          <cell r="F131">
            <v>9</v>
          </cell>
          <cell r="G131">
            <v>266</v>
          </cell>
          <cell r="H131" t="str">
            <v>CSP00631</v>
          </cell>
          <cell r="I131" t="str">
            <v>R2</v>
          </cell>
          <cell r="J131" t="str">
            <v>AR</v>
          </cell>
          <cell r="K131">
            <v>38029</v>
          </cell>
          <cell r="L131">
            <v>154</v>
          </cell>
          <cell r="M131">
            <v>3840</v>
          </cell>
          <cell r="N131">
            <v>229.41900000000001</v>
          </cell>
        </row>
        <row r="132">
          <cell r="D132">
            <v>101</v>
          </cell>
          <cell r="E132">
            <v>38030</v>
          </cell>
          <cell r="F132">
            <v>8</v>
          </cell>
          <cell r="G132">
            <v>259</v>
          </cell>
          <cell r="H132" t="str">
            <v>P8891</v>
          </cell>
          <cell r="I132" t="str">
            <v>R2</v>
          </cell>
          <cell r="J132" t="str">
            <v>FI</v>
          </cell>
          <cell r="K132">
            <v>38029</v>
          </cell>
          <cell r="L132">
            <v>148</v>
          </cell>
          <cell r="M132">
            <v>1920</v>
          </cell>
          <cell r="N132">
            <v>114.8</v>
          </cell>
        </row>
        <row r="133">
          <cell r="D133">
            <v>144</v>
          </cell>
          <cell r="E133">
            <v>38043</v>
          </cell>
          <cell r="F133">
            <v>9</v>
          </cell>
          <cell r="G133">
            <v>323</v>
          </cell>
          <cell r="H133">
            <v>51023</v>
          </cell>
          <cell r="I133" t="str">
            <v>R2</v>
          </cell>
          <cell r="J133" t="str">
            <v>ED</v>
          </cell>
          <cell r="K133">
            <v>38029</v>
          </cell>
          <cell r="L133">
            <v>149</v>
          </cell>
          <cell r="M133">
            <v>8334</v>
          </cell>
          <cell r="N133">
            <v>499.012</v>
          </cell>
        </row>
        <row r="134">
          <cell r="D134">
            <v>119</v>
          </cell>
          <cell r="E134">
            <v>38034</v>
          </cell>
          <cell r="F134">
            <v>9</v>
          </cell>
          <cell r="G134">
            <v>263</v>
          </cell>
          <cell r="H134" t="str">
            <v>CSP00581</v>
          </cell>
          <cell r="I134" t="str">
            <v>R1</v>
          </cell>
          <cell r="J134" t="str">
            <v>AR</v>
          </cell>
          <cell r="K134">
            <v>38030</v>
          </cell>
          <cell r="L134">
            <v>151</v>
          </cell>
          <cell r="M134">
            <v>4800</v>
          </cell>
          <cell r="N134">
            <v>287.85500000000002</v>
          </cell>
        </row>
        <row r="135">
          <cell r="D135">
            <v>120</v>
          </cell>
          <cell r="E135">
            <v>38034</v>
          </cell>
          <cell r="F135">
            <v>9</v>
          </cell>
          <cell r="G135">
            <v>264</v>
          </cell>
          <cell r="H135" t="str">
            <v>CSP00593</v>
          </cell>
          <cell r="I135" t="str">
            <v>R1</v>
          </cell>
          <cell r="J135" t="str">
            <v>AR</v>
          </cell>
          <cell r="K135">
            <v>38030</v>
          </cell>
          <cell r="L135">
            <v>152</v>
          </cell>
          <cell r="M135">
            <v>1920</v>
          </cell>
          <cell r="N135">
            <v>115.122</v>
          </cell>
        </row>
        <row r="136">
          <cell r="D136">
            <v>126</v>
          </cell>
          <cell r="E136">
            <v>38036</v>
          </cell>
          <cell r="F136">
            <v>9</v>
          </cell>
          <cell r="G136">
            <v>225</v>
          </cell>
          <cell r="H136" t="str">
            <v>CSP00563</v>
          </cell>
          <cell r="I136" t="str">
            <v>R1</v>
          </cell>
          <cell r="J136" t="str">
            <v>AR</v>
          </cell>
          <cell r="K136">
            <v>38030</v>
          </cell>
          <cell r="L136">
            <v>155</v>
          </cell>
          <cell r="M136">
            <v>1920</v>
          </cell>
          <cell r="N136">
            <v>115.05200000000001</v>
          </cell>
        </row>
        <row r="137">
          <cell r="D137">
            <v>108</v>
          </cell>
          <cell r="E137">
            <v>38033</v>
          </cell>
          <cell r="F137">
            <v>8</v>
          </cell>
          <cell r="G137">
            <v>267</v>
          </cell>
          <cell r="H137" t="str">
            <v>B024</v>
          </cell>
          <cell r="I137" t="str">
            <v>R2</v>
          </cell>
          <cell r="J137" t="str">
            <v>SU</v>
          </cell>
          <cell r="K137">
            <v>38030</v>
          </cell>
          <cell r="L137">
            <v>156</v>
          </cell>
          <cell r="M137">
            <v>172</v>
          </cell>
          <cell r="N137">
            <v>10.176</v>
          </cell>
        </row>
        <row r="138">
          <cell r="D138">
            <v>113</v>
          </cell>
          <cell r="E138">
            <v>38033</v>
          </cell>
          <cell r="F138">
            <v>9</v>
          </cell>
          <cell r="G138">
            <v>268</v>
          </cell>
          <cell r="H138" t="str">
            <v>B023</v>
          </cell>
          <cell r="I138" t="str">
            <v>R1</v>
          </cell>
          <cell r="J138" t="str">
            <v>SU</v>
          </cell>
          <cell r="K138">
            <v>38030</v>
          </cell>
          <cell r="L138">
            <v>157</v>
          </cell>
          <cell r="M138">
            <v>1961</v>
          </cell>
          <cell r="N138">
            <v>115.18049999999999</v>
          </cell>
        </row>
        <row r="139">
          <cell r="D139">
            <v>146</v>
          </cell>
          <cell r="E139">
            <v>38044</v>
          </cell>
          <cell r="F139">
            <v>9</v>
          </cell>
          <cell r="G139">
            <v>338</v>
          </cell>
          <cell r="H139">
            <v>51015</v>
          </cell>
          <cell r="I139" t="str">
            <v>R1</v>
          </cell>
          <cell r="J139" t="str">
            <v>ED</v>
          </cell>
          <cell r="K139">
            <v>38030</v>
          </cell>
          <cell r="L139">
            <v>161</v>
          </cell>
          <cell r="M139">
            <v>4584</v>
          </cell>
          <cell r="N139">
            <v>274.58</v>
          </cell>
        </row>
        <row r="140">
          <cell r="D140">
            <v>121</v>
          </cell>
          <cell r="E140">
            <v>38035</v>
          </cell>
          <cell r="F140">
            <v>9</v>
          </cell>
          <cell r="G140">
            <v>272</v>
          </cell>
          <cell r="H140" t="str">
            <v>CSP00623</v>
          </cell>
          <cell r="I140" t="str">
            <v>R2</v>
          </cell>
          <cell r="J140" t="str">
            <v>AR</v>
          </cell>
          <cell r="K140">
            <v>38030</v>
          </cell>
          <cell r="L140">
            <v>162</v>
          </cell>
          <cell r="M140">
            <v>1920</v>
          </cell>
          <cell r="N140">
            <v>115.05</v>
          </cell>
        </row>
        <row r="141">
          <cell r="D141">
            <v>136</v>
          </cell>
          <cell r="E141">
            <v>38041</v>
          </cell>
          <cell r="F141">
            <v>9</v>
          </cell>
          <cell r="G141">
            <v>289</v>
          </cell>
          <cell r="H141" t="str">
            <v>CSP00663</v>
          </cell>
          <cell r="I141" t="str">
            <v>R1</v>
          </cell>
          <cell r="J141" t="str">
            <v>AR</v>
          </cell>
          <cell r="K141">
            <v>38033</v>
          </cell>
          <cell r="L141">
            <v>163</v>
          </cell>
          <cell r="M141">
            <v>3840</v>
          </cell>
          <cell r="N141">
            <v>230.06200000000001</v>
          </cell>
        </row>
        <row r="142">
          <cell r="D142">
            <v>133</v>
          </cell>
          <cell r="E142">
            <v>38041</v>
          </cell>
          <cell r="F142">
            <v>9</v>
          </cell>
          <cell r="G142">
            <v>290</v>
          </cell>
          <cell r="H142" t="str">
            <v>CSP00650</v>
          </cell>
          <cell r="I142" t="str">
            <v>R1</v>
          </cell>
          <cell r="J142" t="str">
            <v>AR</v>
          </cell>
          <cell r="K142">
            <v>38033</v>
          </cell>
          <cell r="L142">
            <v>165</v>
          </cell>
          <cell r="M142">
            <v>5120</v>
          </cell>
          <cell r="N142">
            <v>306.68200000000002</v>
          </cell>
        </row>
        <row r="143">
          <cell r="D143">
            <v>124</v>
          </cell>
          <cell r="E143">
            <v>38036</v>
          </cell>
          <cell r="F143">
            <v>8</v>
          </cell>
          <cell r="G143">
            <v>292</v>
          </cell>
          <cell r="H143" t="str">
            <v>CSP00613</v>
          </cell>
          <cell r="I143" t="str">
            <v>R1</v>
          </cell>
          <cell r="J143" t="str">
            <v>AR</v>
          </cell>
          <cell r="K143">
            <v>38033</v>
          </cell>
          <cell r="L143">
            <v>166</v>
          </cell>
          <cell r="M143">
            <v>3840</v>
          </cell>
          <cell r="N143">
            <v>230.01300000000001</v>
          </cell>
        </row>
        <row r="144">
          <cell r="D144">
            <v>128</v>
          </cell>
          <cell r="E144">
            <v>38037</v>
          </cell>
          <cell r="F144">
            <v>9</v>
          </cell>
          <cell r="G144">
            <v>293</v>
          </cell>
          <cell r="H144" t="str">
            <v>04-0540</v>
          </cell>
          <cell r="I144" t="str">
            <v>R2</v>
          </cell>
          <cell r="J144" t="str">
            <v>SU</v>
          </cell>
          <cell r="K144">
            <v>38033</v>
          </cell>
          <cell r="L144">
            <v>167</v>
          </cell>
          <cell r="M144">
            <v>1920</v>
          </cell>
          <cell r="N144">
            <v>114.904</v>
          </cell>
        </row>
        <row r="145">
          <cell r="D145">
            <v>125</v>
          </cell>
          <cell r="E145">
            <v>38036</v>
          </cell>
          <cell r="F145">
            <v>9</v>
          </cell>
          <cell r="G145">
            <v>294</v>
          </cell>
          <cell r="H145" t="str">
            <v>CSP00621</v>
          </cell>
          <cell r="I145" t="str">
            <v>R1</v>
          </cell>
          <cell r="J145" t="str">
            <v>AR</v>
          </cell>
          <cell r="K145">
            <v>38034</v>
          </cell>
          <cell r="L145">
            <v>169</v>
          </cell>
          <cell r="M145">
            <v>3840</v>
          </cell>
          <cell r="N145">
            <v>230.095</v>
          </cell>
        </row>
        <row r="146">
          <cell r="D146">
            <v>172</v>
          </cell>
          <cell r="E146">
            <v>38047</v>
          </cell>
          <cell r="F146">
            <v>8</v>
          </cell>
          <cell r="G146">
            <v>299</v>
          </cell>
          <cell r="H146" t="str">
            <v>CSP00617</v>
          </cell>
          <cell r="I146" t="str">
            <v>R2</v>
          </cell>
          <cell r="J146" t="str">
            <v>AR</v>
          </cell>
          <cell r="K146">
            <v>38034</v>
          </cell>
          <cell r="L146">
            <v>174</v>
          </cell>
          <cell r="M146">
            <v>1920</v>
          </cell>
          <cell r="N146">
            <v>115.16500000000001</v>
          </cell>
        </row>
        <row r="147">
          <cell r="D147">
            <v>151</v>
          </cell>
          <cell r="E147">
            <v>38044</v>
          </cell>
          <cell r="F147">
            <v>8</v>
          </cell>
          <cell r="G147">
            <v>318</v>
          </cell>
          <cell r="H147" t="str">
            <v>04-0542</v>
          </cell>
          <cell r="I147" t="str">
            <v>R2</v>
          </cell>
          <cell r="J147" t="str">
            <v>SU</v>
          </cell>
          <cell r="K147">
            <v>38037</v>
          </cell>
          <cell r="L147">
            <v>188</v>
          </cell>
          <cell r="M147">
            <v>640</v>
          </cell>
          <cell r="N147">
            <v>38.344999999999999</v>
          </cell>
        </row>
        <row r="148">
          <cell r="D148">
            <v>154</v>
          </cell>
          <cell r="E148">
            <v>38047</v>
          </cell>
          <cell r="F148">
            <v>9</v>
          </cell>
          <cell r="G148">
            <v>341</v>
          </cell>
          <cell r="H148" t="str">
            <v>P016.639</v>
          </cell>
          <cell r="I148" t="str">
            <v>R2</v>
          </cell>
          <cell r="J148" t="str">
            <v>VO</v>
          </cell>
          <cell r="K148">
            <v>38040</v>
          </cell>
          <cell r="L148">
            <v>195</v>
          </cell>
          <cell r="M148">
            <v>4200</v>
          </cell>
          <cell r="N148">
            <v>252</v>
          </cell>
        </row>
        <row r="149">
          <cell r="D149">
            <v>131</v>
          </cell>
          <cell r="E149">
            <v>38040</v>
          </cell>
          <cell r="F149">
            <v>9</v>
          </cell>
          <cell r="G149">
            <v>313</v>
          </cell>
          <cell r="H149" t="str">
            <v>P016.520</v>
          </cell>
          <cell r="I149" t="str">
            <v>R2</v>
          </cell>
          <cell r="J149" t="str">
            <v>VO</v>
          </cell>
          <cell r="K149">
            <v>38036</v>
          </cell>
          <cell r="L149">
            <v>183</v>
          </cell>
          <cell r="M149">
            <v>4200</v>
          </cell>
          <cell r="N149">
            <v>252</v>
          </cell>
        </row>
        <row r="150">
          <cell r="D150">
            <v>142</v>
          </cell>
          <cell r="E150">
            <v>38042</v>
          </cell>
          <cell r="F150">
            <v>9</v>
          </cell>
          <cell r="G150">
            <v>312</v>
          </cell>
          <cell r="H150" t="str">
            <v>P016.638</v>
          </cell>
          <cell r="I150" t="str">
            <v>R2</v>
          </cell>
          <cell r="J150" t="str">
            <v>VO</v>
          </cell>
          <cell r="K150">
            <v>38035</v>
          </cell>
          <cell r="L150">
            <v>182</v>
          </cell>
          <cell r="M150">
            <v>4200</v>
          </cell>
          <cell r="N150">
            <v>252</v>
          </cell>
        </row>
        <row r="151">
          <cell r="D151">
            <v>162</v>
          </cell>
          <cell r="E151">
            <v>38049</v>
          </cell>
          <cell r="F151">
            <v>9</v>
          </cell>
          <cell r="G151">
            <v>303</v>
          </cell>
          <cell r="H151" t="str">
            <v>CSP00635</v>
          </cell>
          <cell r="I151" t="str">
            <v>R2</v>
          </cell>
          <cell r="J151" t="str">
            <v>AR</v>
          </cell>
          <cell r="K151">
            <v>38036</v>
          </cell>
          <cell r="L151">
            <v>177</v>
          </cell>
          <cell r="M151">
            <v>1920</v>
          </cell>
          <cell r="N151">
            <v>115.1</v>
          </cell>
        </row>
        <row r="152">
          <cell r="D152">
            <v>168</v>
          </cell>
          <cell r="E152">
            <v>38050</v>
          </cell>
          <cell r="F152">
            <v>9</v>
          </cell>
          <cell r="G152">
            <v>304</v>
          </cell>
          <cell r="H152" t="str">
            <v>779;798;
824;855</v>
          </cell>
          <cell r="I152" t="str">
            <v>R1</v>
          </cell>
          <cell r="J152" t="str">
            <v>ED</v>
          </cell>
          <cell r="K152">
            <v>38035</v>
          </cell>
          <cell r="L152">
            <v>178</v>
          </cell>
          <cell r="M152">
            <v>3150</v>
          </cell>
          <cell r="N152">
            <v>188.7886</v>
          </cell>
        </row>
        <row r="153">
          <cell r="D153">
            <v>134</v>
          </cell>
          <cell r="E153">
            <v>38041</v>
          </cell>
          <cell r="F153">
            <v>1</v>
          </cell>
          <cell r="G153">
            <v>311</v>
          </cell>
          <cell r="H153" t="str">
            <v>CSP00630</v>
          </cell>
          <cell r="I153" t="str">
            <v>R2</v>
          </cell>
          <cell r="J153" t="str">
            <v>AR</v>
          </cell>
          <cell r="K153">
            <v>38036</v>
          </cell>
          <cell r="L153">
            <v>181</v>
          </cell>
          <cell r="M153">
            <v>1920</v>
          </cell>
          <cell r="N153">
            <v>115.083</v>
          </cell>
        </row>
        <row r="154">
          <cell r="D154">
            <v>130</v>
          </cell>
          <cell r="E154">
            <v>38040</v>
          </cell>
          <cell r="F154">
            <v>9</v>
          </cell>
          <cell r="G154">
            <v>326</v>
          </cell>
          <cell r="H154" t="str">
            <v>808/03</v>
          </cell>
          <cell r="I154" t="str">
            <v>R2</v>
          </cell>
          <cell r="J154" t="str">
            <v>ED</v>
          </cell>
          <cell r="K154">
            <v>38037</v>
          </cell>
          <cell r="L154">
            <v>186</v>
          </cell>
          <cell r="M154">
            <v>1800</v>
          </cell>
          <cell r="N154">
            <v>108</v>
          </cell>
        </row>
        <row r="155">
          <cell r="D155">
            <v>143</v>
          </cell>
          <cell r="E155">
            <v>38043</v>
          </cell>
          <cell r="F155">
            <v>9</v>
          </cell>
          <cell r="G155">
            <v>387</v>
          </cell>
          <cell r="H155">
            <v>51025</v>
          </cell>
          <cell r="I155" t="str">
            <v>R2</v>
          </cell>
          <cell r="J155" t="str">
            <v>ED</v>
          </cell>
          <cell r="K155">
            <v>38037</v>
          </cell>
          <cell r="L155">
            <v>187</v>
          </cell>
          <cell r="M155">
            <v>5915</v>
          </cell>
          <cell r="N155">
            <v>354.01400000000001</v>
          </cell>
        </row>
        <row r="156">
          <cell r="D156">
            <v>140</v>
          </cell>
          <cell r="E156">
            <v>38042</v>
          </cell>
          <cell r="F156">
            <v>9</v>
          </cell>
          <cell r="G156">
            <v>328</v>
          </cell>
          <cell r="H156" t="str">
            <v>CSP00629</v>
          </cell>
          <cell r="I156" t="str">
            <v>R2</v>
          </cell>
          <cell r="J156" t="str">
            <v>AR</v>
          </cell>
          <cell r="K156">
            <v>38037</v>
          </cell>
          <cell r="L156">
            <v>190</v>
          </cell>
          <cell r="M156">
            <v>3840</v>
          </cell>
          <cell r="N156">
            <v>230.06200000000001</v>
          </cell>
        </row>
        <row r="157">
          <cell r="D157">
            <v>153</v>
          </cell>
          <cell r="E157">
            <v>38044</v>
          </cell>
          <cell r="F157">
            <v>9</v>
          </cell>
          <cell r="G157">
            <v>327</v>
          </cell>
          <cell r="H157" t="str">
            <v>CSP00634</v>
          </cell>
          <cell r="I157" t="str">
            <v>R1</v>
          </cell>
          <cell r="J157" t="str">
            <v>AR</v>
          </cell>
          <cell r="K157">
            <v>38037</v>
          </cell>
          <cell r="L157">
            <v>189</v>
          </cell>
          <cell r="M157">
            <v>8320</v>
          </cell>
          <cell r="N157">
            <v>498.36500000000001</v>
          </cell>
        </row>
        <row r="158">
          <cell r="D158">
            <v>137</v>
          </cell>
          <cell r="E158">
            <v>38041</v>
          </cell>
          <cell r="F158">
            <v>9</v>
          </cell>
          <cell r="G158">
            <v>339</v>
          </cell>
          <cell r="H158" t="str">
            <v>CSP00640</v>
          </cell>
          <cell r="I158" t="str">
            <v>R1</v>
          </cell>
          <cell r="J158" t="str">
            <v>AR</v>
          </cell>
          <cell r="K158">
            <v>38040</v>
          </cell>
          <cell r="L158">
            <v>193</v>
          </cell>
          <cell r="M158">
            <v>3840</v>
          </cell>
          <cell r="N158">
            <v>230.11799999999999</v>
          </cell>
        </row>
        <row r="159">
          <cell r="D159">
            <v>135</v>
          </cell>
          <cell r="E159">
            <v>38041</v>
          </cell>
          <cell r="F159">
            <v>1</v>
          </cell>
          <cell r="G159">
            <v>340</v>
          </cell>
          <cell r="H159" t="str">
            <v>CSP00626</v>
          </cell>
          <cell r="I159" t="str">
            <v>R2</v>
          </cell>
          <cell r="J159" t="str">
            <v>AR</v>
          </cell>
          <cell r="K159">
            <v>38040</v>
          </cell>
          <cell r="L159">
            <v>194</v>
          </cell>
          <cell r="M159">
            <v>1920</v>
          </cell>
          <cell r="N159">
            <v>114.98699999999999</v>
          </cell>
        </row>
        <row r="160">
          <cell r="D160">
            <v>155</v>
          </cell>
          <cell r="E160">
            <v>38048</v>
          </cell>
          <cell r="F160">
            <v>9</v>
          </cell>
          <cell r="G160">
            <v>386</v>
          </cell>
          <cell r="H160">
            <v>50988</v>
          </cell>
          <cell r="I160" t="str">
            <v>R1</v>
          </cell>
          <cell r="J160" t="str">
            <v>ED</v>
          </cell>
          <cell r="K160">
            <v>38040</v>
          </cell>
          <cell r="L160">
            <v>198</v>
          </cell>
          <cell r="M160">
            <v>1568</v>
          </cell>
          <cell r="N160">
            <v>93.918999999999997</v>
          </cell>
        </row>
        <row r="161">
          <cell r="D161">
            <v>170</v>
          </cell>
          <cell r="E161">
            <v>38050</v>
          </cell>
          <cell r="F161">
            <v>9</v>
          </cell>
          <cell r="G161">
            <v>417</v>
          </cell>
          <cell r="H161">
            <v>51026</v>
          </cell>
          <cell r="I161" t="str">
            <v>R2</v>
          </cell>
          <cell r="J161" t="str">
            <v>ED</v>
          </cell>
          <cell r="K161">
            <v>38040</v>
          </cell>
          <cell r="L161">
            <v>197</v>
          </cell>
          <cell r="M161">
            <v>9167</v>
          </cell>
          <cell r="N161">
            <v>549.05499999999995</v>
          </cell>
        </row>
        <row r="162">
          <cell r="D162">
            <v>147</v>
          </cell>
          <cell r="E162">
            <v>38044</v>
          </cell>
          <cell r="F162">
            <v>9</v>
          </cell>
          <cell r="G162">
            <v>349</v>
          </cell>
          <cell r="H162" t="str">
            <v>CSP00701</v>
          </cell>
          <cell r="I162" t="str">
            <v>R1</v>
          </cell>
          <cell r="J162" t="str">
            <v>AR</v>
          </cell>
          <cell r="K162">
            <v>38041</v>
          </cell>
          <cell r="L162">
            <v>201</v>
          </cell>
          <cell r="M162">
            <v>3840</v>
          </cell>
          <cell r="N162">
            <v>230.203</v>
          </cell>
        </row>
        <row r="163">
          <cell r="D163">
            <v>158</v>
          </cell>
          <cell r="E163">
            <v>38049</v>
          </cell>
          <cell r="F163">
            <v>9</v>
          </cell>
          <cell r="G163">
            <v>348</v>
          </cell>
          <cell r="H163" t="str">
            <v>CSP00565</v>
          </cell>
          <cell r="I163" t="str">
            <v>R1</v>
          </cell>
          <cell r="J163" t="str">
            <v>AR</v>
          </cell>
          <cell r="K163">
            <v>38041</v>
          </cell>
          <cell r="L163">
            <v>200</v>
          </cell>
          <cell r="M163">
            <v>3200</v>
          </cell>
          <cell r="N163">
            <v>191.72</v>
          </cell>
        </row>
        <row r="164">
          <cell r="D164">
            <v>148</v>
          </cell>
          <cell r="E164">
            <v>38044</v>
          </cell>
          <cell r="F164">
            <v>8</v>
          </cell>
          <cell r="G164">
            <v>353</v>
          </cell>
          <cell r="H164" t="str">
            <v>CSP00642</v>
          </cell>
          <cell r="I164" t="str">
            <v>R1</v>
          </cell>
          <cell r="J164" t="str">
            <v>AR</v>
          </cell>
          <cell r="K164">
            <v>38041</v>
          </cell>
          <cell r="L164">
            <v>205</v>
          </cell>
          <cell r="M164">
            <v>3840</v>
          </cell>
          <cell r="N164">
            <v>230.226</v>
          </cell>
        </row>
        <row r="165">
          <cell r="D165">
            <v>161</v>
          </cell>
          <cell r="E165">
            <v>38049</v>
          </cell>
          <cell r="F165">
            <v>9</v>
          </cell>
          <cell r="G165">
            <v>352</v>
          </cell>
          <cell r="H165" t="str">
            <v>CSP00644</v>
          </cell>
          <cell r="I165" t="str">
            <v>R2</v>
          </cell>
          <cell r="J165" t="str">
            <v>AR</v>
          </cell>
          <cell r="K165">
            <v>38041</v>
          </cell>
          <cell r="L165">
            <v>204</v>
          </cell>
          <cell r="M165">
            <v>3840</v>
          </cell>
          <cell r="N165">
            <v>230.041</v>
          </cell>
        </row>
        <row r="166">
          <cell r="D166">
            <v>157</v>
          </cell>
          <cell r="E166">
            <v>38049</v>
          </cell>
          <cell r="F166">
            <v>9</v>
          </cell>
          <cell r="G166">
            <v>350</v>
          </cell>
          <cell r="H166" t="str">
            <v>CSP00651</v>
          </cell>
          <cell r="I166" t="str">
            <v>R1</v>
          </cell>
          <cell r="J166" t="str">
            <v>AR</v>
          </cell>
          <cell r="K166">
            <v>38041</v>
          </cell>
          <cell r="L166">
            <v>202</v>
          </cell>
          <cell r="M166">
            <v>1920</v>
          </cell>
          <cell r="N166">
            <v>115.071</v>
          </cell>
        </row>
        <row r="167">
          <cell r="D167">
            <v>145</v>
          </cell>
          <cell r="E167">
            <v>38043</v>
          </cell>
          <cell r="F167">
            <v>8</v>
          </cell>
          <cell r="G167">
            <v>354</v>
          </cell>
          <cell r="H167" t="str">
            <v>CSP00653</v>
          </cell>
          <cell r="I167" t="str">
            <v>R1</v>
          </cell>
          <cell r="J167" t="str">
            <v>AR</v>
          </cell>
          <cell r="K167">
            <v>38041</v>
          </cell>
          <cell r="L167">
            <v>206</v>
          </cell>
          <cell r="M167">
            <v>1920</v>
          </cell>
          <cell r="N167">
            <v>114.944</v>
          </cell>
        </row>
        <row r="168">
          <cell r="D168">
            <v>149</v>
          </cell>
          <cell r="E168">
            <v>38044</v>
          </cell>
          <cell r="F168">
            <v>9</v>
          </cell>
          <cell r="G168">
            <v>356</v>
          </cell>
          <cell r="H168" t="str">
            <v>CSP00725</v>
          </cell>
          <cell r="I168" t="str">
            <v>R1</v>
          </cell>
          <cell r="J168" t="str">
            <v>AR</v>
          </cell>
          <cell r="K168">
            <v>38041</v>
          </cell>
          <cell r="L168">
            <v>209</v>
          </cell>
          <cell r="M168">
            <v>1920</v>
          </cell>
          <cell r="N168">
            <v>115.086</v>
          </cell>
        </row>
        <row r="169">
          <cell r="D169">
            <v>165</v>
          </cell>
          <cell r="E169">
            <v>38049</v>
          </cell>
          <cell r="F169">
            <v>1</v>
          </cell>
          <cell r="G169">
            <v>362</v>
          </cell>
          <cell r="H169" t="str">
            <v>CSP00727</v>
          </cell>
          <cell r="I169" t="str">
            <v>R2</v>
          </cell>
          <cell r="J169" t="str">
            <v>AR</v>
          </cell>
          <cell r="K169">
            <v>38042</v>
          </cell>
          <cell r="L169">
            <v>213</v>
          </cell>
          <cell r="M169">
            <v>1920</v>
          </cell>
          <cell r="N169">
            <v>115.078</v>
          </cell>
        </row>
        <row r="170">
          <cell r="D170">
            <v>169</v>
          </cell>
          <cell r="E170">
            <v>38050</v>
          </cell>
          <cell r="F170">
            <v>9</v>
          </cell>
          <cell r="G170">
            <v>361</v>
          </cell>
          <cell r="H170" t="str">
            <v>CSP00709</v>
          </cell>
          <cell r="I170" t="str">
            <v>R1</v>
          </cell>
          <cell r="J170" t="str">
            <v>AR</v>
          </cell>
          <cell r="K170">
            <v>38042</v>
          </cell>
          <cell r="L170">
            <v>212</v>
          </cell>
          <cell r="M170">
            <v>1920</v>
          </cell>
          <cell r="N170">
            <v>115.03</v>
          </cell>
        </row>
        <row r="171">
          <cell r="D171">
            <v>152</v>
          </cell>
          <cell r="E171">
            <v>38044</v>
          </cell>
          <cell r="F171">
            <v>9</v>
          </cell>
          <cell r="G171">
            <v>371</v>
          </cell>
          <cell r="H171" t="str">
            <v>P8899</v>
          </cell>
          <cell r="I171" t="str">
            <v>R2</v>
          </cell>
          <cell r="J171" t="str">
            <v>FI</v>
          </cell>
          <cell r="K171">
            <v>38043</v>
          </cell>
          <cell r="L171">
            <v>216</v>
          </cell>
          <cell r="M171">
            <v>1920</v>
          </cell>
          <cell r="N171">
            <v>114.88200000000001</v>
          </cell>
        </row>
        <row r="172">
          <cell r="D172">
            <v>159</v>
          </cell>
          <cell r="E172">
            <v>38049</v>
          </cell>
          <cell r="F172">
            <v>9</v>
          </cell>
          <cell r="G172">
            <v>373</v>
          </cell>
          <cell r="H172" t="str">
            <v>CSP00645</v>
          </cell>
          <cell r="I172" t="str">
            <v>R1</v>
          </cell>
          <cell r="J172" t="str">
            <v>AR</v>
          </cell>
          <cell r="K172">
            <v>38043</v>
          </cell>
          <cell r="L172">
            <v>218</v>
          </cell>
          <cell r="M172">
            <v>3840</v>
          </cell>
          <cell r="N172">
            <v>230.18899999999999</v>
          </cell>
        </row>
        <row r="173">
          <cell r="D173">
            <v>160</v>
          </cell>
          <cell r="E173">
            <v>38049</v>
          </cell>
          <cell r="F173">
            <v>9</v>
          </cell>
          <cell r="G173">
            <v>383</v>
          </cell>
          <cell r="H173" t="str">
            <v>P016.342</v>
          </cell>
          <cell r="I173" t="str">
            <v>R2</v>
          </cell>
          <cell r="J173" t="str">
            <v>VO</v>
          </cell>
          <cell r="K173">
            <v>38044</v>
          </cell>
          <cell r="L173">
            <v>220</v>
          </cell>
          <cell r="M173">
            <v>4200</v>
          </cell>
          <cell r="N173">
            <v>252</v>
          </cell>
        </row>
        <row r="174">
          <cell r="D174">
            <v>166</v>
          </cell>
          <cell r="E174">
            <v>38050</v>
          </cell>
          <cell r="F174">
            <v>9</v>
          </cell>
          <cell r="G174">
            <v>382</v>
          </cell>
          <cell r="H174" t="str">
            <v>CSP00625</v>
          </cell>
          <cell r="I174" t="str">
            <v>R2</v>
          </cell>
          <cell r="J174" t="str">
            <v>AR</v>
          </cell>
          <cell r="K174">
            <v>38044</v>
          </cell>
          <cell r="L174">
            <v>219</v>
          </cell>
          <cell r="M174">
            <v>4800</v>
          </cell>
          <cell r="N174">
            <v>287.58199999999999</v>
          </cell>
        </row>
        <row r="175">
          <cell r="D175">
            <v>164</v>
          </cell>
          <cell r="E175">
            <v>38049</v>
          </cell>
          <cell r="F175">
            <v>9</v>
          </cell>
          <cell r="G175">
            <v>386</v>
          </cell>
          <cell r="H175" t="str">
            <v>868/04</v>
          </cell>
          <cell r="I175" t="str">
            <v>R1</v>
          </cell>
          <cell r="J175" t="str">
            <v>ED</v>
          </cell>
          <cell r="K175">
            <v>38044</v>
          </cell>
          <cell r="L175">
            <v>223</v>
          </cell>
          <cell r="M175">
            <v>2100</v>
          </cell>
          <cell r="N175">
            <v>125.86799999999999</v>
          </cell>
        </row>
        <row r="176">
          <cell r="D176">
            <v>171</v>
          </cell>
          <cell r="E176">
            <v>38054</v>
          </cell>
          <cell r="F176">
            <v>9</v>
          </cell>
          <cell r="G176">
            <v>403</v>
          </cell>
          <cell r="H176" t="str">
            <v>CSP00666</v>
          </cell>
          <cell r="I176" t="str">
            <v>R1</v>
          </cell>
          <cell r="J176" t="str">
            <v>AR</v>
          </cell>
          <cell r="K176">
            <v>38047</v>
          </cell>
          <cell r="L176">
            <v>229</v>
          </cell>
          <cell r="M176">
            <v>1920</v>
          </cell>
          <cell r="N176">
            <v>114.94199999999999</v>
          </cell>
        </row>
        <row r="177">
          <cell r="D177">
            <v>163</v>
          </cell>
          <cell r="E177">
            <v>38049</v>
          </cell>
          <cell r="F177">
            <v>8</v>
          </cell>
          <cell r="G177">
            <v>411</v>
          </cell>
          <cell r="H177" t="str">
            <v>P8818</v>
          </cell>
          <cell r="I177" t="str">
            <v>R1</v>
          </cell>
          <cell r="J177" t="str">
            <v>FI</v>
          </cell>
          <cell r="K177">
            <v>38048</v>
          </cell>
          <cell r="L177">
            <v>231</v>
          </cell>
          <cell r="M177">
            <v>1860</v>
          </cell>
          <cell r="N177">
            <v>111.22199999999999</v>
          </cell>
        </row>
        <row r="178">
          <cell r="D178">
            <v>156</v>
          </cell>
          <cell r="E178">
            <v>38049</v>
          </cell>
          <cell r="F178">
            <v>9</v>
          </cell>
          <cell r="G178">
            <v>415</v>
          </cell>
          <cell r="H178" t="str">
            <v>CSP00705</v>
          </cell>
          <cell r="I178" t="str">
            <v>R1</v>
          </cell>
          <cell r="J178" t="str">
            <v>AR</v>
          </cell>
          <cell r="K178">
            <v>38048</v>
          </cell>
          <cell r="L178">
            <v>235</v>
          </cell>
          <cell r="M178">
            <v>3200</v>
          </cell>
          <cell r="N178">
            <v>191.81200000000001</v>
          </cell>
        </row>
        <row r="179">
          <cell r="D179">
            <v>167</v>
          </cell>
          <cell r="E179">
            <v>38050</v>
          </cell>
          <cell r="F179">
            <v>9</v>
          </cell>
          <cell r="G179">
            <v>412</v>
          </cell>
          <cell r="H179" t="str">
            <v>CSP00664</v>
          </cell>
          <cell r="I179" t="str">
            <v>R1</v>
          </cell>
          <cell r="J179" t="str">
            <v>AR</v>
          </cell>
          <cell r="K179">
            <v>38048</v>
          </cell>
          <cell r="L179">
            <v>232</v>
          </cell>
          <cell r="M179">
            <v>3840</v>
          </cell>
          <cell r="N179">
            <v>230.315</v>
          </cell>
        </row>
        <row r="180">
          <cell r="D180">
            <v>174</v>
          </cell>
          <cell r="E180">
            <v>38056</v>
          </cell>
          <cell r="F180">
            <v>9</v>
          </cell>
          <cell r="G180">
            <v>416</v>
          </cell>
          <cell r="H180" t="str">
            <v>866/04</v>
          </cell>
          <cell r="I180" t="str">
            <v>R1</v>
          </cell>
          <cell r="J180" t="str">
            <v>ED</v>
          </cell>
          <cell r="K180">
            <v>38048</v>
          </cell>
          <cell r="L180">
            <v>236</v>
          </cell>
          <cell r="M180">
            <v>2100</v>
          </cell>
          <cell r="N180">
            <v>125.84</v>
          </cell>
        </row>
        <row r="181">
          <cell r="D181">
            <v>175</v>
          </cell>
          <cell r="E181">
            <v>38058</v>
          </cell>
          <cell r="F181">
            <v>9</v>
          </cell>
          <cell r="G181">
            <v>423</v>
          </cell>
          <cell r="H181" t="str">
            <v>CSP00730</v>
          </cell>
          <cell r="I181" t="str">
            <v>R2</v>
          </cell>
          <cell r="J181" t="str">
            <v>AR</v>
          </cell>
          <cell r="K181">
            <v>38049</v>
          </cell>
          <cell r="L181">
            <v>239</v>
          </cell>
          <cell r="M181">
            <v>1920</v>
          </cell>
          <cell r="N181">
            <v>115.07599999999999</v>
          </cell>
        </row>
        <row r="182">
          <cell r="D182">
            <v>176</v>
          </cell>
          <cell r="E182">
            <v>38058</v>
          </cell>
          <cell r="F182">
            <v>8</v>
          </cell>
          <cell r="G182">
            <v>462</v>
          </cell>
          <cell r="H182" t="str">
            <v>CSP00713</v>
          </cell>
          <cell r="I182" t="str">
            <v>R1</v>
          </cell>
          <cell r="J182" t="str">
            <v>AR</v>
          </cell>
          <cell r="K182">
            <v>38050</v>
          </cell>
          <cell r="L182">
            <v>241</v>
          </cell>
          <cell r="M182">
            <v>1920</v>
          </cell>
          <cell r="N182">
            <v>114.947</v>
          </cell>
        </row>
        <row r="183">
          <cell r="D183">
            <v>173</v>
          </cell>
          <cell r="E183">
            <v>38055</v>
          </cell>
          <cell r="F183">
            <v>8</v>
          </cell>
          <cell r="G183">
            <v>454</v>
          </cell>
          <cell r="H183" t="str">
            <v>841/04A</v>
          </cell>
          <cell r="I183" t="str">
            <v>R1</v>
          </cell>
          <cell r="J183" t="str">
            <v>ED</v>
          </cell>
          <cell r="K183">
            <v>38055</v>
          </cell>
          <cell r="L183">
            <v>246</v>
          </cell>
          <cell r="M183">
            <v>320</v>
          </cell>
          <cell r="N183">
            <v>19.154</v>
          </cell>
        </row>
        <row r="184">
          <cell r="D184">
            <v>191</v>
          </cell>
          <cell r="E184">
            <v>38078</v>
          </cell>
          <cell r="F184">
            <v>1</v>
          </cell>
          <cell r="G184">
            <v>534</v>
          </cell>
          <cell r="H184" t="str">
            <v>841/04B</v>
          </cell>
          <cell r="I184" t="str">
            <v>R1</v>
          </cell>
          <cell r="J184" t="str">
            <v>ED</v>
          </cell>
          <cell r="K184">
            <v>38069</v>
          </cell>
          <cell r="L184">
            <v>258</v>
          </cell>
          <cell r="M184">
            <v>1600</v>
          </cell>
          <cell r="N184">
            <v>95.831000000000003</v>
          </cell>
        </row>
        <row r="185">
          <cell r="D185">
            <v>206</v>
          </cell>
          <cell r="E185">
            <v>38089</v>
          </cell>
          <cell r="F185">
            <v>8</v>
          </cell>
          <cell r="G185">
            <v>619</v>
          </cell>
          <cell r="H185" t="str">
            <v>CSP00793</v>
          </cell>
          <cell r="I185" t="str">
            <v>R1</v>
          </cell>
          <cell r="J185" t="str">
            <v>AR</v>
          </cell>
          <cell r="K185">
            <v>38084</v>
          </cell>
          <cell r="L185">
            <v>274</v>
          </cell>
          <cell r="M185">
            <v>1920</v>
          </cell>
          <cell r="N185">
            <v>114.996</v>
          </cell>
        </row>
        <row r="186">
          <cell r="D186">
            <v>208</v>
          </cell>
          <cell r="E186">
            <v>38089</v>
          </cell>
          <cell r="F186">
            <v>8</v>
          </cell>
          <cell r="G186">
            <v>618</v>
          </cell>
          <cell r="H186" t="str">
            <v>CSP00785</v>
          </cell>
          <cell r="I186" t="str">
            <v>R1</v>
          </cell>
          <cell r="J186" t="str">
            <v>AR</v>
          </cell>
          <cell r="K186">
            <v>38084</v>
          </cell>
          <cell r="L186">
            <v>273</v>
          </cell>
          <cell r="M186">
            <v>1920</v>
          </cell>
          <cell r="N186">
            <v>114.842</v>
          </cell>
        </row>
        <row r="187">
          <cell r="D187">
            <v>260</v>
          </cell>
          <cell r="E187">
            <v>38138</v>
          </cell>
          <cell r="F187">
            <v>8</v>
          </cell>
          <cell r="G187">
            <v>885</v>
          </cell>
          <cell r="H187" t="str">
            <v>CSP00873</v>
          </cell>
          <cell r="I187" t="str">
            <v>R1</v>
          </cell>
          <cell r="J187" t="str">
            <v>AR</v>
          </cell>
          <cell r="K187">
            <v>38133</v>
          </cell>
          <cell r="L187">
            <v>299</v>
          </cell>
          <cell r="M187">
            <v>1920</v>
          </cell>
          <cell r="N187">
            <v>115.035</v>
          </cell>
        </row>
        <row r="188">
          <cell r="D188">
            <v>266</v>
          </cell>
          <cell r="E188">
            <v>38145</v>
          </cell>
          <cell r="F188">
            <v>8</v>
          </cell>
          <cell r="G188">
            <v>906</v>
          </cell>
          <cell r="H188" t="str">
            <v>CSP00814</v>
          </cell>
          <cell r="I188" t="str">
            <v>R1</v>
          </cell>
          <cell r="J188" t="str">
            <v>AR</v>
          </cell>
          <cell r="K188">
            <v>38138</v>
          </cell>
          <cell r="L188">
            <v>300</v>
          </cell>
          <cell r="M188">
            <v>3200</v>
          </cell>
          <cell r="N188">
            <v>192</v>
          </cell>
        </row>
        <row r="189">
          <cell r="D189">
            <v>264</v>
          </cell>
          <cell r="E189">
            <v>38142</v>
          </cell>
          <cell r="F189">
            <v>8</v>
          </cell>
          <cell r="G189">
            <v>907</v>
          </cell>
          <cell r="H189" t="str">
            <v>CSP00892</v>
          </cell>
          <cell r="I189" t="str">
            <v>R1</v>
          </cell>
          <cell r="J189" t="str">
            <v>AR</v>
          </cell>
          <cell r="K189">
            <v>38138</v>
          </cell>
          <cell r="L189">
            <v>301</v>
          </cell>
          <cell r="M189">
            <v>1920</v>
          </cell>
          <cell r="N189">
            <v>114.961</v>
          </cell>
        </row>
        <row r="190">
          <cell r="D190">
            <v>263</v>
          </cell>
          <cell r="E190">
            <v>38140</v>
          </cell>
          <cell r="F190">
            <v>8</v>
          </cell>
          <cell r="G190">
            <v>908</v>
          </cell>
          <cell r="H190" t="str">
            <v>CSP00905</v>
          </cell>
          <cell r="I190" t="str">
            <v>R1</v>
          </cell>
          <cell r="J190" t="str">
            <v>AR</v>
          </cell>
          <cell r="K190">
            <v>38138</v>
          </cell>
          <cell r="L190">
            <v>302</v>
          </cell>
          <cell r="M190">
            <v>3840</v>
          </cell>
          <cell r="N190">
            <v>229.81800000000001</v>
          </cell>
        </row>
        <row r="191">
          <cell r="D191">
            <v>280</v>
          </cell>
          <cell r="E191">
            <v>38168</v>
          </cell>
          <cell r="F191">
            <v>8</v>
          </cell>
          <cell r="G191">
            <v>1051</v>
          </cell>
          <cell r="H191" t="str">
            <v>CSP00940</v>
          </cell>
          <cell r="I191" t="str">
            <v>R2</v>
          </cell>
          <cell r="J191" t="str">
            <v>AR</v>
          </cell>
          <cell r="K191">
            <v>38166</v>
          </cell>
          <cell r="L191">
            <v>315</v>
          </cell>
          <cell r="M191">
            <v>1920</v>
          </cell>
          <cell r="N191">
            <v>115.2</v>
          </cell>
        </row>
        <row r="192">
          <cell r="D192">
            <v>297</v>
          </cell>
          <cell r="E192">
            <v>38208</v>
          </cell>
          <cell r="F192">
            <v>9</v>
          </cell>
          <cell r="G192">
            <v>1974</v>
          </cell>
          <cell r="H192">
            <v>51181</v>
          </cell>
          <cell r="I192" t="str">
            <v>R1</v>
          </cell>
          <cell r="J192" t="str">
            <v>ED</v>
          </cell>
          <cell r="K192">
            <v>38208</v>
          </cell>
          <cell r="L192">
            <v>342</v>
          </cell>
          <cell r="M192">
            <v>228</v>
          </cell>
          <cell r="N192">
            <v>13.4976</v>
          </cell>
        </row>
        <row r="193">
          <cell r="D193">
            <v>312</v>
          </cell>
          <cell r="E193">
            <v>38273</v>
          </cell>
          <cell r="F193">
            <v>5</v>
          </cell>
          <cell r="G193">
            <v>1502</v>
          </cell>
          <cell r="H193" t="str">
            <v>CSP01095</v>
          </cell>
          <cell r="I193" t="str">
            <v>R2</v>
          </cell>
          <cell r="J193" t="str">
            <v>AR</v>
          </cell>
          <cell r="K193">
            <v>38271</v>
          </cell>
          <cell r="L193">
            <v>372</v>
          </cell>
          <cell r="M193">
            <v>690</v>
          </cell>
          <cell r="N193">
            <v>41.334000000000003</v>
          </cell>
        </row>
        <row r="194">
          <cell r="D194" t="str">
            <v>313;314</v>
          </cell>
          <cell r="E194">
            <v>38275</v>
          </cell>
          <cell r="F194">
            <v>8</v>
          </cell>
          <cell r="G194">
            <v>1522</v>
          </cell>
          <cell r="H194" t="str">
            <v>CSP01084;CSP01094</v>
          </cell>
          <cell r="I194" t="str">
            <v>R2</v>
          </cell>
          <cell r="J194" t="str">
            <v>AR</v>
          </cell>
          <cell r="K194">
            <v>38274</v>
          </cell>
          <cell r="L194">
            <v>378</v>
          </cell>
          <cell r="M194">
            <v>860</v>
          </cell>
          <cell r="N194">
            <v>51.53</v>
          </cell>
        </row>
        <row r="195">
          <cell r="D195">
            <v>316</v>
          </cell>
          <cell r="E195">
            <v>38279</v>
          </cell>
          <cell r="F195">
            <v>10</v>
          </cell>
          <cell r="G195">
            <v>1528</v>
          </cell>
          <cell r="H195" t="str">
            <v>CSP01079</v>
          </cell>
          <cell r="I195" t="str">
            <v>R2</v>
          </cell>
          <cell r="J195" t="str">
            <v>AR</v>
          </cell>
          <cell r="K195">
            <v>38275</v>
          </cell>
          <cell r="L195">
            <v>379</v>
          </cell>
          <cell r="M195">
            <v>870</v>
          </cell>
          <cell r="N195">
            <v>52.072000000000003</v>
          </cell>
        </row>
        <row r="196">
          <cell r="D196">
            <v>317</v>
          </cell>
          <cell r="E196">
            <v>38280</v>
          </cell>
          <cell r="F196">
            <v>10</v>
          </cell>
          <cell r="G196">
            <v>1550</v>
          </cell>
          <cell r="H196" t="str">
            <v>CSP01093</v>
          </cell>
          <cell r="I196" t="str">
            <v>R2</v>
          </cell>
          <cell r="J196" t="str">
            <v>AR</v>
          </cell>
          <cell r="K196">
            <v>38279</v>
          </cell>
          <cell r="L196">
            <v>382</v>
          </cell>
          <cell r="M196">
            <v>1100</v>
          </cell>
          <cell r="N196">
            <v>65.75</v>
          </cell>
        </row>
        <row r="197">
          <cell r="D197">
            <v>318</v>
          </cell>
          <cell r="E197">
            <v>38282</v>
          </cell>
          <cell r="F197">
            <v>5</v>
          </cell>
          <cell r="G197">
            <v>1559</v>
          </cell>
          <cell r="H197" t="str">
            <v>CSP01075</v>
          </cell>
          <cell r="I197" t="str">
            <v>R2</v>
          </cell>
          <cell r="J197" t="str">
            <v>AR</v>
          </cell>
          <cell r="K197">
            <v>38280</v>
          </cell>
          <cell r="L197">
            <v>384</v>
          </cell>
          <cell r="M197">
            <v>170</v>
          </cell>
          <cell r="N197">
            <v>10.175000000000001</v>
          </cell>
        </row>
        <row r="198">
          <cell r="D198" t="str">
            <v>319;320</v>
          </cell>
          <cell r="E198">
            <v>38287</v>
          </cell>
          <cell r="F198">
            <v>8</v>
          </cell>
          <cell r="G198">
            <v>1539</v>
          </cell>
          <cell r="H198" t="str">
            <v>CSP01086,CSP01087</v>
          </cell>
          <cell r="I198" t="str">
            <v>R2</v>
          </cell>
          <cell r="J198" t="str">
            <v>AR</v>
          </cell>
          <cell r="K198">
            <v>38278</v>
          </cell>
          <cell r="L198">
            <v>380</v>
          </cell>
          <cell r="M198">
            <v>780</v>
          </cell>
          <cell r="N198">
            <v>46.8</v>
          </cell>
        </row>
        <row r="199">
          <cell r="N199">
            <v>0</v>
          </cell>
        </row>
        <row r="200">
          <cell r="N200">
            <v>0</v>
          </cell>
        </row>
        <row r="201">
          <cell r="N201">
            <v>0</v>
          </cell>
        </row>
        <row r="202">
          <cell r="N202">
            <v>0</v>
          </cell>
        </row>
        <row r="203">
          <cell r="N203">
            <v>0</v>
          </cell>
        </row>
        <row r="204">
          <cell r="N204">
            <v>0</v>
          </cell>
        </row>
        <row r="205">
          <cell r="N205">
            <v>0</v>
          </cell>
        </row>
        <row r="206">
          <cell r="N206">
            <v>0</v>
          </cell>
        </row>
        <row r="207">
          <cell r="N207">
            <v>0</v>
          </cell>
        </row>
        <row r="208">
          <cell r="N208">
            <v>0</v>
          </cell>
        </row>
        <row r="209">
          <cell r="N209">
            <v>0</v>
          </cell>
        </row>
        <row r="210">
          <cell r="N210">
            <v>0</v>
          </cell>
        </row>
        <row r="211">
          <cell r="N211">
            <v>0</v>
          </cell>
        </row>
        <row r="212">
          <cell r="N212">
            <v>0</v>
          </cell>
        </row>
        <row r="213">
          <cell r="N213">
            <v>0</v>
          </cell>
        </row>
        <row r="214">
          <cell r="N214">
            <v>0</v>
          </cell>
        </row>
        <row r="215">
          <cell r="N215">
            <v>0</v>
          </cell>
        </row>
        <row r="216">
          <cell r="N216">
            <v>0</v>
          </cell>
        </row>
        <row r="217">
          <cell r="N217">
            <v>0</v>
          </cell>
        </row>
        <row r="218">
          <cell r="N218">
            <v>0</v>
          </cell>
        </row>
        <row r="219">
          <cell r="N219">
            <v>0</v>
          </cell>
        </row>
        <row r="220">
          <cell r="N220">
            <v>0</v>
          </cell>
        </row>
        <row r="221">
          <cell r="N221">
            <v>0</v>
          </cell>
        </row>
        <row r="222">
          <cell r="N222">
            <v>0</v>
          </cell>
        </row>
        <row r="223">
          <cell r="N223">
            <v>0</v>
          </cell>
        </row>
        <row r="224">
          <cell r="N224">
            <v>0</v>
          </cell>
        </row>
        <row r="225">
          <cell r="N225">
            <v>0</v>
          </cell>
        </row>
        <row r="226">
          <cell r="N226">
            <v>0</v>
          </cell>
        </row>
        <row r="227">
          <cell r="N227">
            <v>0</v>
          </cell>
        </row>
        <row r="228">
          <cell r="N228">
            <v>0</v>
          </cell>
        </row>
        <row r="229">
          <cell r="N229">
            <v>0</v>
          </cell>
        </row>
        <row r="230">
          <cell r="N230">
            <v>0</v>
          </cell>
        </row>
        <row r="231">
          <cell r="N231">
            <v>0</v>
          </cell>
        </row>
        <row r="232">
          <cell r="N232">
            <v>0</v>
          </cell>
        </row>
        <row r="233">
          <cell r="N233">
            <v>0</v>
          </cell>
        </row>
        <row r="234">
          <cell r="N234">
            <v>0</v>
          </cell>
        </row>
        <row r="235">
          <cell r="N235">
            <v>0</v>
          </cell>
        </row>
        <row r="236">
          <cell r="N236">
            <v>0</v>
          </cell>
        </row>
        <row r="237">
          <cell r="N237">
            <v>0</v>
          </cell>
        </row>
        <row r="238">
          <cell r="N238">
            <v>0</v>
          </cell>
        </row>
        <row r="239">
          <cell r="N239">
            <v>0</v>
          </cell>
        </row>
        <row r="240">
          <cell r="N240">
            <v>0</v>
          </cell>
        </row>
        <row r="241">
          <cell r="N241">
            <v>0</v>
          </cell>
        </row>
        <row r="242">
          <cell r="N242">
            <v>0</v>
          </cell>
        </row>
        <row r="243">
          <cell r="N243">
            <v>0</v>
          </cell>
        </row>
        <row r="244">
          <cell r="N244">
            <v>0</v>
          </cell>
        </row>
        <row r="245">
          <cell r="N245">
            <v>0</v>
          </cell>
        </row>
        <row r="246">
          <cell r="N246">
            <v>0</v>
          </cell>
        </row>
        <row r="247">
          <cell r="N247">
            <v>0</v>
          </cell>
        </row>
        <row r="248">
          <cell r="N248">
            <v>0</v>
          </cell>
        </row>
        <row r="249">
          <cell r="N249">
            <v>0</v>
          </cell>
        </row>
        <row r="250">
          <cell r="N250">
            <v>0</v>
          </cell>
        </row>
        <row r="251">
          <cell r="N251">
            <v>0</v>
          </cell>
        </row>
        <row r="252">
          <cell r="N252">
            <v>0</v>
          </cell>
        </row>
        <row r="253">
          <cell r="N253">
            <v>0</v>
          </cell>
        </row>
        <row r="254">
          <cell r="N254">
            <v>0</v>
          </cell>
        </row>
        <row r="255">
          <cell r="N255">
            <v>0</v>
          </cell>
        </row>
        <row r="256">
          <cell r="N256">
            <v>0</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0</v>
          </cell>
        </row>
        <row r="272">
          <cell r="N272">
            <v>0</v>
          </cell>
        </row>
        <row r="273">
          <cell r="N273">
            <v>0</v>
          </cell>
        </row>
        <row r="274">
          <cell r="N274">
            <v>0</v>
          </cell>
        </row>
        <row r="275">
          <cell r="N275">
            <v>0</v>
          </cell>
        </row>
        <row r="276">
          <cell r="N276">
            <v>0</v>
          </cell>
        </row>
        <row r="277">
          <cell r="N277">
            <v>0</v>
          </cell>
        </row>
        <row r="278">
          <cell r="N278">
            <v>0</v>
          </cell>
        </row>
        <row r="279">
          <cell r="N279">
            <v>0</v>
          </cell>
        </row>
        <row r="280">
          <cell r="N280">
            <v>0</v>
          </cell>
        </row>
        <row r="281">
          <cell r="N281">
            <v>0</v>
          </cell>
        </row>
        <row r="282">
          <cell r="N282">
            <v>0</v>
          </cell>
        </row>
        <row r="283">
          <cell r="N283">
            <v>0</v>
          </cell>
        </row>
        <row r="284">
          <cell r="N284">
            <v>0</v>
          </cell>
        </row>
        <row r="285">
          <cell r="N285">
            <v>0</v>
          </cell>
        </row>
        <row r="286">
          <cell r="N286">
            <v>0</v>
          </cell>
        </row>
        <row r="287">
          <cell r="N287">
            <v>0</v>
          </cell>
        </row>
        <row r="288">
          <cell r="N288">
            <v>0</v>
          </cell>
        </row>
        <row r="289">
          <cell r="N289">
            <v>0</v>
          </cell>
        </row>
        <row r="290">
          <cell r="N290">
            <v>0</v>
          </cell>
        </row>
        <row r="291">
          <cell r="N291">
            <v>0</v>
          </cell>
        </row>
        <row r="292">
          <cell r="N292">
            <v>0</v>
          </cell>
        </row>
        <row r="293">
          <cell r="N293">
            <v>0</v>
          </cell>
        </row>
        <row r="294">
          <cell r="N294">
            <v>0</v>
          </cell>
        </row>
        <row r="295">
          <cell r="N295">
            <v>0</v>
          </cell>
        </row>
        <row r="296">
          <cell r="N296">
            <v>0</v>
          </cell>
        </row>
        <row r="297">
          <cell r="N297">
            <v>0</v>
          </cell>
        </row>
        <row r="298">
          <cell r="N298">
            <v>0</v>
          </cell>
        </row>
        <row r="299">
          <cell r="N299">
            <v>0</v>
          </cell>
        </row>
        <row r="300">
          <cell r="N300">
            <v>0</v>
          </cell>
        </row>
        <row r="301">
          <cell r="N301">
            <v>0</v>
          </cell>
        </row>
        <row r="302">
          <cell r="N302">
            <v>0</v>
          </cell>
        </row>
        <row r="303">
          <cell r="N303">
            <v>0</v>
          </cell>
        </row>
        <row r="304">
          <cell r="N304">
            <v>0</v>
          </cell>
        </row>
        <row r="305">
          <cell r="N305">
            <v>0</v>
          </cell>
        </row>
        <row r="306">
          <cell r="N306">
            <v>0</v>
          </cell>
        </row>
        <row r="307">
          <cell r="N307">
            <v>0</v>
          </cell>
        </row>
        <row r="308">
          <cell r="N308">
            <v>0</v>
          </cell>
        </row>
        <row r="309">
          <cell r="N309">
            <v>0</v>
          </cell>
        </row>
        <row r="310">
          <cell r="N310">
            <v>0</v>
          </cell>
        </row>
        <row r="311">
          <cell r="N311">
            <v>0</v>
          </cell>
        </row>
        <row r="312">
          <cell r="N312">
            <v>0</v>
          </cell>
        </row>
        <row r="313">
          <cell r="N313">
            <v>0</v>
          </cell>
        </row>
        <row r="314">
          <cell r="N314">
            <v>0</v>
          </cell>
        </row>
        <row r="315">
          <cell r="N315">
            <v>0</v>
          </cell>
        </row>
        <row r="316">
          <cell r="N316">
            <v>0</v>
          </cell>
        </row>
        <row r="317">
          <cell r="N317">
            <v>0</v>
          </cell>
        </row>
        <row r="318">
          <cell r="N318">
            <v>0</v>
          </cell>
        </row>
        <row r="319">
          <cell r="N319">
            <v>0</v>
          </cell>
        </row>
        <row r="320">
          <cell r="N320">
            <v>0</v>
          </cell>
        </row>
        <row r="321">
          <cell r="N321">
            <v>0</v>
          </cell>
        </row>
        <row r="322">
          <cell r="N322">
            <v>0</v>
          </cell>
        </row>
        <row r="323">
          <cell r="N323">
            <v>0</v>
          </cell>
        </row>
        <row r="324">
          <cell r="N324">
            <v>0</v>
          </cell>
        </row>
        <row r="325">
          <cell r="N325">
            <v>0</v>
          </cell>
        </row>
        <row r="326">
          <cell r="N326">
            <v>0</v>
          </cell>
        </row>
        <row r="327">
          <cell r="N327">
            <v>0</v>
          </cell>
        </row>
        <row r="328">
          <cell r="N328">
            <v>0</v>
          </cell>
        </row>
        <row r="329">
          <cell r="N329">
            <v>0</v>
          </cell>
        </row>
        <row r="330">
          <cell r="N330">
            <v>0</v>
          </cell>
        </row>
        <row r="331">
          <cell r="N331">
            <v>0</v>
          </cell>
        </row>
        <row r="332">
          <cell r="N332">
            <v>0</v>
          </cell>
        </row>
        <row r="333">
          <cell r="N333">
            <v>0</v>
          </cell>
        </row>
        <row r="334">
          <cell r="N334">
            <v>0</v>
          </cell>
        </row>
        <row r="335">
          <cell r="N335">
            <v>0</v>
          </cell>
        </row>
        <row r="336">
          <cell r="N336">
            <v>0</v>
          </cell>
        </row>
        <row r="337">
          <cell r="N337">
            <v>0</v>
          </cell>
        </row>
        <row r="338">
          <cell r="N338">
            <v>0</v>
          </cell>
        </row>
        <row r="339">
          <cell r="N339">
            <v>0</v>
          </cell>
        </row>
        <row r="340">
          <cell r="N340">
            <v>0</v>
          </cell>
        </row>
        <row r="341">
          <cell r="N341">
            <v>0</v>
          </cell>
        </row>
        <row r="342">
          <cell r="N342">
            <v>0</v>
          </cell>
        </row>
        <row r="343">
          <cell r="N343">
            <v>0</v>
          </cell>
        </row>
        <row r="344">
          <cell r="N344">
            <v>0</v>
          </cell>
        </row>
        <row r="345">
          <cell r="N345">
            <v>0</v>
          </cell>
        </row>
        <row r="346">
          <cell r="N346">
            <v>0</v>
          </cell>
        </row>
        <row r="347">
          <cell r="N347">
            <v>0</v>
          </cell>
        </row>
        <row r="348">
          <cell r="N348">
            <v>0</v>
          </cell>
        </row>
        <row r="349">
          <cell r="N349">
            <v>0</v>
          </cell>
        </row>
        <row r="350">
          <cell r="N350">
            <v>0</v>
          </cell>
        </row>
        <row r="351">
          <cell r="N351">
            <v>0</v>
          </cell>
        </row>
        <row r="352">
          <cell r="N352">
            <v>0</v>
          </cell>
        </row>
        <row r="353">
          <cell r="N353">
            <v>0</v>
          </cell>
        </row>
        <row r="354">
          <cell r="N354">
            <v>0</v>
          </cell>
        </row>
        <row r="355">
          <cell r="N355">
            <v>0</v>
          </cell>
        </row>
        <row r="356">
          <cell r="N356">
            <v>0</v>
          </cell>
        </row>
        <row r="357">
          <cell r="N357">
            <v>0</v>
          </cell>
        </row>
        <row r="358">
          <cell r="N358">
            <v>0</v>
          </cell>
        </row>
        <row r="359">
          <cell r="N359">
            <v>0</v>
          </cell>
        </row>
        <row r="360">
          <cell r="N360">
            <v>0</v>
          </cell>
        </row>
        <row r="361">
          <cell r="N361">
            <v>0</v>
          </cell>
        </row>
        <row r="362">
          <cell r="N362">
            <v>0</v>
          </cell>
        </row>
        <row r="363">
          <cell r="N363">
            <v>0</v>
          </cell>
        </row>
        <row r="364">
          <cell r="N364">
            <v>0</v>
          </cell>
        </row>
        <row r="365">
          <cell r="N365">
            <v>0</v>
          </cell>
        </row>
        <row r="366">
          <cell r="N366">
            <v>0</v>
          </cell>
        </row>
        <row r="367">
          <cell r="N367">
            <v>0</v>
          </cell>
        </row>
        <row r="368">
          <cell r="N368">
            <v>0</v>
          </cell>
        </row>
        <row r="369">
          <cell r="N369">
            <v>0</v>
          </cell>
        </row>
        <row r="370">
          <cell r="N370">
            <v>0</v>
          </cell>
        </row>
        <row r="371">
          <cell r="N371">
            <v>0</v>
          </cell>
        </row>
        <row r="372">
          <cell r="N372">
            <v>0</v>
          </cell>
        </row>
        <row r="373">
          <cell r="N373">
            <v>0</v>
          </cell>
        </row>
        <row r="374">
          <cell r="N374">
            <v>0</v>
          </cell>
        </row>
        <row r="375">
          <cell r="N375">
            <v>0</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0</v>
          </cell>
        </row>
        <row r="408">
          <cell r="N408">
            <v>0</v>
          </cell>
        </row>
        <row r="409">
          <cell r="N409">
            <v>0</v>
          </cell>
        </row>
        <row r="410">
          <cell r="N410">
            <v>0</v>
          </cell>
        </row>
        <row r="411">
          <cell r="N411">
            <v>0</v>
          </cell>
        </row>
        <row r="412">
          <cell r="N412">
            <v>0</v>
          </cell>
        </row>
        <row r="413">
          <cell r="N413">
            <v>0</v>
          </cell>
        </row>
        <row r="414">
          <cell r="N414">
            <v>0</v>
          </cell>
        </row>
        <row r="415">
          <cell r="N415">
            <v>0</v>
          </cell>
        </row>
        <row r="416">
          <cell r="N416">
            <v>0</v>
          </cell>
        </row>
        <row r="417">
          <cell r="N417">
            <v>0</v>
          </cell>
        </row>
        <row r="418">
          <cell r="N418">
            <v>0</v>
          </cell>
        </row>
        <row r="419">
          <cell r="N419">
            <v>0</v>
          </cell>
        </row>
        <row r="420">
          <cell r="N420">
            <v>0</v>
          </cell>
        </row>
        <row r="421">
          <cell r="N421">
            <v>0</v>
          </cell>
        </row>
        <row r="422">
          <cell r="N422">
            <v>0</v>
          </cell>
        </row>
        <row r="423">
          <cell r="N423">
            <v>0</v>
          </cell>
        </row>
        <row r="424">
          <cell r="N424">
            <v>0</v>
          </cell>
        </row>
        <row r="425">
          <cell r="N425">
            <v>0</v>
          </cell>
        </row>
        <row r="426">
          <cell r="N426">
            <v>0</v>
          </cell>
        </row>
        <row r="427">
          <cell r="N427">
            <v>0</v>
          </cell>
        </row>
        <row r="428">
          <cell r="N428">
            <v>0</v>
          </cell>
        </row>
        <row r="429">
          <cell r="N429">
            <v>0</v>
          </cell>
        </row>
        <row r="430">
          <cell r="N430">
            <v>0</v>
          </cell>
        </row>
        <row r="431">
          <cell r="N431">
            <v>0</v>
          </cell>
        </row>
        <row r="432">
          <cell r="N432">
            <v>0</v>
          </cell>
        </row>
        <row r="433">
          <cell r="N433">
            <v>0</v>
          </cell>
        </row>
        <row r="434">
          <cell r="N434">
            <v>0</v>
          </cell>
        </row>
        <row r="435">
          <cell r="N435">
            <v>0</v>
          </cell>
        </row>
        <row r="436">
          <cell r="N436">
            <v>0</v>
          </cell>
        </row>
        <row r="437">
          <cell r="N437">
            <v>0</v>
          </cell>
        </row>
        <row r="438">
          <cell r="N438">
            <v>0</v>
          </cell>
        </row>
        <row r="439">
          <cell r="N439">
            <v>0</v>
          </cell>
        </row>
        <row r="440">
          <cell r="N440">
            <v>0</v>
          </cell>
        </row>
        <row r="441">
          <cell r="N441">
            <v>0</v>
          </cell>
        </row>
        <row r="442">
          <cell r="N442">
            <v>0</v>
          </cell>
        </row>
        <row r="443">
          <cell r="N443">
            <v>0</v>
          </cell>
        </row>
        <row r="444">
          <cell r="N444">
            <v>0</v>
          </cell>
        </row>
        <row r="445">
          <cell r="N445">
            <v>0</v>
          </cell>
        </row>
        <row r="446">
          <cell r="N446">
            <v>0</v>
          </cell>
        </row>
        <row r="447">
          <cell r="N447">
            <v>0</v>
          </cell>
        </row>
        <row r="448">
          <cell r="N448">
            <v>0</v>
          </cell>
        </row>
        <row r="449">
          <cell r="N449">
            <v>0</v>
          </cell>
        </row>
        <row r="450">
          <cell r="N450">
            <v>0</v>
          </cell>
        </row>
        <row r="451">
          <cell r="N451">
            <v>0</v>
          </cell>
        </row>
        <row r="452">
          <cell r="N452">
            <v>0</v>
          </cell>
        </row>
        <row r="453">
          <cell r="N453">
            <v>0</v>
          </cell>
        </row>
        <row r="454">
          <cell r="N454">
            <v>0</v>
          </cell>
        </row>
        <row r="455">
          <cell r="N455">
            <v>0</v>
          </cell>
        </row>
        <row r="456">
          <cell r="N456">
            <v>0</v>
          </cell>
        </row>
        <row r="457">
          <cell r="N457">
            <v>0</v>
          </cell>
        </row>
        <row r="458">
          <cell r="N458">
            <v>0</v>
          </cell>
        </row>
        <row r="459">
          <cell r="N459">
            <v>0</v>
          </cell>
        </row>
        <row r="460">
          <cell r="N460">
            <v>0</v>
          </cell>
        </row>
        <row r="461">
          <cell r="N461">
            <v>0</v>
          </cell>
        </row>
        <row r="462">
          <cell r="N462">
            <v>0</v>
          </cell>
        </row>
        <row r="463">
          <cell r="N463">
            <v>0</v>
          </cell>
        </row>
        <row r="464">
          <cell r="N464">
            <v>0</v>
          </cell>
        </row>
        <row r="465">
          <cell r="N465">
            <v>0</v>
          </cell>
        </row>
        <row r="466">
          <cell r="N466">
            <v>0</v>
          </cell>
        </row>
        <row r="467">
          <cell r="N467">
            <v>0</v>
          </cell>
        </row>
        <row r="468">
          <cell r="N468">
            <v>0</v>
          </cell>
        </row>
        <row r="469">
          <cell r="N469">
            <v>0</v>
          </cell>
        </row>
        <row r="470">
          <cell r="N470">
            <v>0</v>
          </cell>
        </row>
        <row r="471">
          <cell r="N471">
            <v>0</v>
          </cell>
        </row>
        <row r="472">
          <cell r="N472">
            <v>0</v>
          </cell>
        </row>
        <row r="473">
          <cell r="N473">
            <v>0</v>
          </cell>
        </row>
        <row r="474">
          <cell r="N474">
            <v>0</v>
          </cell>
        </row>
        <row r="475">
          <cell r="N475">
            <v>0</v>
          </cell>
        </row>
        <row r="476">
          <cell r="N476">
            <v>0</v>
          </cell>
        </row>
        <row r="477">
          <cell r="N477">
            <v>0</v>
          </cell>
        </row>
        <row r="478">
          <cell r="N478">
            <v>0</v>
          </cell>
        </row>
        <row r="479">
          <cell r="N479">
            <v>0</v>
          </cell>
        </row>
        <row r="480">
          <cell r="N480">
            <v>0</v>
          </cell>
        </row>
        <row r="481">
          <cell r="N481">
            <v>0</v>
          </cell>
        </row>
        <row r="482">
          <cell r="N482">
            <v>0</v>
          </cell>
        </row>
        <row r="483">
          <cell r="N483">
            <v>0</v>
          </cell>
        </row>
        <row r="484">
          <cell r="N484">
            <v>0</v>
          </cell>
        </row>
        <row r="485">
          <cell r="N485">
            <v>0</v>
          </cell>
        </row>
        <row r="486">
          <cell r="N486">
            <v>0</v>
          </cell>
        </row>
        <row r="487">
          <cell r="N487">
            <v>0</v>
          </cell>
        </row>
        <row r="488">
          <cell r="N488">
            <v>0</v>
          </cell>
        </row>
        <row r="489">
          <cell r="N489">
            <v>0</v>
          </cell>
        </row>
        <row r="490">
          <cell r="N490">
            <v>0</v>
          </cell>
        </row>
        <row r="491">
          <cell r="N491">
            <v>0</v>
          </cell>
        </row>
        <row r="492">
          <cell r="N492">
            <v>0</v>
          </cell>
        </row>
        <row r="493">
          <cell r="N493">
            <v>0</v>
          </cell>
        </row>
        <row r="494">
          <cell r="N494">
            <v>0</v>
          </cell>
        </row>
        <row r="495">
          <cell r="N495">
            <v>0</v>
          </cell>
        </row>
        <row r="496">
          <cell r="N496">
            <v>0</v>
          </cell>
        </row>
        <row r="497">
          <cell r="N497">
            <v>0</v>
          </cell>
        </row>
        <row r="498">
          <cell r="N498">
            <v>0</v>
          </cell>
        </row>
        <row r="499">
          <cell r="N499">
            <v>0</v>
          </cell>
        </row>
        <row r="500">
          <cell r="N500">
            <v>0</v>
          </cell>
        </row>
        <row r="501">
          <cell r="N501">
            <v>0</v>
          </cell>
        </row>
        <row r="502">
          <cell r="N502">
            <v>0</v>
          </cell>
        </row>
        <row r="503">
          <cell r="N503">
            <v>0</v>
          </cell>
        </row>
        <row r="504">
          <cell r="N504">
            <v>0</v>
          </cell>
        </row>
        <row r="505">
          <cell r="N505">
            <v>0</v>
          </cell>
        </row>
        <row r="506">
          <cell r="N506">
            <v>0</v>
          </cell>
        </row>
        <row r="507">
          <cell r="N507">
            <v>0</v>
          </cell>
        </row>
        <row r="508">
          <cell r="N508">
            <v>0</v>
          </cell>
        </row>
        <row r="509">
          <cell r="N509">
            <v>0</v>
          </cell>
        </row>
        <row r="510">
          <cell r="N510">
            <v>0</v>
          </cell>
        </row>
        <row r="511">
          <cell r="N511">
            <v>0</v>
          </cell>
        </row>
        <row r="512">
          <cell r="N512">
            <v>0</v>
          </cell>
        </row>
        <row r="513">
          <cell r="N513">
            <v>0</v>
          </cell>
        </row>
        <row r="514">
          <cell r="N514">
            <v>0</v>
          </cell>
        </row>
        <row r="515">
          <cell r="N515">
            <v>0</v>
          </cell>
        </row>
        <row r="516">
          <cell r="N516">
            <v>0</v>
          </cell>
        </row>
        <row r="517">
          <cell r="N517">
            <v>0</v>
          </cell>
        </row>
        <row r="518">
          <cell r="N518">
            <v>0</v>
          </cell>
        </row>
        <row r="519">
          <cell r="N519">
            <v>0</v>
          </cell>
        </row>
        <row r="520">
          <cell r="N520">
            <v>0</v>
          </cell>
        </row>
        <row r="521">
          <cell r="N521">
            <v>0</v>
          </cell>
        </row>
        <row r="522">
          <cell r="N522">
            <v>0</v>
          </cell>
        </row>
        <row r="523">
          <cell r="N523">
            <v>0</v>
          </cell>
        </row>
        <row r="524">
          <cell r="N524">
            <v>0</v>
          </cell>
        </row>
        <row r="525">
          <cell r="N525">
            <v>0</v>
          </cell>
        </row>
        <row r="526">
          <cell r="N526">
            <v>0</v>
          </cell>
        </row>
        <row r="527">
          <cell r="N527">
            <v>0</v>
          </cell>
        </row>
        <row r="528">
          <cell r="N528">
            <v>0</v>
          </cell>
        </row>
        <row r="529">
          <cell r="N529">
            <v>0</v>
          </cell>
        </row>
        <row r="530">
          <cell r="N530">
            <v>0</v>
          </cell>
        </row>
        <row r="531">
          <cell r="N531">
            <v>0</v>
          </cell>
        </row>
        <row r="532">
          <cell r="N532">
            <v>0</v>
          </cell>
        </row>
        <row r="533">
          <cell r="N533">
            <v>0</v>
          </cell>
        </row>
        <row r="534">
          <cell r="N534">
            <v>0</v>
          </cell>
        </row>
        <row r="535">
          <cell r="N535">
            <v>0</v>
          </cell>
        </row>
        <row r="536">
          <cell r="N536">
            <v>0</v>
          </cell>
        </row>
        <row r="537">
          <cell r="N537">
            <v>0</v>
          </cell>
        </row>
        <row r="538">
          <cell r="N538">
            <v>0</v>
          </cell>
        </row>
        <row r="539">
          <cell r="N539">
            <v>0</v>
          </cell>
        </row>
        <row r="540">
          <cell r="N540">
            <v>0</v>
          </cell>
        </row>
        <row r="541">
          <cell r="N541">
            <v>0</v>
          </cell>
        </row>
        <row r="542">
          <cell r="N542">
            <v>0</v>
          </cell>
        </row>
        <row r="543">
          <cell r="N543">
            <v>0</v>
          </cell>
        </row>
        <row r="544">
          <cell r="N544">
            <v>0</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0</v>
          </cell>
        </row>
        <row r="603">
          <cell r="N603">
            <v>0</v>
          </cell>
        </row>
        <row r="604">
          <cell r="N604">
            <v>0</v>
          </cell>
        </row>
        <row r="605">
          <cell r="N605">
            <v>0</v>
          </cell>
        </row>
        <row r="606">
          <cell r="N606">
            <v>0</v>
          </cell>
        </row>
        <row r="607">
          <cell r="N607">
            <v>0</v>
          </cell>
        </row>
        <row r="608">
          <cell r="N608">
            <v>0</v>
          </cell>
        </row>
        <row r="609">
          <cell r="N609">
            <v>0</v>
          </cell>
        </row>
        <row r="610">
          <cell r="N610">
            <v>0</v>
          </cell>
        </row>
        <row r="611">
          <cell r="N611">
            <v>0</v>
          </cell>
        </row>
        <row r="612">
          <cell r="N612">
            <v>0</v>
          </cell>
        </row>
        <row r="613">
          <cell r="N613">
            <v>0</v>
          </cell>
        </row>
        <row r="614">
          <cell r="N614">
            <v>0</v>
          </cell>
        </row>
        <row r="615">
          <cell r="N615">
            <v>0</v>
          </cell>
        </row>
        <row r="616">
          <cell r="N616">
            <v>0</v>
          </cell>
        </row>
        <row r="617">
          <cell r="N617">
            <v>0</v>
          </cell>
        </row>
        <row r="618">
          <cell r="N618">
            <v>0</v>
          </cell>
        </row>
        <row r="619">
          <cell r="N619">
            <v>0</v>
          </cell>
        </row>
        <row r="620">
          <cell r="N620">
            <v>0</v>
          </cell>
        </row>
        <row r="621">
          <cell r="N621">
            <v>0</v>
          </cell>
        </row>
        <row r="622">
          <cell r="N622">
            <v>0</v>
          </cell>
        </row>
        <row r="623">
          <cell r="N623">
            <v>0</v>
          </cell>
        </row>
        <row r="624">
          <cell r="N624">
            <v>0</v>
          </cell>
        </row>
        <row r="625">
          <cell r="N625">
            <v>0</v>
          </cell>
        </row>
        <row r="626">
          <cell r="N626">
            <v>0</v>
          </cell>
        </row>
        <row r="627">
          <cell r="N627">
            <v>0</v>
          </cell>
        </row>
        <row r="628">
          <cell r="N628">
            <v>0</v>
          </cell>
        </row>
        <row r="629">
          <cell r="N629">
            <v>0</v>
          </cell>
        </row>
        <row r="630">
          <cell r="N630">
            <v>0</v>
          </cell>
        </row>
        <row r="631">
          <cell r="N631">
            <v>0</v>
          </cell>
        </row>
        <row r="632">
          <cell r="N632">
            <v>0</v>
          </cell>
        </row>
        <row r="633">
          <cell r="N633">
            <v>0</v>
          </cell>
        </row>
        <row r="634">
          <cell r="N634">
            <v>0</v>
          </cell>
        </row>
        <row r="635">
          <cell r="N635">
            <v>0</v>
          </cell>
        </row>
        <row r="636">
          <cell r="N636">
            <v>0</v>
          </cell>
        </row>
        <row r="637">
          <cell r="N637">
            <v>0</v>
          </cell>
        </row>
        <row r="638">
          <cell r="N638">
            <v>0</v>
          </cell>
        </row>
        <row r="639">
          <cell r="N639">
            <v>0</v>
          </cell>
        </row>
        <row r="640">
          <cell r="N640">
            <v>0</v>
          </cell>
        </row>
        <row r="641">
          <cell r="N641">
            <v>0</v>
          </cell>
        </row>
        <row r="642">
          <cell r="N642">
            <v>0</v>
          </cell>
        </row>
        <row r="643">
          <cell r="N643">
            <v>0</v>
          </cell>
        </row>
        <row r="644">
          <cell r="N644">
            <v>0</v>
          </cell>
        </row>
        <row r="645">
          <cell r="N645">
            <v>0</v>
          </cell>
        </row>
        <row r="646">
          <cell r="N646">
            <v>0</v>
          </cell>
        </row>
        <row r="647">
          <cell r="N647">
            <v>0</v>
          </cell>
        </row>
        <row r="648">
          <cell r="N648">
            <v>0</v>
          </cell>
        </row>
        <row r="649">
          <cell r="N649">
            <v>0</v>
          </cell>
        </row>
        <row r="650">
          <cell r="N650">
            <v>0</v>
          </cell>
        </row>
        <row r="651">
          <cell r="N651">
            <v>0</v>
          </cell>
        </row>
        <row r="652">
          <cell r="N652">
            <v>0</v>
          </cell>
        </row>
        <row r="653">
          <cell r="N653">
            <v>0</v>
          </cell>
        </row>
        <row r="654">
          <cell r="N654">
            <v>0</v>
          </cell>
        </row>
        <row r="655">
          <cell r="N655">
            <v>0</v>
          </cell>
        </row>
        <row r="656">
          <cell r="N656">
            <v>0</v>
          </cell>
        </row>
        <row r="657">
          <cell r="N657">
            <v>0</v>
          </cell>
        </row>
        <row r="658">
          <cell r="N658">
            <v>0</v>
          </cell>
        </row>
        <row r="659">
          <cell r="N659">
            <v>0</v>
          </cell>
        </row>
        <row r="660">
          <cell r="N660">
            <v>0</v>
          </cell>
        </row>
        <row r="661">
          <cell r="N661">
            <v>0</v>
          </cell>
        </row>
        <row r="662">
          <cell r="N662">
            <v>0</v>
          </cell>
        </row>
        <row r="663">
          <cell r="N663">
            <v>0</v>
          </cell>
        </row>
        <row r="664">
          <cell r="N664">
            <v>0</v>
          </cell>
        </row>
        <row r="665">
          <cell r="N665">
            <v>0</v>
          </cell>
        </row>
        <row r="666">
          <cell r="N666">
            <v>0</v>
          </cell>
        </row>
        <row r="667">
          <cell r="N667">
            <v>0</v>
          </cell>
        </row>
        <row r="668">
          <cell r="N668">
            <v>0</v>
          </cell>
        </row>
        <row r="669">
          <cell r="N669">
            <v>0</v>
          </cell>
        </row>
        <row r="670">
          <cell r="N670">
            <v>0</v>
          </cell>
        </row>
        <row r="671">
          <cell r="N671">
            <v>0</v>
          </cell>
        </row>
        <row r="672">
          <cell r="N672">
            <v>0</v>
          </cell>
        </row>
        <row r="673">
          <cell r="N673">
            <v>0</v>
          </cell>
        </row>
        <row r="674">
          <cell r="N674">
            <v>0</v>
          </cell>
        </row>
        <row r="675">
          <cell r="N675">
            <v>0</v>
          </cell>
        </row>
        <row r="676">
          <cell r="N676">
            <v>0</v>
          </cell>
        </row>
        <row r="677">
          <cell r="N677">
            <v>0</v>
          </cell>
        </row>
        <row r="678">
          <cell r="N678">
            <v>0</v>
          </cell>
        </row>
        <row r="679">
          <cell r="N679">
            <v>0</v>
          </cell>
        </row>
        <row r="680">
          <cell r="N680">
            <v>0</v>
          </cell>
        </row>
        <row r="681">
          <cell r="N681">
            <v>0</v>
          </cell>
        </row>
        <row r="682">
          <cell r="N682">
            <v>0</v>
          </cell>
        </row>
        <row r="683">
          <cell r="N683">
            <v>0</v>
          </cell>
        </row>
        <row r="684">
          <cell r="N684">
            <v>0</v>
          </cell>
        </row>
        <row r="685">
          <cell r="N685">
            <v>0</v>
          </cell>
        </row>
        <row r="686">
          <cell r="N686">
            <v>0</v>
          </cell>
        </row>
        <row r="687">
          <cell r="N687">
            <v>0</v>
          </cell>
        </row>
        <row r="688">
          <cell r="N688">
            <v>0</v>
          </cell>
        </row>
        <row r="689">
          <cell r="N689">
            <v>0</v>
          </cell>
        </row>
        <row r="690">
          <cell r="N690">
            <v>0</v>
          </cell>
        </row>
        <row r="691">
          <cell r="N691">
            <v>0</v>
          </cell>
        </row>
        <row r="692">
          <cell r="N692">
            <v>0</v>
          </cell>
        </row>
        <row r="693">
          <cell r="N693">
            <v>0</v>
          </cell>
        </row>
        <row r="694">
          <cell r="N694">
            <v>0</v>
          </cell>
        </row>
        <row r="695">
          <cell r="N695">
            <v>0</v>
          </cell>
        </row>
        <row r="696">
          <cell r="N696">
            <v>0</v>
          </cell>
        </row>
        <row r="697">
          <cell r="N697">
            <v>0</v>
          </cell>
        </row>
        <row r="698">
          <cell r="N698">
            <v>0</v>
          </cell>
        </row>
        <row r="699">
          <cell r="N699">
            <v>0</v>
          </cell>
        </row>
        <row r="700">
          <cell r="N700">
            <v>0</v>
          </cell>
        </row>
        <row r="701">
          <cell r="N701">
            <v>0</v>
          </cell>
        </row>
        <row r="702">
          <cell r="N702">
            <v>0</v>
          </cell>
        </row>
        <row r="703">
          <cell r="N703">
            <v>0</v>
          </cell>
        </row>
        <row r="704">
          <cell r="N704">
            <v>0</v>
          </cell>
        </row>
        <row r="705">
          <cell r="N705">
            <v>0</v>
          </cell>
        </row>
        <row r="706">
          <cell r="N706">
            <v>0</v>
          </cell>
        </row>
        <row r="707">
          <cell r="N707">
            <v>0</v>
          </cell>
        </row>
        <row r="708">
          <cell r="N708">
            <v>0</v>
          </cell>
        </row>
        <row r="709">
          <cell r="N709">
            <v>0</v>
          </cell>
        </row>
        <row r="710">
          <cell r="N710">
            <v>0</v>
          </cell>
        </row>
        <row r="711">
          <cell r="N711">
            <v>0</v>
          </cell>
        </row>
        <row r="712">
          <cell r="N712">
            <v>0</v>
          </cell>
        </row>
        <row r="713">
          <cell r="N713">
            <v>0</v>
          </cell>
        </row>
        <row r="714">
          <cell r="N714">
            <v>0</v>
          </cell>
        </row>
        <row r="715">
          <cell r="N715">
            <v>0</v>
          </cell>
        </row>
        <row r="716">
          <cell r="N716">
            <v>0</v>
          </cell>
        </row>
        <row r="717">
          <cell r="N717">
            <v>0</v>
          </cell>
        </row>
        <row r="718">
          <cell r="N718">
            <v>0</v>
          </cell>
        </row>
        <row r="719">
          <cell r="N719">
            <v>0</v>
          </cell>
        </row>
        <row r="720">
          <cell r="N720">
            <v>0</v>
          </cell>
        </row>
        <row r="721">
          <cell r="N721">
            <v>0</v>
          </cell>
        </row>
        <row r="722">
          <cell r="N722">
            <v>0</v>
          </cell>
        </row>
        <row r="723">
          <cell r="N723">
            <v>0</v>
          </cell>
        </row>
        <row r="724">
          <cell r="N724">
            <v>0</v>
          </cell>
        </row>
        <row r="725">
          <cell r="N725">
            <v>0</v>
          </cell>
        </row>
        <row r="726">
          <cell r="N726">
            <v>0</v>
          </cell>
        </row>
        <row r="727">
          <cell r="N727">
            <v>0</v>
          </cell>
        </row>
        <row r="728">
          <cell r="N728">
            <v>0</v>
          </cell>
        </row>
        <row r="729">
          <cell r="N729">
            <v>0</v>
          </cell>
        </row>
        <row r="730">
          <cell r="N730">
            <v>0</v>
          </cell>
        </row>
        <row r="731">
          <cell r="N731">
            <v>0</v>
          </cell>
        </row>
        <row r="732">
          <cell r="N732">
            <v>0</v>
          </cell>
        </row>
        <row r="733">
          <cell r="N733">
            <v>0</v>
          </cell>
        </row>
        <row r="734">
          <cell r="N734">
            <v>0</v>
          </cell>
        </row>
        <row r="735">
          <cell r="N735">
            <v>0</v>
          </cell>
        </row>
        <row r="736">
          <cell r="N736">
            <v>0</v>
          </cell>
        </row>
        <row r="737">
          <cell r="N737">
            <v>0</v>
          </cell>
        </row>
        <row r="738">
          <cell r="N738">
            <v>0</v>
          </cell>
        </row>
        <row r="739">
          <cell r="N739">
            <v>0</v>
          </cell>
        </row>
        <row r="740">
          <cell r="N740">
            <v>0</v>
          </cell>
        </row>
        <row r="741">
          <cell r="N741">
            <v>0</v>
          </cell>
        </row>
        <row r="742">
          <cell r="N742">
            <v>0</v>
          </cell>
        </row>
        <row r="743">
          <cell r="N743">
            <v>0</v>
          </cell>
        </row>
        <row r="744">
          <cell r="N744">
            <v>0</v>
          </cell>
        </row>
        <row r="745">
          <cell r="N745">
            <v>0</v>
          </cell>
        </row>
        <row r="746">
          <cell r="N746">
            <v>0</v>
          </cell>
        </row>
        <row r="747">
          <cell r="N747">
            <v>0</v>
          </cell>
        </row>
        <row r="748">
          <cell r="N748">
            <v>0</v>
          </cell>
        </row>
        <row r="749">
          <cell r="N749">
            <v>0</v>
          </cell>
        </row>
        <row r="750">
          <cell r="N750">
            <v>0</v>
          </cell>
        </row>
        <row r="751">
          <cell r="N751">
            <v>0</v>
          </cell>
        </row>
        <row r="752">
          <cell r="N752">
            <v>0</v>
          </cell>
        </row>
        <row r="753">
          <cell r="N753">
            <v>0</v>
          </cell>
        </row>
        <row r="754">
          <cell r="N754">
            <v>0</v>
          </cell>
        </row>
        <row r="755">
          <cell r="N755">
            <v>0</v>
          </cell>
        </row>
        <row r="756">
          <cell r="N756">
            <v>0</v>
          </cell>
        </row>
        <row r="757">
          <cell r="N757">
            <v>0</v>
          </cell>
        </row>
        <row r="758">
          <cell r="N758">
            <v>0</v>
          </cell>
        </row>
        <row r="759">
          <cell r="N759">
            <v>0</v>
          </cell>
        </row>
        <row r="760">
          <cell r="N760">
            <v>0</v>
          </cell>
        </row>
        <row r="761">
          <cell r="N761">
            <v>0</v>
          </cell>
        </row>
        <row r="762">
          <cell r="N762">
            <v>0</v>
          </cell>
        </row>
        <row r="763">
          <cell r="N763">
            <v>0</v>
          </cell>
        </row>
        <row r="764">
          <cell r="N764">
            <v>0</v>
          </cell>
        </row>
        <row r="765">
          <cell r="N765">
            <v>0</v>
          </cell>
        </row>
        <row r="766">
          <cell r="N766">
            <v>0</v>
          </cell>
        </row>
        <row r="767">
          <cell r="N767">
            <v>0</v>
          </cell>
        </row>
        <row r="768">
          <cell r="N768">
            <v>0</v>
          </cell>
        </row>
        <row r="769">
          <cell r="N769">
            <v>0</v>
          </cell>
        </row>
        <row r="770">
          <cell r="N770">
            <v>0</v>
          </cell>
        </row>
        <row r="771">
          <cell r="N771">
            <v>0</v>
          </cell>
        </row>
        <row r="772">
          <cell r="N772">
            <v>0</v>
          </cell>
        </row>
        <row r="773">
          <cell r="N773">
            <v>0</v>
          </cell>
        </row>
        <row r="774">
          <cell r="N774">
            <v>0</v>
          </cell>
        </row>
        <row r="775">
          <cell r="N775">
            <v>0</v>
          </cell>
        </row>
        <row r="776">
          <cell r="N776">
            <v>0</v>
          </cell>
        </row>
        <row r="777">
          <cell r="N777">
            <v>0</v>
          </cell>
        </row>
        <row r="778">
          <cell r="N778">
            <v>0</v>
          </cell>
        </row>
        <row r="779">
          <cell r="N779">
            <v>0</v>
          </cell>
        </row>
        <row r="780">
          <cell r="N780">
            <v>0</v>
          </cell>
        </row>
        <row r="781">
          <cell r="N781">
            <v>0</v>
          </cell>
        </row>
        <row r="782">
          <cell r="N782">
            <v>0</v>
          </cell>
        </row>
        <row r="783">
          <cell r="N783">
            <v>0</v>
          </cell>
        </row>
        <row r="784">
          <cell r="N784">
            <v>0</v>
          </cell>
        </row>
        <row r="785">
          <cell r="N785">
            <v>0</v>
          </cell>
        </row>
        <row r="786">
          <cell r="N786">
            <v>0</v>
          </cell>
        </row>
        <row r="787">
          <cell r="N787">
            <v>0</v>
          </cell>
        </row>
        <row r="788">
          <cell r="N788">
            <v>0</v>
          </cell>
        </row>
        <row r="789">
          <cell r="N789">
            <v>0</v>
          </cell>
        </row>
        <row r="790">
          <cell r="N790">
            <v>0</v>
          </cell>
        </row>
        <row r="791">
          <cell r="N791">
            <v>0</v>
          </cell>
        </row>
        <row r="792">
          <cell r="N792">
            <v>0</v>
          </cell>
        </row>
        <row r="793">
          <cell r="N793">
            <v>0</v>
          </cell>
        </row>
        <row r="794">
          <cell r="N794">
            <v>0</v>
          </cell>
        </row>
        <row r="795">
          <cell r="N795">
            <v>0</v>
          </cell>
        </row>
        <row r="796">
          <cell r="N796">
            <v>0</v>
          </cell>
        </row>
        <row r="797">
          <cell r="N797">
            <v>0</v>
          </cell>
        </row>
        <row r="798">
          <cell r="N798">
            <v>0</v>
          </cell>
        </row>
        <row r="799">
          <cell r="N799">
            <v>0</v>
          </cell>
        </row>
        <row r="800">
          <cell r="N800">
            <v>0</v>
          </cell>
        </row>
        <row r="801">
          <cell r="N801">
            <v>0</v>
          </cell>
        </row>
        <row r="802">
          <cell r="N802">
            <v>0</v>
          </cell>
        </row>
        <row r="803">
          <cell r="N803">
            <v>0</v>
          </cell>
        </row>
        <row r="804">
          <cell r="N804">
            <v>0</v>
          </cell>
        </row>
        <row r="805">
          <cell r="N805">
            <v>0</v>
          </cell>
        </row>
        <row r="806">
          <cell r="N806">
            <v>0</v>
          </cell>
        </row>
        <row r="807">
          <cell r="N807">
            <v>0</v>
          </cell>
        </row>
        <row r="808">
          <cell r="N808">
            <v>0</v>
          </cell>
        </row>
        <row r="809">
          <cell r="N809">
            <v>0</v>
          </cell>
        </row>
        <row r="810">
          <cell r="N810">
            <v>0</v>
          </cell>
        </row>
        <row r="811">
          <cell r="N811">
            <v>0</v>
          </cell>
        </row>
        <row r="812">
          <cell r="N812">
            <v>0</v>
          </cell>
        </row>
        <row r="813">
          <cell r="N813">
            <v>0</v>
          </cell>
        </row>
        <row r="814">
          <cell r="N814">
            <v>0</v>
          </cell>
        </row>
        <row r="815">
          <cell r="N815">
            <v>0</v>
          </cell>
        </row>
        <row r="816">
          <cell r="N816">
            <v>0</v>
          </cell>
        </row>
        <row r="817">
          <cell r="N817">
            <v>0</v>
          </cell>
        </row>
        <row r="818">
          <cell r="N818">
            <v>0</v>
          </cell>
        </row>
        <row r="819">
          <cell r="N819">
            <v>0</v>
          </cell>
        </row>
        <row r="820">
          <cell r="N820">
            <v>0</v>
          </cell>
        </row>
        <row r="821">
          <cell r="N821">
            <v>0</v>
          </cell>
        </row>
        <row r="822">
          <cell r="N822">
            <v>0</v>
          </cell>
        </row>
        <row r="823">
          <cell r="N823">
            <v>0</v>
          </cell>
        </row>
        <row r="824">
          <cell r="N824">
            <v>0</v>
          </cell>
        </row>
        <row r="825">
          <cell r="N825">
            <v>0</v>
          </cell>
        </row>
        <row r="826">
          <cell r="N826">
            <v>0</v>
          </cell>
        </row>
        <row r="827">
          <cell r="N827">
            <v>0</v>
          </cell>
        </row>
        <row r="828">
          <cell r="N828">
            <v>0</v>
          </cell>
        </row>
        <row r="829">
          <cell r="N829">
            <v>0</v>
          </cell>
        </row>
        <row r="830">
          <cell r="N830">
            <v>0</v>
          </cell>
        </row>
        <row r="831">
          <cell r="N831">
            <v>0</v>
          </cell>
        </row>
        <row r="832">
          <cell r="N832">
            <v>0</v>
          </cell>
        </row>
        <row r="833">
          <cell r="N833">
            <v>0</v>
          </cell>
        </row>
        <row r="834">
          <cell r="N834">
            <v>0</v>
          </cell>
        </row>
        <row r="835">
          <cell r="N835">
            <v>0</v>
          </cell>
        </row>
        <row r="836">
          <cell r="N836">
            <v>0</v>
          </cell>
        </row>
        <row r="837">
          <cell r="N837">
            <v>0</v>
          </cell>
        </row>
        <row r="838">
          <cell r="N838">
            <v>0</v>
          </cell>
        </row>
        <row r="839">
          <cell r="N839">
            <v>0</v>
          </cell>
        </row>
        <row r="840">
          <cell r="N840">
            <v>0</v>
          </cell>
        </row>
        <row r="841">
          <cell r="N841">
            <v>0</v>
          </cell>
        </row>
        <row r="842">
          <cell r="N842">
            <v>0</v>
          </cell>
        </row>
        <row r="843">
          <cell r="N843">
            <v>0</v>
          </cell>
        </row>
        <row r="844">
          <cell r="N844">
            <v>0</v>
          </cell>
        </row>
        <row r="845">
          <cell r="N845">
            <v>0</v>
          </cell>
        </row>
        <row r="846">
          <cell r="N846">
            <v>0</v>
          </cell>
        </row>
        <row r="847">
          <cell r="N847">
            <v>0</v>
          </cell>
        </row>
        <row r="848">
          <cell r="N848">
            <v>0</v>
          </cell>
        </row>
        <row r="849">
          <cell r="N849">
            <v>0</v>
          </cell>
        </row>
        <row r="850">
          <cell r="N850">
            <v>0</v>
          </cell>
        </row>
        <row r="851">
          <cell r="N851">
            <v>0</v>
          </cell>
        </row>
        <row r="852">
          <cell r="N852">
            <v>0</v>
          </cell>
        </row>
        <row r="853">
          <cell r="N853">
            <v>0</v>
          </cell>
        </row>
        <row r="854">
          <cell r="N854">
            <v>0</v>
          </cell>
        </row>
        <row r="855">
          <cell r="N855">
            <v>0</v>
          </cell>
        </row>
        <row r="856">
          <cell r="N856">
            <v>0</v>
          </cell>
        </row>
        <row r="857">
          <cell r="N857">
            <v>0</v>
          </cell>
        </row>
        <row r="858">
          <cell r="N858">
            <v>0</v>
          </cell>
        </row>
        <row r="859">
          <cell r="N859">
            <v>0</v>
          </cell>
        </row>
        <row r="860">
          <cell r="N860">
            <v>0</v>
          </cell>
        </row>
        <row r="861">
          <cell r="N861">
            <v>0</v>
          </cell>
        </row>
        <row r="862">
          <cell r="N862">
            <v>0</v>
          </cell>
        </row>
        <row r="863">
          <cell r="N863">
            <v>0</v>
          </cell>
        </row>
        <row r="864">
          <cell r="N864">
            <v>0</v>
          </cell>
        </row>
        <row r="865">
          <cell r="N865">
            <v>0</v>
          </cell>
        </row>
        <row r="866">
          <cell r="N866">
            <v>0</v>
          </cell>
        </row>
        <row r="867">
          <cell r="N867">
            <v>0</v>
          </cell>
        </row>
        <row r="868">
          <cell r="N868">
            <v>0</v>
          </cell>
        </row>
        <row r="869">
          <cell r="N869">
            <v>0</v>
          </cell>
        </row>
        <row r="870">
          <cell r="N870">
            <v>0</v>
          </cell>
        </row>
        <row r="871">
          <cell r="N871">
            <v>0</v>
          </cell>
        </row>
        <row r="872">
          <cell r="N872">
            <v>0</v>
          </cell>
        </row>
        <row r="873">
          <cell r="N873">
            <v>0</v>
          </cell>
        </row>
        <row r="874">
          <cell r="N874">
            <v>0</v>
          </cell>
        </row>
        <row r="875">
          <cell r="N875">
            <v>0</v>
          </cell>
        </row>
        <row r="876">
          <cell r="N876">
            <v>0</v>
          </cell>
        </row>
        <row r="877">
          <cell r="N877">
            <v>0</v>
          </cell>
        </row>
        <row r="878">
          <cell r="N878">
            <v>0</v>
          </cell>
        </row>
        <row r="879">
          <cell r="N879">
            <v>0</v>
          </cell>
        </row>
        <row r="880">
          <cell r="N880">
            <v>0</v>
          </cell>
        </row>
        <row r="881">
          <cell r="N881">
            <v>0</v>
          </cell>
        </row>
        <row r="882">
          <cell r="N882">
            <v>0</v>
          </cell>
        </row>
        <row r="883">
          <cell r="N883">
            <v>0</v>
          </cell>
        </row>
        <row r="884">
          <cell r="N884">
            <v>0</v>
          </cell>
        </row>
        <row r="885">
          <cell r="N885">
            <v>0</v>
          </cell>
        </row>
        <row r="886">
          <cell r="N886">
            <v>0</v>
          </cell>
        </row>
        <row r="887">
          <cell r="N887">
            <v>0</v>
          </cell>
        </row>
        <row r="888">
          <cell r="N888">
            <v>0</v>
          </cell>
        </row>
        <row r="889">
          <cell r="N889">
            <v>0</v>
          </cell>
        </row>
        <row r="890">
          <cell r="N890">
            <v>0</v>
          </cell>
        </row>
        <row r="891">
          <cell r="N891">
            <v>0</v>
          </cell>
        </row>
        <row r="892">
          <cell r="N892">
            <v>0</v>
          </cell>
        </row>
        <row r="893">
          <cell r="N893">
            <v>0</v>
          </cell>
        </row>
        <row r="894">
          <cell r="N894">
            <v>0</v>
          </cell>
        </row>
        <row r="895">
          <cell r="N895">
            <v>0</v>
          </cell>
        </row>
        <row r="896">
          <cell r="N896">
            <v>0</v>
          </cell>
        </row>
        <row r="897">
          <cell r="N897">
            <v>0</v>
          </cell>
        </row>
        <row r="898">
          <cell r="N898">
            <v>0</v>
          </cell>
        </row>
        <row r="899">
          <cell r="N899">
            <v>0</v>
          </cell>
        </row>
        <row r="900">
          <cell r="N900">
            <v>0</v>
          </cell>
        </row>
        <row r="901">
          <cell r="N901">
            <v>0</v>
          </cell>
        </row>
        <row r="902">
          <cell r="N902">
            <v>0</v>
          </cell>
        </row>
        <row r="903">
          <cell r="N903">
            <v>0</v>
          </cell>
        </row>
        <row r="904">
          <cell r="N904">
            <v>0</v>
          </cell>
        </row>
        <row r="905">
          <cell r="N905">
            <v>0</v>
          </cell>
        </row>
        <row r="906">
          <cell r="N906">
            <v>0</v>
          </cell>
        </row>
        <row r="907">
          <cell r="N907">
            <v>0</v>
          </cell>
        </row>
        <row r="908">
          <cell r="N908">
            <v>0</v>
          </cell>
        </row>
        <row r="909">
          <cell r="N909">
            <v>0</v>
          </cell>
        </row>
        <row r="910">
          <cell r="N910">
            <v>0</v>
          </cell>
        </row>
        <row r="911">
          <cell r="N911">
            <v>0</v>
          </cell>
        </row>
        <row r="912">
          <cell r="N912">
            <v>0</v>
          </cell>
        </row>
        <row r="913">
          <cell r="N913">
            <v>0</v>
          </cell>
        </row>
        <row r="914">
          <cell r="N914">
            <v>0</v>
          </cell>
        </row>
        <row r="915">
          <cell r="N915">
            <v>0</v>
          </cell>
        </row>
        <row r="916">
          <cell r="N916">
            <v>0</v>
          </cell>
        </row>
        <row r="917">
          <cell r="N917">
            <v>0</v>
          </cell>
        </row>
        <row r="918">
          <cell r="N918">
            <v>0</v>
          </cell>
        </row>
        <row r="919">
          <cell r="N919">
            <v>0</v>
          </cell>
        </row>
        <row r="920">
          <cell r="N920">
            <v>0</v>
          </cell>
        </row>
        <row r="921">
          <cell r="N921">
            <v>0</v>
          </cell>
        </row>
        <row r="922">
          <cell r="N922">
            <v>0</v>
          </cell>
        </row>
        <row r="923">
          <cell r="N923">
            <v>0</v>
          </cell>
        </row>
        <row r="924">
          <cell r="N924">
            <v>0</v>
          </cell>
        </row>
        <row r="925">
          <cell r="N925">
            <v>0</v>
          </cell>
        </row>
        <row r="926">
          <cell r="N926">
            <v>0</v>
          </cell>
        </row>
        <row r="927">
          <cell r="N927">
            <v>0</v>
          </cell>
        </row>
        <row r="928">
          <cell r="N928">
            <v>0</v>
          </cell>
        </row>
        <row r="929">
          <cell r="N929">
            <v>0</v>
          </cell>
        </row>
        <row r="930">
          <cell r="N930">
            <v>0</v>
          </cell>
        </row>
        <row r="931">
          <cell r="N931">
            <v>0</v>
          </cell>
        </row>
        <row r="932">
          <cell r="N932">
            <v>0</v>
          </cell>
        </row>
        <row r="933">
          <cell r="N933">
            <v>0</v>
          </cell>
        </row>
        <row r="934">
          <cell r="N934">
            <v>0</v>
          </cell>
        </row>
        <row r="935">
          <cell r="N935">
            <v>0</v>
          </cell>
        </row>
        <row r="936">
          <cell r="N936">
            <v>0</v>
          </cell>
        </row>
        <row r="937">
          <cell r="N937">
            <v>0</v>
          </cell>
        </row>
        <row r="938">
          <cell r="N938">
            <v>0</v>
          </cell>
        </row>
        <row r="939">
          <cell r="N939">
            <v>0</v>
          </cell>
        </row>
        <row r="940">
          <cell r="N940">
            <v>0</v>
          </cell>
        </row>
        <row r="941">
          <cell r="N941">
            <v>0</v>
          </cell>
        </row>
        <row r="942">
          <cell r="N942">
            <v>0</v>
          </cell>
        </row>
        <row r="943">
          <cell r="N943">
            <v>0</v>
          </cell>
        </row>
        <row r="944">
          <cell r="N944">
            <v>0</v>
          </cell>
        </row>
        <row r="945">
          <cell r="N945">
            <v>0</v>
          </cell>
        </row>
        <row r="946">
          <cell r="N946">
            <v>0</v>
          </cell>
        </row>
        <row r="947">
          <cell r="N947">
            <v>0</v>
          </cell>
        </row>
        <row r="948">
          <cell r="N948">
            <v>0</v>
          </cell>
        </row>
        <row r="949">
          <cell r="N949">
            <v>0</v>
          </cell>
        </row>
        <row r="950">
          <cell r="N950">
            <v>0</v>
          </cell>
        </row>
        <row r="951">
          <cell r="N951">
            <v>0</v>
          </cell>
        </row>
        <row r="952">
          <cell r="N952">
            <v>0</v>
          </cell>
        </row>
        <row r="953">
          <cell r="N953">
            <v>0</v>
          </cell>
        </row>
        <row r="954">
          <cell r="N954">
            <v>0</v>
          </cell>
        </row>
        <row r="955">
          <cell r="N955">
            <v>0</v>
          </cell>
        </row>
        <row r="956">
          <cell r="N956">
            <v>0</v>
          </cell>
        </row>
        <row r="957">
          <cell r="N957">
            <v>0</v>
          </cell>
        </row>
        <row r="958">
          <cell r="N958">
            <v>0</v>
          </cell>
        </row>
        <row r="959">
          <cell r="N959">
            <v>0</v>
          </cell>
        </row>
        <row r="960">
          <cell r="N960">
            <v>0</v>
          </cell>
        </row>
        <row r="961">
          <cell r="N961">
            <v>0</v>
          </cell>
        </row>
        <row r="962">
          <cell r="N962">
            <v>0</v>
          </cell>
        </row>
        <row r="963">
          <cell r="N963">
            <v>0</v>
          </cell>
        </row>
        <row r="964">
          <cell r="N964">
            <v>0</v>
          </cell>
        </row>
        <row r="965">
          <cell r="N965">
            <v>0</v>
          </cell>
        </row>
        <row r="966">
          <cell r="N966">
            <v>0</v>
          </cell>
        </row>
        <row r="967">
          <cell r="N967">
            <v>0</v>
          </cell>
        </row>
        <row r="968">
          <cell r="N968">
            <v>0</v>
          </cell>
        </row>
        <row r="969">
          <cell r="N969">
            <v>0</v>
          </cell>
        </row>
        <row r="970">
          <cell r="N970">
            <v>0</v>
          </cell>
        </row>
        <row r="971">
          <cell r="N971">
            <v>0</v>
          </cell>
        </row>
        <row r="972">
          <cell r="N972">
            <v>0</v>
          </cell>
        </row>
        <row r="973">
          <cell r="N973">
            <v>0</v>
          </cell>
        </row>
        <row r="974">
          <cell r="N974">
            <v>0</v>
          </cell>
        </row>
        <row r="975">
          <cell r="N975">
            <v>0</v>
          </cell>
        </row>
        <row r="976">
          <cell r="N976">
            <v>0</v>
          </cell>
        </row>
        <row r="977">
          <cell r="N977">
            <v>0</v>
          </cell>
        </row>
        <row r="978">
          <cell r="N978">
            <v>0</v>
          </cell>
        </row>
        <row r="979">
          <cell r="N979">
            <v>0</v>
          </cell>
        </row>
        <row r="980">
          <cell r="N980">
            <v>0</v>
          </cell>
        </row>
        <row r="981">
          <cell r="N981">
            <v>0</v>
          </cell>
        </row>
        <row r="982">
          <cell r="N982">
            <v>0</v>
          </cell>
        </row>
        <row r="983">
          <cell r="N983">
            <v>0</v>
          </cell>
        </row>
        <row r="984">
          <cell r="N984">
            <v>0</v>
          </cell>
        </row>
        <row r="985">
          <cell r="N985">
            <v>0</v>
          </cell>
        </row>
        <row r="986">
          <cell r="N986">
            <v>0</v>
          </cell>
        </row>
        <row r="987">
          <cell r="N987">
            <v>0</v>
          </cell>
        </row>
        <row r="988">
          <cell r="N988">
            <v>0</v>
          </cell>
        </row>
        <row r="989">
          <cell r="N989">
            <v>0</v>
          </cell>
        </row>
        <row r="990">
          <cell r="N990">
            <v>0</v>
          </cell>
        </row>
        <row r="991">
          <cell r="N991">
            <v>0</v>
          </cell>
        </row>
        <row r="992">
          <cell r="N992">
            <v>0</v>
          </cell>
        </row>
        <row r="993">
          <cell r="N993">
            <v>0</v>
          </cell>
        </row>
        <row r="994">
          <cell r="N994">
            <v>0</v>
          </cell>
        </row>
        <row r="995">
          <cell r="N995">
            <v>0</v>
          </cell>
        </row>
        <row r="996">
          <cell r="N996">
            <v>0</v>
          </cell>
        </row>
        <row r="997">
          <cell r="N997">
            <v>0</v>
          </cell>
        </row>
        <row r="998">
          <cell r="N998">
            <v>0</v>
          </cell>
        </row>
        <row r="999">
          <cell r="N999">
            <v>0</v>
          </cell>
        </row>
        <row r="1000">
          <cell r="N10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0 SUMMARY"/>
      <sheetName val="2.0 GTC_"/>
      <sheetName val="3.0 STC"/>
      <sheetName val="4. DOR"/>
      <sheetName val="4.1 Safety DOR"/>
      <sheetName val="4.2 Safety Cost Guide"/>
      <sheetName val="5. Price Summary"/>
      <sheetName val="6. Schedule"/>
      <sheetName val="7.0 Submission"/>
      <sheetName val="7.1 Organization"/>
      <sheetName val="7.2 Brief Sch."/>
      <sheetName val="7.3 Bidding Cover"/>
      <sheetName val="8.Technical Specification "/>
      <sheetName val="Spec1"/>
      <sheetName val="costing_C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abc"/>
      <sheetName val="costing_CV"/>
      <sheetName val="Spec1"/>
      <sheetName val="w't table"/>
      <sheetName val="piping"/>
      <sheetName val="HVAC"/>
      <sheetName val="설계명세서"/>
      <sheetName val="BM"/>
      <sheetName val="노임이"/>
      <sheetName val="me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5243-ARAMCO"/>
      <sheetName val="D-4801 OXY"/>
    </sheetNames>
    <sheetDataSet>
      <sheetData sheetId="0" refreshError="1"/>
      <sheetData sheetId="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M"/>
      <sheetName val="BEAM (2)"/>
      <sheetName val="BEAM (3)"/>
      <sheetName val="piping"/>
      <sheetName val="Steam-Sys"/>
      <sheetName val="steam table"/>
      <sheetName val="HVAC"/>
      <sheetName val="DB_ET200(R. A)"/>
      <sheetName val="바닥판 검토"/>
      <sheetName val="2.2 띠장의 설계"/>
    </sheetNames>
    <sheetDataSet>
      <sheetData sheetId="0">
        <row r="11">
          <cell r="AF11">
            <v>200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갑지"/>
      <sheetName val="SUM"/>
      <sheetName val="대비표"/>
      <sheetName val="견적조건"/>
      <sheetName val="95신규호표"/>
      <sheetName val="당초"/>
      <sheetName val="合成単価作成表-BLDG"/>
    </sheetNames>
    <sheetDataSet>
      <sheetData sheetId="0">
        <row r="2">
          <cell r="H2" t="str">
            <v xml:space="preserve">           社</v>
          </cell>
          <cell r="I2" t="str">
            <v xml:space="preserve">   長</v>
          </cell>
        </row>
        <row r="3">
          <cell r="E3" t="str">
            <v xml:space="preserve">                  작 </v>
          </cell>
          <cell r="H3" t="str">
            <v xml:space="preserve"> 결</v>
          </cell>
        </row>
        <row r="4">
          <cell r="B4" t="str">
            <v xml:space="preserve">  推定工事 原價內譯書</v>
          </cell>
          <cell r="F4" t="str">
            <v>플랜트 견적팀</v>
          </cell>
          <cell r="H4">
            <v>0</v>
          </cell>
        </row>
        <row r="5">
          <cell r="B5" t="str">
            <v xml:space="preserve">                       (</v>
          </cell>
          <cell r="D5">
            <v>36544.705895486113</v>
          </cell>
          <cell r="E5" t="str">
            <v>)                 성</v>
          </cell>
          <cell r="F5" t="str">
            <v xml:space="preserve"> 이 병 훈 (印)</v>
          </cell>
          <cell r="H5" t="str">
            <v xml:space="preserve"> 재</v>
          </cell>
        </row>
        <row r="6">
          <cell r="E6">
            <v>0</v>
          </cell>
          <cell r="H6">
            <v>0</v>
          </cell>
        </row>
        <row r="8">
          <cell r="B8" t="str">
            <v>공 사 명</v>
          </cell>
          <cell r="E8" t="str">
            <v xml:space="preserve">           결</v>
          </cell>
          <cell r="F8" t="str">
            <v xml:space="preserve">  擔 當    部   </v>
          </cell>
          <cell r="G8" t="str">
            <v xml:space="preserve">長  擔當任員  </v>
          </cell>
        </row>
        <row r="9">
          <cell r="B9" t="str">
            <v>발 주 처</v>
          </cell>
          <cell r="D9" t="str">
            <v>쌍용제지</v>
          </cell>
          <cell r="E9" t="str">
            <v xml:space="preserve">                  재</v>
          </cell>
        </row>
        <row r="10">
          <cell r="B10" t="str">
            <v>입찰방법</v>
          </cell>
          <cell r="D10" t="str">
            <v xml:space="preserve">     경쟁 입찰</v>
          </cell>
        </row>
        <row r="11">
          <cell r="B11" t="str">
            <v>입찰일시</v>
          </cell>
          <cell r="D11" t="str">
            <v xml:space="preserve">   '99.12.13</v>
          </cell>
          <cell r="E11" t="str">
            <v xml:space="preserve">                  개</v>
          </cell>
        </row>
        <row r="12">
          <cell r="B12" t="str">
            <v>공사기간</v>
          </cell>
          <cell r="E12" t="str">
            <v xml:space="preserve">                  요</v>
          </cell>
        </row>
        <row r="14">
          <cell r="B14" t="str">
            <v>工      種</v>
          </cell>
          <cell r="D14" t="str">
            <v>材  料  費</v>
          </cell>
          <cell r="E14" t="str">
            <v>勞  務  費</v>
          </cell>
          <cell r="F14" t="str">
            <v xml:space="preserve"> 工事  經費</v>
          </cell>
          <cell r="G14" t="str">
            <v xml:space="preserve">合   計 </v>
          </cell>
          <cell r="H14" t="str">
            <v xml:space="preserve">    備   考</v>
          </cell>
        </row>
        <row r="17">
          <cell r="B17" t="str">
            <v>토 목 공 사</v>
          </cell>
          <cell r="D17">
            <v>23271995</v>
          </cell>
          <cell r="E17">
            <v>1095351</v>
          </cell>
          <cell r="F17">
            <v>1594490</v>
          </cell>
          <cell r="G17">
            <v>25961836</v>
          </cell>
        </row>
        <row r="18">
          <cell r="B18" t="str">
            <v>건 축 공 사</v>
          </cell>
          <cell r="D18">
            <v>0</v>
          </cell>
          <cell r="E18">
            <v>0</v>
          </cell>
          <cell r="F18">
            <v>0</v>
          </cell>
          <cell r="G18">
            <v>0</v>
          </cell>
        </row>
        <row r="19">
          <cell r="B19" t="str">
            <v>소 방 설 비</v>
          </cell>
          <cell r="D19">
            <v>0</v>
          </cell>
          <cell r="E19">
            <v>0</v>
          </cell>
          <cell r="F19">
            <v>0</v>
          </cell>
          <cell r="G19">
            <v>0</v>
          </cell>
        </row>
        <row r="20">
          <cell r="B20" t="str">
            <v>기 계 공 사</v>
          </cell>
          <cell r="D20">
            <v>1698000</v>
          </cell>
          <cell r="E20">
            <v>2184000</v>
          </cell>
          <cell r="F20">
            <v>2066033</v>
          </cell>
          <cell r="G20">
            <v>5948033</v>
          </cell>
        </row>
        <row r="21">
          <cell r="B21" t="str">
            <v>탱 크 공 사</v>
          </cell>
          <cell r="D21">
            <v>29200092</v>
          </cell>
          <cell r="E21">
            <v>19577600</v>
          </cell>
          <cell r="F21">
            <v>21903773</v>
          </cell>
          <cell r="G21">
            <v>70681465</v>
          </cell>
        </row>
        <row r="22">
          <cell r="B22" t="str">
            <v>배 관 공 사</v>
          </cell>
          <cell r="D22">
            <v>87430438</v>
          </cell>
          <cell r="E22">
            <v>19505200</v>
          </cell>
          <cell r="F22">
            <v>16576541</v>
          </cell>
          <cell r="G22">
            <v>123512179</v>
          </cell>
        </row>
        <row r="23">
          <cell r="B23" t="str">
            <v>도 장 공 사</v>
          </cell>
          <cell r="D23">
            <v>1435488</v>
          </cell>
          <cell r="E23">
            <v>1443600</v>
          </cell>
          <cell r="F23">
            <v>2898502</v>
          </cell>
          <cell r="G23">
            <v>5777590</v>
          </cell>
        </row>
        <row r="24">
          <cell r="B24" t="str">
            <v>보 온 공 사</v>
          </cell>
          <cell r="D24">
            <v>6556435</v>
          </cell>
          <cell r="E24">
            <v>7109800</v>
          </cell>
          <cell r="F24">
            <v>3085590</v>
          </cell>
          <cell r="G24">
            <v>16751825</v>
          </cell>
        </row>
        <row r="27">
          <cell r="B27" t="str">
            <v>合       計</v>
          </cell>
          <cell r="D27">
            <v>149592448</v>
          </cell>
          <cell r="E27">
            <v>50915551</v>
          </cell>
          <cell r="F27">
            <v>48124929</v>
          </cell>
          <cell r="G27">
            <v>248632928</v>
          </cell>
        </row>
        <row r="29">
          <cell r="D29" t="str">
            <v>品     名</v>
          </cell>
          <cell r="E29" t="str">
            <v>單     位</v>
          </cell>
          <cell r="F29" t="str">
            <v>數     量</v>
          </cell>
          <cell r="G29" t="str">
            <v>單     價</v>
          </cell>
          <cell r="H29" t="str">
            <v>金     額</v>
          </cell>
        </row>
        <row r="32">
          <cell r="B32" t="str">
            <v>主要 支給 資材</v>
          </cell>
        </row>
        <row r="35">
          <cell r="B35" t="str">
            <v>&lt;特記事項&gt;</v>
          </cell>
          <cell r="D35" t="str">
            <v>*. 견적제외.</v>
          </cell>
          <cell r="F35" t="str">
            <v>計</v>
          </cell>
        </row>
        <row r="36">
          <cell r="D36" t="str">
            <v xml:space="preserve">  - CONTINGENCY, 간접비</v>
          </cell>
          <cell r="F36" t="str">
            <v>總 工 事 費</v>
          </cell>
        </row>
        <row r="37">
          <cell r="D37" t="str">
            <v xml:space="preserve">  - 본사관리비 및 이윤</v>
          </cell>
          <cell r="F37" t="str">
            <v xml:space="preserve"> 有   1.推定工事 原價內譯書</v>
          </cell>
        </row>
        <row r="39">
          <cell r="D39" t="str">
            <v xml:space="preserve">  - 설계 및 구매관리비</v>
          </cell>
          <cell r="F39" t="str">
            <v xml:space="preserve"> 添</v>
          </cell>
        </row>
        <row r="40">
          <cell r="B40" t="str">
            <v>SKEC 2-21-0019 (210x297 m/m)  SHLEE-D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 SWGR"/>
      <sheetName val="점수표"/>
      <sheetName val="환산표"/>
      <sheetName val="#3E1_GCR"/>
      <sheetName val="품목별 공급업체 평가 SHEET-원본"/>
      <sheetName val="TTL"/>
      <sheetName val="당초"/>
      <sheetName val="품셈TABLE"/>
      <sheetName val="CondPol"/>
      <sheetName val="PIPING"/>
      <sheetName val="Cash2"/>
      <sheetName val="Z"/>
      <sheetName val="내역서"/>
      <sheetName val="표지"/>
      <sheetName val="MV_SWGR1"/>
      <sheetName val="품목별_공급업체_평가_SHEET-원본1"/>
      <sheetName val="MV_SWGR"/>
      <sheetName val="품목별_공급업체_평가_SHEET-원본"/>
      <sheetName val="미장"/>
      <sheetName val="품셈(기초)"/>
      <sheetName val="수주추정"/>
      <sheetName val="Setup"/>
      <sheetName val="LP산출"/>
      <sheetName val="견적"/>
      <sheetName val="산근"/>
      <sheetName val="노임단가"/>
      <sheetName val="철탑공사"/>
      <sheetName val="인원계획"/>
      <sheetName val="MEXICO-C"/>
      <sheetName val="POWER"/>
      <sheetName val="SIZING"/>
      <sheetName val="Testing"/>
      <sheetName val="NEWDRAW"/>
      <sheetName val="SCHEDULE"/>
      <sheetName val="COVER-P"/>
      <sheetName val="광통신 견적내역서1"/>
      <sheetName val="Lumen"/>
      <sheetName val=" ｹ-ﾌﾞﾙ"/>
      <sheetName val="내역(한신APT)"/>
      <sheetName val="NYS"/>
      <sheetName val="sheet1"/>
      <sheetName val="자재단가"/>
      <sheetName val="36신설수량"/>
      <sheetName val="물가대비표"/>
      <sheetName val="Sheet6"/>
      <sheetName val="data"/>
      <sheetName val="2. 집계표"/>
      <sheetName val="일위대가표"/>
      <sheetName val="실행내역"/>
      <sheetName val="MV_SWGR2"/>
      <sheetName val="품목별_공급업체_평가_SHEET-원본2"/>
      <sheetName val="外形"/>
      <sheetName val="屋内"/>
      <sheetName val="屋外"/>
      <sheetName val="LAB"/>
      <sheetName val="DB_ET200(R. A)"/>
      <sheetName val="손익분석"/>
      <sheetName val="일위대가"/>
      <sheetName val="w't table"/>
      <sheetName val="橋梁内訳"/>
      <sheetName val="산3_4"/>
      <sheetName val="설계서"/>
      <sheetName val="앉음벽 (2)"/>
      <sheetName val="BM"/>
      <sheetName val="할증 "/>
      <sheetName val="ABUT수량-A1"/>
      <sheetName val="REDUCER"/>
      <sheetName val="WE'T"/>
      <sheetName val="PipWT"/>
      <sheetName val="CBD-PRICE"/>
      <sheetName val="Tension"/>
      <sheetName val="조직표"/>
      <sheetName val="MV_SWGR3"/>
      <sheetName val="품목별_공급업체_평가_SHEET-원본3"/>
      <sheetName val="광통신_견적내역서1"/>
      <sheetName val="_ｹ-ﾌﾞﾙ"/>
      <sheetName val="2__집계표"/>
      <sheetName val="DB_ET200(R__A)"/>
      <sheetName val="w't_table"/>
      <sheetName val="MV_SWGR6"/>
      <sheetName val="w't_table3"/>
      <sheetName val="품목별_공급업체_평가_SHEET-원본6"/>
      <sheetName val="광통신_견적내역서13"/>
      <sheetName val="_ｹ-ﾌﾞﾙ3"/>
      <sheetName val="2__집계표3"/>
      <sheetName val="DB_ET200(R__A)3"/>
      <sheetName val="앉음벽_(2)2"/>
      <sheetName val="할증_2"/>
      <sheetName val="MV_SWGR4"/>
      <sheetName val="w't_table1"/>
      <sheetName val="품목별_공급업체_평가_SHEET-원본4"/>
      <sheetName val="광통신_견적내역서11"/>
      <sheetName val="_ｹ-ﾌﾞﾙ1"/>
      <sheetName val="2__집계표1"/>
      <sheetName val="DB_ET200(R__A)1"/>
      <sheetName val="앉음벽_(2)"/>
      <sheetName val="할증_"/>
      <sheetName val="MV_SWGR5"/>
      <sheetName val="w't_table2"/>
      <sheetName val="품목별_공급업체_평가_SHEET-원본5"/>
      <sheetName val="광통신_견적내역서12"/>
      <sheetName val="_ｹ-ﾌﾞﾙ2"/>
      <sheetName val="2__집계표2"/>
      <sheetName val="DB_ET200(R__A)2"/>
      <sheetName val="앉음벽_(2)1"/>
      <sheetName val="할증_1"/>
      <sheetName val="MV_SWGR7"/>
      <sheetName val="w't_table4"/>
      <sheetName val="품목별_공급업체_평가_SHEET-원본7"/>
      <sheetName val="광통신_견적내역서14"/>
      <sheetName val="_ｹ-ﾌﾞﾙ4"/>
      <sheetName val="2__집계표4"/>
      <sheetName val="DB_ET200(R__A)4"/>
      <sheetName val="앉음벽_(2)3"/>
      <sheetName val="할증_3"/>
      <sheetName val="부서코드표"/>
      <sheetName val="입찰안"/>
      <sheetName val="임율 Data"/>
      <sheetName val="Flour WH"/>
      <sheetName val="Summary"/>
      <sheetName val="Labor-Equipment Rates"/>
      <sheetName val="비품"/>
      <sheetName val="BREAKDOWN(철거설치)"/>
      <sheetName val="equip"/>
      <sheetName val="45,46"/>
      <sheetName val=" 갑지"/>
      <sheetName val="참고"/>
      <sheetName val="3D-HOR"/>
      <sheetName val="GR"/>
      <sheetName val="품셈표"/>
      <sheetName val="간접비 총괄표"/>
      <sheetName val="토목주소"/>
      <sheetName val="프랜트면허"/>
      <sheetName val="당진1,2호기전선관설치및접지4차공사내역서-을지"/>
      <sheetName val="금융비용"/>
      <sheetName val="01"/>
      <sheetName val="Eq. Mobilization"/>
    </sheetNames>
    <sheetDataSet>
      <sheetData sheetId="0" refreshError="1"/>
      <sheetData sheetId="1" refreshError="1"/>
      <sheetData sheetId="2" refreshError="1">
        <row r="1">
          <cell r="A1" t="str">
            <v>상</v>
          </cell>
          <cell r="B1">
            <v>3</v>
          </cell>
        </row>
        <row r="2">
          <cell r="A2" t="str">
            <v>중</v>
          </cell>
          <cell r="B2">
            <v>2</v>
          </cell>
        </row>
        <row r="3">
          <cell r="A3" t="str">
            <v>하</v>
          </cell>
          <cell r="B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材料规格"/>
      <sheetName val="技术标准"/>
      <sheetName val="油漆数据"/>
      <sheetName val="项目数据"/>
      <sheetName val="型钢重量计算"/>
      <sheetName val="材料需求(B)"/>
      <sheetName val="材料表"/>
      <sheetName val="材料清单"/>
      <sheetName val="材料需求"/>
      <sheetName val="构件分析"/>
      <sheetName val="管道工程量"/>
      <sheetName val="材料计划清单 (2)"/>
      <sheetName val="材料计划清单"/>
      <sheetName val="材料计划计算"/>
      <sheetName val="临时支撑计算"/>
      <sheetName val="圆管加强筋计算"/>
      <sheetName val="方管加强筋计算"/>
      <sheetName val="不锈钢方管加强筋计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O-rev09"/>
      <sheetName val="DATA"/>
    </sheetNames>
    <sheetDataSet>
      <sheetData sheetId="0">
        <row r="1">
          <cell r="A1"/>
          <cell r="B1"/>
          <cell r="C1"/>
          <cell r="D1" t="str">
            <v>IBS HI JOINT STOCK COMPANY
Address: Km 6 Freeway No. 05 Hung Vuong, Hong Bang District, Hai Phong City, Viet Nam.</v>
          </cell>
          <cell r="E1"/>
          <cell r="F1"/>
          <cell r="G1"/>
          <cell r="H1"/>
          <cell r="I1"/>
          <cell r="J1"/>
          <cell r="K1"/>
          <cell r="L1"/>
          <cell r="M1"/>
          <cell r="N1"/>
          <cell r="O1"/>
        </row>
        <row r="2">
          <cell r="A2"/>
          <cell r="D2"/>
          <cell r="E2"/>
          <cell r="F2"/>
          <cell r="G2"/>
          <cell r="H2"/>
          <cell r="I2"/>
          <cell r="J2"/>
          <cell r="K2"/>
          <cell r="L2"/>
          <cell r="M2"/>
          <cell r="N2"/>
          <cell r="O2"/>
        </row>
        <row r="3">
          <cell r="A3"/>
          <cell r="D3" t="str">
            <v>PURCHASE REQUISITION / ĐỀ NGHỊ MUA VẬT TƯ</v>
          </cell>
          <cell r="E3"/>
          <cell r="F3"/>
          <cell r="G3"/>
          <cell r="H3"/>
          <cell r="I3"/>
          <cell r="J3"/>
          <cell r="K3"/>
          <cell r="L3"/>
          <cell r="M3"/>
          <cell r="N3"/>
          <cell r="O3"/>
        </row>
        <row r="4">
          <cell r="A4"/>
          <cell r="B4"/>
          <cell r="C4"/>
          <cell r="D4"/>
          <cell r="E4"/>
          <cell r="F4"/>
          <cell r="G4"/>
          <cell r="H4"/>
          <cell r="I4"/>
          <cell r="J4"/>
          <cell r="K4"/>
          <cell r="L4"/>
          <cell r="M4"/>
          <cell r="N4"/>
          <cell r="O4"/>
        </row>
        <row r="5">
          <cell r="A5" t="str">
            <v>Department/ Phòng: ENGINEERING/ Thiết kế</v>
          </cell>
          <cell r="B5"/>
          <cell r="C5"/>
          <cell r="D5" t="str">
            <v>Project Code/ Mã dự án: 25-BRA-I-090</v>
          </cell>
          <cell r="E5"/>
          <cell r="F5"/>
          <cell r="G5"/>
          <cell r="H5"/>
          <cell r="I5"/>
          <cell r="J5" t="str">
            <v>Date/ Ngày:02/08/2025</v>
          </cell>
          <cell r="K5"/>
          <cell r="L5"/>
          <cell r="M5"/>
          <cell r="N5"/>
          <cell r="O5"/>
        </row>
        <row r="6">
          <cell r="A6" t="str">
            <v xml:space="preserve">Job Title/ Hạng mục: Inlet duct, Diverter, Guillotine, Blanking Plate, EJs and accesses
</v>
          </cell>
          <cell r="B6"/>
          <cell r="C6"/>
          <cell r="D6" t="str">
            <v xml:space="preserve">Project ID/ Mã nhận diện dự án: </v>
          </cell>
          <cell r="E6"/>
          <cell r="F6"/>
          <cell r="G6"/>
          <cell r="H6"/>
          <cell r="I6"/>
          <cell r="J6" t="str">
            <v>Ref. No/ Mã tài liệu: I-090-ENG-001-REV 09(PR)</v>
          </cell>
          <cell r="K6"/>
          <cell r="L6"/>
          <cell r="M6"/>
          <cell r="N6"/>
          <cell r="O6"/>
        </row>
        <row r="7">
          <cell r="A7" t="str">
            <v>Client/ Khách hàng: BRADEN EUROPE B.V</v>
          </cell>
          <cell r="B7"/>
          <cell r="C7"/>
          <cell r="D7" t="str">
            <v xml:space="preserve">Project Name / Tên dự án : </v>
          </cell>
          <cell r="E7" t="str">
            <v>GHAZLAN HAJR/SA</v>
          </cell>
          <cell r="F7"/>
          <cell r="G7"/>
          <cell r="H7"/>
          <cell r="I7"/>
          <cell r="J7" t="str">
            <v xml:space="preserve">Job No/ Số dự án: </v>
          </cell>
          <cell r="K7"/>
          <cell r="L7"/>
          <cell r="M7"/>
          <cell r="N7"/>
          <cell r="O7"/>
        </row>
        <row r="8">
          <cell r="A8"/>
          <cell r="B8"/>
          <cell r="C8"/>
          <cell r="D8"/>
          <cell r="E8"/>
          <cell r="F8"/>
          <cell r="G8"/>
          <cell r="H8"/>
          <cell r="I8"/>
          <cell r="J8"/>
          <cell r="K8"/>
          <cell r="L8"/>
          <cell r="M8"/>
          <cell r="N8"/>
          <cell r="O8"/>
        </row>
        <row r="9">
          <cell r="A9" t="str">
            <v>Item/ 
STT</v>
          </cell>
          <cell r="B9" t="str">
            <v>Description/ 
Chi tiết</v>
          </cell>
          <cell r="C9" t="str">
            <v>Profile/ Vật tư</v>
          </cell>
          <cell r="D9" t="str">
            <v>Grade/ Mác vật liệu</v>
          </cell>
          <cell r="E9" t="str">
            <v>Unit/ Đơn vị</v>
          </cell>
          <cell r="F9" t="str">
            <v>U.Weight/ Đ.Trọng (Kg/m2,m,pcs)</v>
          </cell>
          <cell r="G9" t="str">
            <v>Net Quantity/Số lượng tinh</v>
          </cell>
          <cell r="H9"/>
          <cell r="I9" t="str">
            <v>Previous Ordered/Đã dự trù</v>
          </cell>
          <cell r="J9"/>
          <cell r="K9" t="str">
            <v>Current Ordered/Dự trù lần này</v>
          </cell>
          <cell r="L9"/>
          <cell r="M9" t="str">
            <v>Total Ordered/Tổng dự trù</v>
          </cell>
          <cell r="N9"/>
          <cell r="O9" t="str">
            <v>Remarks/ Ghi chú</v>
          </cell>
        </row>
        <row r="10">
          <cell r="A10"/>
          <cell r="B10"/>
          <cell r="C10"/>
          <cell r="D10"/>
          <cell r="E10"/>
          <cell r="F10"/>
          <cell r="G10" t="str">
            <v>Q.Ty/
Số lượng</v>
          </cell>
          <cell r="H10" t="str">
            <v>Weight/
Khối lượng (Kg)</v>
          </cell>
          <cell r="I10" t="str">
            <v>Q.Ty/ 
Số lượng</v>
          </cell>
          <cell r="J10" t="str">
            <v>Weight/
Khối lượng (Kg)</v>
          </cell>
          <cell r="K10" t="str">
            <v>Q.Ty/Số lượng</v>
          </cell>
          <cell r="L10" t="str">
            <v>Weight/Khối lượng (Kg)</v>
          </cell>
          <cell r="M10" t="str">
            <v>Q.Ty/
Số lượng</v>
          </cell>
          <cell r="N10" t="str">
            <v>Weight/Khối lượng (Kg)</v>
          </cell>
          <cell r="O10"/>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row>
        <row r="12">
          <cell r="A12" t="str">
            <v>A.</v>
          </cell>
          <cell r="B12" t="str">
            <v>Main-Material /  Vật tư chính</v>
          </cell>
          <cell r="C12"/>
          <cell r="D12"/>
          <cell r="E12"/>
          <cell r="F12"/>
          <cell r="G12">
            <v>1.0858098431785868</v>
          </cell>
          <cell r="H12">
            <v>1177315.7171999998</v>
          </cell>
          <cell r="I12"/>
          <cell r="J12">
            <v>1271456.5442646174</v>
          </cell>
          <cell r="K12"/>
          <cell r="L12">
            <v>6884.45</v>
          </cell>
          <cell r="M12"/>
          <cell r="N12">
            <v>1278340.9942646171</v>
          </cell>
          <cell r="O12"/>
        </row>
        <row r="13">
          <cell r="A13" t="str">
            <v>I90-A1</v>
          </cell>
          <cell r="B13" t="str">
            <v>Bulong móng</v>
          </cell>
          <cell r="C13" t="str">
            <v>ANCHOR BOLT M42</v>
          </cell>
          <cell r="D13"/>
          <cell r="E13" t="str">
            <v>sets</v>
          </cell>
          <cell r="F13">
            <v>10.637499999999999</v>
          </cell>
          <cell r="G13">
            <v>320</v>
          </cell>
          <cell r="H13">
            <v>3404</v>
          </cell>
          <cell r="I13">
            <v>320</v>
          </cell>
          <cell r="J13">
            <v>3404</v>
          </cell>
          <cell r="K13"/>
          <cell r="L13"/>
          <cell r="M13">
            <v>320</v>
          </cell>
          <cell r="N13">
            <v>3404</v>
          </cell>
          <cell r="O13" t="str">
            <v>Thông số kỹ thuật theo bản vẽ đặt hàng "I90-13105-ANCHOR BOLT M42"</v>
          </cell>
        </row>
        <row r="14">
          <cell r="A14" t="str">
            <v>I90-A2</v>
          </cell>
          <cell r="B14" t="str">
            <v>Tôn tấm</v>
          </cell>
          <cell r="C14" t="str">
            <v>PL10x2000x6000</v>
          </cell>
          <cell r="D14" t="str">
            <v>1.0577(S355J2)/ ASTM A36</v>
          </cell>
          <cell r="E14" t="str">
            <v>m2</v>
          </cell>
          <cell r="F14">
            <v>78.5</v>
          </cell>
          <cell r="G14">
            <v>31.245859872611469</v>
          </cell>
          <cell r="H14">
            <v>2452.8000000000002</v>
          </cell>
          <cell r="I14">
            <v>48</v>
          </cell>
          <cell r="J14">
            <v>3768</v>
          </cell>
          <cell r="K14"/>
          <cell r="L14"/>
          <cell r="M14">
            <v>48</v>
          </cell>
          <cell r="N14">
            <v>3768</v>
          </cell>
          <cell r="O14" t="str">
            <v>Rev01-đổi khổ như thực tế đã mua PL10x2000x6000-4 tờ</v>
          </cell>
        </row>
        <row r="15">
          <cell r="A15" t="str">
            <v>I90-A3</v>
          </cell>
          <cell r="B15" t="str">
            <v>Tôn tấm</v>
          </cell>
          <cell r="C15" t="str">
            <v>PL1.5x800x800</v>
          </cell>
          <cell r="D15" t="str">
            <v>ASTM A36</v>
          </cell>
          <cell r="E15" t="str">
            <v>m2</v>
          </cell>
          <cell r="F15">
            <v>11.774999999999999</v>
          </cell>
          <cell r="G15">
            <v>0.78131634819532914</v>
          </cell>
          <cell r="H15">
            <v>9.1999999999999993</v>
          </cell>
          <cell r="I15">
            <v>3.64</v>
          </cell>
          <cell r="J15">
            <v>42.860999999999997</v>
          </cell>
          <cell r="K15"/>
          <cell r="L15"/>
          <cell r="M15">
            <v>3.64</v>
          </cell>
          <cell r="N15">
            <v>42.860999999999997</v>
          </cell>
          <cell r="O15" t="str">
            <v>Rev08-PL1.5x1200x2500</v>
          </cell>
        </row>
        <row r="16">
          <cell r="A16" t="str">
            <v>I90-A4</v>
          </cell>
          <cell r="B16" t="str">
            <v>Tôn tấm</v>
          </cell>
          <cell r="C16" t="str">
            <v>PL3x1500x6000</v>
          </cell>
          <cell r="D16" t="str">
            <v>ASTM A36</v>
          </cell>
          <cell r="E16" t="str">
            <v>m2</v>
          </cell>
          <cell r="F16">
            <v>23.549999999999997</v>
          </cell>
          <cell r="G16">
            <v>23.291719745222931</v>
          </cell>
          <cell r="H16">
            <v>548.52</v>
          </cell>
          <cell r="I16">
            <v>36</v>
          </cell>
          <cell r="J16">
            <v>847.8</v>
          </cell>
          <cell r="K16"/>
          <cell r="L16"/>
          <cell r="M16">
            <v>36</v>
          </cell>
          <cell r="N16">
            <v>847.8</v>
          </cell>
          <cell r="O16" t="str">
            <v>Rev07-BRADEN-PL3x1500x6000-1tờ</v>
          </cell>
        </row>
        <row r="17">
          <cell r="A17" t="str">
            <v>I90-A5</v>
          </cell>
          <cell r="B17" t="str">
            <v>Tôn tấm</v>
          </cell>
          <cell r="C17" t="str">
            <v>PL5x1500x6000</v>
          </cell>
          <cell r="D17" t="str">
            <v>ASTM A36</v>
          </cell>
          <cell r="E17" t="str">
            <v>m2</v>
          </cell>
          <cell r="F17">
            <v>39.25</v>
          </cell>
          <cell r="G17">
            <v>187.2504458598726</v>
          </cell>
          <cell r="H17">
            <v>7349.58</v>
          </cell>
          <cell r="I17">
            <v>18</v>
          </cell>
          <cell r="J17">
            <v>706.5</v>
          </cell>
          <cell r="K17"/>
          <cell r="L17"/>
          <cell r="M17">
            <v>18</v>
          </cell>
          <cell r="N17">
            <v>706.5</v>
          </cell>
          <cell r="O17" t="str">
            <v>Rev05-BRADEN-PL5x1500x6000-1tờ</v>
          </cell>
        </row>
        <row r="18">
          <cell r="A18" t="str">
            <v>I90-A5A</v>
          </cell>
          <cell r="B18" t="str">
            <v>Tôn tấm</v>
          </cell>
          <cell r="C18" t="str">
            <v>PL5x2000X12000</v>
          </cell>
          <cell r="D18" t="str">
            <v>ASTM A36</v>
          </cell>
          <cell r="E18" t="str">
            <v>m2</v>
          </cell>
          <cell r="F18">
            <v>39.25</v>
          </cell>
          <cell r="G18"/>
          <cell r="H18"/>
          <cell r="I18">
            <v>192</v>
          </cell>
          <cell r="J18">
            <v>7536</v>
          </cell>
          <cell r="K18"/>
          <cell r="L18"/>
          <cell r="M18">
            <v>192</v>
          </cell>
          <cell r="N18">
            <v>7536</v>
          </cell>
          <cell r="O18" t="str">
            <v>Rev06-BRADEN-PL5x2000x12000-8tờ</v>
          </cell>
        </row>
        <row r="19">
          <cell r="A19" t="str">
            <v>I90-A6</v>
          </cell>
          <cell r="B19" t="str">
            <v>Tôn tấm</v>
          </cell>
          <cell r="C19" t="str">
            <v>PL6x1500x12000; PL6x2000x12000 (2 tờ); PL6x2000x3000(1 tờ)</v>
          </cell>
          <cell r="D19" t="str">
            <v>ASTM A36</v>
          </cell>
          <cell r="E19" t="str">
            <v>m2</v>
          </cell>
          <cell r="F19">
            <v>47.099999999999994</v>
          </cell>
          <cell r="G19">
            <v>177.35329087048834</v>
          </cell>
          <cell r="H19">
            <v>8353.34</v>
          </cell>
          <cell r="I19">
            <v>204</v>
          </cell>
          <cell r="J19">
            <v>9608.4</v>
          </cell>
          <cell r="K19"/>
          <cell r="L19"/>
          <cell r="M19">
            <v>204</v>
          </cell>
          <cell r="N19">
            <v>9608.4</v>
          </cell>
          <cell r="O19" t="str">
            <v>Rev07-BRADEN-PL6x2000x12000-1tờ</v>
          </cell>
        </row>
        <row r="20">
          <cell r="A20" t="str">
            <v>I90-A7</v>
          </cell>
          <cell r="B20" t="str">
            <v>Tôn tấm</v>
          </cell>
          <cell r="C20" t="str">
            <v>PL8x1500x9060</v>
          </cell>
          <cell r="D20" t="str">
            <v>ASTM A36</v>
          </cell>
          <cell r="E20" t="str">
            <v>m2</v>
          </cell>
          <cell r="F20">
            <v>62.8</v>
          </cell>
          <cell r="G20">
            <v>6594.493630573249</v>
          </cell>
          <cell r="H20">
            <v>414134.2</v>
          </cell>
          <cell r="I20">
            <v>163.08000000000001</v>
          </cell>
          <cell r="J20">
            <v>10241.424000000001</v>
          </cell>
          <cell r="K20"/>
          <cell r="L20"/>
          <cell r="M20">
            <v>163.08000000000001</v>
          </cell>
          <cell r="N20">
            <v>10241.424000000001</v>
          </cell>
          <cell r="O20" t="str">
            <v>Rev01-PL8x1500x9060-12-tờ</v>
          </cell>
        </row>
        <row r="21">
          <cell r="A21" t="str">
            <v>I90-A8</v>
          </cell>
          <cell r="B21" t="str">
            <v>Tôn tấm</v>
          </cell>
          <cell r="C21" t="str">
            <v>PL8x2000x7200</v>
          </cell>
          <cell r="D21" t="str">
            <v>ASTM A36</v>
          </cell>
          <cell r="E21" t="str">
            <v>m2</v>
          </cell>
          <cell r="F21">
            <v>62.8</v>
          </cell>
          <cell r="G21"/>
          <cell r="H21"/>
          <cell r="I21">
            <v>460.8</v>
          </cell>
          <cell r="J21">
            <v>28938.239999999998</v>
          </cell>
          <cell r="K21"/>
          <cell r="L21"/>
          <cell r="M21">
            <v>460.8</v>
          </cell>
          <cell r="N21">
            <v>28938.239999999998</v>
          </cell>
          <cell r="O21" t="str">
            <v>Rev01-PL8x2000x7200-32-tờ</v>
          </cell>
        </row>
        <row r="22">
          <cell r="A22" t="str">
            <v>I90-A9</v>
          </cell>
          <cell r="B22" t="str">
            <v>Tôn tấm</v>
          </cell>
          <cell r="C22" t="str">
            <v>PL8x2000x7800</v>
          </cell>
          <cell r="D22" t="str">
            <v>ASTM A36</v>
          </cell>
          <cell r="E22" t="str">
            <v>m2</v>
          </cell>
          <cell r="F22">
            <v>62.8</v>
          </cell>
          <cell r="G22"/>
          <cell r="H22"/>
          <cell r="I22">
            <v>748.8</v>
          </cell>
          <cell r="J22">
            <v>47024.639999999992</v>
          </cell>
          <cell r="K22"/>
          <cell r="L22"/>
          <cell r="M22">
            <v>748.8</v>
          </cell>
          <cell r="N22">
            <v>47024.639999999992</v>
          </cell>
          <cell r="O22" t="str">
            <v>Rev01-PL8x2000x7800-48-tờ</v>
          </cell>
        </row>
        <row r="23">
          <cell r="A23" t="str">
            <v>I90-A10</v>
          </cell>
          <cell r="B23" t="str">
            <v>Tôn tấm</v>
          </cell>
          <cell r="C23" t="str">
            <v>PL8x2000x9060</v>
          </cell>
          <cell r="D23" t="str">
            <v>ASTM A36</v>
          </cell>
          <cell r="E23" t="str">
            <v>m2</v>
          </cell>
          <cell r="F23">
            <v>62.8</v>
          </cell>
          <cell r="G23"/>
          <cell r="H23"/>
          <cell r="I23">
            <v>797.28</v>
          </cell>
          <cell r="J23">
            <v>50069.183999999994</v>
          </cell>
          <cell r="K23"/>
          <cell r="L23"/>
          <cell r="M23">
            <v>797.28</v>
          </cell>
          <cell r="N23">
            <v>50069.183999999994</v>
          </cell>
          <cell r="O23" t="str">
            <v>Rev01-PL8x2000x9060-44-tờ</v>
          </cell>
        </row>
        <row r="24">
          <cell r="A24" t="str">
            <v>I90-A11</v>
          </cell>
          <cell r="B24" t="str">
            <v>Tôn tấm</v>
          </cell>
          <cell r="C24" t="str">
            <v>PL8x2000x12000</v>
          </cell>
          <cell r="D24" t="str">
            <v>ASTM A36</v>
          </cell>
          <cell r="E24" t="str">
            <v>m2</v>
          </cell>
          <cell r="F24">
            <v>62.8</v>
          </cell>
          <cell r="G24"/>
          <cell r="H24"/>
          <cell r="I24">
            <v>3216</v>
          </cell>
          <cell r="J24">
            <v>201964.79999999999</v>
          </cell>
          <cell r="K24"/>
          <cell r="L24"/>
          <cell r="M24">
            <v>3216</v>
          </cell>
          <cell r="N24">
            <v>201964.79999999999</v>
          </cell>
          <cell r="O24" t="str">
            <v>Rev07-BRADEN-PL8x2000x12000-14tờ</v>
          </cell>
        </row>
        <row r="25">
          <cell r="A25" t="str">
            <v>I90-A11A</v>
          </cell>
          <cell r="B25" t="str">
            <v>Tôn tấm</v>
          </cell>
          <cell r="C25" t="str">
            <v>PL8x2000x9650</v>
          </cell>
          <cell r="D25" t="str">
            <v>ASTM A36</v>
          </cell>
          <cell r="E25" t="str">
            <v>m2</v>
          </cell>
          <cell r="F25">
            <v>62.8</v>
          </cell>
          <cell r="G25"/>
          <cell r="H25"/>
          <cell r="I25">
            <v>1737</v>
          </cell>
          <cell r="J25">
            <v>109083.59999999999</v>
          </cell>
          <cell r="K25"/>
          <cell r="L25"/>
          <cell r="M25">
            <v>1737</v>
          </cell>
          <cell r="N25">
            <v>109083.59999999999</v>
          </cell>
          <cell r="O25" t="str">
            <v>Rev05-BRADEN-PL8x2000x9650-90tờ</v>
          </cell>
        </row>
        <row r="26">
          <cell r="A26" t="str">
            <v>I90-A12</v>
          </cell>
          <cell r="B26" t="str">
            <v>Tôn tấm</v>
          </cell>
          <cell r="C26" t="str">
            <v>PL10x1500x12000; PL10x2000x12000 (12 tờ)</v>
          </cell>
          <cell r="D26" t="str">
            <v>ASTM A36</v>
          </cell>
          <cell r="E26" t="str">
            <v>m2</v>
          </cell>
          <cell r="F26">
            <v>78.5</v>
          </cell>
          <cell r="G26">
            <v>481.37095541401277</v>
          </cell>
          <cell r="H26">
            <v>37787.620000000003</v>
          </cell>
          <cell r="I26">
            <v>510</v>
          </cell>
          <cell r="J26">
            <v>38229.5</v>
          </cell>
          <cell r="K26"/>
          <cell r="L26"/>
          <cell r="M26">
            <v>510</v>
          </cell>
          <cell r="N26">
            <v>38229.5</v>
          </cell>
          <cell r="O26" t="str">
            <v>Rev08-BRADEN-bổ sung PL10x2000x12000-1 tờ</v>
          </cell>
        </row>
        <row r="27">
          <cell r="A27" t="str">
            <v>I90-A13</v>
          </cell>
          <cell r="B27" t="str">
            <v>Tôn tấm</v>
          </cell>
          <cell r="C27" t="str">
            <v>PL12x1500x12000; PL12x2000x12000; PL12x2000x9000.</v>
          </cell>
          <cell r="D27" t="str">
            <v>ASTM A36</v>
          </cell>
          <cell r="E27" t="str">
            <v>m2</v>
          </cell>
          <cell r="F27">
            <v>94.199999999999989</v>
          </cell>
          <cell r="G27">
            <v>195.17494692144376</v>
          </cell>
          <cell r="H27">
            <v>18385.48</v>
          </cell>
          <cell r="I27">
            <v>216</v>
          </cell>
          <cell r="J27">
            <v>20347.199999999997</v>
          </cell>
          <cell r="K27"/>
          <cell r="L27"/>
          <cell r="M27">
            <v>216</v>
          </cell>
          <cell r="N27">
            <v>20347.199999999997</v>
          </cell>
          <cell r="O27" t="str">
            <v>Rev07-BRADEN-PL12x2000x12000-2tờ</v>
          </cell>
        </row>
        <row r="28">
          <cell r="A28" t="str">
            <v>I90-A14</v>
          </cell>
          <cell r="B28" t="str">
            <v>Tôn tấm</v>
          </cell>
          <cell r="C28" t="str">
            <v>PL15x1500x12000</v>
          </cell>
          <cell r="D28" t="str">
            <v>ASTM A36</v>
          </cell>
          <cell r="E28" t="str">
            <v>m2</v>
          </cell>
          <cell r="F28">
            <v>117.75</v>
          </cell>
          <cell r="G28">
            <v>765.88348195329081</v>
          </cell>
          <cell r="H28">
            <v>90182.78</v>
          </cell>
          <cell r="I28">
            <v>846</v>
          </cell>
          <cell r="J28">
            <v>99616.5</v>
          </cell>
          <cell r="K28"/>
          <cell r="L28"/>
          <cell r="M28">
            <v>846</v>
          </cell>
          <cell r="N28">
            <v>99616.5</v>
          </cell>
          <cell r="O28" t="str">
            <v>Rev07-BRADEN-PL15x1500x12000-1tờ</v>
          </cell>
        </row>
        <row r="29">
          <cell r="A29" t="str">
            <v>I90-A15</v>
          </cell>
          <cell r="B29" t="str">
            <v>Tôn tấm</v>
          </cell>
          <cell r="C29" t="str">
            <v>PL18x1500x6000</v>
          </cell>
          <cell r="D29" t="str">
            <v>ASTM A36</v>
          </cell>
          <cell r="E29" t="str">
            <v>m2</v>
          </cell>
          <cell r="F29">
            <v>141.29999999999998</v>
          </cell>
          <cell r="G29">
            <v>7.5583864118895994</v>
          </cell>
          <cell r="H29">
            <v>1068.0000000000002</v>
          </cell>
          <cell r="I29">
            <v>9</v>
          </cell>
          <cell r="J29">
            <v>1271.6999999999998</v>
          </cell>
          <cell r="K29"/>
          <cell r="L29"/>
          <cell r="M29">
            <v>9</v>
          </cell>
          <cell r="N29">
            <v>1271.6999999999998</v>
          </cell>
          <cell r="O29" t="str">
            <v>Rev01-PL18x1500x6000-1-tờ</v>
          </cell>
        </row>
        <row r="30">
          <cell r="A30" t="str">
            <v>I90-A16</v>
          </cell>
          <cell r="B30" t="str">
            <v>Tôn tấm</v>
          </cell>
          <cell r="C30" t="str">
            <v>PL20x1500x12000</v>
          </cell>
          <cell r="D30" t="str">
            <v>ASTM A36</v>
          </cell>
          <cell r="E30" t="str">
            <v>m2</v>
          </cell>
          <cell r="F30">
            <v>157</v>
          </cell>
          <cell r="G30">
            <v>198.78496815286624</v>
          </cell>
          <cell r="H30">
            <v>31209.239999999998</v>
          </cell>
          <cell r="I30">
            <v>198</v>
          </cell>
          <cell r="J30">
            <v>31086</v>
          </cell>
          <cell r="K30"/>
          <cell r="L30"/>
          <cell r="M30">
            <v>198</v>
          </cell>
          <cell r="N30">
            <v>31086</v>
          </cell>
          <cell r="O30" t="str">
            <v>Rev07-BRADEN-PL20x1500x12000-1tờ</v>
          </cell>
        </row>
        <row r="31">
          <cell r="A31" t="str">
            <v>I90-A17</v>
          </cell>
          <cell r="B31" t="str">
            <v>Tôn tấm</v>
          </cell>
          <cell r="C31" t="str">
            <v>PL25x1500x12000</v>
          </cell>
          <cell r="D31" t="str">
            <v>ASTM A36</v>
          </cell>
          <cell r="E31" t="str">
            <v>m2</v>
          </cell>
          <cell r="F31">
            <v>196.25</v>
          </cell>
          <cell r="G31">
            <v>70.721732484076426</v>
          </cell>
          <cell r="H31">
            <v>13879.14</v>
          </cell>
          <cell r="I31">
            <v>72</v>
          </cell>
          <cell r="J31">
            <v>14130</v>
          </cell>
          <cell r="K31"/>
          <cell r="L31"/>
          <cell r="M31">
            <v>72</v>
          </cell>
          <cell r="N31">
            <v>14130</v>
          </cell>
          <cell r="O31" t="str">
            <v>Rev07-BRADEN-PL25x1500x12000-2tờ</v>
          </cell>
        </row>
        <row r="32">
          <cell r="A32" t="str">
            <v>I90-A18</v>
          </cell>
          <cell r="B32" t="str">
            <v>Tôn tấm</v>
          </cell>
          <cell r="C32" t="str">
            <v>PL30x2000x6000</v>
          </cell>
          <cell r="D32" t="str">
            <v>ASTM A36</v>
          </cell>
          <cell r="E32" t="str">
            <v>m2</v>
          </cell>
          <cell r="F32">
            <v>235.5</v>
          </cell>
          <cell r="G32">
            <v>165.28845859872612</v>
          </cell>
          <cell r="H32">
            <v>38925.432000000001</v>
          </cell>
          <cell r="I32">
            <v>156</v>
          </cell>
          <cell r="J32">
            <v>36738</v>
          </cell>
          <cell r="K32"/>
          <cell r="L32"/>
          <cell r="M32">
            <v>156</v>
          </cell>
          <cell r="N32">
            <v>36738</v>
          </cell>
          <cell r="O32" t="str">
            <v>Rev05-BRADEN-PL30x2000x6000-4tờ</v>
          </cell>
        </row>
        <row r="33">
          <cell r="A33" t="str">
            <v>I90-A19</v>
          </cell>
          <cell r="B33" t="str">
            <v>Tôn tấm</v>
          </cell>
          <cell r="C33" t="str">
            <v>PL30x2000x6000; PL30x2000x12000</v>
          </cell>
          <cell r="D33" t="str">
            <v>ASTM A36</v>
          </cell>
          <cell r="E33" t="str">
            <v>m2</v>
          </cell>
          <cell r="F33">
            <v>235.5</v>
          </cell>
          <cell r="G33"/>
          <cell r="H33"/>
          <cell r="I33">
            <v>36</v>
          </cell>
          <cell r="J33">
            <v>8478</v>
          </cell>
          <cell r="K33"/>
          <cell r="L33"/>
          <cell r="M33">
            <v>36</v>
          </cell>
          <cell r="N33">
            <v>8478</v>
          </cell>
          <cell r="O33" t="str">
            <v>Rev07-BRADEN-PL30x2000x12000-1tờ</v>
          </cell>
        </row>
        <row r="34">
          <cell r="A34" t="str">
            <v>I90-A20</v>
          </cell>
          <cell r="B34" t="str">
            <v>Tôn tấm</v>
          </cell>
          <cell r="C34" t="str">
            <v>PL35x2000x6000</v>
          </cell>
          <cell r="D34" t="str">
            <v>ASTM A36</v>
          </cell>
          <cell r="E34" t="str">
            <v>m2</v>
          </cell>
          <cell r="F34">
            <v>274.75</v>
          </cell>
          <cell r="G34">
            <v>68.075632393084632</v>
          </cell>
          <cell r="H34">
            <v>18703.780000000002</v>
          </cell>
          <cell r="I34">
            <v>72</v>
          </cell>
          <cell r="J34">
            <v>19782</v>
          </cell>
          <cell r="K34"/>
          <cell r="L34"/>
          <cell r="M34">
            <v>72</v>
          </cell>
          <cell r="N34">
            <v>19782</v>
          </cell>
          <cell r="O34" t="str">
            <v>Rev05-BRADEN-PL35x2000x6000-3tờ</v>
          </cell>
        </row>
        <row r="35">
          <cell r="A35" t="str">
            <v>I90-A21</v>
          </cell>
          <cell r="B35" t="str">
            <v>Tôn tấm</v>
          </cell>
          <cell r="C35" t="str">
            <v>PL45x2000x4500; PL45x2000x7000</v>
          </cell>
          <cell r="D35" t="str">
            <v>ASTM A36</v>
          </cell>
          <cell r="E35" t="str">
            <v>m2</v>
          </cell>
          <cell r="F35">
            <v>353.25</v>
          </cell>
          <cell r="G35">
            <v>19.575937721160649</v>
          </cell>
          <cell r="H35">
            <v>6915.2</v>
          </cell>
          <cell r="I35">
            <v>23</v>
          </cell>
          <cell r="J35">
            <v>8124.75</v>
          </cell>
          <cell r="K35"/>
          <cell r="L35"/>
          <cell r="M35">
            <v>23</v>
          </cell>
          <cell r="N35">
            <v>8124.75</v>
          </cell>
          <cell r="O35" t="str">
            <v>Rev05-BRADEN-PL50x2000x7000-1tờ</v>
          </cell>
        </row>
        <row r="36">
          <cell r="A36" t="str">
            <v>I90-A22</v>
          </cell>
          <cell r="B36" t="str">
            <v>Tôn tấm</v>
          </cell>
          <cell r="C36" t="str">
            <v>PL50x2000x4600; PL50x2000x7000</v>
          </cell>
          <cell r="D36" t="str">
            <v>ASTM A36</v>
          </cell>
          <cell r="E36" t="str">
            <v>m2</v>
          </cell>
          <cell r="F36">
            <v>392.5</v>
          </cell>
          <cell r="G36">
            <v>18.298089171974521</v>
          </cell>
          <cell r="H36">
            <v>7182</v>
          </cell>
          <cell r="I36">
            <v>23.2</v>
          </cell>
          <cell r="J36">
            <v>9106</v>
          </cell>
          <cell r="K36"/>
          <cell r="L36"/>
          <cell r="M36">
            <v>23.2</v>
          </cell>
          <cell r="N36">
            <v>9106</v>
          </cell>
          <cell r="O36" t="str">
            <v>Rev05-BRADEN-PL50x2000x7000-1tờ: Rev01-PL50x2000x4600-1tờ</v>
          </cell>
        </row>
        <row r="37">
          <cell r="A37" t="str">
            <v>I90-A23</v>
          </cell>
          <cell r="B37" t="str">
            <v>Tôn tấm</v>
          </cell>
          <cell r="C37" t="str">
            <v>PL20x2000x6000</v>
          </cell>
          <cell r="D37" t="str">
            <v>ASTM A572-Gr.50</v>
          </cell>
          <cell r="E37" t="str">
            <v>m2</v>
          </cell>
          <cell r="F37">
            <v>157</v>
          </cell>
          <cell r="G37">
            <v>11.372484076433121</v>
          </cell>
          <cell r="H37">
            <v>1785.48</v>
          </cell>
          <cell r="I37">
            <v>12</v>
          </cell>
          <cell r="J37">
            <v>1884</v>
          </cell>
          <cell r="K37"/>
          <cell r="L37"/>
          <cell r="M37">
            <v>12</v>
          </cell>
          <cell r="N37">
            <v>1884</v>
          </cell>
          <cell r="O37" t="str">
            <v>Rev01-PL20x2000x6000-1-tờ</v>
          </cell>
        </row>
        <row r="38">
          <cell r="A38" t="str">
            <v>I90-A24</v>
          </cell>
          <cell r="B38" t="str">
            <v>Tôn tấm</v>
          </cell>
          <cell r="C38" t="str">
            <v>PL20x2000x800</v>
          </cell>
          <cell r="D38" t="str">
            <v>ASTM A572-Gr.50</v>
          </cell>
          <cell r="E38" t="str">
            <v>m2</v>
          </cell>
          <cell r="F38">
            <v>157</v>
          </cell>
          <cell r="G38"/>
          <cell r="H38"/>
          <cell r="I38">
            <v>1.6</v>
          </cell>
          <cell r="J38">
            <v>251.20000000000002</v>
          </cell>
          <cell r="K38"/>
          <cell r="L38"/>
          <cell r="M38">
            <v>1.6</v>
          </cell>
          <cell r="N38">
            <v>251.20000000000002</v>
          </cell>
          <cell r="O38" t="str">
            <v>Rev01-PL20x2000x800-1-tờ</v>
          </cell>
        </row>
        <row r="39">
          <cell r="A39" t="str">
            <v>I90-A25</v>
          </cell>
          <cell r="B39" t="str">
            <v>Tôn tấm</v>
          </cell>
          <cell r="C39" t="str">
            <v>PL40x2000x2400</v>
          </cell>
          <cell r="D39" t="str">
            <v>ASTM A572-Gr.50</v>
          </cell>
          <cell r="E39" t="str">
            <v>m2</v>
          </cell>
          <cell r="F39">
            <v>314</v>
          </cell>
          <cell r="G39">
            <v>3.9515923566878981</v>
          </cell>
          <cell r="H39">
            <v>1240.8</v>
          </cell>
          <cell r="I39">
            <v>4.8</v>
          </cell>
          <cell r="J39">
            <v>1507.2</v>
          </cell>
          <cell r="K39"/>
          <cell r="L39"/>
          <cell r="M39">
            <v>4.8</v>
          </cell>
          <cell r="N39">
            <v>1507.2</v>
          </cell>
          <cell r="O39" t="str">
            <v>Rev01-PL40x2000x2400-1-tờ</v>
          </cell>
        </row>
        <row r="40">
          <cell r="A40" t="str">
            <v>I90-A26</v>
          </cell>
          <cell r="B40" t="str">
            <v>Thép hình-H</v>
          </cell>
          <cell r="C40" t="str">
            <v>HEA120(H114x120x5x8)-L12000</v>
          </cell>
          <cell r="D40" t="str">
            <v>ASTM A36/ EN-1.0577</v>
          </cell>
          <cell r="E40" t="str">
            <v>m</v>
          </cell>
          <cell r="F40">
            <v>19.899999999999999</v>
          </cell>
          <cell r="G40">
            <v>589.79199999999992</v>
          </cell>
          <cell r="H40">
            <v>11730.32</v>
          </cell>
          <cell r="I40">
            <v>619.28159999999991</v>
          </cell>
          <cell r="J40">
            <v>12323.703839999996</v>
          </cell>
          <cell r="K40"/>
          <cell r="L40"/>
          <cell r="M40">
            <v>619.28159999999991</v>
          </cell>
          <cell r="N40">
            <v>12323.703839999996</v>
          </cell>
          <cell r="O40" t="str">
            <v>Rev01-IBS  bổ sung mới</v>
          </cell>
        </row>
        <row r="41">
          <cell r="A41" t="str">
            <v>I90-A27</v>
          </cell>
          <cell r="B41" t="str">
            <v>Thép hình-H</v>
          </cell>
          <cell r="C41" t="str">
            <v>HEA200(H190x200x6.5x10)-L12000</v>
          </cell>
          <cell r="D41" t="str">
            <v>ASTM A36/ EN-1.0577</v>
          </cell>
          <cell r="E41" t="str">
            <v>m</v>
          </cell>
          <cell r="F41">
            <v>42.3</v>
          </cell>
          <cell r="G41">
            <v>37.188000000000002</v>
          </cell>
          <cell r="H41">
            <v>1571.6999999999998</v>
          </cell>
          <cell r="I41">
            <v>39.020699999999998</v>
          </cell>
          <cell r="J41">
            <v>1650.5756099999996</v>
          </cell>
          <cell r="K41"/>
          <cell r="L41"/>
          <cell r="M41">
            <v>39.020699999999998</v>
          </cell>
          <cell r="N41">
            <v>1650.5756099999996</v>
          </cell>
          <cell r="O41" t="str">
            <v>Rev05-BRADEN-bổ sung 12.0m</v>
          </cell>
        </row>
        <row r="42">
          <cell r="A42" t="str">
            <v>I90-A28</v>
          </cell>
          <cell r="B42" t="str">
            <v>Thép hình-H</v>
          </cell>
          <cell r="C42" t="str">
            <v>HEA340(H330x300x9.5x16.5)-L12000</v>
          </cell>
          <cell r="D42" t="str">
            <v>ASTM A36/ EN-1.0577</v>
          </cell>
          <cell r="E42" t="str">
            <v>m</v>
          </cell>
          <cell r="F42">
            <v>105</v>
          </cell>
          <cell r="G42">
            <v>1444.568</v>
          </cell>
          <cell r="H42">
            <v>150828.14000000001</v>
          </cell>
          <cell r="I42">
            <v>1488</v>
          </cell>
          <cell r="J42">
            <v>156240</v>
          </cell>
          <cell r="K42"/>
          <cell r="L42"/>
          <cell r="M42">
            <v>1488</v>
          </cell>
          <cell r="N42">
            <v>156240</v>
          </cell>
          <cell r="O42" t="str">
            <v>Rev05-BRADEN-bổ sung 540.0m</v>
          </cell>
        </row>
        <row r="43">
          <cell r="A43" t="str">
            <v>I90-A29</v>
          </cell>
          <cell r="B43" t="str">
            <v>Thép hình-H</v>
          </cell>
          <cell r="C43" t="str">
            <v>HEB240(H240x240x10x17)-L3000; HEB240(H240x240x10x17)-L3500</v>
          </cell>
          <cell r="D43" t="str">
            <v>ASTM A36/ EN-1.0577</v>
          </cell>
          <cell r="E43" t="str">
            <v>m</v>
          </cell>
          <cell r="F43">
            <v>83.2</v>
          </cell>
          <cell r="G43">
            <v>5.984</v>
          </cell>
          <cell r="H43">
            <v>371.36</v>
          </cell>
          <cell r="I43">
            <v>6.5</v>
          </cell>
          <cell r="J43">
            <v>540.79999999999995</v>
          </cell>
          <cell r="K43"/>
          <cell r="L43"/>
          <cell r="M43">
            <v>6.5</v>
          </cell>
          <cell r="N43">
            <v>540.79999999999995</v>
          </cell>
          <cell r="O43" t="str">
            <v>Rev05-BRADEN-bổ sung 3.5m</v>
          </cell>
        </row>
        <row r="44">
          <cell r="A44" t="str">
            <v>I90-A30</v>
          </cell>
          <cell r="B44" t="str">
            <v>Thép hình-H</v>
          </cell>
          <cell r="C44" t="str">
            <v>HEB300(H300x300x11x19)-L12000</v>
          </cell>
          <cell r="D44" t="str">
            <v>ASTM A36/ EN-1.0577</v>
          </cell>
          <cell r="E44" t="str">
            <v>m</v>
          </cell>
          <cell r="F44">
            <v>117</v>
          </cell>
          <cell r="G44">
            <v>117.08799999999999</v>
          </cell>
          <cell r="H44">
            <v>11277.08</v>
          </cell>
          <cell r="I44">
            <v>120</v>
          </cell>
          <cell r="J44">
            <v>14040</v>
          </cell>
          <cell r="K44"/>
          <cell r="L44"/>
          <cell r="M44">
            <v>120</v>
          </cell>
          <cell r="N44">
            <v>14040</v>
          </cell>
          <cell r="O44" t="str">
            <v>Rev05-BRADEN-bổ sung 63.75.0m</v>
          </cell>
        </row>
        <row r="45">
          <cell r="A45" t="str">
            <v>I90-A31</v>
          </cell>
          <cell r="B45" t="str">
            <v>Thép hình-H</v>
          </cell>
          <cell r="C45" t="str">
            <v>IPE180(H180x91x5.3x8)-L12000</v>
          </cell>
          <cell r="D45" t="str">
            <v>ASTM A36/ EN-1.0577</v>
          </cell>
          <cell r="E45" t="str">
            <v>m</v>
          </cell>
          <cell r="F45">
            <v>18.8</v>
          </cell>
          <cell r="G45">
            <v>71.511999999999986</v>
          </cell>
          <cell r="H45">
            <v>1264.6399999999999</v>
          </cell>
          <cell r="I45">
            <v>75.087599999999995</v>
          </cell>
          <cell r="J45">
            <v>1411.64688</v>
          </cell>
          <cell r="K45"/>
          <cell r="L45"/>
          <cell r="M45">
            <v>75.087599999999995</v>
          </cell>
          <cell r="N45">
            <v>1411.64688</v>
          </cell>
          <cell r="O45" t="str">
            <v>Rev01-IBS  bổ sung mới</v>
          </cell>
        </row>
        <row r="46">
          <cell r="A46" t="str">
            <v>I90-A32</v>
          </cell>
          <cell r="B46" t="str">
            <v>Thép hình-H</v>
          </cell>
          <cell r="C46" t="str">
            <v>IPE270(H270x135x6.6x10.2)-L12000</v>
          </cell>
          <cell r="D46" t="str">
            <v>ASTM A36/ EN-1.0577</v>
          </cell>
          <cell r="E46" t="str">
            <v>m</v>
          </cell>
          <cell r="F46">
            <v>36.1</v>
          </cell>
          <cell r="G46">
            <v>304.93599999999998</v>
          </cell>
          <cell r="H46">
            <v>10997.960000000001</v>
          </cell>
          <cell r="I46">
            <v>320.18279999999999</v>
          </cell>
          <cell r="J46">
            <v>11558.59908</v>
          </cell>
          <cell r="K46"/>
          <cell r="L46"/>
          <cell r="M46">
            <v>320.18279999999999</v>
          </cell>
          <cell r="N46">
            <v>11558.59908</v>
          </cell>
          <cell r="O46" t="str">
            <v>Rev01-IBS  bổ sung mới</v>
          </cell>
        </row>
        <row r="47">
          <cell r="A47" t="str">
            <v>I90-A33</v>
          </cell>
          <cell r="B47" t="str">
            <v>Thép hình-H</v>
          </cell>
          <cell r="C47" t="str">
            <v>IPE300(H300x150x7.1x10.7)-L12000</v>
          </cell>
          <cell r="D47" t="str">
            <v>ASTM A36/ EN-1.0577</v>
          </cell>
          <cell r="E47" t="str">
            <v>m</v>
          </cell>
          <cell r="F47">
            <v>42.2</v>
          </cell>
          <cell r="G47">
            <v>205.53</v>
          </cell>
          <cell r="H47">
            <v>8285.34</v>
          </cell>
          <cell r="I47">
            <v>215.13539999999998</v>
          </cell>
          <cell r="J47">
            <v>9078.7138799999993</v>
          </cell>
          <cell r="K47"/>
          <cell r="L47"/>
          <cell r="M47">
            <v>215.13539999999998</v>
          </cell>
          <cell r="N47">
            <v>9078.7138799999993</v>
          </cell>
          <cell r="O47" t="str">
            <v>Rev05-BRADEN-bổ sung 102.0m</v>
          </cell>
        </row>
        <row r="48">
          <cell r="A48" t="str">
            <v>I90-A34</v>
          </cell>
          <cell r="B48" t="str">
            <v>Thép hình-H</v>
          </cell>
          <cell r="C48" t="str">
            <v>IPE330(H330x160x7.5x11.5)-L12000</v>
          </cell>
          <cell r="D48" t="str">
            <v>ASTM A36/ EN-1.0577</v>
          </cell>
          <cell r="E48" t="str">
            <v>m</v>
          </cell>
          <cell r="F48">
            <v>49.1</v>
          </cell>
          <cell r="G48">
            <v>469</v>
          </cell>
          <cell r="H48">
            <v>22787.360000000001</v>
          </cell>
          <cell r="I48">
            <v>492</v>
          </cell>
          <cell r="J48">
            <v>24157.200000000001</v>
          </cell>
          <cell r="K48"/>
          <cell r="L48"/>
          <cell r="M48">
            <v>492</v>
          </cell>
          <cell r="N48">
            <v>24157.200000000001</v>
          </cell>
          <cell r="O48" t="str">
            <v>Rev05-BRADEN-bổ sung 288.0m</v>
          </cell>
        </row>
        <row r="49">
          <cell r="A49" t="str">
            <v>I90-A35</v>
          </cell>
          <cell r="B49" t="str">
            <v>Thép hình-C</v>
          </cell>
          <cell r="C49" t="str">
            <v>UNP260(C260x90x10x14)-L12000</v>
          </cell>
          <cell r="D49" t="str">
            <v>ASTM A36/ EN-1.0577</v>
          </cell>
          <cell r="E49" t="str">
            <v>m</v>
          </cell>
          <cell r="F49">
            <v>37.9</v>
          </cell>
          <cell r="G49">
            <v>804.10400000000004</v>
          </cell>
          <cell r="H49">
            <v>30365.739999999998</v>
          </cell>
          <cell r="I49">
            <v>824.79056000000014</v>
          </cell>
          <cell r="J49">
            <v>31259.562224000001</v>
          </cell>
          <cell r="K49"/>
          <cell r="L49"/>
          <cell r="M49">
            <v>824.79056000000014</v>
          </cell>
          <cell r="N49">
            <v>31259.562224000001</v>
          </cell>
          <cell r="O49" t="str">
            <v>Rev05-BRADEN-bổ sung 384.0m</v>
          </cell>
        </row>
        <row r="50">
          <cell r="A50" t="str">
            <v>I90-A36</v>
          </cell>
          <cell r="B50" t="str">
            <v>Thép hình-C</v>
          </cell>
          <cell r="C50" t="str">
            <v>UNP300(C300x100x10x16)-L12000</v>
          </cell>
          <cell r="D50" t="str">
            <v>ASTM A36/ EN-1.0577</v>
          </cell>
          <cell r="E50" t="str">
            <v>m</v>
          </cell>
          <cell r="F50">
            <v>46.2</v>
          </cell>
          <cell r="G50">
            <v>762.10799999999995</v>
          </cell>
          <cell r="H50">
            <v>34474.92</v>
          </cell>
          <cell r="I50">
            <v>780</v>
          </cell>
          <cell r="J50">
            <v>36036</v>
          </cell>
          <cell r="K50"/>
          <cell r="L50"/>
          <cell r="M50">
            <v>780</v>
          </cell>
          <cell r="N50">
            <v>36036</v>
          </cell>
          <cell r="O50" t="str">
            <v>Rev05-BRADEN-bổ sung 480.0m</v>
          </cell>
        </row>
        <row r="51">
          <cell r="A51" t="str">
            <v>I90-A37</v>
          </cell>
          <cell r="B51" t="str">
            <v>Thép hình-C</v>
          </cell>
          <cell r="C51" t="str">
            <v>UPN240(C240x85x9.5x13)-L12000</v>
          </cell>
          <cell r="D51" t="str">
            <v>ASTM A36/ EN-1.0577</v>
          </cell>
          <cell r="E51" t="str">
            <v>m</v>
          </cell>
          <cell r="F51">
            <v>33.200000000000003</v>
          </cell>
          <cell r="G51">
            <v>1108.7919999999999</v>
          </cell>
          <cell r="H51">
            <v>36723.5</v>
          </cell>
          <cell r="I51">
            <v>1140</v>
          </cell>
          <cell r="J51">
            <v>37848.000000000007</v>
          </cell>
          <cell r="K51"/>
          <cell r="L51"/>
          <cell r="M51">
            <v>1140</v>
          </cell>
          <cell r="N51">
            <v>37848.000000000007</v>
          </cell>
          <cell r="O51" t="str">
            <v>Rev05-BRADEN-bổ sung 222.8.0m</v>
          </cell>
        </row>
        <row r="52">
          <cell r="A52" t="str">
            <v>I90-A38</v>
          </cell>
          <cell r="B52" t="str">
            <v>Thép hình-C</v>
          </cell>
          <cell r="C52" t="str">
            <v>UPN80(C80x45x6x8)-L12000</v>
          </cell>
          <cell r="D52" t="str">
            <v>ASTM A36/ EN-1.0577</v>
          </cell>
          <cell r="E52" t="str">
            <v>m</v>
          </cell>
          <cell r="F52">
            <v>8.6</v>
          </cell>
          <cell r="G52">
            <v>110.08000000000001</v>
          </cell>
          <cell r="H52">
            <v>952.32</v>
          </cell>
          <cell r="I52">
            <v>115.58400000000002</v>
          </cell>
          <cell r="J52">
            <v>994.02240000000006</v>
          </cell>
          <cell r="K52"/>
          <cell r="L52"/>
          <cell r="M52">
            <v>115.58400000000002</v>
          </cell>
          <cell r="N52">
            <v>994.02240000000006</v>
          </cell>
          <cell r="O52" t="str">
            <v>Rev01-IBS  bổ sung mới</v>
          </cell>
        </row>
        <row r="53">
          <cell r="A53" t="str">
            <v>I90-A39</v>
          </cell>
          <cell r="B53" t="str">
            <v>Thép hình-T</v>
          </cell>
          <cell r="C53" t="str">
            <v>T100 (tf=tw=11mm)-DIN 1024-L6000</v>
          </cell>
          <cell r="D53" t="str">
            <v>ASTM A36/ EN-1.0038</v>
          </cell>
          <cell r="E53" t="str">
            <v>m</v>
          </cell>
          <cell r="F53">
            <v>16.399999999999999</v>
          </cell>
          <cell r="G53">
            <v>51.68</v>
          </cell>
          <cell r="H53">
            <v>791.80000000000007</v>
          </cell>
          <cell r="I53">
            <v>0</v>
          </cell>
          <cell r="J53">
            <v>0</v>
          </cell>
          <cell r="K53"/>
          <cell r="L53"/>
          <cell r="M53">
            <v>0</v>
          </cell>
          <cell r="N53">
            <v>0</v>
          </cell>
          <cell r="O53" t="str">
            <v>Rev05-BRADEN-đã xin thành tổ hợp từ PL12. Khối lượng tinh không chuyển lên mục PL12</v>
          </cell>
        </row>
        <row r="54">
          <cell r="A54" t="str">
            <v>I90-A40</v>
          </cell>
          <cell r="B54" t="str">
            <v>Thép hình-L</v>
          </cell>
          <cell r="C54" t="str">
            <v>L40x40x5-L6000</v>
          </cell>
          <cell r="D54" t="str">
            <v>ASTM A36/ EN-1.0038</v>
          </cell>
          <cell r="E54" t="str">
            <v>m</v>
          </cell>
          <cell r="F54">
            <v>3</v>
          </cell>
          <cell r="G54">
            <v>23.048000000000002</v>
          </cell>
          <cell r="H54">
            <v>61.38</v>
          </cell>
          <cell r="I54">
            <v>30.122399999999999</v>
          </cell>
          <cell r="J54">
            <v>90.367199999999997</v>
          </cell>
          <cell r="K54"/>
          <cell r="L54"/>
          <cell r="M54">
            <v>30.122399999999999</v>
          </cell>
          <cell r="N54">
            <v>90.367199999999997</v>
          </cell>
          <cell r="O54" t="str">
            <v>Rev07-BRADEN-bổ sung 12.0m</v>
          </cell>
        </row>
        <row r="55">
          <cell r="A55" t="str">
            <v>I90-A41</v>
          </cell>
          <cell r="B55" t="str">
            <v>Thép hình-L</v>
          </cell>
          <cell r="C55" t="str">
            <v>L150x75x10-L2000</v>
          </cell>
          <cell r="D55" t="str">
            <v>ASTM A36/ EN-1.0038</v>
          </cell>
          <cell r="E55" t="str">
            <v>m</v>
          </cell>
          <cell r="F55">
            <v>17</v>
          </cell>
          <cell r="G55">
            <v>2.2999999999999998</v>
          </cell>
          <cell r="H55">
            <v>37.5</v>
          </cell>
          <cell r="I55">
            <v>3</v>
          </cell>
          <cell r="J55">
            <v>51</v>
          </cell>
          <cell r="K55"/>
          <cell r="L55"/>
          <cell r="M55">
            <v>3</v>
          </cell>
          <cell r="N55">
            <v>51</v>
          </cell>
          <cell r="O55" t="str">
            <v>Rev05-BRADEN-bổ sung 1.0m</v>
          </cell>
        </row>
        <row r="56">
          <cell r="A56" t="str">
            <v>I90-A42</v>
          </cell>
          <cell r="B56" t="str">
            <v>Thép hình-L</v>
          </cell>
          <cell r="C56" t="str">
            <v>L100x50x8-L12000</v>
          </cell>
          <cell r="D56" t="str">
            <v>ASTM A36/ EN-1.0038</v>
          </cell>
          <cell r="E56" t="str">
            <v>m</v>
          </cell>
          <cell r="F56">
            <v>9</v>
          </cell>
          <cell r="G56">
            <v>12.92</v>
          </cell>
          <cell r="H56">
            <v>109.6</v>
          </cell>
          <cell r="I56">
            <v>13.566000000000001</v>
          </cell>
          <cell r="J56">
            <v>122.09400000000001</v>
          </cell>
          <cell r="K56"/>
          <cell r="L56"/>
          <cell r="M56">
            <v>13.566000000000001</v>
          </cell>
          <cell r="N56">
            <v>122.09400000000001</v>
          </cell>
          <cell r="O56" t="str">
            <v>Rev01-IBS  bổ sung mới</v>
          </cell>
        </row>
        <row r="57">
          <cell r="A57" t="str">
            <v>I90-A43</v>
          </cell>
          <cell r="B57" t="str">
            <v>Thép hình-H</v>
          </cell>
          <cell r="C57" t="str">
            <v>HEB300(H300x300x11x19)-L12000</v>
          </cell>
          <cell r="D57" t="str">
            <v>ASTM A572-Gr.50/ EN-1.0577</v>
          </cell>
          <cell r="E57" t="str">
            <v>m</v>
          </cell>
          <cell r="F57">
            <v>117</v>
          </cell>
          <cell r="G57">
            <v>118.83600000000003</v>
          </cell>
          <cell r="H57">
            <v>12778.679999999998</v>
          </cell>
          <cell r="I57">
            <v>124.77780000000003</v>
          </cell>
          <cell r="J57">
            <v>14599.002600000003</v>
          </cell>
          <cell r="K57"/>
          <cell r="L57"/>
          <cell r="M57">
            <v>124.77780000000003</v>
          </cell>
          <cell r="N57">
            <v>14599.002600000003</v>
          </cell>
          <cell r="O57" t="str">
            <v>Rev01-IBS  bổ sung mới</v>
          </cell>
        </row>
        <row r="58">
          <cell r="A58" t="str">
            <v>I90-A44</v>
          </cell>
          <cell r="B58" t="str">
            <v>Ống</v>
          </cell>
          <cell r="C58" t="str">
            <v>Pipe D60.3x5.4- DIN EN 10220-1-seamless pipe-L6000</v>
          </cell>
          <cell r="D58" t="str">
            <v>1.0038/A36</v>
          </cell>
          <cell r="E58" t="str">
            <v>m</v>
          </cell>
          <cell r="F58">
            <v>7.5</v>
          </cell>
          <cell r="G58">
            <v>85.116720000000001</v>
          </cell>
          <cell r="H58">
            <v>623.05999999999983</v>
          </cell>
          <cell r="I58">
            <v>90</v>
          </cell>
          <cell r="J58">
            <v>675</v>
          </cell>
          <cell r="K58"/>
          <cell r="L58"/>
          <cell r="M58">
            <v>90</v>
          </cell>
          <cell r="N58">
            <v>675</v>
          </cell>
          <cell r="O58" t="str">
            <v>Rev03-IBS  bổ sung mới</v>
          </cell>
        </row>
        <row r="59">
          <cell r="A59" t="str">
            <v>I90-A45</v>
          </cell>
          <cell r="B59" t="str">
            <v>Ống</v>
          </cell>
          <cell r="C59" t="str">
            <v>Pipe D57x3.2-DIN EN 10220-1-seamless pipe-L2600</v>
          </cell>
          <cell r="D59" t="str">
            <v>1.0577/A36</v>
          </cell>
          <cell r="E59" t="str">
            <v>m</v>
          </cell>
          <cell r="F59">
            <v>4.25</v>
          </cell>
          <cell r="G59">
            <v>2.46</v>
          </cell>
          <cell r="H59">
            <v>10.4</v>
          </cell>
          <cell r="I59">
            <v>2.6</v>
          </cell>
          <cell r="J59">
            <v>11.05</v>
          </cell>
          <cell r="K59"/>
          <cell r="L59"/>
          <cell r="M59">
            <v>2.6</v>
          </cell>
          <cell r="N59">
            <v>11.05</v>
          </cell>
          <cell r="O59" t="str">
            <v>Rev03-IBS  bổ sung mới</v>
          </cell>
        </row>
        <row r="60">
          <cell r="A60" t="str">
            <v>I90-A46</v>
          </cell>
          <cell r="B60" t="str">
            <v>Ống</v>
          </cell>
          <cell r="C60" t="str">
            <v>Pipe D88.9x3.6-DIN 2448-seamless pipe-L4000</v>
          </cell>
          <cell r="D60" t="str">
            <v>1.0038/A36</v>
          </cell>
          <cell r="E60" t="str">
            <v>m</v>
          </cell>
          <cell r="F60">
            <v>7.57</v>
          </cell>
          <cell r="G60">
            <v>1.92</v>
          </cell>
          <cell r="H60">
            <v>14.52</v>
          </cell>
          <cell r="I60">
            <v>4</v>
          </cell>
          <cell r="J60">
            <v>30.28</v>
          </cell>
          <cell r="K60"/>
          <cell r="L60"/>
          <cell r="M60">
            <v>4</v>
          </cell>
          <cell r="N60">
            <v>30.28</v>
          </cell>
          <cell r="O60" t="str">
            <v>Rev03-IBS  bổ sung mới</v>
          </cell>
        </row>
        <row r="61">
          <cell r="A61" t="str">
            <v>I90-A47</v>
          </cell>
          <cell r="B61" t="str">
            <v>Ống</v>
          </cell>
          <cell r="C61" t="str">
            <v>Pipe D101.6x6.3-DIN 2448-seamless pipe-L400</v>
          </cell>
          <cell r="D61" t="str">
            <v>1.0038/A36</v>
          </cell>
          <cell r="E61" t="str">
            <v>m</v>
          </cell>
          <cell r="F61">
            <v>14.8</v>
          </cell>
          <cell r="G61">
            <v>0.28000000000000003</v>
          </cell>
          <cell r="H61">
            <v>3.84</v>
          </cell>
          <cell r="I61">
            <v>0.4</v>
          </cell>
          <cell r="J61">
            <v>5.9200000000000008</v>
          </cell>
          <cell r="K61"/>
          <cell r="L61"/>
          <cell r="M61">
            <v>0.4</v>
          </cell>
          <cell r="N61">
            <v>5.9200000000000008</v>
          </cell>
          <cell r="O61" t="str">
            <v>Rev03-IBS  bổ sung mới</v>
          </cell>
        </row>
        <row r="62">
          <cell r="A62" t="str">
            <v>I90-A48</v>
          </cell>
          <cell r="B62" t="str">
            <v>Ống</v>
          </cell>
          <cell r="C62" t="str">
            <v>Pipe D127x12.5-DIN 2448-seamless pipe-L12000</v>
          </cell>
          <cell r="D62" t="str">
            <v>1.0038/A36</v>
          </cell>
          <cell r="E62" t="str">
            <v>m</v>
          </cell>
          <cell r="F62">
            <v>35.299999999999997</v>
          </cell>
          <cell r="G62">
            <v>24</v>
          </cell>
          <cell r="H62">
            <v>847.2</v>
          </cell>
          <cell r="I62">
            <v>25.8</v>
          </cell>
          <cell r="J62">
            <v>910.74</v>
          </cell>
          <cell r="K62"/>
          <cell r="L62"/>
          <cell r="M62">
            <v>25.8</v>
          </cell>
          <cell r="N62">
            <v>910.74</v>
          </cell>
          <cell r="O62" t="str">
            <v>Rev05-BRADEN-bổ sung 12.8m</v>
          </cell>
        </row>
        <row r="63">
          <cell r="A63" t="str">
            <v>I90-A49</v>
          </cell>
          <cell r="B63" t="str">
            <v>Ống</v>
          </cell>
          <cell r="C63" t="str">
            <v>Pipe D193.7x10-EN 10220-3-seamless pipe-L12000</v>
          </cell>
          <cell r="D63" t="str">
            <v>1.0577/A36</v>
          </cell>
          <cell r="E63" t="str">
            <v>m</v>
          </cell>
          <cell r="F63">
            <v>45.3</v>
          </cell>
          <cell r="G63">
            <v>81.69</v>
          </cell>
          <cell r="H63">
            <v>3700.6800000000003</v>
          </cell>
          <cell r="I63">
            <v>96</v>
          </cell>
          <cell r="J63">
            <v>4348.7999999999993</v>
          </cell>
          <cell r="K63"/>
          <cell r="L63"/>
          <cell r="M63">
            <v>96</v>
          </cell>
          <cell r="N63">
            <v>4348.7999999999993</v>
          </cell>
          <cell r="O63" t="str">
            <v>Rev03-IBS  bổ sung mới</v>
          </cell>
        </row>
        <row r="64">
          <cell r="A64" t="str">
            <v>I90-A50</v>
          </cell>
          <cell r="B64" t="str">
            <v>Thép tròn</v>
          </cell>
          <cell r="C64" t="str">
            <v>RB10-L3000</v>
          </cell>
          <cell r="D64" t="str">
            <v>1.0577/A36</v>
          </cell>
          <cell r="E64" t="str">
            <v>m</v>
          </cell>
          <cell r="F64">
            <v>0.61728395061728392</v>
          </cell>
          <cell r="G64">
            <v>29.240000000000002</v>
          </cell>
          <cell r="H64">
            <v>15.56</v>
          </cell>
          <cell r="I64">
            <v>39</v>
          </cell>
          <cell r="J64">
            <v>24.074074074074076</v>
          </cell>
          <cell r="K64"/>
          <cell r="L64"/>
          <cell r="M64">
            <v>39</v>
          </cell>
          <cell r="N64">
            <v>24.074074074074076</v>
          </cell>
          <cell r="O64" t="str">
            <v>Rev05-BRADEN-bổ sung 30.0m</v>
          </cell>
        </row>
        <row r="65">
          <cell r="A65" t="str">
            <v>I90-A51</v>
          </cell>
          <cell r="B65" t="str">
            <v>Thép tròn</v>
          </cell>
          <cell r="C65" t="str">
            <v>RB12-L6000</v>
          </cell>
          <cell r="D65" t="str">
            <v>1.0577/A36</v>
          </cell>
          <cell r="E65" t="str">
            <v>m</v>
          </cell>
          <cell r="F65">
            <v>0.88888888888888884</v>
          </cell>
          <cell r="G65">
            <v>15.52</v>
          </cell>
          <cell r="H65">
            <v>11.7</v>
          </cell>
          <cell r="I65">
            <v>18</v>
          </cell>
          <cell r="J65">
            <v>16</v>
          </cell>
          <cell r="K65"/>
          <cell r="L65"/>
          <cell r="M65">
            <v>18</v>
          </cell>
          <cell r="N65">
            <v>16</v>
          </cell>
          <cell r="O65" t="str">
            <v>Rev05-BRADEN-bổ sung 6.0m</v>
          </cell>
        </row>
        <row r="66">
          <cell r="A66" t="str">
            <v>I90-A52</v>
          </cell>
          <cell r="B66" t="str">
            <v>Thép tròn</v>
          </cell>
          <cell r="C66" t="str">
            <v>RB30-L1100</v>
          </cell>
          <cell r="D66" t="str">
            <v>1.0577/A36</v>
          </cell>
          <cell r="E66" t="str">
            <v>m</v>
          </cell>
          <cell r="F66">
            <v>5.5555555555555554</v>
          </cell>
          <cell r="G66">
            <v>0.9</v>
          </cell>
          <cell r="H66">
            <v>5</v>
          </cell>
          <cell r="I66">
            <v>1.1000000000000001</v>
          </cell>
          <cell r="J66">
            <v>6.1111111111111116</v>
          </cell>
          <cell r="K66"/>
          <cell r="L66"/>
          <cell r="M66">
            <v>1.1000000000000001</v>
          </cell>
          <cell r="N66">
            <v>6.1111111111111116</v>
          </cell>
          <cell r="O66" t="str">
            <v>Rev03-IBS  bổ sung mới</v>
          </cell>
        </row>
        <row r="67">
          <cell r="A67" t="str">
            <v>I90-A53</v>
          </cell>
          <cell r="B67" t="str">
            <v>Thép tròn</v>
          </cell>
          <cell r="C67" t="str">
            <v>RB40-L6000</v>
          </cell>
          <cell r="D67" t="str">
            <v>1.0577/A36</v>
          </cell>
          <cell r="E67" t="str">
            <v>m</v>
          </cell>
          <cell r="F67">
            <v>9.8765432098765427</v>
          </cell>
          <cell r="G67">
            <v>11.999999999999998</v>
          </cell>
          <cell r="H67">
            <v>116.99999999999999</v>
          </cell>
          <cell r="I67">
            <v>13.200000000000001</v>
          </cell>
          <cell r="J67">
            <v>130.37037037037038</v>
          </cell>
          <cell r="K67"/>
          <cell r="L67"/>
          <cell r="M67">
            <v>13.200000000000001</v>
          </cell>
          <cell r="N67">
            <v>130.37037037037038</v>
          </cell>
          <cell r="O67" t="str">
            <v>Rev03-IBS  bổ sung mới</v>
          </cell>
        </row>
        <row r="68">
          <cell r="A68" t="str">
            <v>I90-A54</v>
          </cell>
          <cell r="B68" t="str">
            <v>Thép tròn</v>
          </cell>
          <cell r="C68" t="str">
            <v>RB80-L4000</v>
          </cell>
          <cell r="D68" t="str">
            <v>1.0577/A36</v>
          </cell>
          <cell r="E68" t="str">
            <v>m</v>
          </cell>
          <cell r="F68">
            <v>39.506172839506171</v>
          </cell>
          <cell r="G68">
            <v>2.9999999999999996</v>
          </cell>
          <cell r="H68">
            <v>81</v>
          </cell>
          <cell r="I68">
            <v>4</v>
          </cell>
          <cell r="J68">
            <v>158.02469135802468</v>
          </cell>
          <cell r="K68"/>
          <cell r="L68"/>
          <cell r="M68">
            <v>4</v>
          </cell>
          <cell r="N68">
            <v>158.02469135802468</v>
          </cell>
          <cell r="O68" t="str">
            <v>Rev03-IBS  bổ sung mới</v>
          </cell>
        </row>
        <row r="69">
          <cell r="A69" t="str">
            <v>I90-A55</v>
          </cell>
          <cell r="B69" t="str">
            <v>Thép tròn</v>
          </cell>
          <cell r="C69" t="str">
            <v>RB100-L1100</v>
          </cell>
          <cell r="D69" t="str">
            <v>1.0577/A36</v>
          </cell>
          <cell r="E69" t="str">
            <v>m</v>
          </cell>
          <cell r="F69">
            <v>61.728395061728392</v>
          </cell>
          <cell r="G69">
            <v>0.8</v>
          </cell>
          <cell r="H69">
            <v>20</v>
          </cell>
          <cell r="I69">
            <v>1.1000000000000001</v>
          </cell>
          <cell r="J69">
            <v>67.901234567901241</v>
          </cell>
          <cell r="K69"/>
          <cell r="L69"/>
          <cell r="M69">
            <v>1.1000000000000001</v>
          </cell>
          <cell r="N69">
            <v>67.901234567901241</v>
          </cell>
          <cell r="O69" t="str">
            <v>Rev03-IBS  bổ sung mới</v>
          </cell>
        </row>
        <row r="70">
          <cell r="A70" t="str">
            <v>I90-A56</v>
          </cell>
          <cell r="B70" t="str">
            <v>Thép tròn</v>
          </cell>
          <cell r="C70" t="str">
            <v>RB520-L6000</v>
          </cell>
          <cell r="D70" t="str">
            <v>1.0570/A36</v>
          </cell>
          <cell r="E70" t="str">
            <v>m</v>
          </cell>
          <cell r="F70">
            <v>1667.12</v>
          </cell>
          <cell r="G70">
            <v>12</v>
          </cell>
          <cell r="H70">
            <v>9297.5999999999985</v>
          </cell>
          <cell r="I70">
            <v>13.32</v>
          </cell>
          <cell r="J70">
            <v>22206.038399999998</v>
          </cell>
          <cell r="K70"/>
          <cell r="L70"/>
          <cell r="M70">
            <v>13.32</v>
          </cell>
          <cell r="N70">
            <v>22206.038399999998</v>
          </cell>
          <cell r="O70" t="str">
            <v>Rev03-IBS  bổ sung mới. Chú ý loại này. Tổng có 20pcs. Chiều dài mỗi chi tiết sau gia công L600mm.</v>
          </cell>
        </row>
        <row r="71">
          <cell r="A71" t="str">
            <v>I90-A57</v>
          </cell>
          <cell r="B71" t="str">
            <v>Elbow</v>
          </cell>
          <cell r="C71" t="str">
            <v>Elbow 90 Deg Type 3 D60.3 - 4.5S -DIN EN 10253</v>
          </cell>
          <cell r="D71" t="str">
            <v>1.0255</v>
          </cell>
          <cell r="E71" t="str">
            <v>pcs</v>
          </cell>
          <cell r="F71">
            <v>0.73925925925925928</v>
          </cell>
          <cell r="G71">
            <v>54</v>
          </cell>
          <cell r="H71">
            <v>39.92</v>
          </cell>
          <cell r="I71">
            <v>54</v>
          </cell>
          <cell r="J71">
            <v>39.92</v>
          </cell>
          <cell r="K71"/>
          <cell r="L71"/>
          <cell r="M71">
            <v>54</v>
          </cell>
          <cell r="N71">
            <v>39.92</v>
          </cell>
          <cell r="O71" t="str">
            <v>Rev03-IBS  bổ sung mới</v>
          </cell>
        </row>
        <row r="72">
          <cell r="A72" t="str">
            <v>I90-A58</v>
          </cell>
          <cell r="B72" t="str">
            <v>Tee thép</v>
          </cell>
          <cell r="C72" t="str">
            <v xml:space="preserve"> Tee D60.3 x 4 S-DIN EN 10253</v>
          </cell>
          <cell r="D72" t="str">
            <v>1.0255</v>
          </cell>
          <cell r="E72" t="str">
            <v>pcs</v>
          </cell>
          <cell r="F72">
            <v>0.97</v>
          </cell>
          <cell r="G72">
            <v>10</v>
          </cell>
          <cell r="H72">
            <v>9.6999999999999993</v>
          </cell>
          <cell r="I72">
            <v>10</v>
          </cell>
          <cell r="J72">
            <v>9.6999999999999993</v>
          </cell>
          <cell r="K72"/>
          <cell r="L72"/>
          <cell r="M72">
            <v>10</v>
          </cell>
          <cell r="N72">
            <v>9.6999999999999993</v>
          </cell>
          <cell r="O72" t="str">
            <v>Rev03-IBS  bổ sung mới</v>
          </cell>
        </row>
        <row r="73">
          <cell r="A73" t="str">
            <v>I90-A59</v>
          </cell>
          <cell r="B73" t="str">
            <v>Thép hình-H</v>
          </cell>
          <cell r="C73" t="str">
            <v>HEB200(H200x200x9x15)-L12000</v>
          </cell>
          <cell r="D73" t="str">
            <v>1.0577/A36</v>
          </cell>
          <cell r="E73" t="str">
            <v>m</v>
          </cell>
          <cell r="F73">
            <v>61.3</v>
          </cell>
          <cell r="G73">
            <v>16</v>
          </cell>
          <cell r="H73">
            <v>980.79999999999973</v>
          </cell>
          <cell r="I73">
            <v>18</v>
          </cell>
          <cell r="J73">
            <v>1103.3999999999999</v>
          </cell>
          <cell r="K73"/>
          <cell r="L73"/>
          <cell r="M73">
            <v>18</v>
          </cell>
          <cell r="N73">
            <v>1103.3999999999999</v>
          </cell>
          <cell r="O73" t="str">
            <v>Rev04-IBS  bổ sung mới</v>
          </cell>
        </row>
        <row r="74">
          <cell r="A74" t="str">
            <v>I90-A60</v>
          </cell>
          <cell r="B74" t="str">
            <v>Thép hình-C</v>
          </cell>
          <cell r="C74" t="str">
            <v>UNP140(C140x60x7x10)-L12000</v>
          </cell>
          <cell r="D74" t="str">
            <v>1.0577/A36</v>
          </cell>
          <cell r="E74" t="str">
            <v>m</v>
          </cell>
          <cell r="F74">
            <v>16</v>
          </cell>
          <cell r="G74">
            <v>1023.9488</v>
          </cell>
          <cell r="H74">
            <v>16135.22</v>
          </cell>
          <cell r="I74">
            <v>1044</v>
          </cell>
          <cell r="J74">
            <v>16704</v>
          </cell>
          <cell r="K74"/>
          <cell r="L74"/>
          <cell r="M74">
            <v>1044</v>
          </cell>
          <cell r="N74">
            <v>16704</v>
          </cell>
          <cell r="O74" t="str">
            <v>Rev07-BRADEN-bổ sung 300.0m</v>
          </cell>
        </row>
        <row r="75">
          <cell r="A75" t="str">
            <v>I90-A61</v>
          </cell>
          <cell r="B75" t="str">
            <v>Thép hình-C</v>
          </cell>
          <cell r="C75" t="str">
            <v>UNP200(C200x75x8.5x11.5)-L12000</v>
          </cell>
          <cell r="D75" t="str">
            <v>1.0577/A36</v>
          </cell>
          <cell r="E75" t="str">
            <v>m</v>
          </cell>
          <cell r="F75">
            <v>25.3</v>
          </cell>
          <cell r="G75">
            <v>1267.9995799999999</v>
          </cell>
          <cell r="H75">
            <v>31259.18</v>
          </cell>
          <cell r="I75">
            <v>1332</v>
          </cell>
          <cell r="J75">
            <v>33699.599999999999</v>
          </cell>
          <cell r="K75"/>
          <cell r="L75"/>
          <cell r="M75">
            <v>1332</v>
          </cell>
          <cell r="N75">
            <v>33699.599999999999</v>
          </cell>
          <cell r="O75" t="str">
            <v>Rev07-BRADEN-bổ sung 144.0m</v>
          </cell>
        </row>
        <row r="76">
          <cell r="A76" t="str">
            <v>I90-A62</v>
          </cell>
          <cell r="B76" t="str">
            <v>Ống</v>
          </cell>
          <cell r="C76" t="str">
            <v>Pipe D127x10-DIN 2448-seamless pipe-L12000</v>
          </cell>
          <cell r="D76" t="str">
            <v>1.0577</v>
          </cell>
          <cell r="E76" t="str">
            <v>m</v>
          </cell>
          <cell r="F76">
            <v>28.9</v>
          </cell>
          <cell r="G76">
            <v>286.39457999999996</v>
          </cell>
          <cell r="H76">
            <v>7512.62</v>
          </cell>
          <cell r="I76">
            <v>324</v>
          </cell>
          <cell r="J76">
            <v>9363.6</v>
          </cell>
          <cell r="K76"/>
          <cell r="L76"/>
          <cell r="M76">
            <v>324</v>
          </cell>
          <cell r="N76">
            <v>9363.6</v>
          </cell>
          <cell r="O76" t="str">
            <v>Rev05-BRADEN-bổ sung 24m. Vì loại này không được nối ống</v>
          </cell>
        </row>
        <row r="77">
          <cell r="A77" t="str">
            <v>I90-A63</v>
          </cell>
          <cell r="B77" t="str">
            <v>Ống</v>
          </cell>
          <cell r="C77" t="str">
            <v>Pipe D219.1x10-DIN 2448-seamless pipe-L12000</v>
          </cell>
          <cell r="D77" t="str">
            <v>1.0577</v>
          </cell>
          <cell r="E77" t="str">
            <v>m</v>
          </cell>
          <cell r="F77">
            <v>51.6</v>
          </cell>
          <cell r="G77">
            <v>298.536</v>
          </cell>
          <cell r="H77">
            <v>15394.619999999999</v>
          </cell>
          <cell r="I77">
            <v>312</v>
          </cell>
          <cell r="J77">
            <v>16099.2</v>
          </cell>
          <cell r="K77"/>
          <cell r="L77"/>
          <cell r="M77">
            <v>312</v>
          </cell>
          <cell r="N77">
            <v>16099.2</v>
          </cell>
          <cell r="O77" t="str">
            <v>Rev04-IBS  bổ sung mới</v>
          </cell>
        </row>
        <row r="78">
          <cell r="A78" t="str">
            <v>I90-A64</v>
          </cell>
          <cell r="B78" t="str">
            <v>Thép hình-H</v>
          </cell>
          <cell r="C78" t="str">
            <v>IPE200(H200x100x5.6x8.5)-L12000</v>
          </cell>
          <cell r="D78" t="str">
            <v>1.0577/A36</v>
          </cell>
          <cell r="E78" t="str">
            <v>m</v>
          </cell>
          <cell r="F78">
            <v>22.4</v>
          </cell>
          <cell r="G78">
            <v>300.57400000000001</v>
          </cell>
          <cell r="H78">
            <v>6360</v>
          </cell>
          <cell r="I78">
            <v>324</v>
          </cell>
          <cell r="J78">
            <v>7257.5999999999995</v>
          </cell>
          <cell r="K78"/>
          <cell r="L78"/>
          <cell r="M78">
            <v>324</v>
          </cell>
          <cell r="N78">
            <v>7257.5999999999995</v>
          </cell>
          <cell r="O78" t="str">
            <v>Rev06-BRADEN-bổ sung 36.0m</v>
          </cell>
        </row>
        <row r="79">
          <cell r="A79" t="str">
            <v>I90-A65</v>
          </cell>
          <cell r="B79" t="str">
            <v>Thép hình-H</v>
          </cell>
          <cell r="C79" t="str">
            <v>IPE240(H240x120x6.2x9.8)-L8000</v>
          </cell>
          <cell r="D79" t="str">
            <v>1.0577/A36</v>
          </cell>
          <cell r="E79" t="str">
            <v>m</v>
          </cell>
          <cell r="F79">
            <v>30.7</v>
          </cell>
          <cell r="G79">
            <v>7.452</v>
          </cell>
          <cell r="H79">
            <v>205.38</v>
          </cell>
          <cell r="I79">
            <v>8</v>
          </cell>
          <cell r="J79">
            <v>245.6</v>
          </cell>
          <cell r="K79"/>
          <cell r="L79"/>
          <cell r="M79">
            <v>8</v>
          </cell>
          <cell r="N79">
            <v>245.6</v>
          </cell>
          <cell r="O79" t="str">
            <v>Rev05-BRADEN-bổ sung 8.0m</v>
          </cell>
        </row>
        <row r="80">
          <cell r="A80" t="str">
            <v>I90-A66</v>
          </cell>
          <cell r="B80" t="str">
            <v>Thép hình-L</v>
          </cell>
          <cell r="C80" t="str">
            <v>L100x100x8-L12000</v>
          </cell>
          <cell r="D80" t="str">
            <v>1.0577/A36</v>
          </cell>
          <cell r="E80" t="str">
            <v>m</v>
          </cell>
          <cell r="F80">
            <v>12.2</v>
          </cell>
          <cell r="G80">
            <v>79.2</v>
          </cell>
          <cell r="H80">
            <v>916.5</v>
          </cell>
          <cell r="I80">
            <v>84</v>
          </cell>
          <cell r="J80">
            <v>1024.8</v>
          </cell>
          <cell r="K80"/>
          <cell r="L80"/>
          <cell r="M80">
            <v>84</v>
          </cell>
          <cell r="N80">
            <v>1024.8</v>
          </cell>
          <cell r="O80" t="str">
            <v>Rev05-BRADEN-bổ sung 84.0m</v>
          </cell>
        </row>
        <row r="81">
          <cell r="A81" t="str">
            <v>I90-A67</v>
          </cell>
          <cell r="B81" t="str">
            <v>Ống</v>
          </cell>
          <cell r="C81" t="str">
            <v>Pipe D29.6x2.9-L1000</v>
          </cell>
          <cell r="D81" t="str">
            <v>1.0577/A36</v>
          </cell>
          <cell r="E81" t="str">
            <v>m</v>
          </cell>
          <cell r="F81">
            <v>1.72</v>
          </cell>
          <cell r="G81">
            <v>0.56000000000000005</v>
          </cell>
          <cell r="H81">
            <v>1</v>
          </cell>
          <cell r="I81">
            <v>1</v>
          </cell>
          <cell r="J81">
            <v>1.72</v>
          </cell>
          <cell r="K81"/>
          <cell r="L81"/>
          <cell r="M81">
            <v>1</v>
          </cell>
          <cell r="N81">
            <v>1.72</v>
          </cell>
          <cell r="O81" t="str">
            <v>Rev05-BRADEN-bổ sung 1.0m</v>
          </cell>
        </row>
        <row r="82">
          <cell r="A82" t="str">
            <v>I90-A68</v>
          </cell>
          <cell r="B82" t="str">
            <v>Ống</v>
          </cell>
          <cell r="C82" t="str">
            <v>Pipe D48.3x3.2-L6000</v>
          </cell>
          <cell r="D82" t="str">
            <v>1.0577/A36</v>
          </cell>
          <cell r="E82" t="str">
            <v>m</v>
          </cell>
          <cell r="F82">
            <v>3.56</v>
          </cell>
          <cell r="G82">
            <v>42.599999999999994</v>
          </cell>
          <cell r="H82">
            <v>148.9</v>
          </cell>
          <cell r="I82">
            <v>48</v>
          </cell>
          <cell r="J82">
            <v>170.88</v>
          </cell>
          <cell r="K82"/>
          <cell r="L82"/>
          <cell r="M82">
            <v>48</v>
          </cell>
          <cell r="N82">
            <v>170.88</v>
          </cell>
          <cell r="O82" t="str">
            <v>Rev05-BRADEN-bổ sung 48.0m</v>
          </cell>
        </row>
        <row r="83">
          <cell r="A83" t="str">
            <v>I90-A69</v>
          </cell>
          <cell r="B83" t="str">
            <v>Ống</v>
          </cell>
          <cell r="C83" t="str">
            <v>Pipe D114.3x6.3-L8000;Pipe D114.3x6.3-L2500</v>
          </cell>
          <cell r="D83" t="str">
            <v>1.0038/A36</v>
          </cell>
          <cell r="E83" t="str">
            <v>m</v>
          </cell>
          <cell r="F83">
            <v>16.8</v>
          </cell>
          <cell r="G83">
            <v>8.48</v>
          </cell>
          <cell r="H83">
            <v>84.52</v>
          </cell>
          <cell r="I83">
            <v>10.5</v>
          </cell>
          <cell r="J83">
            <v>176.4</v>
          </cell>
          <cell r="K83"/>
          <cell r="L83"/>
          <cell r="M83">
            <v>10.5</v>
          </cell>
          <cell r="N83">
            <v>176.4</v>
          </cell>
          <cell r="O83" t="str">
            <v>Rev07-BRADEN-bổ sung 2.5m</v>
          </cell>
        </row>
        <row r="84">
          <cell r="A84" t="str">
            <v>I90-A70</v>
          </cell>
          <cell r="B84" t="str">
            <v>Ống</v>
          </cell>
          <cell r="C84" t="str">
            <v>Pipe D219.1x6.3 -L2400</v>
          </cell>
          <cell r="D84" t="str">
            <v>1.0577/A36</v>
          </cell>
          <cell r="E84" t="str">
            <v>m</v>
          </cell>
          <cell r="F84">
            <v>33.1</v>
          </cell>
          <cell r="G84">
            <v>2.2000000000000002</v>
          </cell>
          <cell r="H84">
            <v>72.8</v>
          </cell>
          <cell r="I84">
            <v>2.4</v>
          </cell>
          <cell r="J84">
            <v>79.44</v>
          </cell>
          <cell r="K84"/>
          <cell r="L84"/>
          <cell r="M84">
            <v>2.4</v>
          </cell>
          <cell r="N84">
            <v>79.44</v>
          </cell>
          <cell r="O84" t="str">
            <v>Rev05-BRADEN-bổ sung 2.4m</v>
          </cell>
        </row>
        <row r="85">
          <cell r="A85" t="str">
            <v>I90-A71</v>
          </cell>
          <cell r="B85" t="str">
            <v>Ống</v>
          </cell>
          <cell r="C85" t="str">
            <v>Pipe D559x32.54-L6000</v>
          </cell>
          <cell r="D85" t="str">
            <v>1.0038/A36</v>
          </cell>
          <cell r="E85" t="str">
            <v>m</v>
          </cell>
          <cell r="F85">
            <v>422.45</v>
          </cell>
          <cell r="G85">
            <v>5.12</v>
          </cell>
          <cell r="H85">
            <v>1080</v>
          </cell>
          <cell r="I85">
            <v>6</v>
          </cell>
          <cell r="J85">
            <v>2534.6999999999998</v>
          </cell>
          <cell r="K85"/>
          <cell r="L85"/>
          <cell r="M85">
            <v>6</v>
          </cell>
          <cell r="N85">
            <v>2534.6999999999998</v>
          </cell>
          <cell r="O85" t="str">
            <v>Rev05-BRADEN-bổ sung 6.0m</v>
          </cell>
        </row>
        <row r="86">
          <cell r="A86" t="str">
            <v>I90-A72</v>
          </cell>
          <cell r="B86" t="str">
            <v>Thép hình-H</v>
          </cell>
          <cell r="C86" t="str">
            <v>HEB140(H140x140x7x12)-L12000</v>
          </cell>
          <cell r="D86" t="str">
            <v>1.0038/A36</v>
          </cell>
          <cell r="E86" t="str">
            <v>m</v>
          </cell>
          <cell r="F86">
            <v>33.700000000000003</v>
          </cell>
          <cell r="G86">
            <v>24.63</v>
          </cell>
          <cell r="H86">
            <v>804.78</v>
          </cell>
          <cell r="I86">
            <v>25.200000000000003</v>
          </cell>
          <cell r="J86">
            <v>849.24000000000012</v>
          </cell>
          <cell r="K86"/>
          <cell r="L86"/>
          <cell r="M86">
            <v>25.200000000000003</v>
          </cell>
          <cell r="N86">
            <v>849.24000000000012</v>
          </cell>
          <cell r="O86" t="str">
            <v>Rev06-BRADEN-bổ sung 25.2m</v>
          </cell>
        </row>
        <row r="87">
          <cell r="A87" t="str">
            <v>I90-A73</v>
          </cell>
          <cell r="B87" t="str">
            <v>Thép hình-C</v>
          </cell>
          <cell r="C87" t="str">
            <v>UPN160(C160x65x7.5x10.5)-L12000</v>
          </cell>
          <cell r="D87" t="str">
            <v>1.0038/A36</v>
          </cell>
          <cell r="E87" t="str">
            <v>m</v>
          </cell>
          <cell r="F87">
            <v>18.8</v>
          </cell>
          <cell r="G87">
            <v>120.03398</v>
          </cell>
          <cell r="H87">
            <v>2181.8799999999997</v>
          </cell>
          <cell r="I87">
            <v>132</v>
          </cell>
          <cell r="J87">
            <v>2481.6</v>
          </cell>
          <cell r="K87"/>
          <cell r="L87"/>
          <cell r="M87">
            <v>132</v>
          </cell>
          <cell r="N87">
            <v>2481.6</v>
          </cell>
          <cell r="O87" t="str">
            <v>Rev06-BRADEN-bổ sung 132.0m</v>
          </cell>
        </row>
        <row r="88">
          <cell r="A88" t="str">
            <v>I90-A74</v>
          </cell>
          <cell r="B88" t="str">
            <v>Thép hình-L</v>
          </cell>
          <cell r="C88" t="str">
            <v>L50x50x5-L6000</v>
          </cell>
          <cell r="D88" t="str">
            <v>1.0038/A36</v>
          </cell>
          <cell r="E88" t="str">
            <v>m</v>
          </cell>
          <cell r="F88">
            <v>3.8</v>
          </cell>
          <cell r="G88">
            <v>667.83298000000002</v>
          </cell>
          <cell r="H88">
            <v>2432.44</v>
          </cell>
          <cell r="I88">
            <v>702</v>
          </cell>
          <cell r="J88">
            <v>2667.6</v>
          </cell>
          <cell r="K88"/>
          <cell r="L88"/>
          <cell r="M88">
            <v>702</v>
          </cell>
          <cell r="N88">
            <v>2667.6</v>
          </cell>
          <cell r="O88" t="str">
            <v>Rev07-BRADEN-bổ sung 78.0m</v>
          </cell>
        </row>
        <row r="89">
          <cell r="A89" t="str">
            <v>I90-A75</v>
          </cell>
          <cell r="B89" t="str">
            <v>Thép tròn</v>
          </cell>
          <cell r="C89" t="str">
            <v>RB20-L6000</v>
          </cell>
          <cell r="D89" t="str">
            <v>1.0038/A36</v>
          </cell>
          <cell r="E89" t="str">
            <v>m</v>
          </cell>
          <cell r="F89">
            <v>0.61728395061728392</v>
          </cell>
          <cell r="G89">
            <v>427.84951999999998</v>
          </cell>
          <cell r="H89">
            <v>1056.8</v>
          </cell>
          <cell r="I89">
            <v>444</v>
          </cell>
          <cell r="J89">
            <v>274.07407407407408</v>
          </cell>
          <cell r="K89"/>
          <cell r="L89"/>
          <cell r="M89">
            <v>444</v>
          </cell>
          <cell r="N89">
            <v>274.07407407407408</v>
          </cell>
          <cell r="O89" t="str">
            <v>Rev07-BRADEN-bổ sung 132.0m</v>
          </cell>
        </row>
        <row r="90">
          <cell r="A90" t="str">
            <v>I90-A76</v>
          </cell>
          <cell r="B90" t="str">
            <v>Thép hình-C</v>
          </cell>
          <cell r="C90" t="str">
            <v>C41.3x25.4x2.7x7-gal'v steel-L9900</v>
          </cell>
          <cell r="D90" t="str">
            <v>1.0038/A36</v>
          </cell>
          <cell r="E90" t="str">
            <v>m</v>
          </cell>
          <cell r="F90">
            <v>2.1497877501516069</v>
          </cell>
          <cell r="G90">
            <v>79.152000000000001</v>
          </cell>
          <cell r="H90">
            <v>170.16</v>
          </cell>
          <cell r="I90">
            <v>0</v>
          </cell>
          <cell r="J90">
            <v>0</v>
          </cell>
          <cell r="K90"/>
          <cell r="L90"/>
          <cell r="M90">
            <v>0</v>
          </cell>
          <cell r="N90">
            <v>0</v>
          </cell>
          <cell r="O90" t="str">
            <v>Rev07-BRADEN-bỏ đi không dùng đến</v>
          </cell>
        </row>
        <row r="91">
          <cell r="A91" t="str">
            <v>I90-A77</v>
          </cell>
          <cell r="B91" t="str">
            <v>Bậc thang đứng</v>
          </cell>
          <cell r="C91" t="str">
            <v>GRIP STRUT LADDER RUNGS ( LG1 ) 457x76.2x28.6-thickness 2mm</v>
          </cell>
          <cell r="D91" t="str">
            <v>1.0038/A36</v>
          </cell>
          <cell r="E91" t="str">
            <v>pcs</v>
          </cell>
          <cell r="F91">
            <v>0.83179999999999998</v>
          </cell>
          <cell r="G91">
            <v>114</v>
          </cell>
          <cell r="H91">
            <v>94.825199999999995</v>
          </cell>
          <cell r="I91">
            <v>114</v>
          </cell>
          <cell r="J91">
            <v>94.825199999999995</v>
          </cell>
          <cell r="K91"/>
          <cell r="L91"/>
          <cell r="M91">
            <v>114</v>
          </cell>
          <cell r="N91">
            <v>94.825199999999995</v>
          </cell>
          <cell r="O91" t="str">
            <v>Rev06-BRADEN-bổ sung 6.0m. Chi tiết về loại ladder rung sẽ được gửi sau</v>
          </cell>
        </row>
        <row r="92">
          <cell r="A92" t="str">
            <v>I90-A78</v>
          </cell>
          <cell r="B92" t="str">
            <v>Bulong móng</v>
          </cell>
          <cell r="C92" t="str">
            <v>Anchor Bolt - FBN II 16/140-Hot-dip gal'v</v>
          </cell>
          <cell r="D92" t="str">
            <v>Steel</v>
          </cell>
          <cell r="E92" t="str">
            <v>sets</v>
          </cell>
          <cell r="F92">
            <v>0.24</v>
          </cell>
          <cell r="G92">
            <v>72</v>
          </cell>
          <cell r="H92">
            <v>17.279999999999998</v>
          </cell>
          <cell r="I92">
            <v>72</v>
          </cell>
          <cell r="J92">
            <v>17.28</v>
          </cell>
          <cell r="K92"/>
          <cell r="L92"/>
          <cell r="M92">
            <v>72</v>
          </cell>
          <cell r="N92">
            <v>17.28</v>
          </cell>
          <cell r="O92" t="str">
            <v>Rev06-BRADEN-bổ sung 6.0m</v>
          </cell>
        </row>
        <row r="93">
          <cell r="A93" t="str">
            <v>I90-A79</v>
          </cell>
          <cell r="B93" t="str">
            <v>Tôn tấm</v>
          </cell>
          <cell r="C93" t="str">
            <v>PL6x1500X12000; PL6x2000X9000;  PL6x2000X12000</v>
          </cell>
          <cell r="D93" t="str">
            <v>1.5415(16Mo3)</v>
          </cell>
          <cell r="E93" t="str">
            <v>m2</v>
          </cell>
          <cell r="F93">
            <v>47.1</v>
          </cell>
          <cell r="G93">
            <v>195.56263269639066</v>
          </cell>
          <cell r="H93">
            <v>9211</v>
          </cell>
          <cell r="I93">
            <v>81</v>
          </cell>
          <cell r="J93">
            <v>3815.1</v>
          </cell>
          <cell r="K93">
            <v>138</v>
          </cell>
          <cell r="L93">
            <v>6499.8</v>
          </cell>
          <cell r="M93">
            <v>219</v>
          </cell>
          <cell r="N93">
            <v>10314.9</v>
          </cell>
          <cell r="O93" t="str">
            <v>Rev09-BRADEN-bổ sung PL6x2000X9000-1 tờ, PL6x2000X12000-5 tờ</v>
          </cell>
        </row>
        <row r="94">
          <cell r="A94" t="str">
            <v>I90-A79A</v>
          </cell>
          <cell r="B94" t="str">
            <v>Tôn tấm</v>
          </cell>
          <cell r="C94" t="str">
            <v>PL10x2000X2450</v>
          </cell>
          <cell r="D94" t="str">
            <v>1.5415(16Mo3)</v>
          </cell>
          <cell r="E94" t="str">
            <v>m2</v>
          </cell>
          <cell r="F94">
            <v>78.5</v>
          </cell>
          <cell r="G94">
            <v>0.94522292993630574</v>
          </cell>
          <cell r="H94">
            <v>74.2</v>
          </cell>
          <cell r="I94"/>
          <cell r="J94"/>
          <cell r="K94">
            <v>4.9000000000000004</v>
          </cell>
          <cell r="L94">
            <v>384.65000000000003</v>
          </cell>
          <cell r="M94">
            <v>4.9000000000000004</v>
          </cell>
          <cell r="N94">
            <v>384.65000000000003</v>
          </cell>
          <cell r="O94" t="str">
            <v>Rev09-BRADEN-bổ sung PL10x2000X2450-1 tờ</v>
          </cell>
        </row>
        <row r="95">
          <cell r="A95" t="str">
            <v>I90-A80</v>
          </cell>
          <cell r="B95" t="str">
            <v>Ống</v>
          </cell>
          <cell r="C95" t="str">
            <v>Pipe D114.3x10-DIN 2448-seamless pipe-L12000</v>
          </cell>
          <cell r="D95" t="str">
            <v>1.0038/A36</v>
          </cell>
          <cell r="E95" t="str">
            <v>m</v>
          </cell>
          <cell r="F95">
            <v>25.753086419753085</v>
          </cell>
          <cell r="G95">
            <v>21.6</v>
          </cell>
          <cell r="H95">
            <v>552.20000000000005</v>
          </cell>
          <cell r="I95">
            <v>24</v>
          </cell>
          <cell r="J95">
            <v>618.07407407407402</v>
          </cell>
          <cell r="K95"/>
          <cell r="L95"/>
          <cell r="M95">
            <v>24</v>
          </cell>
          <cell r="N95">
            <v>618.07407407407402</v>
          </cell>
          <cell r="O95" t="str">
            <v xml:space="preserve">Rev07-BRADEN-bổ sung </v>
          </cell>
        </row>
        <row r="96">
          <cell r="A96" t="str">
            <v>I90-A81</v>
          </cell>
          <cell r="B96" t="str">
            <v>Ống</v>
          </cell>
          <cell r="C96" t="str">
            <v>Pipe D26.9x2.6-DIN 2448-seamless pipe-L6000</v>
          </cell>
          <cell r="D96" t="str">
            <v>1.0038/A36</v>
          </cell>
          <cell r="E96" t="str">
            <v>m</v>
          </cell>
          <cell r="F96">
            <v>1.5600000000000005</v>
          </cell>
          <cell r="G96">
            <v>88.960000000000008</v>
          </cell>
          <cell r="H96">
            <v>77.400000000000006</v>
          </cell>
          <cell r="I96">
            <v>96</v>
          </cell>
          <cell r="J96">
            <v>149.76000000000005</v>
          </cell>
          <cell r="K96"/>
          <cell r="L96"/>
          <cell r="M96">
            <v>96</v>
          </cell>
          <cell r="N96">
            <v>149.76000000000005</v>
          </cell>
          <cell r="O96" t="str">
            <v xml:space="preserve">Rev07-BRADEN-bổ sung </v>
          </cell>
        </row>
        <row r="97">
          <cell r="A97" t="str">
            <v>I90-A82</v>
          </cell>
          <cell r="B97" t="str">
            <v>Ống</v>
          </cell>
          <cell r="C97" t="str">
            <v>Pipe D95x14-DIN 10305-seamless pipe-L12000</v>
          </cell>
          <cell r="D97" t="str">
            <v>1.0577/A36</v>
          </cell>
          <cell r="E97" t="str">
            <v>m</v>
          </cell>
          <cell r="F97">
            <v>28</v>
          </cell>
          <cell r="G97">
            <v>26.200000000000003</v>
          </cell>
          <cell r="H97">
            <v>728.40000000000009</v>
          </cell>
          <cell r="I97">
            <v>27</v>
          </cell>
          <cell r="J97">
            <v>756</v>
          </cell>
          <cell r="K97"/>
          <cell r="L97"/>
          <cell r="M97">
            <v>27</v>
          </cell>
          <cell r="N97">
            <v>756</v>
          </cell>
          <cell r="O97" t="str">
            <v xml:space="preserve">Rev07-BRADEN-bổ sung </v>
          </cell>
        </row>
        <row r="98">
          <cell r="A98" t="str">
            <v>I90-A83</v>
          </cell>
          <cell r="B98" t="str">
            <v>Thép tròn</v>
          </cell>
          <cell r="C98" t="str">
            <v>RB3</v>
          </cell>
          <cell r="D98" t="str">
            <v>1.0038/A36</v>
          </cell>
          <cell r="E98" t="str">
            <v>m</v>
          </cell>
          <cell r="F98">
            <v>5.5555555555555552E-2</v>
          </cell>
          <cell r="G98">
            <v>54.2</v>
          </cell>
          <cell r="H98">
            <v>0</v>
          </cell>
          <cell r="I98">
            <v>60</v>
          </cell>
          <cell r="J98">
            <v>3.333333333333333</v>
          </cell>
          <cell r="K98"/>
          <cell r="L98"/>
          <cell r="M98">
            <v>60</v>
          </cell>
          <cell r="N98">
            <v>3.333333333333333</v>
          </cell>
          <cell r="O98" t="str">
            <v xml:space="preserve">Rev07-BRADEN-bổ sung </v>
          </cell>
        </row>
        <row r="99">
          <cell r="A99" t="str">
            <v>I90-A84</v>
          </cell>
          <cell r="B99" t="str">
            <v>Thép tròn</v>
          </cell>
          <cell r="C99" t="str">
            <v>RB95-L4000</v>
          </cell>
          <cell r="D99" t="str">
            <v>1.0038/A36</v>
          </cell>
          <cell r="E99" t="str">
            <v>m</v>
          </cell>
          <cell r="F99">
            <v>55.70987654320988</v>
          </cell>
          <cell r="G99">
            <v>3.2</v>
          </cell>
          <cell r="H99">
            <v>120</v>
          </cell>
          <cell r="I99">
            <v>4</v>
          </cell>
          <cell r="J99">
            <v>222.83950617283952</v>
          </cell>
          <cell r="K99"/>
          <cell r="L99"/>
          <cell r="M99">
            <v>4</v>
          </cell>
          <cell r="N99">
            <v>222.83950617283952</v>
          </cell>
          <cell r="O99" t="str">
            <v xml:space="preserve">Rev07-BRADEN-bổ sung </v>
          </cell>
        </row>
        <row r="100">
          <cell r="A100" t="str">
            <v>I90-A85</v>
          </cell>
          <cell r="B100" t="str">
            <v>Van</v>
          </cell>
          <cell r="C100" t="str">
            <v>BALL VALVE (Socket Valve 2 inch 1.0460)</v>
          </cell>
          <cell r="D100"/>
          <cell r="E100" t="str">
            <v>pcs</v>
          </cell>
          <cell r="F100">
            <v>4.13</v>
          </cell>
          <cell r="G100">
            <v>10</v>
          </cell>
          <cell r="H100">
            <v>41.3</v>
          </cell>
          <cell r="I100">
            <v>10</v>
          </cell>
          <cell r="J100">
            <v>41.3</v>
          </cell>
          <cell r="K100"/>
          <cell r="L100"/>
          <cell r="M100">
            <v>10</v>
          </cell>
          <cell r="N100">
            <v>41.3</v>
          </cell>
          <cell r="O100" t="str">
            <v xml:space="preserve">Rev07-BRADEN-bổ sung </v>
          </cell>
        </row>
        <row r="101">
          <cell r="A101" t="str">
            <v>I90-A86</v>
          </cell>
          <cell r="B101" t="str">
            <v>Cap</v>
          </cell>
          <cell r="C101" t="str">
            <v>Cap  T1-2" ISO 49</v>
          </cell>
          <cell r="D101" t="str">
            <v>Cast iron blank</v>
          </cell>
          <cell r="E101" t="str">
            <v>pcs</v>
          </cell>
          <cell r="F101">
            <v>0.86</v>
          </cell>
          <cell r="G101">
            <v>10</v>
          </cell>
          <cell r="H101">
            <v>8.6</v>
          </cell>
          <cell r="I101">
            <v>10</v>
          </cell>
          <cell r="J101">
            <v>8.6</v>
          </cell>
          <cell r="K101"/>
          <cell r="L101"/>
          <cell r="M101">
            <v>10</v>
          </cell>
          <cell r="N101">
            <v>8.6</v>
          </cell>
          <cell r="O101" t="str">
            <v xml:space="preserve">Rev07-BRADEN-bổ sung </v>
          </cell>
        </row>
        <row r="102">
          <cell r="A102" t="str">
            <v>I90-A87</v>
          </cell>
          <cell r="B102" t="str">
            <v>Bản lề</v>
          </cell>
          <cell r="C102" t="str">
            <v>Hinges GN 136-ST-60-60-A</v>
          </cell>
          <cell r="D102" t="str">
            <v>Steel</v>
          </cell>
          <cell r="E102" t="str">
            <v>sets</v>
          </cell>
          <cell r="F102">
            <v>0</v>
          </cell>
          <cell r="G102">
            <v>60</v>
          </cell>
          <cell r="H102"/>
          <cell r="I102">
            <v>60</v>
          </cell>
          <cell r="J102">
            <v>0</v>
          </cell>
          <cell r="K102"/>
          <cell r="L102"/>
          <cell r="M102">
            <v>60</v>
          </cell>
          <cell r="N102">
            <v>0</v>
          </cell>
          <cell r="O102" t="str">
            <v xml:space="preserve">Rev07-BRADEN-bổ sung </v>
          </cell>
        </row>
        <row r="103">
          <cell r="A103" t="str">
            <v>I90-A88</v>
          </cell>
          <cell r="B103" t="str">
            <v>Tấm sàn</v>
          </cell>
          <cell r="C103" t="str">
            <v>Grating</v>
          </cell>
          <cell r="D103" t="str">
            <v>GRP-GRATING</v>
          </cell>
          <cell r="E103" t="str">
            <v>pcs</v>
          </cell>
          <cell r="F103"/>
          <cell r="G103">
            <v>412</v>
          </cell>
          <cell r="H103">
            <v>18128.079999999994</v>
          </cell>
          <cell r="I103">
            <v>412</v>
          </cell>
          <cell r="J103">
            <v>18128.079999999994</v>
          </cell>
          <cell r="K103"/>
          <cell r="L103"/>
          <cell r="M103">
            <v>412</v>
          </cell>
          <cell r="N103">
            <v>18128.079999999994</v>
          </cell>
          <cell r="O103" t="str">
            <v>Rev07-BRADEN-bổ sung. Số lượng và quy cách mua theo tài liệu grating gửi kèm</v>
          </cell>
        </row>
        <row r="104">
          <cell r="A104" t="str">
            <v>I90-A89</v>
          </cell>
          <cell r="B104" t="str">
            <v>Tôn tấm</v>
          </cell>
          <cell r="C104" t="str">
            <v>PL4</v>
          </cell>
          <cell r="D104" t="str">
            <v>ASTM A36</v>
          </cell>
          <cell r="E104" t="str">
            <v>m2</v>
          </cell>
          <cell r="F104">
            <v>31.4</v>
          </cell>
          <cell r="G104">
            <v>33.705732484076428</v>
          </cell>
          <cell r="H104">
            <v>1058.3599999999999</v>
          </cell>
          <cell r="I104">
            <v>45</v>
          </cell>
          <cell r="J104">
            <v>1413</v>
          </cell>
          <cell r="K104"/>
          <cell r="L104"/>
          <cell r="M104">
            <v>45</v>
          </cell>
          <cell r="N104">
            <v>1413</v>
          </cell>
          <cell r="O104" t="str">
            <v>Rev08-BRADEN-PL4x1500x6000-5tờ</v>
          </cell>
        </row>
        <row r="105">
          <cell r="A105" t="str">
            <v>I90-A90</v>
          </cell>
          <cell r="B105" t="str">
            <v>Thép tròn</v>
          </cell>
          <cell r="C105" t="str">
            <v>RB16-L6000</v>
          </cell>
          <cell r="D105" t="str">
            <v>ASTM C38000</v>
          </cell>
          <cell r="E105" t="str">
            <v>m</v>
          </cell>
          <cell r="F105">
            <v>1.5802469135802468</v>
          </cell>
          <cell r="G105">
            <v>3.952</v>
          </cell>
          <cell r="H105">
            <v>12.48</v>
          </cell>
          <cell r="I105">
            <v>6</v>
          </cell>
          <cell r="J105">
            <v>9.481481481481481</v>
          </cell>
          <cell r="K105"/>
          <cell r="L105"/>
          <cell r="M105">
            <v>6</v>
          </cell>
          <cell r="N105">
            <v>9.481481481481481</v>
          </cell>
          <cell r="O105" t="str">
            <v>Rev08-BRADEN-bổ sung mới</v>
          </cell>
        </row>
        <row r="106">
          <cell r="A106" t="str">
            <v>I90-A91</v>
          </cell>
          <cell r="B106" t="str">
            <v>Thép tròn</v>
          </cell>
          <cell r="C106" t="str">
            <v>RB5-L1200</v>
          </cell>
          <cell r="D106" t="str">
            <v>1.0044/A36</v>
          </cell>
          <cell r="E106" t="str">
            <v>m</v>
          </cell>
          <cell r="F106">
            <v>0.15</v>
          </cell>
          <cell r="G106">
            <v>1</v>
          </cell>
          <cell r="H106">
            <v>0.2</v>
          </cell>
          <cell r="I106">
            <v>1.2</v>
          </cell>
          <cell r="J106">
            <v>0.18</v>
          </cell>
          <cell r="K106"/>
          <cell r="L106"/>
          <cell r="M106">
            <v>1.2</v>
          </cell>
          <cell r="N106">
            <v>0.18</v>
          </cell>
          <cell r="O106" t="str">
            <v>Rev08-BRADEN-bổ sung mới</v>
          </cell>
        </row>
        <row r="107">
          <cell r="A107" t="str">
            <v>I90-A92</v>
          </cell>
          <cell r="B107" t="str">
            <v>Hộp</v>
          </cell>
          <cell r="C107" t="str">
            <v>SHS31.8x31.8x3-L6000</v>
          </cell>
          <cell r="D107" t="str">
            <v>1.0038/A36</v>
          </cell>
          <cell r="E107" t="str">
            <v>m</v>
          </cell>
          <cell r="F107">
            <v>2.5</v>
          </cell>
          <cell r="G107">
            <v>74.474000000000004</v>
          </cell>
          <cell r="H107">
            <v>421.19999999999993</v>
          </cell>
          <cell r="I107">
            <v>84</v>
          </cell>
          <cell r="J107">
            <v>210</v>
          </cell>
          <cell r="K107"/>
          <cell r="L107"/>
          <cell r="M107">
            <v>84</v>
          </cell>
          <cell r="N107">
            <v>210</v>
          </cell>
          <cell r="O107" t="str">
            <v>Rev08-BRADEN-bổ sung mới</v>
          </cell>
        </row>
        <row r="108">
          <cell r="A108" t="str">
            <v>I90-A93</v>
          </cell>
          <cell r="B108" t="str">
            <v>Ống</v>
          </cell>
          <cell r="C108" t="str">
            <v>Tube DN.350 (Pipe D355.6x4)-L12000</v>
          </cell>
          <cell r="D108" t="str">
            <v>1.0044/A36</v>
          </cell>
          <cell r="E108" t="str">
            <v>m</v>
          </cell>
          <cell r="F108">
            <v>34.340000000000003</v>
          </cell>
          <cell r="G108">
            <v>170.51</v>
          </cell>
          <cell r="H108">
            <v>5247.6799999999994</v>
          </cell>
          <cell r="I108">
            <v>168</v>
          </cell>
          <cell r="J108">
            <v>5769.1200000000008</v>
          </cell>
          <cell r="K108"/>
          <cell r="L108"/>
          <cell r="M108">
            <v>168</v>
          </cell>
          <cell r="N108">
            <v>5769.1200000000008</v>
          </cell>
          <cell r="O108" t="str">
            <v>Rev08-BRADEN-bổ sung mới</v>
          </cell>
        </row>
        <row r="109">
          <cell r="A109" t="str">
            <v>I90-A94</v>
          </cell>
          <cell r="B109" t="str">
            <v>Thép hình-C</v>
          </cell>
          <cell r="C109" t="str">
            <v>UPN120(C120x55x7x9)-L12000</v>
          </cell>
          <cell r="D109" t="str">
            <v>1.0044/A36</v>
          </cell>
          <cell r="E109" t="str">
            <v>m</v>
          </cell>
          <cell r="F109">
            <v>13.3</v>
          </cell>
          <cell r="G109">
            <v>73.099999999999994</v>
          </cell>
          <cell r="H109">
            <v>1001.8000000000001</v>
          </cell>
          <cell r="I109">
            <v>78</v>
          </cell>
          <cell r="J109">
            <v>1037.4000000000001</v>
          </cell>
          <cell r="K109"/>
          <cell r="L109"/>
          <cell r="M109">
            <v>78</v>
          </cell>
          <cell r="N109">
            <v>1037.4000000000001</v>
          </cell>
          <cell r="O109" t="str">
            <v>Rev08-BRADEN-bổ sung mới</v>
          </cell>
        </row>
        <row r="110">
          <cell r="A110" t="str">
            <v>I90-A95</v>
          </cell>
          <cell r="B110" t="str">
            <v>Spring</v>
          </cell>
          <cell r="C110" t="str">
            <v>Spring D3</v>
          </cell>
          <cell r="D110" t="str">
            <v>SUS304</v>
          </cell>
          <cell r="E110" t="str">
            <v>pcs</v>
          </cell>
          <cell r="F110"/>
          <cell r="G110">
            <v>92</v>
          </cell>
          <cell r="H110"/>
          <cell r="I110">
            <v>92</v>
          </cell>
          <cell r="J110"/>
          <cell r="K110"/>
          <cell r="L110"/>
          <cell r="M110">
            <v>92</v>
          </cell>
          <cell r="N110"/>
          <cell r="O110" t="str">
            <v>Rev08-BRADEN-bổ sung mới. Xem bản vẽ " I90-Spring-D3" gửi kèm</v>
          </cell>
        </row>
        <row r="111">
          <cell r="A111" t="str">
            <v>I90-A96</v>
          </cell>
          <cell r="B111" t="str">
            <v>Then</v>
          </cell>
          <cell r="C111" t="str">
            <v>Then 80x340-thk 40</v>
          </cell>
          <cell r="D111" t="str">
            <v>S45C</v>
          </cell>
          <cell r="E111" t="str">
            <v>pcs</v>
          </cell>
          <cell r="F111"/>
          <cell r="G111">
            <v>40</v>
          </cell>
          <cell r="H111"/>
          <cell r="I111">
            <v>40</v>
          </cell>
          <cell r="J111"/>
          <cell r="K111"/>
          <cell r="L111"/>
          <cell r="M111">
            <v>40</v>
          </cell>
          <cell r="N111"/>
          <cell r="O111" t="str">
            <v>Rev08-BRADEN-bổ sung mới. Xem bản vẽ " I90-Pin-L340-S45C" gửi kèm</v>
          </cell>
        </row>
        <row r="112">
          <cell r="A112"/>
          <cell r="B112"/>
          <cell r="C112"/>
          <cell r="D112"/>
          <cell r="E112"/>
          <cell r="F112"/>
          <cell r="G112"/>
          <cell r="H112"/>
          <cell r="I112"/>
          <cell r="J112"/>
          <cell r="K112"/>
          <cell r="L112"/>
          <cell r="M112"/>
          <cell r="N112"/>
          <cell r="O112"/>
        </row>
        <row r="113">
          <cell r="A113" t="str">
            <v>B.</v>
          </cell>
          <cell r="B113" t="str">
            <v>Accessory-Material / Vật tư phụ</v>
          </cell>
          <cell r="C113"/>
          <cell r="D113"/>
          <cell r="E113"/>
          <cell r="F113"/>
          <cell r="G113"/>
          <cell r="H113"/>
          <cell r="I113"/>
          <cell r="J113"/>
          <cell r="K113"/>
          <cell r="L113"/>
          <cell r="M113"/>
          <cell r="N113"/>
          <cell r="O113"/>
        </row>
        <row r="114">
          <cell r="A114" t="str">
            <v>C.</v>
          </cell>
          <cell r="B114" t="str">
            <v>Packing-Material / Vật tư kiện</v>
          </cell>
          <cell r="C114"/>
          <cell r="D114"/>
          <cell r="E114"/>
          <cell r="F114"/>
          <cell r="G114"/>
          <cell r="H114">
            <v>0</v>
          </cell>
          <cell r="I114"/>
          <cell r="J114">
            <v>0</v>
          </cell>
          <cell r="K114"/>
          <cell r="L114">
            <v>0</v>
          </cell>
          <cell r="M114"/>
          <cell r="N114">
            <v>0</v>
          </cell>
          <cell r="O114"/>
        </row>
        <row r="115">
          <cell r="A115" t="str">
            <v>I90-C1</v>
          </cell>
          <cell r="B115" t="str">
            <v>Thùng gỗ</v>
          </cell>
          <cell r="C115" t="str">
            <v>Thùng gỗ</v>
          </cell>
          <cell r="D115" t="str">
            <v>Gỗ có dấu khử trùng 
( ISPM 15)</v>
          </cell>
          <cell r="E115" t="str">
            <v>pcs</v>
          </cell>
          <cell r="F115"/>
          <cell r="G115">
            <v>10</v>
          </cell>
          <cell r="H115"/>
          <cell r="I115">
            <v>10</v>
          </cell>
          <cell r="J115"/>
          <cell r="K115"/>
          <cell r="L115"/>
          <cell r="M115">
            <v>10</v>
          </cell>
          <cell r="N115"/>
          <cell r="O115" t="str">
            <v>Rev02-Bổ sung cho phần đóng kiện  anchor bolt. Kích thước theo bản vẽ "I90-Wood box-for 10 Units)</v>
          </cell>
        </row>
        <row r="116">
          <cell r="A116" t="str">
            <v>I90-C2</v>
          </cell>
          <cell r="B116" t="str">
            <v xml:space="preserve">Mút xốp </v>
          </cell>
          <cell r="C116" t="str">
            <v>Mút xốp 5mm</v>
          </cell>
          <cell r="D116" t="str">
            <v>mút xốp chèn kiện</v>
          </cell>
          <cell r="E116" t="str">
            <v>m2</v>
          </cell>
          <cell r="F116"/>
          <cell r="G116">
            <v>200</v>
          </cell>
          <cell r="H116"/>
          <cell r="I116">
            <v>200</v>
          </cell>
          <cell r="J116"/>
          <cell r="K116"/>
          <cell r="L116"/>
          <cell r="M116">
            <v>200</v>
          </cell>
          <cell r="N116"/>
          <cell r="O116" t="str">
            <v>Rev02-Bổ sung cho phần đóng kiện  anchor bolt.</v>
          </cell>
        </row>
        <row r="117">
          <cell r="A117"/>
          <cell r="B117"/>
          <cell r="C117"/>
          <cell r="D117"/>
          <cell r="E117"/>
          <cell r="F117"/>
          <cell r="G117"/>
          <cell r="H117"/>
          <cell r="I117"/>
          <cell r="J117"/>
          <cell r="K117"/>
          <cell r="L117"/>
          <cell r="M117"/>
          <cell r="N117"/>
          <cell r="O117"/>
        </row>
        <row r="118">
          <cell r="A118" t="str">
            <v>PRIORITY/  THỜI GIAN CẤP:</v>
          </cell>
          <cell r="B118"/>
          <cell r="C118"/>
          <cell r="D118"/>
          <cell r="E118"/>
          <cell r="F118"/>
          <cell r="G118"/>
          <cell r="H118"/>
          <cell r="I118"/>
          <cell r="J118"/>
          <cell r="K118"/>
          <cell r="L118"/>
          <cell r="M118"/>
          <cell r="N118"/>
          <cell r="O118"/>
        </row>
        <row r="119">
          <cell r="A119" t="str">
            <v xml:space="preserve">              CRITICAL (within 3 days) / NGAY LẬP TỨC (Dưới 3 ngày)                         </v>
          </cell>
          <cell r="B119"/>
          <cell r="C119"/>
          <cell r="D119" t="str">
            <v>URGENT / KHẨN CẤP</v>
          </cell>
          <cell r="E119"/>
          <cell r="F119"/>
          <cell r="G119" t="str">
            <v xml:space="preserve">    1 WEEK/ 1 TUẦN</v>
          </cell>
          <cell r="H119"/>
          <cell r="I119"/>
          <cell r="J119"/>
          <cell r="K119" t="str">
            <v>AS DELIVERY (Date: ……………)/ CẦN VÀO NGÀY :……………</v>
          </cell>
          <cell r="L119"/>
          <cell r="M119"/>
          <cell r="N119"/>
          <cell r="O119"/>
        </row>
        <row r="120">
          <cell r="A120" t="str">
            <v>REMARKS /  CHÚ Ý :</v>
          </cell>
          <cell r="B120"/>
          <cell r="C120"/>
          <cell r="D120"/>
          <cell r="E120"/>
          <cell r="F120"/>
          <cell r="G120"/>
          <cell r="H120"/>
          <cell r="I120"/>
          <cell r="J120"/>
          <cell r="K120"/>
          <cell r="L120"/>
          <cell r="M120"/>
          <cell r="N120"/>
          <cell r="O120"/>
        </row>
        <row r="121">
          <cell r="A121" t="str">
            <v xml:space="preserve">    </v>
          </cell>
          <cell r="B121"/>
          <cell r="C121"/>
          <cell r="D121"/>
          <cell r="E121"/>
          <cell r="F121"/>
          <cell r="G121"/>
          <cell r="H121"/>
          <cell r="I121"/>
          <cell r="J121"/>
          <cell r="K121"/>
          <cell r="L121"/>
          <cell r="M121"/>
          <cell r="N121"/>
          <cell r="O121"/>
        </row>
        <row r="122">
          <cell r="A122" t="str">
            <v>ASSIGN COST TO/ NGUỒN CHI PHÍ:</v>
          </cell>
          <cell r="B122"/>
          <cell r="C122"/>
          <cell r="D122"/>
          <cell r="E122"/>
          <cell r="F122"/>
          <cell r="G122"/>
          <cell r="H122"/>
          <cell r="I122"/>
          <cell r="J122"/>
          <cell r="K122"/>
          <cell r="L122"/>
          <cell r="M122"/>
          <cell r="N122"/>
          <cell r="O122"/>
        </row>
        <row r="123">
          <cell r="A123" t="str">
            <v xml:space="preserve">               PROJECT BUDGET/ NGÂN SÁCH DỰ ÁN</v>
          </cell>
          <cell r="B123"/>
          <cell r="C123"/>
          <cell r="D123" t="str">
            <v>PROJECT within IBS / DỰ ÁN NỘI BỘ</v>
          </cell>
          <cell r="E123"/>
          <cell r="F123"/>
          <cell r="G123" t="str">
            <v>TRADING &amp; SUPPLY / MMUA VÀ CUNG CẤP</v>
          </cell>
          <cell r="H123"/>
          <cell r="I123"/>
          <cell r="J123"/>
          <cell r="K123" t="str">
            <v>PRODUCTION,MAINTENANCE/ SẢN XUẤT,BẢO DƯỠNG</v>
          </cell>
          <cell r="L123"/>
          <cell r="M123"/>
          <cell r="N123"/>
          <cell r="O123" t="str">
            <v>OTHER/ Khác</v>
          </cell>
        </row>
        <row r="124">
          <cell r="A124" t="str">
            <v>REMARKS/  CHÚ Ý:</v>
          </cell>
          <cell r="B124"/>
          <cell r="C124"/>
          <cell r="D124"/>
          <cell r="E124"/>
          <cell r="F124"/>
          <cell r="G124"/>
          <cell r="H124"/>
          <cell r="I124"/>
          <cell r="J124"/>
          <cell r="K124"/>
          <cell r="L124"/>
          <cell r="M124"/>
          <cell r="N124"/>
          <cell r="O124"/>
        </row>
        <row r="125">
          <cell r="A125"/>
          <cell r="B125"/>
          <cell r="C125"/>
          <cell r="D125"/>
          <cell r="E125"/>
          <cell r="F125"/>
          <cell r="G125"/>
          <cell r="H125"/>
          <cell r="I125"/>
          <cell r="J125"/>
          <cell r="K125"/>
          <cell r="L125"/>
          <cell r="M125"/>
          <cell r="N125"/>
          <cell r="O125"/>
        </row>
        <row r="126">
          <cell r="A126" t="str">
            <v>PURPOSE / MỤC DÍCH:</v>
          </cell>
          <cell r="B126"/>
          <cell r="C126"/>
          <cell r="D126"/>
          <cell r="E126"/>
          <cell r="F126"/>
          <cell r="G126"/>
          <cell r="H126"/>
          <cell r="I126"/>
          <cell r="J126"/>
          <cell r="K126"/>
          <cell r="L126"/>
          <cell r="M126"/>
          <cell r="N126"/>
          <cell r="O126"/>
        </row>
        <row r="127">
          <cell r="A127" t="str">
            <v>FOR IN-HOUSE/ CHO SỬ DỤNG</v>
          </cell>
          <cell r="B127"/>
          <cell r="C127"/>
          <cell r="D127"/>
          <cell r="E127"/>
          <cell r="F127"/>
          <cell r="G127"/>
          <cell r="H127"/>
          <cell r="I127" t="str">
            <v>FOR PROJECT/ DỰ ÁN</v>
          </cell>
          <cell r="J127"/>
          <cell r="K127"/>
          <cell r="L127"/>
          <cell r="M127"/>
          <cell r="N127"/>
          <cell r="O127"/>
        </row>
        <row r="128">
          <cell r="A128" t="str">
            <v xml:space="preserve">         Lost/Damaged/ Mất mát, hỏng hóc</v>
          </cell>
          <cell r="B128"/>
          <cell r="C128"/>
          <cell r="D128"/>
          <cell r="E128" t="str">
            <v xml:space="preserve">    Other/ Khác:</v>
          </cell>
          <cell r="F128"/>
          <cell r="G128"/>
          <cell r="H128"/>
          <cell r="I128" t="str">
            <v xml:space="preserve">         Shortage from previous ordered/Cấp thêm cho lần trước</v>
          </cell>
          <cell r="L128"/>
          <cell r="M128" t="str">
            <v xml:space="preserve">    Lost,Damaged/Mất mát,hỏng hóc</v>
          </cell>
          <cell r="O128" t="str">
            <v xml:space="preserve">    Other/ Khác:</v>
          </cell>
        </row>
        <row r="129">
          <cell r="A129" t="str">
            <v xml:space="preserve">          Req'd as Spares,Stock/ Dự phòng</v>
          </cell>
          <cell r="B129"/>
          <cell r="C129"/>
          <cell r="D129"/>
          <cell r="E129"/>
          <cell r="F129"/>
          <cell r="G129"/>
          <cell r="H129"/>
          <cell r="I129" t="str">
            <v xml:space="preserve">        Balance from previous ordered/ Phần còn lại chưa cấp</v>
          </cell>
          <cell r="L129"/>
          <cell r="M129" t="str">
            <v xml:space="preserve">    Req'd as Spares/ Dự phòng</v>
          </cell>
          <cell r="O129"/>
        </row>
        <row r="130">
          <cell r="A130" t="str">
            <v xml:space="preserve">          Consumables/ Vật tư tiêu hao</v>
          </cell>
          <cell r="B130"/>
          <cell r="C130"/>
          <cell r="D130"/>
          <cell r="E130"/>
          <cell r="F130"/>
          <cell r="G130"/>
          <cell r="H130"/>
          <cell r="I130" t="str">
            <v xml:space="preserve">         Replace wrong part/ Thay thế chi tiết sai</v>
          </cell>
          <cell r="L130"/>
          <cell r="M130" t="str">
            <v xml:space="preserve">    Consumables/Vật tư tiêu hao</v>
          </cell>
          <cell r="N130"/>
          <cell r="O130"/>
        </row>
        <row r="131">
          <cell r="A131"/>
          <cell r="B131"/>
          <cell r="C131"/>
          <cell r="D131"/>
          <cell r="E131"/>
          <cell r="F131"/>
          <cell r="G131"/>
          <cell r="H131"/>
          <cell r="I131"/>
          <cell r="J131"/>
          <cell r="K131"/>
          <cell r="L131"/>
          <cell r="M131"/>
          <cell r="N131"/>
          <cell r="O131"/>
        </row>
        <row r="132">
          <cell r="A132"/>
          <cell r="B132"/>
          <cell r="C132"/>
          <cell r="D132"/>
          <cell r="E132"/>
          <cell r="F132"/>
          <cell r="G132"/>
          <cell r="H132"/>
          <cell r="I132"/>
          <cell r="J132"/>
          <cell r="K132"/>
          <cell r="L132"/>
          <cell r="M132"/>
          <cell r="N132"/>
          <cell r="O132"/>
        </row>
        <row r="133">
          <cell r="A133"/>
          <cell r="B133"/>
          <cell r="C133" t="str">
            <v>Requested by/ Yêu cầu:</v>
          </cell>
          <cell r="D133" t="str">
            <v>Reviewed by/ Kiểm tra:</v>
          </cell>
          <cell r="E133"/>
          <cell r="F133"/>
          <cell r="G133"/>
          <cell r="H133"/>
          <cell r="I133" t="str">
            <v>Project Manager/ Giám đốc dự án</v>
          </cell>
          <cell r="J133"/>
          <cell r="K133"/>
          <cell r="L133"/>
          <cell r="M133" t="str">
            <v>Approved by/ Phê duyệt</v>
          </cell>
          <cell r="N133"/>
          <cell r="O133"/>
        </row>
        <row r="134">
          <cell r="A134" t="str">
            <v>Name/ Tên:</v>
          </cell>
          <cell r="B134"/>
          <cell r="C134"/>
          <cell r="D134"/>
          <cell r="E134"/>
          <cell r="F134"/>
          <cell r="G134"/>
          <cell r="H134"/>
          <cell r="I134"/>
          <cell r="J134"/>
          <cell r="K134"/>
          <cell r="L134"/>
          <cell r="M134"/>
          <cell r="N134"/>
          <cell r="O134"/>
        </row>
        <row r="135">
          <cell r="A135" t="str">
            <v>Position/ Vị trí:</v>
          </cell>
          <cell r="B135"/>
          <cell r="C135"/>
          <cell r="D135"/>
          <cell r="E135"/>
          <cell r="F135"/>
          <cell r="G135"/>
          <cell r="H135"/>
          <cell r="I135"/>
          <cell r="J135"/>
          <cell r="K135"/>
          <cell r="L135"/>
          <cell r="M135"/>
          <cell r="N135"/>
          <cell r="O135"/>
        </row>
        <row r="136">
          <cell r="A136" t="str">
            <v>Signature/ Chữ ký:</v>
          </cell>
          <cell r="B136"/>
          <cell r="C136"/>
          <cell r="D136"/>
          <cell r="E136"/>
          <cell r="F136"/>
          <cell r="G136"/>
          <cell r="H136"/>
          <cell r="I136"/>
          <cell r="J136"/>
          <cell r="K136"/>
          <cell r="L136"/>
          <cell r="M136"/>
          <cell r="N136"/>
          <cell r="O136"/>
        </row>
        <row r="137">
          <cell r="A137" t="str">
            <v>Date/ Ngày:</v>
          </cell>
          <cell r="B137"/>
          <cell r="C137"/>
          <cell r="D137"/>
          <cell r="E137"/>
          <cell r="F137"/>
          <cell r="G137"/>
          <cell r="H137"/>
          <cell r="I137"/>
          <cell r="K137"/>
          <cell r="L137"/>
          <cell r="M137"/>
          <cell r="N137"/>
          <cell r="O137"/>
        </row>
        <row r="138">
          <cell r="A138"/>
          <cell r="B138"/>
          <cell r="C138"/>
          <cell r="D138"/>
          <cell r="E138"/>
          <cell r="F138"/>
          <cell r="G138"/>
          <cell r="H138"/>
          <cell r="I138"/>
          <cell r="J138"/>
          <cell r="K138"/>
          <cell r="L138"/>
          <cell r="M138"/>
          <cell r="N138"/>
          <cell r="O138"/>
        </row>
        <row r="139">
          <cell r="O139" t="str">
            <v>REF. DOC. NO.: ILS-PRC-F06A Rev. 0 (For Engineering only)</v>
          </cell>
        </row>
      </sheetData>
      <sheetData sheetId="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33"/>
      <sheetName val="Sheet1"/>
      <sheetName val="DATA"/>
    </sheetNames>
    <sheetDataSet>
      <sheetData sheetId="0">
        <row r="1">
          <cell r="D1" t="str">
            <v>IBS HI JOINT STOCK COMPANY
Address: Km 6 Freeway No. 05 Hung Vuong, Hong Bang District, Hai Phong City, Viet Nam.</v>
          </cell>
        </row>
        <row r="3">
          <cell r="D3" t="str">
            <v>PURCHASE REQUISITION / ĐỀ NGHỊ MUA VẬT TƯ</v>
          </cell>
        </row>
        <row r="5">
          <cell r="A5" t="str">
            <v>Department/ Phòng: ENGINEERING/ Thiết kế</v>
          </cell>
          <cell r="D5" t="str">
            <v>Project Code/ Mã dự án: 25-BRA-I-090</v>
          </cell>
          <cell r="J5" t="str">
            <v>Date/ Ngày: 12/12/2025</v>
          </cell>
        </row>
        <row r="6">
          <cell r="A6" t="str">
            <v xml:space="preserve">Job Title/ Hạng mục: Inlet duct, Diverter, Guillotine, Blanking Plate, EJs and accesses
</v>
          </cell>
          <cell r="D6" t="str">
            <v xml:space="preserve">Project ID/ Mã nhận diện dự án: </v>
          </cell>
          <cell r="J6" t="str">
            <v>Ref. No/ Mã tài liệu: I-090-ENG-001-REV 33(PR)</v>
          </cell>
        </row>
        <row r="7">
          <cell r="A7" t="str">
            <v>Client/ Khách hàng: BRADEN EUROPE B.V</v>
          </cell>
          <cell r="D7" t="str">
            <v xml:space="preserve">Project Name / Tên dự án : </v>
          </cell>
          <cell r="E7" t="str">
            <v>GHAZLAN HAJR/SA</v>
          </cell>
          <cell r="J7" t="str">
            <v xml:space="preserve">Job No/ Số dự án: </v>
          </cell>
        </row>
        <row r="9">
          <cell r="A9" t="str">
            <v>Item/ 
STT</v>
          </cell>
          <cell r="B9" t="str">
            <v>Description/ 
Chi tiết</v>
          </cell>
          <cell r="C9" t="str">
            <v>Profile/ Vật tư</v>
          </cell>
          <cell r="D9" t="str">
            <v>Grade/ Mác vật liệu</v>
          </cell>
          <cell r="E9" t="str">
            <v>Unit/ Đơn vị</v>
          </cell>
          <cell r="F9" t="str">
            <v>U.Weight/ Đ.Trọng (Kg/m2,m,pcs)</v>
          </cell>
          <cell r="G9" t="str">
            <v>Net Quantity/Số lượng tinh</v>
          </cell>
          <cell r="I9" t="str">
            <v>Previous Ordered/Đã dự trù</v>
          </cell>
          <cell r="K9" t="str">
            <v>Current Ordered/Dự trù lần này</v>
          </cell>
          <cell r="M9" t="str">
            <v>Total Ordered/Tổng dự trù</v>
          </cell>
          <cell r="O9" t="str">
            <v>Remarks/ Ghi chú</v>
          </cell>
        </row>
        <row r="10">
          <cell r="G10" t="str">
            <v>Q.Ty/
Số lượng</v>
          </cell>
          <cell r="H10" t="str">
            <v>Weight/
Khối lượng (Kg)</v>
          </cell>
          <cell r="I10" t="str">
            <v>Q.Ty/ 
Số lượng</v>
          </cell>
          <cell r="J10" t="str">
            <v>Weight/
Khối lượng (Kg)</v>
          </cell>
          <cell r="K10" t="str">
            <v>Q.Ty/Số lượng</v>
          </cell>
          <cell r="L10" t="str">
            <v>Weight/Khối lượng (Kg)</v>
          </cell>
          <cell r="M10" t="str">
            <v>Q.Ty/
Số lượng</v>
          </cell>
          <cell r="N10" t="str">
            <v>Weight/Khối lượng (Kg)</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row>
        <row r="12">
          <cell r="A12" t="str">
            <v>A.</v>
          </cell>
          <cell r="B12" t="str">
            <v>Main-Material /  Vật tư chính</v>
          </cell>
          <cell r="G12">
            <v>1.1298071550263471</v>
          </cell>
          <cell r="H12">
            <v>1232763.4895353087</v>
          </cell>
          <cell r="J12">
            <v>1392785.010932239</v>
          </cell>
          <cell r="L12">
            <v>0</v>
          </cell>
          <cell r="N12">
            <v>1392785.010932239</v>
          </cell>
        </row>
        <row r="13">
          <cell r="A13" t="str">
            <v>I90-A1</v>
          </cell>
          <cell r="B13" t="str">
            <v>Bulong móng</v>
          </cell>
          <cell r="C13" t="str">
            <v>ANCHOR BOLT M42</v>
          </cell>
          <cell r="E13" t="str">
            <v>sets</v>
          </cell>
          <cell r="F13">
            <v>10.637499999999999</v>
          </cell>
          <cell r="G13">
            <v>320</v>
          </cell>
          <cell r="H13">
            <v>3404</v>
          </cell>
          <cell r="I13">
            <v>320</v>
          </cell>
          <cell r="J13">
            <v>3404</v>
          </cell>
          <cell r="M13">
            <v>320</v>
          </cell>
          <cell r="N13">
            <v>3404</v>
          </cell>
          <cell r="O13" t="str">
            <v>Thông số kỹ thuật theo bản vẽ đặt hàng "I90-13105-ANCHOR BOLT M42"</v>
          </cell>
        </row>
        <row r="14">
          <cell r="A14" t="str">
            <v>I90-A2</v>
          </cell>
          <cell r="B14" t="str">
            <v>Tôn tấm</v>
          </cell>
          <cell r="C14" t="str">
            <v>PL10x2000x6000</v>
          </cell>
          <cell r="D14" t="str">
            <v>1.0577(S355J2)/ ASTM A36</v>
          </cell>
          <cell r="E14" t="str">
            <v>m2</v>
          </cell>
          <cell r="F14">
            <v>78.5</v>
          </cell>
          <cell r="G14">
            <v>31.245859872611469</v>
          </cell>
          <cell r="H14">
            <v>2452.8000000000002</v>
          </cell>
          <cell r="I14">
            <v>48</v>
          </cell>
          <cell r="J14">
            <v>3768</v>
          </cell>
          <cell r="M14">
            <v>48</v>
          </cell>
          <cell r="N14">
            <v>3768</v>
          </cell>
          <cell r="O14" t="str">
            <v>Rev01-đổi khổ như thực tế đã mua PL10x2000x6000-4 tờ</v>
          </cell>
        </row>
        <row r="15">
          <cell r="A15" t="str">
            <v>I90-A3</v>
          </cell>
          <cell r="B15" t="str">
            <v>Tôn tấm</v>
          </cell>
          <cell r="C15" t="str">
            <v>PL1.5x800x800</v>
          </cell>
          <cell r="D15" t="str">
            <v>ASTM A36</v>
          </cell>
          <cell r="E15" t="str">
            <v>m2</v>
          </cell>
          <cell r="F15">
            <v>11.774999999999999</v>
          </cell>
          <cell r="G15">
            <v>0.78131634819532914</v>
          </cell>
          <cell r="H15">
            <v>9.1999999999999993</v>
          </cell>
          <cell r="I15">
            <v>3.64</v>
          </cell>
          <cell r="J15">
            <v>42.860999999999997</v>
          </cell>
          <cell r="M15">
            <v>3.64</v>
          </cell>
          <cell r="N15">
            <v>42.860999999999997</v>
          </cell>
          <cell r="O15" t="str">
            <v>Rev08-PL1.5x1200x2500</v>
          </cell>
        </row>
        <row r="16">
          <cell r="A16" t="str">
            <v>I90-A4</v>
          </cell>
          <cell r="B16" t="str">
            <v>Tôn tấm</v>
          </cell>
          <cell r="C16" t="str">
            <v>PL3x1500x6000</v>
          </cell>
          <cell r="D16" t="str">
            <v>ASTM A36</v>
          </cell>
          <cell r="E16" t="str">
            <v>m2</v>
          </cell>
          <cell r="F16">
            <v>23.549999999999997</v>
          </cell>
          <cell r="G16">
            <v>993.11019108280266</v>
          </cell>
          <cell r="H16">
            <v>23387.744999999999</v>
          </cell>
          <cell r="I16">
            <v>1260</v>
          </cell>
          <cell r="J16">
            <v>29921.956050955399</v>
          </cell>
          <cell r="M16">
            <v>1260</v>
          </cell>
          <cell r="N16">
            <v>29921.956050955399</v>
          </cell>
          <cell r="O16" t="str">
            <v>Rev27-Braden bổ sung PL3x1500x6000-84 tờ cho mục cover mới (tính cho U3+U4+U5)</v>
          </cell>
        </row>
        <row r="17">
          <cell r="A17" t="str">
            <v>I90-A5</v>
          </cell>
          <cell r="B17" t="str">
            <v>Tôn tấm</v>
          </cell>
          <cell r="C17" t="str">
            <v>PL5x1500x6000</v>
          </cell>
          <cell r="D17" t="str">
            <v>ASTM A36</v>
          </cell>
          <cell r="E17" t="str">
            <v>m2</v>
          </cell>
          <cell r="F17">
            <v>39.25</v>
          </cell>
          <cell r="G17">
            <v>187.2504458598726</v>
          </cell>
          <cell r="H17">
            <v>7349.58</v>
          </cell>
          <cell r="I17">
            <v>36</v>
          </cell>
          <cell r="J17">
            <v>1413</v>
          </cell>
          <cell r="M17">
            <v>36</v>
          </cell>
          <cell r="N17">
            <v>1413</v>
          </cell>
          <cell r="O17" t="str">
            <v>Rev31-IBS-PL5x1500x6000-1tờ cho rev platform</v>
          </cell>
        </row>
        <row r="18">
          <cell r="A18" t="str">
            <v>I90-A5A</v>
          </cell>
          <cell r="B18" t="str">
            <v>Tôn tấm</v>
          </cell>
          <cell r="C18" t="str">
            <v>PL5x2000X12000</v>
          </cell>
          <cell r="D18" t="str">
            <v>ASTM A36</v>
          </cell>
          <cell r="E18" t="str">
            <v>m2</v>
          </cell>
          <cell r="F18">
            <v>39.25</v>
          </cell>
          <cell r="I18">
            <v>192</v>
          </cell>
          <cell r="J18">
            <v>7536</v>
          </cell>
          <cell r="M18">
            <v>192</v>
          </cell>
          <cell r="N18">
            <v>7536</v>
          </cell>
          <cell r="O18" t="str">
            <v>Rev06-BRADEN-PL5x2000x12000-8tờ</v>
          </cell>
        </row>
        <row r="19">
          <cell r="A19" t="str">
            <v>I90-A6</v>
          </cell>
          <cell r="B19" t="str">
            <v>Tôn tấm</v>
          </cell>
          <cell r="C19" t="str">
            <v>PL6x1500x12000; PL6x2000x12000 (2 tờ); PL6x2000x3000(1 tờ)</v>
          </cell>
          <cell r="D19" t="str">
            <v>ASTM A36</v>
          </cell>
          <cell r="E19" t="str">
            <v>m2</v>
          </cell>
          <cell r="F19">
            <v>47.099999999999994</v>
          </cell>
          <cell r="G19">
            <v>177.35329087048834</v>
          </cell>
          <cell r="H19">
            <v>8353.34</v>
          </cell>
          <cell r="I19">
            <v>204</v>
          </cell>
          <cell r="J19">
            <v>9608.4</v>
          </cell>
          <cell r="M19">
            <v>204</v>
          </cell>
          <cell r="N19">
            <v>9608.4</v>
          </cell>
          <cell r="O19" t="str">
            <v>Rev07-BRADEN-PL6x2000x12000-1tờ</v>
          </cell>
        </row>
        <row r="20">
          <cell r="A20" t="str">
            <v>I90-A7</v>
          </cell>
          <cell r="B20" t="str">
            <v>Tôn tấm</v>
          </cell>
          <cell r="C20" t="str">
            <v>PL8x1500x9060</v>
          </cell>
          <cell r="D20" t="str">
            <v>ASTM A36</v>
          </cell>
          <cell r="E20" t="str">
            <v>m2</v>
          </cell>
          <cell r="F20">
            <v>62.8</v>
          </cell>
          <cell r="G20">
            <v>6594.493630573249</v>
          </cell>
          <cell r="H20">
            <v>414134.2</v>
          </cell>
          <cell r="I20">
            <v>163.08000000000001</v>
          </cell>
          <cell r="J20">
            <v>10241.424000000001</v>
          </cell>
          <cell r="M20">
            <v>163.08000000000001</v>
          </cell>
          <cell r="N20">
            <v>10241.424000000001</v>
          </cell>
          <cell r="O20" t="str">
            <v>Rev01-PL8x1500x9060-12-tờ</v>
          </cell>
        </row>
        <row r="21">
          <cell r="A21" t="str">
            <v>I90-A8</v>
          </cell>
          <cell r="B21" t="str">
            <v>Tôn tấm</v>
          </cell>
          <cell r="C21" t="str">
            <v>PL8x2000x7200</v>
          </cell>
          <cell r="D21" t="str">
            <v>ASTM A36</v>
          </cell>
          <cell r="E21" t="str">
            <v>m2</v>
          </cell>
          <cell r="F21">
            <v>62.8</v>
          </cell>
          <cell r="I21">
            <v>460.8</v>
          </cell>
          <cell r="J21">
            <v>28938.239999999998</v>
          </cell>
          <cell r="M21">
            <v>460.8</v>
          </cell>
          <cell r="N21">
            <v>28938.239999999998</v>
          </cell>
          <cell r="O21" t="str">
            <v>Rev01-PL8x2000x7200-32-tờ</v>
          </cell>
        </row>
        <row r="22">
          <cell r="A22" t="str">
            <v>I90-A9</v>
          </cell>
          <cell r="B22" t="str">
            <v>Tôn tấm</v>
          </cell>
          <cell r="C22" t="str">
            <v>PL8x2000x7800</v>
          </cell>
          <cell r="D22" t="str">
            <v>ASTM A36</v>
          </cell>
          <cell r="E22" t="str">
            <v>m2</v>
          </cell>
          <cell r="F22">
            <v>62.8</v>
          </cell>
          <cell r="I22">
            <v>748.8</v>
          </cell>
          <cell r="J22">
            <v>47024.639999999992</v>
          </cell>
          <cell r="M22">
            <v>748.8</v>
          </cell>
          <cell r="N22">
            <v>47024.639999999992</v>
          </cell>
          <cell r="O22" t="str">
            <v>Rev01-PL8x2000x7800-48-tờ</v>
          </cell>
        </row>
        <row r="23">
          <cell r="A23" t="str">
            <v>I90-A10</v>
          </cell>
          <cell r="B23" t="str">
            <v>Tôn tấm</v>
          </cell>
          <cell r="C23" t="str">
            <v>PL8x2000x9060</v>
          </cell>
          <cell r="D23" t="str">
            <v>ASTM A36</v>
          </cell>
          <cell r="E23" t="str">
            <v>m2</v>
          </cell>
          <cell r="F23">
            <v>62.8</v>
          </cell>
          <cell r="I23">
            <v>797.28</v>
          </cell>
          <cell r="J23">
            <v>50069.183999999994</v>
          </cell>
          <cell r="M23">
            <v>797.28</v>
          </cell>
          <cell r="N23">
            <v>50069.183999999994</v>
          </cell>
          <cell r="O23" t="str">
            <v>Rev01-PL8x2000x9060-44-tờ</v>
          </cell>
        </row>
        <row r="24">
          <cell r="A24" t="str">
            <v>I90-A11</v>
          </cell>
          <cell r="B24" t="str">
            <v>Tôn tấm</v>
          </cell>
          <cell r="C24" t="str">
            <v>PL8x2000x12000</v>
          </cell>
          <cell r="D24" t="str">
            <v>ASTM A36</v>
          </cell>
          <cell r="E24" t="str">
            <v>m2</v>
          </cell>
          <cell r="F24">
            <v>62.8</v>
          </cell>
          <cell r="I24">
            <v>3216</v>
          </cell>
          <cell r="J24">
            <v>201964.79999999999</v>
          </cell>
          <cell r="M24">
            <v>3216</v>
          </cell>
          <cell r="N24">
            <v>201964.79999999999</v>
          </cell>
          <cell r="O24" t="str">
            <v>Rev07-BRADEN-PL8x2000x12000-14tờ</v>
          </cell>
        </row>
        <row r="25">
          <cell r="A25" t="str">
            <v>I90-A11A</v>
          </cell>
          <cell r="B25" t="str">
            <v>Tôn tấm</v>
          </cell>
          <cell r="C25" t="str">
            <v>PL8x2000x9650</v>
          </cell>
          <cell r="D25" t="str">
            <v>ASTM A36</v>
          </cell>
          <cell r="E25" t="str">
            <v>m2</v>
          </cell>
          <cell r="F25">
            <v>62.8</v>
          </cell>
          <cell r="I25">
            <v>1737</v>
          </cell>
          <cell r="J25">
            <v>109083.59999999999</v>
          </cell>
          <cell r="M25">
            <v>1737</v>
          </cell>
          <cell r="N25">
            <v>109083.59999999999</v>
          </cell>
          <cell r="O25" t="str">
            <v>Rev05-BRADEN-PL8x2000x9650-90tờ</v>
          </cell>
        </row>
        <row r="26">
          <cell r="A26" t="str">
            <v>I90-A12</v>
          </cell>
          <cell r="B26" t="str">
            <v>Tôn tấm</v>
          </cell>
          <cell r="C26" t="str">
            <v>PL10x1500x12000; PL10x2000x12000 (12 tờ)</v>
          </cell>
          <cell r="D26" t="str">
            <v>ASTM A36</v>
          </cell>
          <cell r="E26" t="str">
            <v>m2</v>
          </cell>
          <cell r="F26">
            <v>78.5</v>
          </cell>
          <cell r="G26">
            <v>519.86267515923566</v>
          </cell>
          <cell r="H26">
            <v>40809.22</v>
          </cell>
          <cell r="I26">
            <v>714</v>
          </cell>
          <cell r="J26">
            <v>56049</v>
          </cell>
          <cell r="M26">
            <v>714</v>
          </cell>
          <cell r="N26">
            <v>56049</v>
          </cell>
          <cell r="O26" t="str">
            <v>Rev18-BRADEN-bổ sung PL10x2000x12000-3.5 tờ</v>
          </cell>
        </row>
        <row r="27">
          <cell r="A27" t="str">
            <v>I90-A13</v>
          </cell>
          <cell r="B27" t="str">
            <v>Tôn tấm</v>
          </cell>
          <cell r="C27" t="str">
            <v>PL12x1500x12000; PL12x2000x12000; PL12x2000x9000.</v>
          </cell>
          <cell r="D27" t="str">
            <v>ASTM A36</v>
          </cell>
          <cell r="E27" t="str">
            <v>m2</v>
          </cell>
          <cell r="F27">
            <v>94.199999999999989</v>
          </cell>
          <cell r="G27">
            <v>195.17494692144376</v>
          </cell>
          <cell r="H27">
            <v>18385.48</v>
          </cell>
          <cell r="I27">
            <v>264</v>
          </cell>
          <cell r="J27">
            <v>24868.799999999996</v>
          </cell>
          <cell r="M27">
            <v>264</v>
          </cell>
          <cell r="N27">
            <v>24868.799999999996</v>
          </cell>
          <cell r="O27" t="str">
            <v>Rev10-BRADEN-PL12x2000x12000-2tờ</v>
          </cell>
        </row>
        <row r="28">
          <cell r="A28" t="str">
            <v>I90-A14</v>
          </cell>
          <cell r="B28" t="str">
            <v>Tôn tấm</v>
          </cell>
          <cell r="C28" t="str">
            <v>PL15x1500x12000</v>
          </cell>
          <cell r="D28" t="str">
            <v>ASTM A36</v>
          </cell>
          <cell r="E28" t="str">
            <v>m2</v>
          </cell>
          <cell r="F28">
            <v>117.75</v>
          </cell>
          <cell r="G28">
            <v>765.88348195329081</v>
          </cell>
          <cell r="H28">
            <v>90182.78</v>
          </cell>
          <cell r="I28">
            <v>882</v>
          </cell>
          <cell r="J28">
            <v>103855.5</v>
          </cell>
          <cell r="M28">
            <v>882</v>
          </cell>
          <cell r="N28">
            <v>103855.5</v>
          </cell>
          <cell r="O28" t="str">
            <v>Rev11-BRADEN-PL15x1500x12000-2tờ</v>
          </cell>
        </row>
        <row r="29">
          <cell r="A29" t="str">
            <v>I90-A15</v>
          </cell>
          <cell r="B29" t="str">
            <v>Tôn tấm</v>
          </cell>
          <cell r="C29" t="str">
            <v>PL18x1500x6000</v>
          </cell>
          <cell r="D29" t="str">
            <v>ASTM A36</v>
          </cell>
          <cell r="E29" t="str">
            <v>m2</v>
          </cell>
          <cell r="F29">
            <v>141.29999999999998</v>
          </cell>
          <cell r="G29">
            <v>7.5583864118895994</v>
          </cell>
          <cell r="H29">
            <v>1068.0000000000002</v>
          </cell>
          <cell r="I29">
            <v>9</v>
          </cell>
          <cell r="J29">
            <v>1271.6999999999998</v>
          </cell>
          <cell r="M29">
            <v>9</v>
          </cell>
          <cell r="N29">
            <v>1271.6999999999998</v>
          </cell>
          <cell r="O29" t="str">
            <v>Rev01-PL18x1500x6000-1-tờ</v>
          </cell>
        </row>
        <row r="30">
          <cell r="A30" t="str">
            <v>I90-A16</v>
          </cell>
          <cell r="B30" t="str">
            <v>Tôn tấm</v>
          </cell>
          <cell r="C30" t="str">
            <v>PL20x1500x12000</v>
          </cell>
          <cell r="D30" t="str">
            <v>ASTM A36</v>
          </cell>
          <cell r="E30" t="str">
            <v>m2</v>
          </cell>
          <cell r="F30">
            <v>157</v>
          </cell>
          <cell r="G30">
            <v>210.50471337579617</v>
          </cell>
          <cell r="H30">
            <v>33049.24</v>
          </cell>
          <cell r="I30">
            <v>270</v>
          </cell>
          <cell r="J30">
            <v>42390</v>
          </cell>
          <cell r="M30">
            <v>270</v>
          </cell>
          <cell r="N30">
            <v>42390</v>
          </cell>
          <cell r="O30" t="str">
            <v>Rev10-BRADEN-PL20x1500x12000-4tờ</v>
          </cell>
        </row>
        <row r="31">
          <cell r="A31" t="str">
            <v>I90-A17</v>
          </cell>
          <cell r="B31" t="str">
            <v>Tôn tấm</v>
          </cell>
          <cell r="C31" t="str">
            <v>PL25x1500x12000; PL25x2000x5000</v>
          </cell>
          <cell r="D31" t="str">
            <v>ASTM A36</v>
          </cell>
          <cell r="E31" t="str">
            <v>m2</v>
          </cell>
          <cell r="F31">
            <v>196.25</v>
          </cell>
          <cell r="G31">
            <v>70.721732484076426</v>
          </cell>
          <cell r="H31">
            <v>13879.14</v>
          </cell>
          <cell r="I31">
            <v>156</v>
          </cell>
          <cell r="J31">
            <v>30615</v>
          </cell>
          <cell r="M31">
            <v>156</v>
          </cell>
          <cell r="N31">
            <v>30615</v>
          </cell>
          <cell r="O31" t="str">
            <v>Rev18-IBS bổ sung loại khổ 2x12m</v>
          </cell>
        </row>
        <row r="32">
          <cell r="A32" t="str">
            <v>I90-A18</v>
          </cell>
          <cell r="B32" t="str">
            <v>Tôn tấm</v>
          </cell>
          <cell r="C32" t="str">
            <v>PL30x2000x6000</v>
          </cell>
          <cell r="D32" t="str">
            <v>ASTM A36</v>
          </cell>
          <cell r="E32" t="str">
            <v>m2</v>
          </cell>
          <cell r="F32">
            <v>235.5</v>
          </cell>
          <cell r="G32">
            <v>165.28845859872612</v>
          </cell>
          <cell r="H32">
            <v>38925.432000000001</v>
          </cell>
          <cell r="I32">
            <v>156</v>
          </cell>
          <cell r="J32">
            <v>36738</v>
          </cell>
          <cell r="M32">
            <v>156</v>
          </cell>
          <cell r="N32">
            <v>36738</v>
          </cell>
          <cell r="O32" t="str">
            <v>Rev05-BRADEN-PL30x2000x6000-4tờ</v>
          </cell>
        </row>
        <row r="33">
          <cell r="A33" t="str">
            <v>I90-A19</v>
          </cell>
          <cell r="B33" t="str">
            <v>Tôn tấm</v>
          </cell>
          <cell r="C33" t="str">
            <v>PL30x2000x6000; PL30x2000x12000</v>
          </cell>
          <cell r="D33" t="str">
            <v>ASTM A36</v>
          </cell>
          <cell r="E33" t="str">
            <v>m2</v>
          </cell>
          <cell r="F33">
            <v>235.5</v>
          </cell>
          <cell r="I33">
            <v>36</v>
          </cell>
          <cell r="J33">
            <v>8478</v>
          </cell>
          <cell r="M33">
            <v>36</v>
          </cell>
          <cell r="N33">
            <v>8478</v>
          </cell>
          <cell r="O33" t="str">
            <v>Rev07-BRADEN-PL30x2000x12000-1tờ</v>
          </cell>
        </row>
        <row r="34">
          <cell r="A34" t="str">
            <v>I90-A20</v>
          </cell>
          <cell r="B34" t="str">
            <v>Tôn tấm</v>
          </cell>
          <cell r="C34" t="str">
            <v>PL35x2000x6000</v>
          </cell>
          <cell r="D34" t="str">
            <v>ASTM A36</v>
          </cell>
          <cell r="E34" t="str">
            <v>m2</v>
          </cell>
          <cell r="F34">
            <v>274.75</v>
          </cell>
          <cell r="G34">
            <v>68.075632393084632</v>
          </cell>
          <cell r="H34">
            <v>18703.780000000002</v>
          </cell>
          <cell r="I34">
            <v>84</v>
          </cell>
          <cell r="J34">
            <v>23079</v>
          </cell>
          <cell r="M34">
            <v>84</v>
          </cell>
          <cell r="N34">
            <v>23079</v>
          </cell>
          <cell r="O34" t="str">
            <v>Rev05-BRADEN-PL35x2000x6000-4tờ</v>
          </cell>
        </row>
        <row r="35">
          <cell r="A35" t="str">
            <v>I90-A21</v>
          </cell>
          <cell r="B35" t="str">
            <v>Tôn tấm</v>
          </cell>
          <cell r="C35" t="str">
            <v>PL45x2000x4500; PL45x2000x7000</v>
          </cell>
          <cell r="D35" t="str">
            <v>ASTM A36</v>
          </cell>
          <cell r="E35" t="str">
            <v>m2</v>
          </cell>
          <cell r="F35">
            <v>353.25</v>
          </cell>
          <cell r="G35">
            <v>19.575937721160649</v>
          </cell>
          <cell r="H35">
            <v>6915.2</v>
          </cell>
          <cell r="I35">
            <v>23</v>
          </cell>
          <cell r="J35">
            <v>8124.75</v>
          </cell>
          <cell r="M35">
            <v>23</v>
          </cell>
          <cell r="N35">
            <v>8124.75</v>
          </cell>
          <cell r="O35" t="str">
            <v>Rev05-BRADEN-PL50x2000x7000-1tờ</v>
          </cell>
        </row>
        <row r="36">
          <cell r="A36" t="str">
            <v>I90-A22</v>
          </cell>
          <cell r="B36" t="str">
            <v>Tôn tấm</v>
          </cell>
          <cell r="C36" t="str">
            <v>PL50x2000x4600; PL50x2000x7000</v>
          </cell>
          <cell r="D36" t="str">
            <v>ASTM A36</v>
          </cell>
          <cell r="E36" t="str">
            <v>m2</v>
          </cell>
          <cell r="F36">
            <v>392.5</v>
          </cell>
          <cell r="G36">
            <v>18.298089171974521</v>
          </cell>
          <cell r="H36">
            <v>7182</v>
          </cell>
          <cell r="I36">
            <v>23.2</v>
          </cell>
          <cell r="J36">
            <v>9106</v>
          </cell>
          <cell r="M36">
            <v>23.2</v>
          </cell>
          <cell r="N36">
            <v>9106</v>
          </cell>
          <cell r="O36" t="str">
            <v>Rev05-BRADEN-PL50x2000x7000-1tờ: Rev01-PL50x2000x4600-1tờ</v>
          </cell>
        </row>
        <row r="37">
          <cell r="A37" t="str">
            <v>I90-A23</v>
          </cell>
          <cell r="B37" t="str">
            <v>Tôn tấm</v>
          </cell>
          <cell r="C37" t="str">
            <v>PL20x2000x6000</v>
          </cell>
          <cell r="D37" t="str">
            <v>ASTM A572-Gr.50</v>
          </cell>
          <cell r="E37" t="str">
            <v>m2</v>
          </cell>
          <cell r="F37">
            <v>157</v>
          </cell>
          <cell r="G37">
            <v>11.372484076433121</v>
          </cell>
          <cell r="H37">
            <v>1785.48</v>
          </cell>
          <cell r="I37">
            <v>12</v>
          </cell>
          <cell r="J37">
            <v>1884</v>
          </cell>
          <cell r="M37">
            <v>12</v>
          </cell>
          <cell r="N37">
            <v>1884</v>
          </cell>
          <cell r="O37" t="str">
            <v>Rev01-PL20x2000x6000-1-tờ</v>
          </cell>
        </row>
        <row r="38">
          <cell r="A38" t="str">
            <v>I90-A24</v>
          </cell>
          <cell r="B38" t="str">
            <v>Tôn tấm</v>
          </cell>
          <cell r="C38" t="str">
            <v>PL20x2000x800</v>
          </cell>
          <cell r="D38" t="str">
            <v>ASTM A572-Gr.50</v>
          </cell>
          <cell r="E38" t="str">
            <v>m2</v>
          </cell>
          <cell r="F38">
            <v>157</v>
          </cell>
          <cell r="I38">
            <v>1.6</v>
          </cell>
          <cell r="J38">
            <v>251.20000000000002</v>
          </cell>
          <cell r="M38">
            <v>1.6</v>
          </cell>
          <cell r="N38">
            <v>251.20000000000002</v>
          </cell>
          <cell r="O38" t="str">
            <v>Rev01-PL20x2000x800-1-tờ</v>
          </cell>
        </row>
        <row r="39">
          <cell r="A39" t="str">
            <v>I90-A25</v>
          </cell>
          <cell r="B39" t="str">
            <v>Tôn tấm</v>
          </cell>
          <cell r="C39" t="str">
            <v>PL40x2000x2400</v>
          </cell>
          <cell r="D39" t="str">
            <v>ASTM A572-Gr.50</v>
          </cell>
          <cell r="E39" t="str">
            <v>m2</v>
          </cell>
          <cell r="F39">
            <v>314</v>
          </cell>
          <cell r="G39">
            <v>3.9515923566878981</v>
          </cell>
          <cell r="H39">
            <v>1240.8</v>
          </cell>
          <cell r="I39">
            <v>4.8</v>
          </cell>
          <cell r="J39">
            <v>1507.2</v>
          </cell>
          <cell r="M39">
            <v>4.8</v>
          </cell>
          <cell r="N39">
            <v>1507.2</v>
          </cell>
          <cell r="O39" t="str">
            <v>Rev01-PL40x2000x2400-1-tờ</v>
          </cell>
        </row>
        <row r="40">
          <cell r="A40" t="str">
            <v>I90-A26</v>
          </cell>
          <cell r="B40" t="str">
            <v>Thép hình-H</v>
          </cell>
          <cell r="C40" t="str">
            <v>HEA120(H114x120x5x8)-L12000</v>
          </cell>
          <cell r="D40" t="str">
            <v>ASTM A36/ EN-1.0577</v>
          </cell>
          <cell r="E40" t="str">
            <v>m</v>
          </cell>
          <cell r="F40">
            <v>19.899999999999999</v>
          </cell>
          <cell r="G40">
            <v>589.79199999999992</v>
          </cell>
          <cell r="H40">
            <v>11730.32</v>
          </cell>
          <cell r="I40">
            <v>619.28159999999991</v>
          </cell>
          <cell r="J40">
            <v>12323.703839999996</v>
          </cell>
          <cell r="M40">
            <v>619.28159999999991</v>
          </cell>
          <cell r="N40">
            <v>12323.703839999996</v>
          </cell>
          <cell r="O40" t="str">
            <v>Rev01-IBS  bổ sung mới</v>
          </cell>
        </row>
        <row r="41">
          <cell r="A41" t="str">
            <v>I90-A27</v>
          </cell>
          <cell r="B41" t="str">
            <v>Thép hình-H</v>
          </cell>
          <cell r="C41" t="str">
            <v>HEA200(H190x200x6.5x10)-L12000</v>
          </cell>
          <cell r="D41" t="str">
            <v>ASTM A36/ EN-1.0577</v>
          </cell>
          <cell r="E41" t="str">
            <v>m</v>
          </cell>
          <cell r="F41">
            <v>42.3</v>
          </cell>
          <cell r="G41">
            <v>37.188000000000002</v>
          </cell>
          <cell r="H41">
            <v>1571.6999999999998</v>
          </cell>
          <cell r="I41">
            <v>39.020699999999998</v>
          </cell>
          <cell r="J41">
            <v>1650.5756099999996</v>
          </cell>
          <cell r="M41">
            <v>39.020699999999998</v>
          </cell>
          <cell r="N41">
            <v>1650.5756099999996</v>
          </cell>
          <cell r="O41" t="str">
            <v>Rev05-BRADEN-bổ sung 12.0m</v>
          </cell>
        </row>
        <row r="42">
          <cell r="A42" t="str">
            <v>I90-A28</v>
          </cell>
          <cell r="B42" t="str">
            <v>Thép hình-H</v>
          </cell>
          <cell r="C42" t="str">
            <v>HEA340(H330x300x9.5x16.5)-L12000</v>
          </cell>
          <cell r="D42" t="str">
            <v>ASTM A36/ EN-1.0577</v>
          </cell>
          <cell r="E42" t="str">
            <v>m</v>
          </cell>
          <cell r="F42">
            <v>105</v>
          </cell>
          <cell r="G42">
            <v>1444.568</v>
          </cell>
          <cell r="H42">
            <v>150828.14000000001</v>
          </cell>
          <cell r="I42">
            <v>1488</v>
          </cell>
          <cell r="J42">
            <v>156240</v>
          </cell>
          <cell r="M42">
            <v>1488</v>
          </cell>
          <cell r="N42">
            <v>156240</v>
          </cell>
          <cell r="O42" t="str">
            <v>Rev05-BRADEN-bổ sung 540.0m</v>
          </cell>
        </row>
        <row r="43">
          <cell r="A43" t="str">
            <v>I90-A29</v>
          </cell>
          <cell r="B43" t="str">
            <v>Thép hình-H</v>
          </cell>
          <cell r="C43" t="str">
            <v>HEB240(H240x240x10x17)-L3000; HEB240(H240x240x10x17)-L3500</v>
          </cell>
          <cell r="D43" t="str">
            <v>ASTM A36/ EN-1.0577</v>
          </cell>
          <cell r="E43" t="str">
            <v>m</v>
          </cell>
          <cell r="F43">
            <v>83.2</v>
          </cell>
          <cell r="G43">
            <v>5.984</v>
          </cell>
          <cell r="H43">
            <v>371.36</v>
          </cell>
          <cell r="I43">
            <v>6.5</v>
          </cell>
          <cell r="J43">
            <v>540.79999999999995</v>
          </cell>
          <cell r="M43">
            <v>6.5</v>
          </cell>
          <cell r="N43">
            <v>540.79999999999995</v>
          </cell>
          <cell r="O43" t="str">
            <v>Rev05-BRADEN-bổ sung 3.5m</v>
          </cell>
        </row>
        <row r="44">
          <cell r="A44" t="str">
            <v>I90-A30</v>
          </cell>
          <cell r="B44" t="str">
            <v>Thép hình-H</v>
          </cell>
          <cell r="C44" t="str">
            <v>HEB300(H300x300x11x19)-L12000</v>
          </cell>
          <cell r="D44" t="str">
            <v>ASTM A36/ EN-1.0577</v>
          </cell>
          <cell r="E44" t="str">
            <v>m</v>
          </cell>
          <cell r="F44">
            <v>117</v>
          </cell>
          <cell r="G44">
            <v>117.08799999999999</v>
          </cell>
          <cell r="H44">
            <v>11277.08</v>
          </cell>
          <cell r="I44">
            <v>120</v>
          </cell>
          <cell r="J44">
            <v>14040</v>
          </cell>
          <cell r="M44">
            <v>120</v>
          </cell>
          <cell r="N44">
            <v>14040</v>
          </cell>
          <cell r="O44" t="str">
            <v>Rev05-BRADEN-bổ sung 63.75.0m</v>
          </cell>
        </row>
        <row r="45">
          <cell r="A45" t="str">
            <v>I90-A31</v>
          </cell>
          <cell r="B45" t="str">
            <v>Thép hình-H</v>
          </cell>
          <cell r="C45" t="str">
            <v>IPE180(H180x91x5.3x8)-L12000</v>
          </cell>
          <cell r="D45" t="str">
            <v>ASTM A36/ EN-1.0577</v>
          </cell>
          <cell r="E45" t="str">
            <v>m</v>
          </cell>
          <cell r="F45">
            <v>18.8</v>
          </cell>
          <cell r="G45">
            <v>71.511999999999986</v>
          </cell>
          <cell r="H45">
            <v>1264.6399999999999</v>
          </cell>
          <cell r="I45">
            <v>75.087599999999995</v>
          </cell>
          <cell r="J45">
            <v>1411.64688</v>
          </cell>
          <cell r="M45">
            <v>75.087599999999995</v>
          </cell>
          <cell r="N45">
            <v>1411.64688</v>
          </cell>
          <cell r="O45" t="str">
            <v>Rev01-IBS  bổ sung mới</v>
          </cell>
        </row>
        <row r="46">
          <cell r="A46" t="str">
            <v>I90-A32</v>
          </cell>
          <cell r="B46" t="str">
            <v>Thép hình-H</v>
          </cell>
          <cell r="C46" t="str">
            <v>IPE270(H270x135x6.6x10.2)-L12000</v>
          </cell>
          <cell r="D46" t="str">
            <v>ASTM A36/ EN-1.0577</v>
          </cell>
          <cell r="E46" t="str">
            <v>m</v>
          </cell>
          <cell r="F46">
            <v>36.1</v>
          </cell>
          <cell r="G46">
            <v>304.93599999999998</v>
          </cell>
          <cell r="H46">
            <v>10997.960000000001</v>
          </cell>
          <cell r="I46">
            <v>320.18279999999999</v>
          </cell>
          <cell r="J46">
            <v>11558.59908</v>
          </cell>
          <cell r="M46">
            <v>320.18279999999999</v>
          </cell>
          <cell r="N46">
            <v>11558.59908</v>
          </cell>
          <cell r="O46" t="str">
            <v>Rev01-IBS  bổ sung mới</v>
          </cell>
        </row>
        <row r="47">
          <cell r="A47" t="str">
            <v>I90-A33</v>
          </cell>
          <cell r="B47" t="str">
            <v>Thép hình-H</v>
          </cell>
          <cell r="C47" t="str">
            <v>IPE300(H300x150x7.1x10.7)-L12000</v>
          </cell>
          <cell r="D47" t="str">
            <v>ASTM A36/ EN-1.0577</v>
          </cell>
          <cell r="E47" t="str">
            <v>m</v>
          </cell>
          <cell r="F47">
            <v>42.2</v>
          </cell>
          <cell r="G47">
            <v>205.53</v>
          </cell>
          <cell r="H47">
            <v>8285.34</v>
          </cell>
          <cell r="I47">
            <v>215.13539999999998</v>
          </cell>
          <cell r="J47">
            <v>9078.7138799999993</v>
          </cell>
          <cell r="M47">
            <v>215.13539999999998</v>
          </cell>
          <cell r="N47">
            <v>9078.7138799999993</v>
          </cell>
          <cell r="O47" t="str">
            <v>Rev05-BRADEN-bổ sung 102.0m</v>
          </cell>
        </row>
        <row r="48">
          <cell r="A48" t="str">
            <v>I90-A34</v>
          </cell>
          <cell r="B48" t="str">
            <v>Thép hình-H</v>
          </cell>
          <cell r="C48" t="str">
            <v>IPE330(H330x160x7.5x11.5)-L12000</v>
          </cell>
          <cell r="D48" t="str">
            <v>ASTM A36/ EN-1.0577</v>
          </cell>
          <cell r="E48" t="str">
            <v>m</v>
          </cell>
          <cell r="F48">
            <v>49.1</v>
          </cell>
          <cell r="G48">
            <v>469</v>
          </cell>
          <cell r="H48">
            <v>22787.360000000001</v>
          </cell>
          <cell r="I48">
            <v>492</v>
          </cell>
          <cell r="J48">
            <v>24157.200000000001</v>
          </cell>
          <cell r="M48">
            <v>492</v>
          </cell>
          <cell r="N48">
            <v>24157.200000000001</v>
          </cell>
          <cell r="O48" t="str">
            <v>Rev05-BRADEN-bổ sung 288.0m</v>
          </cell>
        </row>
        <row r="49">
          <cell r="A49" t="str">
            <v>I90-A35</v>
          </cell>
          <cell r="B49" t="str">
            <v>Thép hình-C</v>
          </cell>
          <cell r="C49" t="str">
            <v>UNP260(C260x90x10x14)-L12000</v>
          </cell>
          <cell r="D49" t="str">
            <v>ASTM A36/ EN-1.0577</v>
          </cell>
          <cell r="E49" t="str">
            <v>m</v>
          </cell>
          <cell r="F49">
            <v>37.9</v>
          </cell>
          <cell r="G49">
            <v>804.10400000000004</v>
          </cell>
          <cell r="H49">
            <v>30365.739999999998</v>
          </cell>
          <cell r="I49">
            <v>824.79056000000014</v>
          </cell>
          <cell r="J49">
            <v>31259.562224000001</v>
          </cell>
          <cell r="M49">
            <v>824.79056000000014</v>
          </cell>
          <cell r="N49">
            <v>31259.562224000001</v>
          </cell>
          <cell r="O49" t="str">
            <v>Rev05-BRADEN-bổ sung 384.0m</v>
          </cell>
        </row>
        <row r="50">
          <cell r="A50" t="str">
            <v>I90-A36</v>
          </cell>
          <cell r="B50" t="str">
            <v>Thép hình-C</v>
          </cell>
          <cell r="C50" t="str">
            <v>UNP300(C300x100x10x16)-L12000</v>
          </cell>
          <cell r="D50" t="str">
            <v>ASTM A36/ EN-1.0577</v>
          </cell>
          <cell r="E50" t="str">
            <v>m</v>
          </cell>
          <cell r="F50">
            <v>46.2</v>
          </cell>
          <cell r="G50">
            <v>762.10799999999995</v>
          </cell>
          <cell r="H50">
            <v>34474.92</v>
          </cell>
          <cell r="I50">
            <v>780</v>
          </cell>
          <cell r="J50">
            <v>36036</v>
          </cell>
          <cell r="M50">
            <v>780</v>
          </cell>
          <cell r="N50">
            <v>36036</v>
          </cell>
          <cell r="O50" t="str">
            <v>Rev05-BRADEN-bổ sung 480.0m</v>
          </cell>
        </row>
        <row r="51">
          <cell r="A51" t="str">
            <v>I90-A37</v>
          </cell>
          <cell r="B51" t="str">
            <v>Thép hình-C</v>
          </cell>
          <cell r="C51" t="str">
            <v>UPN240(C240x85x9.5x13)-L12000</v>
          </cell>
          <cell r="D51" t="str">
            <v>ASTM A36/ EN-1.0577</v>
          </cell>
          <cell r="E51" t="str">
            <v>m</v>
          </cell>
          <cell r="F51">
            <v>33.200000000000003</v>
          </cell>
          <cell r="G51">
            <v>1108.7919999999999</v>
          </cell>
          <cell r="H51">
            <v>36723.5</v>
          </cell>
          <cell r="I51">
            <v>1140</v>
          </cell>
          <cell r="J51">
            <v>37848.000000000007</v>
          </cell>
          <cell r="M51">
            <v>1140</v>
          </cell>
          <cell r="N51">
            <v>37848.000000000007</v>
          </cell>
          <cell r="O51" t="str">
            <v>Rev05-BRADEN-bổ sung 222.8.0m</v>
          </cell>
        </row>
        <row r="52">
          <cell r="A52" t="str">
            <v>I90-A38</v>
          </cell>
          <cell r="B52" t="str">
            <v>Thép hình-C</v>
          </cell>
          <cell r="C52" t="str">
            <v>UPN80(C80x45x6x8)-L12000</v>
          </cell>
          <cell r="D52" t="str">
            <v>ASTM A36/ EN-1.0577</v>
          </cell>
          <cell r="E52" t="str">
            <v>m</v>
          </cell>
          <cell r="F52">
            <v>8.6</v>
          </cell>
          <cell r="G52">
            <v>110.08000000000001</v>
          </cell>
          <cell r="H52">
            <v>952.32</v>
          </cell>
          <cell r="I52">
            <v>115.58400000000002</v>
          </cell>
          <cell r="J52">
            <v>994.02240000000006</v>
          </cell>
          <cell r="M52">
            <v>115.58400000000002</v>
          </cell>
          <cell r="N52">
            <v>994.02240000000006</v>
          </cell>
          <cell r="O52" t="str">
            <v>Rev01-IBS  bổ sung mới</v>
          </cell>
        </row>
        <row r="53">
          <cell r="A53" t="str">
            <v>I90-A39</v>
          </cell>
          <cell r="B53" t="str">
            <v>Thép hình-T</v>
          </cell>
          <cell r="C53" t="str">
            <v>T100 (tf=tw=11mm)-DIN 1024-L6000</v>
          </cell>
          <cell r="D53" t="str">
            <v>ASTM A36/ EN-1.0038</v>
          </cell>
          <cell r="E53" t="str">
            <v>m</v>
          </cell>
          <cell r="F53">
            <v>16.399999999999999</v>
          </cell>
          <cell r="G53">
            <v>51.68</v>
          </cell>
          <cell r="H53">
            <v>791.80000000000007</v>
          </cell>
          <cell r="I53">
            <v>0</v>
          </cell>
          <cell r="J53">
            <v>0</v>
          </cell>
          <cell r="M53">
            <v>0</v>
          </cell>
          <cell r="N53">
            <v>0</v>
          </cell>
          <cell r="O53" t="str">
            <v>Rev05-BRADEN-đã xin thành tổ hợp từ PL12. Khối lượng tinh không chuyển lên mục PL12</v>
          </cell>
        </row>
        <row r="54">
          <cell r="A54" t="str">
            <v>I90-A40</v>
          </cell>
          <cell r="B54" t="str">
            <v>Thép hình-L</v>
          </cell>
          <cell r="C54" t="str">
            <v>L40x40x5-L6000</v>
          </cell>
          <cell r="D54" t="str">
            <v>ASTM A36/ EN-1.0038</v>
          </cell>
          <cell r="E54" t="str">
            <v>m</v>
          </cell>
          <cell r="F54">
            <v>3</v>
          </cell>
          <cell r="G54">
            <v>28.208000000000002</v>
          </cell>
          <cell r="H54">
            <v>74.98</v>
          </cell>
          <cell r="I54">
            <v>36.122399999999999</v>
          </cell>
          <cell r="J54">
            <v>108.3672</v>
          </cell>
          <cell r="M54">
            <v>36.122399999999999</v>
          </cell>
          <cell r="N54">
            <v>108.3672</v>
          </cell>
          <cell r="O54" t="str">
            <v>Rev10-BRADEN-bổ sung 6.0m</v>
          </cell>
        </row>
        <row r="55">
          <cell r="A55" t="str">
            <v>I90-A41</v>
          </cell>
          <cell r="B55" t="str">
            <v>Thép hình-L</v>
          </cell>
          <cell r="C55" t="str">
            <v>L150x75x10-L2000</v>
          </cell>
          <cell r="D55" t="str">
            <v>ASTM A36/ EN-1.0038</v>
          </cell>
          <cell r="E55" t="str">
            <v>m</v>
          </cell>
          <cell r="F55">
            <v>17</v>
          </cell>
          <cell r="G55">
            <v>2.2999999999999998</v>
          </cell>
          <cell r="H55">
            <v>37.5</v>
          </cell>
          <cell r="I55">
            <v>3</v>
          </cell>
          <cell r="J55">
            <v>51</v>
          </cell>
          <cell r="M55">
            <v>3</v>
          </cell>
          <cell r="N55">
            <v>51</v>
          </cell>
          <cell r="O55" t="str">
            <v>Rev05-BRADEN-bổ sung 1.0m</v>
          </cell>
        </row>
        <row r="56">
          <cell r="A56" t="str">
            <v>I90-A42</v>
          </cell>
          <cell r="B56" t="str">
            <v>Thép hình-L</v>
          </cell>
          <cell r="C56" t="str">
            <v>L100x50x8-L12000</v>
          </cell>
          <cell r="D56" t="str">
            <v>ASTM A36/ EN-1.0038</v>
          </cell>
          <cell r="E56" t="str">
            <v>m</v>
          </cell>
          <cell r="F56">
            <v>9</v>
          </cell>
          <cell r="G56">
            <v>12.92</v>
          </cell>
          <cell r="H56">
            <v>109.6</v>
          </cell>
          <cell r="I56">
            <v>13.566000000000001</v>
          </cell>
          <cell r="J56">
            <v>122.09400000000001</v>
          </cell>
          <cell r="M56">
            <v>13.566000000000001</v>
          </cell>
          <cell r="N56">
            <v>122.09400000000001</v>
          </cell>
          <cell r="O56" t="str">
            <v>Rev01-IBS  bổ sung mới</v>
          </cell>
        </row>
        <row r="57">
          <cell r="A57" t="str">
            <v>I90-A43</v>
          </cell>
          <cell r="B57" t="str">
            <v>Thép hình-H</v>
          </cell>
          <cell r="C57" t="str">
            <v>HEB300(H300x300x11x19)-L12000</v>
          </cell>
          <cell r="D57" t="str">
            <v>ASTM A572-Gr.50/ EN-1.0577</v>
          </cell>
          <cell r="E57" t="str">
            <v>m</v>
          </cell>
          <cell r="F57">
            <v>117</v>
          </cell>
          <cell r="G57">
            <v>118.83600000000003</v>
          </cell>
          <cell r="H57">
            <v>12778.679999999998</v>
          </cell>
          <cell r="I57">
            <v>124.77780000000003</v>
          </cell>
          <cell r="J57">
            <v>14599.002600000003</v>
          </cell>
          <cell r="M57">
            <v>124.77780000000003</v>
          </cell>
          <cell r="N57">
            <v>14599.002600000003</v>
          </cell>
          <cell r="O57" t="str">
            <v>Rev01-IBS  bổ sung mới</v>
          </cell>
        </row>
        <row r="58">
          <cell r="A58" t="str">
            <v>I90-A44</v>
          </cell>
          <cell r="B58" t="str">
            <v>Ống</v>
          </cell>
          <cell r="C58" t="str">
            <v>Pipe D60.3x5.4- DIN EN 10220-1-seamless pipe-L6000</v>
          </cell>
          <cell r="D58" t="str">
            <v>1.0038/A36</v>
          </cell>
          <cell r="E58" t="str">
            <v>m</v>
          </cell>
          <cell r="F58">
            <v>7.5</v>
          </cell>
          <cell r="G58">
            <v>85.116720000000001</v>
          </cell>
          <cell r="H58">
            <v>623.05999999999983</v>
          </cell>
          <cell r="I58">
            <v>90</v>
          </cell>
          <cell r="J58">
            <v>675</v>
          </cell>
          <cell r="M58">
            <v>90</v>
          </cell>
          <cell r="N58">
            <v>675</v>
          </cell>
          <cell r="O58" t="str">
            <v>Rev03-IBS  bổ sung mới</v>
          </cell>
        </row>
        <row r="59">
          <cell r="A59" t="str">
            <v>I90-A45</v>
          </cell>
          <cell r="B59" t="str">
            <v>Ống</v>
          </cell>
          <cell r="C59" t="str">
            <v>Pipe D57x3.2-DIN EN 10220-1-seamless pipe-L2600</v>
          </cell>
          <cell r="D59" t="str">
            <v>1.0577/A36</v>
          </cell>
          <cell r="E59" t="str">
            <v>m</v>
          </cell>
          <cell r="F59">
            <v>4.25</v>
          </cell>
          <cell r="G59">
            <v>2.46</v>
          </cell>
          <cell r="H59">
            <v>10.4</v>
          </cell>
          <cell r="I59">
            <v>2.6</v>
          </cell>
          <cell r="J59">
            <v>11.05</v>
          </cell>
          <cell r="M59">
            <v>2.6</v>
          </cell>
          <cell r="N59">
            <v>11.05</v>
          </cell>
          <cell r="O59" t="str">
            <v>Rev03-IBS  bổ sung mới</v>
          </cell>
        </row>
        <row r="60">
          <cell r="A60" t="str">
            <v>I90-A46</v>
          </cell>
          <cell r="B60" t="str">
            <v>Ống</v>
          </cell>
          <cell r="C60" t="str">
            <v>Pipe D88.9x3.6-DIN 2448-seamless pipe-L4000</v>
          </cell>
          <cell r="D60" t="str">
            <v>1.0038/A36</v>
          </cell>
          <cell r="E60" t="str">
            <v>m</v>
          </cell>
          <cell r="F60">
            <v>7.57</v>
          </cell>
          <cell r="G60">
            <v>1.92</v>
          </cell>
          <cell r="H60">
            <v>14.52</v>
          </cell>
          <cell r="I60">
            <v>4</v>
          </cell>
          <cell r="J60">
            <v>30.28</v>
          </cell>
          <cell r="M60">
            <v>4</v>
          </cell>
          <cell r="N60">
            <v>30.28</v>
          </cell>
          <cell r="O60" t="str">
            <v>Rev03-IBS  bổ sung mới</v>
          </cell>
        </row>
        <row r="61">
          <cell r="A61" t="str">
            <v>I90-A47</v>
          </cell>
          <cell r="B61" t="str">
            <v>Ống</v>
          </cell>
          <cell r="C61" t="str">
            <v>Pipe D101.6x6.3-DIN 2448-seamless pipe-L400</v>
          </cell>
          <cell r="D61" t="str">
            <v>1.0038/A36</v>
          </cell>
          <cell r="E61" t="str">
            <v>m</v>
          </cell>
          <cell r="F61">
            <v>14.8</v>
          </cell>
          <cell r="G61">
            <v>0.28000000000000003</v>
          </cell>
          <cell r="H61">
            <v>3.84</v>
          </cell>
          <cell r="I61">
            <v>0.4</v>
          </cell>
          <cell r="J61">
            <v>5.9200000000000008</v>
          </cell>
          <cell r="M61">
            <v>0.4</v>
          </cell>
          <cell r="N61">
            <v>5.9200000000000008</v>
          </cell>
          <cell r="O61" t="str">
            <v>Rev03-IBS  bổ sung mới</v>
          </cell>
        </row>
        <row r="62">
          <cell r="A62" t="str">
            <v>I90-A48</v>
          </cell>
          <cell r="B62" t="str">
            <v>Ống</v>
          </cell>
          <cell r="C62" t="str">
            <v>Pipe D127x12.5-DIN 2448-seamless pipe-L12000</v>
          </cell>
          <cell r="D62" t="str">
            <v>1.0038/A36</v>
          </cell>
          <cell r="E62" t="str">
            <v>m</v>
          </cell>
          <cell r="F62">
            <v>35.299999999999997</v>
          </cell>
          <cell r="G62">
            <v>24</v>
          </cell>
          <cell r="H62">
            <v>847.2</v>
          </cell>
          <cell r="I62">
            <v>25.8</v>
          </cell>
          <cell r="J62">
            <v>910.74</v>
          </cell>
          <cell r="M62">
            <v>25.8</v>
          </cell>
          <cell r="N62">
            <v>910.74</v>
          </cell>
          <cell r="O62" t="str">
            <v>Rev05-BRADEN-bổ sung 12.8m</v>
          </cell>
        </row>
        <row r="63">
          <cell r="A63" t="str">
            <v>I90-A49</v>
          </cell>
          <cell r="B63" t="str">
            <v>Ống</v>
          </cell>
          <cell r="C63" t="str">
            <v>Pipe D193.7x10-EN 10220-3-seamless pipe-L12000</v>
          </cell>
          <cell r="D63" t="str">
            <v>1.0577/A36</v>
          </cell>
          <cell r="E63" t="str">
            <v>m</v>
          </cell>
          <cell r="F63">
            <v>45.3</v>
          </cell>
          <cell r="G63">
            <v>81.69</v>
          </cell>
          <cell r="H63">
            <v>3700.6800000000003</v>
          </cell>
          <cell r="I63">
            <v>96</v>
          </cell>
          <cell r="J63">
            <v>4348.7999999999993</v>
          </cell>
          <cell r="M63">
            <v>96</v>
          </cell>
          <cell r="N63">
            <v>4348.7999999999993</v>
          </cell>
          <cell r="O63" t="str">
            <v>Rev03-IBS  bổ sung mới</v>
          </cell>
        </row>
        <row r="64">
          <cell r="A64" t="str">
            <v>I90-A50</v>
          </cell>
          <cell r="B64" t="str">
            <v>Thép tròn</v>
          </cell>
          <cell r="C64" t="str">
            <v>RB10-L3000</v>
          </cell>
          <cell r="D64" t="str">
            <v>1.0577/A36</v>
          </cell>
          <cell r="E64" t="str">
            <v>m</v>
          </cell>
          <cell r="F64">
            <v>0.61728395061728392</v>
          </cell>
          <cell r="G64">
            <v>29.240000000000002</v>
          </cell>
          <cell r="H64">
            <v>15.56</v>
          </cell>
          <cell r="I64">
            <v>39</v>
          </cell>
          <cell r="J64">
            <v>24.074074074074076</v>
          </cell>
          <cell r="M64">
            <v>39</v>
          </cell>
          <cell r="N64">
            <v>24.074074074074076</v>
          </cell>
          <cell r="O64" t="str">
            <v>Rev05-BRADEN-bổ sung 30.0m</v>
          </cell>
        </row>
        <row r="65">
          <cell r="A65" t="str">
            <v>I90-A51</v>
          </cell>
          <cell r="B65" t="str">
            <v>Thép tròn</v>
          </cell>
          <cell r="C65" t="str">
            <v>RB12-L6000</v>
          </cell>
          <cell r="D65" t="str">
            <v>1.0577/A36</v>
          </cell>
          <cell r="E65" t="str">
            <v>m</v>
          </cell>
          <cell r="F65">
            <v>0.88888888888888884</v>
          </cell>
          <cell r="G65">
            <v>26.52</v>
          </cell>
          <cell r="H65">
            <v>21.38</v>
          </cell>
          <cell r="I65">
            <v>48</v>
          </cell>
          <cell r="J65">
            <v>42.666666666666664</v>
          </cell>
          <cell r="M65">
            <v>48</v>
          </cell>
          <cell r="N65">
            <v>42.666666666666664</v>
          </cell>
          <cell r="O65" t="str">
            <v>Rev24-BRADEN-bổ sung 18.0m</v>
          </cell>
        </row>
        <row r="66">
          <cell r="A66" t="str">
            <v>I90-A52</v>
          </cell>
          <cell r="B66" t="str">
            <v>Thép tròn</v>
          </cell>
          <cell r="C66" t="str">
            <v>RB30-L1100</v>
          </cell>
          <cell r="D66" t="str">
            <v>1.0577/A36</v>
          </cell>
          <cell r="E66" t="str">
            <v>m</v>
          </cell>
          <cell r="F66">
            <v>5.5555555555555554</v>
          </cell>
          <cell r="G66">
            <v>0.9</v>
          </cell>
          <cell r="H66">
            <v>5</v>
          </cell>
          <cell r="I66">
            <v>1.1000000000000001</v>
          </cell>
          <cell r="J66">
            <v>6.1111111111111116</v>
          </cell>
          <cell r="M66">
            <v>1.1000000000000001</v>
          </cell>
          <cell r="N66">
            <v>6.1111111111111116</v>
          </cell>
          <cell r="O66" t="str">
            <v>Rev03-IBS  bổ sung mới</v>
          </cell>
        </row>
        <row r="67">
          <cell r="A67" t="str">
            <v>I90-A53</v>
          </cell>
          <cell r="B67" t="str">
            <v>Thép tròn</v>
          </cell>
          <cell r="C67" t="str">
            <v>RB40-L6000</v>
          </cell>
          <cell r="D67" t="str">
            <v>1.0577/A36</v>
          </cell>
          <cell r="E67" t="str">
            <v>m</v>
          </cell>
          <cell r="F67">
            <v>9.8765432098765427</v>
          </cell>
          <cell r="G67">
            <v>11.999999999999998</v>
          </cell>
          <cell r="H67">
            <v>116.99999999999999</v>
          </cell>
          <cell r="I67">
            <v>13.200000000000001</v>
          </cell>
          <cell r="J67">
            <v>130.37037037037038</v>
          </cell>
          <cell r="M67">
            <v>13.200000000000001</v>
          </cell>
          <cell r="N67">
            <v>130.37037037037038</v>
          </cell>
          <cell r="O67" t="str">
            <v>Rev03-IBS  bổ sung mới</v>
          </cell>
        </row>
        <row r="68">
          <cell r="A68" t="str">
            <v>I90-A54</v>
          </cell>
          <cell r="B68" t="str">
            <v>Thép tròn</v>
          </cell>
          <cell r="C68" t="str">
            <v>RB80-L4000</v>
          </cell>
          <cell r="D68" t="str">
            <v>1.0577/A36</v>
          </cell>
          <cell r="E68" t="str">
            <v>m</v>
          </cell>
          <cell r="F68">
            <v>39.506172839506171</v>
          </cell>
          <cell r="G68">
            <v>2.9999999999999996</v>
          </cell>
          <cell r="H68">
            <v>81</v>
          </cell>
          <cell r="I68">
            <v>4</v>
          </cell>
          <cell r="J68">
            <v>158.02469135802468</v>
          </cell>
          <cell r="M68">
            <v>4</v>
          </cell>
          <cell r="N68">
            <v>158.02469135802468</v>
          </cell>
          <cell r="O68" t="str">
            <v>Rev03-IBS  bổ sung mới</v>
          </cell>
        </row>
        <row r="69">
          <cell r="A69" t="str">
            <v>I90-A55</v>
          </cell>
          <cell r="B69" t="str">
            <v>Thép tròn</v>
          </cell>
          <cell r="C69" t="str">
            <v>RB100-L1100</v>
          </cell>
          <cell r="D69" t="str">
            <v>1.0577/A36</v>
          </cell>
          <cell r="E69" t="str">
            <v>m</v>
          </cell>
          <cell r="F69">
            <v>61.728395061728392</v>
          </cell>
          <cell r="G69">
            <v>0.8</v>
          </cell>
          <cell r="H69">
            <v>20</v>
          </cell>
          <cell r="I69">
            <v>1.1000000000000001</v>
          </cell>
          <cell r="J69">
            <v>67.901234567901241</v>
          </cell>
          <cell r="M69">
            <v>1.1000000000000001</v>
          </cell>
          <cell r="N69">
            <v>67.901234567901241</v>
          </cell>
          <cell r="O69" t="str">
            <v>Rev03-IBS  bổ sung mới</v>
          </cell>
        </row>
        <row r="70">
          <cell r="A70" t="str">
            <v>I90-A56</v>
          </cell>
          <cell r="B70" t="str">
            <v>Thép tròn</v>
          </cell>
          <cell r="C70" t="str">
            <v>RB520-L6000</v>
          </cell>
          <cell r="D70" t="str">
            <v>1.0570/A36</v>
          </cell>
          <cell r="E70" t="str">
            <v>m</v>
          </cell>
          <cell r="F70">
            <v>1667.12</v>
          </cell>
          <cell r="G70">
            <v>12</v>
          </cell>
          <cell r="H70">
            <v>9297.5999999999985</v>
          </cell>
          <cell r="I70">
            <v>13.32</v>
          </cell>
          <cell r="J70">
            <v>22206.038399999998</v>
          </cell>
          <cell r="M70">
            <v>13.32</v>
          </cell>
          <cell r="N70">
            <v>22206.038399999998</v>
          </cell>
          <cell r="O70" t="str">
            <v>Rev03-IBS  bổ sung mới. Chú ý loại này. Tổng có 20pcs. Chiều dài mỗi chi tiết sau gia công L600mm.</v>
          </cell>
        </row>
        <row r="71">
          <cell r="A71" t="str">
            <v>I90-A57</v>
          </cell>
          <cell r="B71" t="str">
            <v>Elbow</v>
          </cell>
          <cell r="C71" t="str">
            <v>Elbow 90 Deg Type 3 D60.3 - 4.5S -DIN EN 10253</v>
          </cell>
          <cell r="D71" t="str">
            <v>1.0255</v>
          </cell>
          <cell r="E71" t="str">
            <v>pcs</v>
          </cell>
          <cell r="F71">
            <v>0.73925925925925928</v>
          </cell>
          <cell r="G71">
            <v>54</v>
          </cell>
          <cell r="H71">
            <v>39.92</v>
          </cell>
          <cell r="I71">
            <v>54</v>
          </cell>
          <cell r="J71">
            <v>39.92</v>
          </cell>
          <cell r="M71">
            <v>54</v>
          </cell>
          <cell r="N71">
            <v>39.92</v>
          </cell>
          <cell r="O71" t="str">
            <v>Rev03-IBS  bổ sung mới</v>
          </cell>
        </row>
        <row r="72">
          <cell r="A72" t="str">
            <v>I90-A58</v>
          </cell>
          <cell r="B72" t="str">
            <v>Tee thép</v>
          </cell>
          <cell r="C72" t="str">
            <v xml:space="preserve"> Tee D60.3 x 4 S-DIN EN 10253</v>
          </cell>
          <cell r="D72" t="str">
            <v>1.0255</v>
          </cell>
          <cell r="E72" t="str">
            <v>pcs</v>
          </cell>
          <cell r="F72">
            <v>0.97</v>
          </cell>
          <cell r="G72">
            <v>10</v>
          </cell>
          <cell r="H72">
            <v>9.6999999999999993</v>
          </cell>
          <cell r="I72">
            <v>10</v>
          </cell>
          <cell r="J72">
            <v>9.6999999999999993</v>
          </cell>
          <cell r="M72">
            <v>10</v>
          </cell>
          <cell r="N72">
            <v>9.6999999999999993</v>
          </cell>
          <cell r="O72" t="str">
            <v>Rev03-IBS  bổ sung mới</v>
          </cell>
        </row>
        <row r="73">
          <cell r="A73" t="str">
            <v>I90-A59</v>
          </cell>
          <cell r="B73" t="str">
            <v>Thép hình-H</v>
          </cell>
          <cell r="C73" t="str">
            <v>HEB200(H200x200x9x15)-L12000</v>
          </cell>
          <cell r="D73" t="str">
            <v>1.0577/A36</v>
          </cell>
          <cell r="E73" t="str">
            <v>m</v>
          </cell>
          <cell r="F73">
            <v>61.3</v>
          </cell>
          <cell r="G73">
            <v>16</v>
          </cell>
          <cell r="H73">
            <v>980.79999999999973</v>
          </cell>
          <cell r="I73">
            <v>18</v>
          </cell>
          <cell r="J73">
            <v>1103.3999999999999</v>
          </cell>
          <cell r="M73">
            <v>18</v>
          </cell>
          <cell r="N73">
            <v>1103.3999999999999</v>
          </cell>
          <cell r="O73" t="str">
            <v>Rev04-IBS  bổ sung mới</v>
          </cell>
        </row>
        <row r="74">
          <cell r="A74" t="str">
            <v>I90-A60</v>
          </cell>
          <cell r="B74" t="str">
            <v>Thép hình-C</v>
          </cell>
          <cell r="C74" t="str">
            <v>UNP140(C140x60x7x10)-L12000</v>
          </cell>
          <cell r="D74" t="str">
            <v>1.0577/A36</v>
          </cell>
          <cell r="E74" t="str">
            <v>m</v>
          </cell>
          <cell r="F74">
            <v>16</v>
          </cell>
          <cell r="G74">
            <v>1023.9488</v>
          </cell>
          <cell r="H74">
            <v>16135.22</v>
          </cell>
          <cell r="I74">
            <v>1044</v>
          </cell>
          <cell r="J74">
            <v>16704</v>
          </cell>
          <cell r="M74">
            <v>1044</v>
          </cell>
          <cell r="N74">
            <v>16704</v>
          </cell>
          <cell r="O74" t="str">
            <v>Rev07-BRADEN-bổ sung 300.0m</v>
          </cell>
        </row>
        <row r="75">
          <cell r="A75" t="str">
            <v>I90-A61</v>
          </cell>
          <cell r="B75" t="str">
            <v>Thép hình-C</v>
          </cell>
          <cell r="C75" t="str">
            <v>UNP200(C200x75x8.5x11.5)-L12000</v>
          </cell>
          <cell r="D75" t="str">
            <v>1.0577/A36</v>
          </cell>
          <cell r="E75" t="str">
            <v>m</v>
          </cell>
          <cell r="F75">
            <v>25.3</v>
          </cell>
          <cell r="G75">
            <v>1267.9995799999999</v>
          </cell>
          <cell r="H75">
            <v>31259.18</v>
          </cell>
          <cell r="I75">
            <v>1332</v>
          </cell>
          <cell r="J75">
            <v>33699.599999999999</v>
          </cell>
          <cell r="M75">
            <v>1332</v>
          </cell>
          <cell r="N75">
            <v>33699.599999999999</v>
          </cell>
          <cell r="O75" t="str">
            <v>Rev07-BRADEN-bổ sung 144.0m</v>
          </cell>
        </row>
        <row r="76">
          <cell r="A76" t="str">
            <v>I90-A62</v>
          </cell>
          <cell r="B76" t="str">
            <v>Ống</v>
          </cell>
          <cell r="C76" t="str">
            <v>Pipe D127x10-DIN 2448-seamless pipe-L12000</v>
          </cell>
          <cell r="D76" t="str">
            <v>1.0577</v>
          </cell>
          <cell r="E76" t="str">
            <v>m</v>
          </cell>
          <cell r="F76">
            <v>28.9</v>
          </cell>
          <cell r="G76">
            <v>286.39457999999996</v>
          </cell>
          <cell r="H76">
            <v>7512.62</v>
          </cell>
          <cell r="I76">
            <v>324</v>
          </cell>
          <cell r="J76">
            <v>9363.6</v>
          </cell>
          <cell r="M76">
            <v>324</v>
          </cell>
          <cell r="N76">
            <v>9363.6</v>
          </cell>
          <cell r="O76" t="str">
            <v>Rev05-BRADEN-bổ sung 24m. Vì loại này không được nối ống</v>
          </cell>
        </row>
        <row r="77">
          <cell r="A77" t="str">
            <v>I90-A63</v>
          </cell>
          <cell r="B77" t="str">
            <v>Ống</v>
          </cell>
          <cell r="C77" t="str">
            <v>Pipe D219.1x10-DIN 2448-seamless pipe-L12000</v>
          </cell>
          <cell r="D77" t="str">
            <v>1.0577</v>
          </cell>
          <cell r="E77" t="str">
            <v>m</v>
          </cell>
          <cell r="F77">
            <v>51.6</v>
          </cell>
          <cell r="G77">
            <v>298.536</v>
          </cell>
          <cell r="H77">
            <v>15394.619999999999</v>
          </cell>
          <cell r="I77">
            <v>312</v>
          </cell>
          <cell r="J77">
            <v>16099.2</v>
          </cell>
          <cell r="M77">
            <v>312</v>
          </cell>
          <cell r="N77">
            <v>16099.2</v>
          </cell>
          <cell r="O77" t="str">
            <v>Rev04-IBS  bổ sung mới</v>
          </cell>
        </row>
        <row r="78">
          <cell r="A78" t="str">
            <v>I90-A64</v>
          </cell>
          <cell r="B78" t="str">
            <v>Thép hình-H</v>
          </cell>
          <cell r="C78" t="str">
            <v>IPE200(H200x100x5.6x8.5)-L12000</v>
          </cell>
          <cell r="D78" t="str">
            <v>1.0577/A36</v>
          </cell>
          <cell r="E78" t="str">
            <v>m</v>
          </cell>
          <cell r="F78">
            <v>22.4</v>
          </cell>
          <cell r="G78">
            <v>300.57400000000001</v>
          </cell>
          <cell r="H78">
            <v>6360</v>
          </cell>
          <cell r="I78">
            <v>324</v>
          </cell>
          <cell r="J78">
            <v>7257.5999999999995</v>
          </cell>
          <cell r="M78">
            <v>324</v>
          </cell>
          <cell r="N78">
            <v>7257.5999999999995</v>
          </cell>
          <cell r="O78" t="str">
            <v>Rev06-BRADEN-bổ sung 36.0m</v>
          </cell>
        </row>
        <row r="79">
          <cell r="A79" t="str">
            <v>I90-A65</v>
          </cell>
          <cell r="B79" t="str">
            <v>Thép hình-H</v>
          </cell>
          <cell r="C79" t="str">
            <v>IPE240(H240x120x6.2x9.8)-L8000</v>
          </cell>
          <cell r="D79" t="str">
            <v>1.0577/A36</v>
          </cell>
          <cell r="E79" t="str">
            <v>m</v>
          </cell>
          <cell r="F79">
            <v>30.7</v>
          </cell>
          <cell r="G79">
            <v>7.452</v>
          </cell>
          <cell r="H79">
            <v>205.38</v>
          </cell>
          <cell r="I79">
            <v>8</v>
          </cell>
          <cell r="J79">
            <v>245.6</v>
          </cell>
          <cell r="M79">
            <v>8</v>
          </cell>
          <cell r="N79">
            <v>245.6</v>
          </cell>
          <cell r="O79" t="str">
            <v>Rev05-BRADEN-bổ sung 8.0m</v>
          </cell>
        </row>
        <row r="80">
          <cell r="A80" t="str">
            <v>I90-A66</v>
          </cell>
          <cell r="B80" t="str">
            <v>Thép hình-L</v>
          </cell>
          <cell r="C80" t="str">
            <v>L100x100x8-L12000</v>
          </cell>
          <cell r="D80" t="str">
            <v>1.0577/A36</v>
          </cell>
          <cell r="E80" t="str">
            <v>m</v>
          </cell>
          <cell r="F80">
            <v>12.2</v>
          </cell>
          <cell r="G80">
            <v>89.100000000000009</v>
          </cell>
          <cell r="H80">
            <v>1036.9000000000001</v>
          </cell>
          <cell r="I80">
            <v>96</v>
          </cell>
          <cell r="J80">
            <v>1171.1999999999998</v>
          </cell>
          <cell r="M80">
            <v>96</v>
          </cell>
          <cell r="N80">
            <v>1171.1999999999998</v>
          </cell>
          <cell r="O80" t="str">
            <v>Rev10-BRADEN-bổ sung 12.0m</v>
          </cell>
        </row>
        <row r="81">
          <cell r="A81" t="str">
            <v>I90-A67</v>
          </cell>
          <cell r="B81" t="str">
            <v>Ống</v>
          </cell>
          <cell r="C81" t="str">
            <v>Pipe D29.6x2.9-L1000</v>
          </cell>
          <cell r="D81" t="str">
            <v>1.0577/A36</v>
          </cell>
          <cell r="E81" t="str">
            <v>m</v>
          </cell>
          <cell r="F81">
            <v>1.72</v>
          </cell>
          <cell r="G81">
            <v>0.56000000000000005</v>
          </cell>
          <cell r="H81">
            <v>1</v>
          </cell>
          <cell r="I81">
            <v>1</v>
          </cell>
          <cell r="J81">
            <v>1.72</v>
          </cell>
          <cell r="M81">
            <v>1</v>
          </cell>
          <cell r="N81">
            <v>1.72</v>
          </cell>
          <cell r="O81" t="str">
            <v>Rev05-BRADEN-bổ sung 1.0m</v>
          </cell>
        </row>
        <row r="82">
          <cell r="A82" t="str">
            <v>I90-A68</v>
          </cell>
          <cell r="B82" t="str">
            <v>Ống</v>
          </cell>
          <cell r="C82" t="str">
            <v>Pipe D48.3x3.2-L6000</v>
          </cell>
          <cell r="D82" t="str">
            <v>1.0577/A36</v>
          </cell>
          <cell r="E82" t="str">
            <v>m</v>
          </cell>
          <cell r="F82">
            <v>3.56</v>
          </cell>
          <cell r="G82">
            <v>42.599999999999994</v>
          </cell>
          <cell r="H82">
            <v>148.9</v>
          </cell>
          <cell r="I82">
            <v>48</v>
          </cell>
          <cell r="J82">
            <v>170.88</v>
          </cell>
          <cell r="M82">
            <v>48</v>
          </cell>
          <cell r="N82">
            <v>170.88</v>
          </cell>
          <cell r="O82" t="str">
            <v>Rev05-BRADEN-bổ sung 48.0m</v>
          </cell>
        </row>
        <row r="83">
          <cell r="A83" t="str">
            <v>I90-A69</v>
          </cell>
          <cell r="B83" t="str">
            <v>Ống</v>
          </cell>
          <cell r="C83" t="str">
            <v>Pipe D114.3x6.3-L8000;Pipe D114.3x6.3-L2500</v>
          </cell>
          <cell r="D83" t="str">
            <v>1.0038/A36</v>
          </cell>
          <cell r="E83" t="str">
            <v>m</v>
          </cell>
          <cell r="F83">
            <v>16.8</v>
          </cell>
          <cell r="G83">
            <v>8.48</v>
          </cell>
          <cell r="H83">
            <v>84.52</v>
          </cell>
          <cell r="I83">
            <v>10.5</v>
          </cell>
          <cell r="J83">
            <v>176.4</v>
          </cell>
          <cell r="M83">
            <v>10.5</v>
          </cell>
          <cell r="N83">
            <v>176.4</v>
          </cell>
          <cell r="O83" t="str">
            <v>Rev07-BRADEN-bổ sung 2.5m</v>
          </cell>
        </row>
        <row r="84">
          <cell r="A84" t="str">
            <v>I90-A70</v>
          </cell>
          <cell r="B84" t="str">
            <v>Ống</v>
          </cell>
          <cell r="C84" t="str">
            <v>Pipe D219.1x6.3 -L2400</v>
          </cell>
          <cell r="D84" t="str">
            <v>1.0577/A36</v>
          </cell>
          <cell r="E84" t="str">
            <v>m</v>
          </cell>
          <cell r="F84">
            <v>33.1</v>
          </cell>
          <cell r="G84">
            <v>2.2000000000000002</v>
          </cell>
          <cell r="H84">
            <v>72.8</v>
          </cell>
          <cell r="I84">
            <v>2.4</v>
          </cell>
          <cell r="J84">
            <v>79.44</v>
          </cell>
          <cell r="M84">
            <v>2.4</v>
          </cell>
          <cell r="N84">
            <v>79.44</v>
          </cell>
          <cell r="O84" t="str">
            <v>Rev05-BRADEN-bổ sung 2.4m</v>
          </cell>
        </row>
        <row r="85">
          <cell r="A85" t="str">
            <v>I90-A71</v>
          </cell>
          <cell r="B85" t="str">
            <v>Ống</v>
          </cell>
          <cell r="C85" t="str">
            <v>Pipe D559x32.54-L6000</v>
          </cell>
          <cell r="D85" t="str">
            <v>1.0038/A36</v>
          </cell>
          <cell r="E85" t="str">
            <v>m</v>
          </cell>
          <cell r="F85">
            <v>422.45</v>
          </cell>
          <cell r="G85">
            <v>5.12</v>
          </cell>
          <cell r="H85">
            <v>1080</v>
          </cell>
          <cell r="I85">
            <v>6</v>
          </cell>
          <cell r="J85">
            <v>2534.6999999999998</v>
          </cell>
          <cell r="M85">
            <v>6</v>
          </cell>
          <cell r="N85">
            <v>2534.6999999999998</v>
          </cell>
          <cell r="O85" t="str">
            <v>Rev05-BRADEN-bổ sung 6.0m</v>
          </cell>
        </row>
        <row r="86">
          <cell r="A86" t="str">
            <v>I90-A72</v>
          </cell>
          <cell r="B86" t="str">
            <v>Thép hình-H</v>
          </cell>
          <cell r="C86" t="str">
            <v>HEB140(H140x140x7x12)-L12000</v>
          </cell>
          <cell r="D86" t="str">
            <v>1.0038/A36</v>
          </cell>
          <cell r="E86" t="str">
            <v>m</v>
          </cell>
          <cell r="F86">
            <v>33.700000000000003</v>
          </cell>
          <cell r="G86">
            <v>24.63</v>
          </cell>
          <cell r="H86">
            <v>804.78</v>
          </cell>
          <cell r="I86">
            <v>25.200000000000003</v>
          </cell>
          <cell r="J86">
            <v>849.24000000000012</v>
          </cell>
          <cell r="M86">
            <v>25.200000000000003</v>
          </cell>
          <cell r="N86">
            <v>849.24000000000012</v>
          </cell>
          <cell r="O86" t="str">
            <v>Rev06-BRADEN-bổ sung 25.2m</v>
          </cell>
        </row>
        <row r="87">
          <cell r="A87" t="str">
            <v>I90-A73</v>
          </cell>
          <cell r="B87" t="str">
            <v>Thép hình-C</v>
          </cell>
          <cell r="C87" t="str">
            <v>UPN160(C160x65x7.5x10.5)-L12000</v>
          </cell>
          <cell r="D87" t="str">
            <v>1.0038/A36</v>
          </cell>
          <cell r="E87" t="str">
            <v>m</v>
          </cell>
          <cell r="F87">
            <v>18.8</v>
          </cell>
          <cell r="G87">
            <v>120.03398</v>
          </cell>
          <cell r="H87">
            <v>2181.8799999999997</v>
          </cell>
          <cell r="I87">
            <v>132</v>
          </cell>
          <cell r="J87">
            <v>2481.6</v>
          </cell>
          <cell r="M87">
            <v>132</v>
          </cell>
          <cell r="N87">
            <v>2481.6</v>
          </cell>
          <cell r="O87" t="str">
            <v>Rev06-BRADEN-bổ sung 132.0m</v>
          </cell>
        </row>
        <row r="88">
          <cell r="A88" t="str">
            <v>I90-A74</v>
          </cell>
          <cell r="B88" t="str">
            <v>Thép hình-L</v>
          </cell>
          <cell r="C88" t="str">
            <v>L50x50x5-L6000</v>
          </cell>
          <cell r="D88" t="str">
            <v>1.0038/A36</v>
          </cell>
          <cell r="E88" t="str">
            <v>m</v>
          </cell>
          <cell r="F88">
            <v>3.8</v>
          </cell>
          <cell r="G88">
            <v>667.83298000000002</v>
          </cell>
          <cell r="H88">
            <v>2432.44</v>
          </cell>
          <cell r="I88">
            <v>702</v>
          </cell>
          <cell r="J88">
            <v>2667.6</v>
          </cell>
          <cell r="M88">
            <v>702</v>
          </cell>
          <cell r="N88">
            <v>2667.6</v>
          </cell>
          <cell r="O88" t="str">
            <v>Rev07-BRADEN-bổ sung 78.0m</v>
          </cell>
        </row>
        <row r="89">
          <cell r="A89" t="str">
            <v>I90-A75</v>
          </cell>
          <cell r="B89" t="str">
            <v>Thép tròn</v>
          </cell>
          <cell r="C89" t="str">
            <v>RB20-L6000</v>
          </cell>
          <cell r="D89" t="str">
            <v>1.0038/A36</v>
          </cell>
          <cell r="E89" t="str">
            <v>m</v>
          </cell>
          <cell r="F89">
            <v>0.61728395061728392</v>
          </cell>
          <cell r="G89">
            <v>427.84951999999998</v>
          </cell>
          <cell r="H89">
            <v>1056.8</v>
          </cell>
          <cell r="I89">
            <v>444</v>
          </cell>
          <cell r="J89">
            <v>274.07407407407408</v>
          </cell>
          <cell r="M89">
            <v>444</v>
          </cell>
          <cell r="N89">
            <v>274.07407407407408</v>
          </cell>
          <cell r="O89" t="str">
            <v>Rev07-BRADEN-bổ sung 132.0m</v>
          </cell>
        </row>
        <row r="90">
          <cell r="A90" t="str">
            <v>I90-A76</v>
          </cell>
          <cell r="B90" t="str">
            <v>Thép hình-C</v>
          </cell>
          <cell r="C90" t="str">
            <v>C41.3x25.4x2.7x7-gal'v steel-L9900</v>
          </cell>
          <cell r="D90" t="str">
            <v>1.0038/A36</v>
          </cell>
          <cell r="E90" t="str">
            <v>m</v>
          </cell>
          <cell r="F90">
            <v>2.1497877501516069</v>
          </cell>
          <cell r="G90">
            <v>79.152000000000001</v>
          </cell>
          <cell r="H90">
            <v>170.16</v>
          </cell>
          <cell r="I90">
            <v>0</v>
          </cell>
          <cell r="J90">
            <v>0</v>
          </cell>
          <cell r="M90">
            <v>0</v>
          </cell>
          <cell r="N90">
            <v>0</v>
          </cell>
          <cell r="O90" t="str">
            <v>Rev07-BRADEN-bỏ đi không dùng đến</v>
          </cell>
        </row>
        <row r="91">
          <cell r="A91" t="str">
            <v>I90-A77</v>
          </cell>
          <cell r="B91" t="str">
            <v>Bậc thang đứng</v>
          </cell>
          <cell r="C91" t="str">
            <v>GRIP STRUT LADDER RUNGS ( LG1 ) 457x76.2x28.6-thickness 2mm</v>
          </cell>
          <cell r="D91" t="str">
            <v>1.0038/A36</v>
          </cell>
          <cell r="E91" t="str">
            <v>pcs</v>
          </cell>
          <cell r="F91">
            <v>0.83179999999999998</v>
          </cell>
          <cell r="G91">
            <v>114</v>
          </cell>
          <cell r="H91">
            <v>94.825199999999995</v>
          </cell>
          <cell r="I91">
            <v>114</v>
          </cell>
          <cell r="J91">
            <v>94.825199999999995</v>
          </cell>
          <cell r="M91">
            <v>114</v>
          </cell>
          <cell r="N91">
            <v>94.825199999999995</v>
          </cell>
          <cell r="O91" t="str">
            <v>Rev06-BRADEN-bổ sung 6.0m. Chi tiết về loại ladder rung sẽ được gửi sau</v>
          </cell>
        </row>
        <row r="92">
          <cell r="A92" t="str">
            <v>I90-A78</v>
          </cell>
          <cell r="B92" t="str">
            <v>Bulong móng</v>
          </cell>
          <cell r="C92" t="str">
            <v>Anchor Bolt - FBN II 16/140-Hot-dip gal'v</v>
          </cell>
          <cell r="D92" t="str">
            <v>Steel</v>
          </cell>
          <cell r="E92" t="str">
            <v>sets</v>
          </cell>
          <cell r="F92">
            <v>0.24</v>
          </cell>
          <cell r="G92">
            <v>72</v>
          </cell>
          <cell r="H92">
            <v>17.279999999999998</v>
          </cell>
          <cell r="I92">
            <v>72</v>
          </cell>
          <cell r="J92">
            <v>17.28</v>
          </cell>
          <cell r="M92">
            <v>72</v>
          </cell>
          <cell r="N92">
            <v>17.28</v>
          </cell>
          <cell r="O92" t="str">
            <v>Rev06-BRADEN-bổ sung 6.0m</v>
          </cell>
        </row>
        <row r="93">
          <cell r="A93" t="str">
            <v>I90-A79</v>
          </cell>
          <cell r="B93" t="str">
            <v>Tôn tấm</v>
          </cell>
          <cell r="C93" t="str">
            <v>PL6x1500X12000; PL6x2000X9000;  PL6x2000X12000</v>
          </cell>
          <cell r="D93" t="str">
            <v>1.5415(16Mo3)</v>
          </cell>
          <cell r="E93" t="str">
            <v>m2</v>
          </cell>
          <cell r="F93">
            <v>47.1</v>
          </cell>
          <cell r="G93">
            <v>195.56263269639066</v>
          </cell>
          <cell r="H93">
            <v>9211</v>
          </cell>
          <cell r="I93">
            <v>219</v>
          </cell>
          <cell r="J93">
            <v>10314.9</v>
          </cell>
          <cell r="M93">
            <v>219</v>
          </cell>
          <cell r="N93">
            <v>10314.9</v>
          </cell>
          <cell r="O93" t="str">
            <v>Rev09-BRADEN-bổ sung PL6x2000X9000-1 tờ, PL6x2000X12000-5 tờ</v>
          </cell>
        </row>
        <row r="94">
          <cell r="A94" t="str">
            <v>I90-A79A</v>
          </cell>
          <cell r="B94" t="str">
            <v>Tôn tấm</v>
          </cell>
          <cell r="C94" t="str">
            <v>PL10x2000X2450</v>
          </cell>
          <cell r="D94" t="str">
            <v>1.5415(16Mo3)</v>
          </cell>
          <cell r="E94" t="str">
            <v>m2</v>
          </cell>
          <cell r="F94">
            <v>78.5</v>
          </cell>
          <cell r="G94">
            <v>0.94522292993630574</v>
          </cell>
          <cell r="H94">
            <v>74.2</v>
          </cell>
          <cell r="I94">
            <v>4.9000000000000004</v>
          </cell>
          <cell r="J94">
            <v>384.65000000000003</v>
          </cell>
          <cell r="M94">
            <v>4.9000000000000004</v>
          </cell>
          <cell r="N94">
            <v>384.65000000000003</v>
          </cell>
          <cell r="O94" t="str">
            <v>Rev09-BRADEN-bổ sung PL10x2000X2450-1 tờ</v>
          </cell>
        </row>
        <row r="95">
          <cell r="A95" t="str">
            <v>I90-A80</v>
          </cell>
          <cell r="B95" t="str">
            <v>Ống</v>
          </cell>
          <cell r="C95" t="str">
            <v>Pipe D114.3x10-DIN 2448-seamless pipe-L12000</v>
          </cell>
          <cell r="D95" t="str">
            <v>1.0038/A36</v>
          </cell>
          <cell r="E95" t="str">
            <v>m</v>
          </cell>
          <cell r="F95">
            <v>25.753086419753085</v>
          </cell>
          <cell r="G95">
            <v>21.6</v>
          </cell>
          <cell r="H95">
            <v>552.20000000000005</v>
          </cell>
          <cell r="I95">
            <v>24</v>
          </cell>
          <cell r="J95">
            <v>618.07407407407402</v>
          </cell>
          <cell r="M95">
            <v>24</v>
          </cell>
          <cell r="N95">
            <v>618.07407407407402</v>
          </cell>
          <cell r="O95" t="str">
            <v xml:space="preserve">Rev07-BRADEN-bổ sung </v>
          </cell>
        </row>
        <row r="96">
          <cell r="A96" t="str">
            <v>I90-A81</v>
          </cell>
          <cell r="B96" t="str">
            <v>Ống</v>
          </cell>
          <cell r="C96" t="str">
            <v>Pipe D26.9x2.6-DIN 2448-seamless pipe-L6000</v>
          </cell>
          <cell r="D96" t="str">
            <v>1.0038/A36</v>
          </cell>
          <cell r="E96" t="str">
            <v>m</v>
          </cell>
          <cell r="F96">
            <v>1.5600000000000005</v>
          </cell>
          <cell r="G96">
            <v>88.960000000000008</v>
          </cell>
          <cell r="H96">
            <v>77.400000000000006</v>
          </cell>
          <cell r="I96">
            <v>96</v>
          </cell>
          <cell r="J96">
            <v>149.76000000000005</v>
          </cell>
          <cell r="M96">
            <v>96</v>
          </cell>
          <cell r="N96">
            <v>149.76000000000005</v>
          </cell>
          <cell r="O96" t="str">
            <v xml:space="preserve">Rev07-BRADEN-bổ sung </v>
          </cell>
        </row>
        <row r="97">
          <cell r="A97" t="str">
            <v>I90-A82</v>
          </cell>
          <cell r="B97" t="str">
            <v>Ống</v>
          </cell>
          <cell r="C97" t="str">
            <v>Pipe D95x14-DIN 10305-seamless pipe-L12000</v>
          </cell>
          <cell r="D97" t="str">
            <v>1.0577/A36</v>
          </cell>
          <cell r="E97" t="str">
            <v>m</v>
          </cell>
          <cell r="F97">
            <v>28</v>
          </cell>
          <cell r="G97">
            <v>26.200000000000003</v>
          </cell>
          <cell r="H97">
            <v>728.40000000000009</v>
          </cell>
          <cell r="I97">
            <v>27</v>
          </cell>
          <cell r="J97">
            <v>756</v>
          </cell>
          <cell r="M97">
            <v>27</v>
          </cell>
          <cell r="N97">
            <v>756</v>
          </cell>
          <cell r="O97" t="str">
            <v xml:space="preserve">Rev07-BRADEN-bổ sung </v>
          </cell>
        </row>
        <row r="98">
          <cell r="A98" t="str">
            <v>I90-A83</v>
          </cell>
          <cell r="B98" t="str">
            <v>Thép tròn</v>
          </cell>
          <cell r="C98" t="str">
            <v>RB3</v>
          </cell>
          <cell r="D98" t="str">
            <v>1.0038/A36</v>
          </cell>
          <cell r="E98" t="str">
            <v>m</v>
          </cell>
          <cell r="F98">
            <v>5.5555555555555552E-2</v>
          </cell>
          <cell r="G98">
            <v>54.2</v>
          </cell>
          <cell r="H98">
            <v>0</v>
          </cell>
          <cell r="I98">
            <v>60</v>
          </cell>
          <cell r="J98">
            <v>3.333333333333333</v>
          </cell>
          <cell r="M98">
            <v>60</v>
          </cell>
          <cell r="N98">
            <v>3.333333333333333</v>
          </cell>
          <cell r="O98" t="str">
            <v xml:space="preserve">Rev07-BRADEN-bổ sung </v>
          </cell>
        </row>
        <row r="99">
          <cell r="A99" t="str">
            <v>I90-A84</v>
          </cell>
          <cell r="B99" t="str">
            <v>Thép tròn</v>
          </cell>
          <cell r="C99" t="str">
            <v>RB95-L4000</v>
          </cell>
          <cell r="D99" t="str">
            <v>1.0038/A36</v>
          </cell>
          <cell r="E99" t="str">
            <v>m</v>
          </cell>
          <cell r="F99">
            <v>55.70987654320988</v>
          </cell>
          <cell r="G99">
            <v>3.2</v>
          </cell>
          <cell r="H99">
            <v>120</v>
          </cell>
          <cell r="I99">
            <v>4</v>
          </cell>
          <cell r="J99">
            <v>222.83950617283952</v>
          </cell>
          <cell r="M99">
            <v>4</v>
          </cell>
          <cell r="N99">
            <v>222.83950617283952</v>
          </cell>
          <cell r="O99" t="str">
            <v xml:space="preserve">Rev07-BRADEN-bổ sung </v>
          </cell>
        </row>
        <row r="100">
          <cell r="A100" t="str">
            <v>I90-A85</v>
          </cell>
          <cell r="B100" t="str">
            <v>Van</v>
          </cell>
          <cell r="C100" t="str">
            <v>BALL VALVE (Socket Valve 2 inch 1.0460)</v>
          </cell>
          <cell r="E100" t="str">
            <v>pcs</v>
          </cell>
          <cell r="F100">
            <v>4.13</v>
          </cell>
          <cell r="G100">
            <v>10</v>
          </cell>
          <cell r="H100">
            <v>41.3</v>
          </cell>
          <cell r="I100">
            <v>10</v>
          </cell>
          <cell r="J100">
            <v>41.3</v>
          </cell>
          <cell r="M100">
            <v>10</v>
          </cell>
          <cell r="N100">
            <v>41.3</v>
          </cell>
          <cell r="O100" t="str">
            <v xml:space="preserve">Rev07-BRADEN-bổ sung </v>
          </cell>
        </row>
        <row r="101">
          <cell r="A101" t="str">
            <v>I90-A86</v>
          </cell>
          <cell r="B101" t="str">
            <v>Cap</v>
          </cell>
          <cell r="C101" t="str">
            <v>Cap  T1-2" ISO 49</v>
          </cell>
          <cell r="D101" t="str">
            <v>Cast iron blank</v>
          </cell>
          <cell r="E101" t="str">
            <v>pcs</v>
          </cell>
          <cell r="F101">
            <v>0.86</v>
          </cell>
          <cell r="G101">
            <v>10</v>
          </cell>
          <cell r="H101">
            <v>8.6</v>
          </cell>
          <cell r="I101">
            <v>10</v>
          </cell>
          <cell r="J101">
            <v>8.6</v>
          </cell>
          <cell r="M101">
            <v>10</v>
          </cell>
          <cell r="N101">
            <v>8.6</v>
          </cell>
          <cell r="O101" t="str">
            <v xml:space="preserve">Rev07-BRADEN-bổ sung </v>
          </cell>
        </row>
        <row r="102">
          <cell r="A102" t="str">
            <v>I90-A87</v>
          </cell>
          <cell r="B102" t="str">
            <v>Bản lề</v>
          </cell>
          <cell r="C102" t="str">
            <v>Hinges GN 136-ST-60-60-A</v>
          </cell>
          <cell r="D102" t="str">
            <v>Steel</v>
          </cell>
          <cell r="E102" t="str">
            <v>sets</v>
          </cell>
          <cell r="F102">
            <v>0</v>
          </cell>
          <cell r="G102">
            <v>60</v>
          </cell>
          <cell r="I102">
            <v>60</v>
          </cell>
          <cell r="J102">
            <v>0</v>
          </cell>
          <cell r="M102">
            <v>60</v>
          </cell>
          <cell r="N102">
            <v>0</v>
          </cell>
          <cell r="O102" t="str">
            <v xml:space="preserve">Rev07-BRADEN-bổ sung </v>
          </cell>
        </row>
        <row r="103">
          <cell r="A103" t="str">
            <v>I90-A88</v>
          </cell>
          <cell r="B103" t="str">
            <v>Tấm sàn</v>
          </cell>
          <cell r="C103" t="str">
            <v>Grating H50mm</v>
          </cell>
          <cell r="D103" t="str">
            <v>GRP-GRATING</v>
          </cell>
          <cell r="E103" t="str">
            <v>pcs</v>
          </cell>
          <cell r="G103">
            <v>209</v>
          </cell>
          <cell r="H103">
            <v>9064.0400000000009</v>
          </cell>
          <cell r="I103">
            <v>209</v>
          </cell>
          <cell r="J103">
            <v>9064.0399999999936</v>
          </cell>
          <cell r="M103">
            <v>209</v>
          </cell>
          <cell r="N103">
            <v>9064.0399999999936</v>
          </cell>
          <cell r="O103" t="str">
            <v>Rev28-BRADEN-Chỉnh lại số liệu sau khi BE rev bản vẽ và mua cho 5 units. Ghi rõ lại cột profile.</v>
          </cell>
        </row>
        <row r="104">
          <cell r="A104" t="str">
            <v>I90-A89</v>
          </cell>
          <cell r="B104" t="str">
            <v>Tôn tấm</v>
          </cell>
          <cell r="C104" t="str">
            <v>PL4</v>
          </cell>
          <cell r="D104" t="str">
            <v>ASTM A36</v>
          </cell>
          <cell r="E104" t="str">
            <v>m2</v>
          </cell>
          <cell r="F104">
            <v>31.4</v>
          </cell>
          <cell r="G104">
            <v>33.705732484076428</v>
          </cell>
          <cell r="H104">
            <v>1058.3599999999999</v>
          </cell>
          <cell r="I104">
            <v>45</v>
          </cell>
          <cell r="J104">
            <v>1413</v>
          </cell>
          <cell r="M104">
            <v>45</v>
          </cell>
          <cell r="N104">
            <v>1413</v>
          </cell>
          <cell r="O104" t="str">
            <v>Rev08-BRADEN-PL4x1500x6000-5tờ</v>
          </cell>
        </row>
        <row r="105">
          <cell r="A105" t="str">
            <v>I90-A90</v>
          </cell>
          <cell r="B105" t="str">
            <v>Thép tròn</v>
          </cell>
          <cell r="C105" t="str">
            <v>RB16-L6000</v>
          </cell>
          <cell r="D105" t="str">
            <v>ASTM C38000</v>
          </cell>
          <cell r="E105" t="str">
            <v>m</v>
          </cell>
          <cell r="F105">
            <v>1.5802469135802468</v>
          </cell>
          <cell r="G105">
            <v>3.952</v>
          </cell>
          <cell r="H105">
            <v>12.48</v>
          </cell>
          <cell r="I105">
            <v>6</v>
          </cell>
          <cell r="J105">
            <v>9.481481481481481</v>
          </cell>
          <cell r="M105">
            <v>6</v>
          </cell>
          <cell r="N105">
            <v>9.481481481481481</v>
          </cell>
          <cell r="O105" t="str">
            <v>Rev08-BRADEN-bổ sung mới</v>
          </cell>
        </row>
        <row r="106">
          <cell r="A106" t="str">
            <v>I90-A91</v>
          </cell>
          <cell r="B106" t="str">
            <v>Thép tròn</v>
          </cell>
          <cell r="C106" t="str">
            <v>RB5-L1200</v>
          </cell>
          <cell r="D106" t="str">
            <v>1.0044/A36</v>
          </cell>
          <cell r="E106" t="str">
            <v>m</v>
          </cell>
          <cell r="F106">
            <v>0.15</v>
          </cell>
          <cell r="G106">
            <v>1</v>
          </cell>
          <cell r="H106">
            <v>0.2</v>
          </cell>
          <cell r="I106">
            <v>1.2</v>
          </cell>
          <cell r="J106">
            <v>0.18</v>
          </cell>
          <cell r="M106">
            <v>1.2</v>
          </cell>
          <cell r="N106">
            <v>0.18</v>
          </cell>
          <cell r="O106" t="str">
            <v>Rev08-BRADEN-bổ sung mới</v>
          </cell>
        </row>
        <row r="107">
          <cell r="A107" t="str">
            <v>I90-A92</v>
          </cell>
          <cell r="B107" t="str">
            <v>Hộp</v>
          </cell>
          <cell r="C107" t="str">
            <v>SHS31.8x31.8x3-L6000</v>
          </cell>
          <cell r="D107" t="str">
            <v>1.0038/A36</v>
          </cell>
          <cell r="E107" t="str">
            <v>m</v>
          </cell>
          <cell r="F107">
            <v>2.5</v>
          </cell>
          <cell r="G107">
            <v>74.474000000000004</v>
          </cell>
          <cell r="H107">
            <v>421.19999999999993</v>
          </cell>
          <cell r="I107">
            <v>84</v>
          </cell>
          <cell r="J107">
            <v>210</v>
          </cell>
          <cell r="M107">
            <v>84</v>
          </cell>
          <cell r="N107">
            <v>210</v>
          </cell>
          <cell r="O107" t="str">
            <v>Rev08-BRADEN-bổ sung mới</v>
          </cell>
        </row>
        <row r="108">
          <cell r="A108" t="str">
            <v>I90-A93</v>
          </cell>
          <cell r="B108" t="str">
            <v>Ống</v>
          </cell>
          <cell r="C108" t="str">
            <v>Tube DN.350 (Pipe D355.6x4)-L12000</v>
          </cell>
          <cell r="D108" t="str">
            <v>1.0044/A36</v>
          </cell>
          <cell r="E108" t="str">
            <v>m</v>
          </cell>
          <cell r="F108">
            <v>34.340000000000003</v>
          </cell>
          <cell r="G108">
            <v>170.51</v>
          </cell>
          <cell r="H108">
            <v>5247.6799999999994</v>
          </cell>
          <cell r="I108">
            <v>168</v>
          </cell>
          <cell r="J108">
            <v>5769.1200000000008</v>
          </cell>
          <cell r="M108">
            <v>168</v>
          </cell>
          <cell r="N108">
            <v>5769.1200000000008</v>
          </cell>
          <cell r="O108" t="str">
            <v>Rev08-BRADEN-bổ sung mới</v>
          </cell>
        </row>
        <row r="109">
          <cell r="A109" t="str">
            <v>I90-A94</v>
          </cell>
          <cell r="B109" t="str">
            <v>Thép hình-C</v>
          </cell>
          <cell r="C109" t="str">
            <v>UPN120(C120x55x7x9)-L12000</v>
          </cell>
          <cell r="D109" t="str">
            <v>1.0044/A36</v>
          </cell>
          <cell r="E109" t="str">
            <v>m</v>
          </cell>
          <cell r="F109">
            <v>13.3</v>
          </cell>
          <cell r="G109">
            <v>73.099999999999994</v>
          </cell>
          <cell r="H109">
            <v>1001.8000000000001</v>
          </cell>
          <cell r="I109">
            <v>78</v>
          </cell>
          <cell r="J109">
            <v>1037.4000000000001</v>
          </cell>
          <cell r="M109">
            <v>78</v>
          </cell>
          <cell r="N109">
            <v>1037.4000000000001</v>
          </cell>
          <cell r="O109" t="str">
            <v>Rev08-BRADEN-bổ sung mới</v>
          </cell>
        </row>
        <row r="110">
          <cell r="A110" t="str">
            <v>I90-A95</v>
          </cell>
          <cell r="B110" t="str">
            <v>Spring</v>
          </cell>
          <cell r="C110" t="str">
            <v>Spring D3</v>
          </cell>
          <cell r="D110" t="str">
            <v>SUS304</v>
          </cell>
          <cell r="E110" t="str">
            <v>pcs</v>
          </cell>
          <cell r="G110">
            <v>92</v>
          </cell>
          <cell r="I110">
            <v>92</v>
          </cell>
          <cell r="M110">
            <v>92</v>
          </cell>
          <cell r="O110" t="str">
            <v>Rev08-BRADEN-bổ sung mới. Xem bản vẽ " I90-Spring-D3" gửi kèm</v>
          </cell>
        </row>
        <row r="111">
          <cell r="A111" t="str">
            <v>I90-A96</v>
          </cell>
          <cell r="B111" t="str">
            <v>Then</v>
          </cell>
          <cell r="C111" t="str">
            <v>Then 80x340-thk 40</v>
          </cell>
          <cell r="D111" t="str">
            <v>S45C</v>
          </cell>
          <cell r="E111" t="str">
            <v>pcs</v>
          </cell>
          <cell r="G111">
            <v>40</v>
          </cell>
          <cell r="I111">
            <v>40</v>
          </cell>
          <cell r="M111">
            <v>40</v>
          </cell>
          <cell r="O111" t="str">
            <v>Rev08-BRADEN-bổ sung mới. Xem bản vẽ " I90-Pin-L340-S45C" gửi kèm</v>
          </cell>
        </row>
        <row r="112">
          <cell r="A112" t="str">
            <v>I90-A97</v>
          </cell>
          <cell r="B112" t="str">
            <v>Ống</v>
          </cell>
          <cell r="C112" t="str">
            <v>Pipe Pipe D60.3x3.91-L6000-seamless pipe-L6000</v>
          </cell>
          <cell r="D112" t="str">
            <v>1.0577/A36</v>
          </cell>
          <cell r="E112" t="str">
            <v>m</v>
          </cell>
          <cell r="F112">
            <v>5.44</v>
          </cell>
          <cell r="G112">
            <v>49</v>
          </cell>
          <cell r="H112">
            <v>266.56</v>
          </cell>
          <cell r="I112">
            <v>54</v>
          </cell>
          <cell r="J112">
            <v>293.76</v>
          </cell>
          <cell r="M112">
            <v>54</v>
          </cell>
          <cell r="N112">
            <v>293.76</v>
          </cell>
          <cell r="O112" t="str">
            <v>Rev24-BRADEN-bổ sung</v>
          </cell>
        </row>
        <row r="113">
          <cell r="A113" t="str">
            <v>I90-A98</v>
          </cell>
          <cell r="B113" t="str">
            <v>Thép tròn</v>
          </cell>
          <cell r="C113" t="str">
            <v>RB24-L4600</v>
          </cell>
          <cell r="D113" t="str">
            <v>1.0577/A36</v>
          </cell>
          <cell r="E113" t="str">
            <v>m</v>
          </cell>
          <cell r="F113">
            <v>3.5555555555555518</v>
          </cell>
          <cell r="G113">
            <v>4.3879999999999999</v>
          </cell>
          <cell r="H113">
            <v>15.6</v>
          </cell>
          <cell r="I113">
            <v>10.6</v>
          </cell>
          <cell r="J113">
            <v>37.688888888888847</v>
          </cell>
          <cell r="M113">
            <v>10.6</v>
          </cell>
          <cell r="N113">
            <v>37.688888888888847</v>
          </cell>
          <cell r="O113" t="str">
            <v>Rev24-BRADEN-bổ sung</v>
          </cell>
        </row>
        <row r="114">
          <cell r="A114" t="str">
            <v>I90-A99</v>
          </cell>
          <cell r="B114" t="str">
            <v>Bạc đồng</v>
          </cell>
          <cell r="C114" t="str">
            <v>BRASS BEARING 115 mm x 2.5mm</v>
          </cell>
          <cell r="D114" t="str">
            <v>2.0321</v>
          </cell>
          <cell r="E114" t="str">
            <v>pcs</v>
          </cell>
          <cell r="F114">
            <v>3.84</v>
          </cell>
          <cell r="G114">
            <v>40</v>
          </cell>
          <cell r="H114">
            <v>153.6</v>
          </cell>
          <cell r="I114">
            <v>40</v>
          </cell>
          <cell r="J114">
            <v>153.6</v>
          </cell>
          <cell r="M114">
            <v>40</v>
          </cell>
          <cell r="N114">
            <v>153.6</v>
          </cell>
          <cell r="O114" t="str">
            <v>Rev13-BRADEN-bổ sung. Mua theo bản vẽ "I90-80002A-F24-A3-4"</v>
          </cell>
        </row>
        <row r="115">
          <cell r="A115" t="str">
            <v>I90-A100</v>
          </cell>
          <cell r="B115" t="str">
            <v>Thép tròn</v>
          </cell>
          <cell r="C115" t="str">
            <v>RB90-L4500</v>
          </cell>
          <cell r="D115" t="str">
            <v>1.4122/C45</v>
          </cell>
          <cell r="E115" t="str">
            <v>m</v>
          </cell>
          <cell r="F115">
            <v>50.000000000000043</v>
          </cell>
          <cell r="G115">
            <v>4</v>
          </cell>
          <cell r="H115">
            <v>200.00000000000017</v>
          </cell>
          <cell r="I115">
            <v>4.5</v>
          </cell>
          <cell r="J115">
            <v>225</v>
          </cell>
          <cell r="M115">
            <v>4.5</v>
          </cell>
          <cell r="N115">
            <v>225</v>
          </cell>
          <cell r="O115" t="str">
            <v xml:space="preserve">Rev13-BRADEN-bổ sung </v>
          </cell>
        </row>
        <row r="116">
          <cell r="A116" t="str">
            <v>I90-A101</v>
          </cell>
          <cell r="B116" t="str">
            <v>Thép tròn</v>
          </cell>
          <cell r="C116" t="str">
            <v>RB55-L2300</v>
          </cell>
          <cell r="D116" t="str">
            <v>1.4057/C45</v>
          </cell>
          <cell r="E116" t="str">
            <v>m</v>
          </cell>
          <cell r="F116">
            <v>18.672839506172831</v>
          </cell>
          <cell r="G116">
            <v>1.92</v>
          </cell>
          <cell r="H116">
            <v>35.851851851851833</v>
          </cell>
          <cell r="I116">
            <v>2.2999999999999998</v>
          </cell>
          <cell r="J116">
            <v>42.947530864197525</v>
          </cell>
          <cell r="M116">
            <v>2.2999999999999998</v>
          </cell>
          <cell r="N116">
            <v>42.947530864197525</v>
          </cell>
          <cell r="O116" t="str">
            <v xml:space="preserve">Rev13-BRADEN-bổ sung </v>
          </cell>
        </row>
        <row r="117">
          <cell r="A117" t="str">
            <v>I90-A102</v>
          </cell>
          <cell r="B117" t="str">
            <v>Thép tròn</v>
          </cell>
          <cell r="C117" t="str">
            <v>RB20-L6000</v>
          </cell>
          <cell r="D117" t="str">
            <v>1.4057/C45</v>
          </cell>
          <cell r="E117" t="str">
            <v>m</v>
          </cell>
          <cell r="F117">
            <v>2.4691358024691401</v>
          </cell>
          <cell r="G117">
            <v>27.776</v>
          </cell>
          <cell r="H117">
            <v>68.582716049382839</v>
          </cell>
          <cell r="I117">
            <v>30</v>
          </cell>
          <cell r="J117">
            <v>74.074074074074076</v>
          </cell>
          <cell r="M117">
            <v>30</v>
          </cell>
          <cell r="N117">
            <v>74.074074074074076</v>
          </cell>
          <cell r="O117" t="str">
            <v xml:space="preserve">Rev13-BRADEN-bổ sung </v>
          </cell>
        </row>
        <row r="118">
          <cell r="A118" t="str">
            <v>I90-A103</v>
          </cell>
          <cell r="B118" t="str">
            <v>Bạc trượt hàn</v>
          </cell>
          <cell r="C118" t="str">
            <v>Welding rod end SC_50_ES_2RS</v>
          </cell>
          <cell r="E118" t="str">
            <v>pcs</v>
          </cell>
          <cell r="G118">
            <v>40</v>
          </cell>
          <cell r="I118">
            <v>40</v>
          </cell>
          <cell r="M118">
            <v>40</v>
          </cell>
          <cell r="O118" t="str">
            <v xml:space="preserve">Rev13-BRADEN-bổ sung </v>
          </cell>
        </row>
        <row r="119">
          <cell r="A119" t="str">
            <v>I90-A104</v>
          </cell>
          <cell r="B119" t="str">
            <v>Bạc trượt ren</v>
          </cell>
          <cell r="C119" t="str">
            <v>Threaded rod end SI_50_ES_2RS</v>
          </cell>
          <cell r="E119" t="str">
            <v>pcs</v>
          </cell>
          <cell r="G119">
            <v>40</v>
          </cell>
          <cell r="I119">
            <v>40</v>
          </cell>
          <cell r="M119">
            <v>40</v>
          </cell>
          <cell r="O119" t="str">
            <v xml:space="preserve">Rev13-BRADEN-bổ sung </v>
          </cell>
        </row>
        <row r="120">
          <cell r="A120" t="str">
            <v>I90-A105</v>
          </cell>
          <cell r="B120" t="str">
            <v>Ống</v>
          </cell>
          <cell r="C120" t="str">
            <v>Pipe D26.7x2.87-seamless pipe-L12000</v>
          </cell>
          <cell r="D120" t="str">
            <v>1.4401/SUS316</v>
          </cell>
          <cell r="E120" t="str">
            <v>m</v>
          </cell>
          <cell r="F120">
            <v>1.69</v>
          </cell>
          <cell r="G120">
            <v>12.2</v>
          </cell>
          <cell r="H120">
            <v>20.617999999999999</v>
          </cell>
          <cell r="I120">
            <v>30.6</v>
          </cell>
          <cell r="J120">
            <v>51.713999999999999</v>
          </cell>
          <cell r="M120">
            <v>30.6</v>
          </cell>
          <cell r="N120">
            <v>51.713999999999999</v>
          </cell>
          <cell r="O120" t="str">
            <v>Rev24-BRADEN-bổ sung mới</v>
          </cell>
        </row>
        <row r="121">
          <cell r="A121" t="str">
            <v>I90-A106</v>
          </cell>
          <cell r="B121" t="str">
            <v>Ống</v>
          </cell>
          <cell r="C121" t="str">
            <v>Pipe D114.3x6.02-seamless pipe-L12000</v>
          </cell>
          <cell r="D121" t="str">
            <v>SS304</v>
          </cell>
          <cell r="E121" t="str">
            <v>m</v>
          </cell>
          <cell r="F121">
            <v>16.177777777777777</v>
          </cell>
          <cell r="G121">
            <v>10.8</v>
          </cell>
          <cell r="H121">
            <v>174.72</v>
          </cell>
          <cell r="I121">
            <v>17.5</v>
          </cell>
          <cell r="J121">
            <v>283.11111111111109</v>
          </cell>
          <cell r="M121">
            <v>17.5</v>
          </cell>
          <cell r="N121">
            <v>283.11111111111109</v>
          </cell>
          <cell r="O121" t="str">
            <v>Rev24-BRADEN-bổ sung mới</v>
          </cell>
        </row>
        <row r="122">
          <cell r="A122" t="str">
            <v>I90-A107</v>
          </cell>
          <cell r="B122" t="str">
            <v>Cút</v>
          </cell>
          <cell r="C122" t="str">
            <v>Long Elbow90-D114.3x6.02</v>
          </cell>
          <cell r="D122" t="str">
            <v>SS304</v>
          </cell>
          <cell r="E122" t="str">
            <v>pcs</v>
          </cell>
          <cell r="F122">
            <v>5.0999999999999996</v>
          </cell>
          <cell r="G122">
            <v>5</v>
          </cell>
          <cell r="H122">
            <v>25.5</v>
          </cell>
          <cell r="I122">
            <v>5</v>
          </cell>
          <cell r="J122">
            <v>25.5</v>
          </cell>
          <cell r="M122">
            <v>5</v>
          </cell>
          <cell r="N122">
            <v>25.5</v>
          </cell>
          <cell r="O122" t="str">
            <v>Rev24-BRADEN-bổ sung mới</v>
          </cell>
        </row>
        <row r="123">
          <cell r="A123" t="str">
            <v>I90-A108</v>
          </cell>
          <cell r="B123" t="str">
            <v>Tôn tấm</v>
          </cell>
          <cell r="C123" t="str">
            <v>PL10x450x850</v>
          </cell>
          <cell r="D123" t="str">
            <v>SS304</v>
          </cell>
          <cell r="E123" t="str">
            <v>m2</v>
          </cell>
          <cell r="F123">
            <v>79.3</v>
          </cell>
          <cell r="G123">
            <v>0.35208070617906689</v>
          </cell>
          <cell r="H123">
            <v>27.92</v>
          </cell>
          <cell r="I123">
            <v>0.76500000000000001</v>
          </cell>
          <cell r="J123">
            <v>60.664499999999997</v>
          </cell>
          <cell r="M123">
            <v>0.76500000000000001</v>
          </cell>
          <cell r="N123">
            <v>60.664499999999997</v>
          </cell>
          <cell r="O123" t="str">
            <v>Rev24-BRADEN-bổ sung mới. PL10x450x850-1 tấm</v>
          </cell>
        </row>
        <row r="124">
          <cell r="A124" t="str">
            <v>I90-A109</v>
          </cell>
          <cell r="B124" t="str">
            <v>Tôn tấm</v>
          </cell>
          <cell r="C124" t="str">
            <v>PL2x1250x2500</v>
          </cell>
          <cell r="D124" t="str">
            <v>SS304</v>
          </cell>
          <cell r="E124" t="str">
            <v>m2</v>
          </cell>
          <cell r="F124">
            <v>15.86</v>
          </cell>
          <cell r="G124">
            <v>327.52206809583862</v>
          </cell>
          <cell r="H124">
            <v>5194.5</v>
          </cell>
          <cell r="I124">
            <v>359.375</v>
          </cell>
          <cell r="J124">
            <v>5699.6875</v>
          </cell>
          <cell r="M124">
            <v>359.375</v>
          </cell>
          <cell r="N124">
            <v>5699.6875</v>
          </cell>
          <cell r="O124" t="str">
            <v>Rev17-BRADEN-bổ sung mới PL2x1250x2500-115 tờ</v>
          </cell>
        </row>
        <row r="125">
          <cell r="A125" t="str">
            <v>I90-A110</v>
          </cell>
          <cell r="B125" t="str">
            <v>Tôn tấm</v>
          </cell>
          <cell r="C125" t="str">
            <v>PL10x600x1500</v>
          </cell>
          <cell r="D125" t="str">
            <v>SS304</v>
          </cell>
          <cell r="E125" t="str">
            <v>m2</v>
          </cell>
          <cell r="F125">
            <v>79.3</v>
          </cell>
          <cell r="G125">
            <v>0.31651954602774279</v>
          </cell>
          <cell r="H125">
            <v>25.1</v>
          </cell>
          <cell r="I125">
            <v>0.89999999999999991</v>
          </cell>
          <cell r="J125">
            <v>71.36999999999999</v>
          </cell>
          <cell r="M125">
            <v>0.89999999999999991</v>
          </cell>
          <cell r="N125">
            <v>71.36999999999999</v>
          </cell>
          <cell r="O125" t="str">
            <v>Rev17-BRADEN-bổ sung mới PL10x600x1500-1 tờ</v>
          </cell>
        </row>
        <row r="126">
          <cell r="A126" t="str">
            <v>I90-A111</v>
          </cell>
          <cell r="B126" t="str">
            <v>Tôn chống trượt</v>
          </cell>
          <cell r="C126" t="str">
            <v>CPL4x1500x1000</v>
          </cell>
          <cell r="D126" t="str">
            <v>A36</v>
          </cell>
          <cell r="E126" t="str">
            <v>m2</v>
          </cell>
          <cell r="F126">
            <v>35</v>
          </cell>
          <cell r="G126">
            <v>1.0285714285714285</v>
          </cell>
          <cell r="H126">
            <v>36</v>
          </cell>
          <cell r="I126">
            <v>1.5</v>
          </cell>
          <cell r="J126">
            <v>52.5</v>
          </cell>
          <cell r="M126">
            <v>1.5</v>
          </cell>
          <cell r="N126">
            <v>52.5</v>
          </cell>
          <cell r="O126" t="str">
            <v>Rev19-BRADEN-bổ sung mới.</v>
          </cell>
        </row>
        <row r="127">
          <cell r="A127" t="str">
            <v>I90-A112</v>
          </cell>
          <cell r="B127" t="str">
            <v>Thép hình-C</v>
          </cell>
          <cell r="C127" t="str">
            <v>C41x41x2-L6000</v>
          </cell>
          <cell r="D127" t="str">
            <v>St-Galv</v>
          </cell>
          <cell r="E127" t="str">
            <v>m</v>
          </cell>
          <cell r="F127">
            <v>2.1</v>
          </cell>
          <cell r="G127">
            <v>2258.4</v>
          </cell>
          <cell r="H127">
            <v>4742.6400000000003</v>
          </cell>
          <cell r="I127">
            <v>868</v>
          </cell>
          <cell r="J127">
            <v>1822.8000000000002</v>
          </cell>
          <cell r="M127">
            <v>868</v>
          </cell>
          <cell r="N127">
            <v>1822.8000000000002</v>
          </cell>
          <cell r="O127" t="str">
            <v>Rev28-BRADEN-điều chỉnh không đặt hàng cho block13164</v>
          </cell>
        </row>
        <row r="128">
          <cell r="A128" t="str">
            <v>I90-A113</v>
          </cell>
          <cell r="B128" t="str">
            <v>Thép hình-H</v>
          </cell>
          <cell r="C128" t="str">
            <v>HEB200(H200x200x9x15)/JIS H200x200x8x12-L12000</v>
          </cell>
          <cell r="D128" t="str">
            <v>ASTM A36/JIS G3101 SS400</v>
          </cell>
          <cell r="E128" t="str">
            <v>m</v>
          </cell>
          <cell r="F128">
            <v>61.3</v>
          </cell>
          <cell r="G128">
            <v>175.56</v>
          </cell>
          <cell r="H128">
            <v>10469.219999999999</v>
          </cell>
          <cell r="I128">
            <v>187</v>
          </cell>
          <cell r="J128">
            <v>11463.099999999999</v>
          </cell>
          <cell r="M128">
            <v>187</v>
          </cell>
          <cell r="N128">
            <v>11463.099999999999</v>
          </cell>
          <cell r="O128" t="str">
            <v>Rev27-BRADEN-bổ sung mới. Mục Protections 13164</v>
          </cell>
        </row>
        <row r="129">
          <cell r="A129" t="str">
            <v>I90-A114</v>
          </cell>
          <cell r="B129" t="str">
            <v>Thép hình-C</v>
          </cell>
          <cell r="C129" t="str">
            <v>UPN120(C120x55x7x9)/JIS C125x65x6x8-L12000</v>
          </cell>
          <cell r="D129" t="str">
            <v>ASTM A36/JIS G3101 SS400</v>
          </cell>
          <cell r="E129" t="str">
            <v>m</v>
          </cell>
          <cell r="F129">
            <v>13.3</v>
          </cell>
          <cell r="G129">
            <v>52.603999999999999</v>
          </cell>
          <cell r="H129">
            <v>701.86</v>
          </cell>
          <cell r="I129">
            <v>60</v>
          </cell>
          <cell r="J129">
            <v>798</v>
          </cell>
          <cell r="M129">
            <v>60</v>
          </cell>
          <cell r="N129">
            <v>798</v>
          </cell>
          <cell r="O129" t="str">
            <v>Rev27-BRADEN-bổ sung mới. Mục Protections 13164</v>
          </cell>
        </row>
        <row r="130">
          <cell r="A130" t="str">
            <v>I90-A115</v>
          </cell>
          <cell r="B130" t="str">
            <v>Ống</v>
          </cell>
          <cell r="C130" t="str">
            <v>Pipe D26.67x2.6</v>
          </cell>
          <cell r="D130" t="str">
            <v>SUS304</v>
          </cell>
          <cell r="E130" t="str">
            <v>m</v>
          </cell>
          <cell r="F130">
            <v>1.5600000000000005</v>
          </cell>
          <cell r="G130">
            <v>2.95</v>
          </cell>
          <cell r="H130">
            <v>4.55</v>
          </cell>
          <cell r="I130">
            <v>3.1</v>
          </cell>
          <cell r="J130">
            <v>4.8360000000000021</v>
          </cell>
          <cell r="M130">
            <v>3.1</v>
          </cell>
          <cell r="N130">
            <v>4.8360000000000021</v>
          </cell>
          <cell r="O130" t="str">
            <v>Rev20-Braden bổ sung</v>
          </cell>
        </row>
        <row r="131">
          <cell r="A131" t="str">
            <v>I90-A116</v>
          </cell>
          <cell r="B131" t="str">
            <v>Tôn tấm</v>
          </cell>
          <cell r="C131" t="str">
            <v>PL1x350x400</v>
          </cell>
          <cell r="D131" t="str">
            <v>SUS304</v>
          </cell>
          <cell r="E131" t="str">
            <v>m2</v>
          </cell>
          <cell r="F131">
            <v>7.93</v>
          </cell>
          <cell r="G131">
            <v>5.1702395964691054E-2</v>
          </cell>
          <cell r="H131">
            <v>0.41000000000000003</v>
          </cell>
          <cell r="I131">
            <v>0.13999999999999999</v>
          </cell>
          <cell r="J131">
            <v>1.1101999999999999</v>
          </cell>
          <cell r="M131">
            <v>0.13999999999999999</v>
          </cell>
          <cell r="N131">
            <v>1.1101999999999999</v>
          </cell>
          <cell r="O131" t="str">
            <v>Rev20-Braden bổ sung</v>
          </cell>
        </row>
        <row r="132">
          <cell r="A132" t="str">
            <v>I90-A117</v>
          </cell>
          <cell r="B132" t="str">
            <v>Tôn tấm</v>
          </cell>
          <cell r="C132" t="str">
            <v>PL5x500x950</v>
          </cell>
          <cell r="D132" t="str">
            <v>SUS304</v>
          </cell>
          <cell r="E132" t="str">
            <v>m2</v>
          </cell>
          <cell r="F132">
            <v>39.65</v>
          </cell>
          <cell r="G132">
            <v>0.34804539722572514</v>
          </cell>
          <cell r="H132">
            <v>13.8</v>
          </cell>
          <cell r="I132">
            <v>0.47499999999999998</v>
          </cell>
          <cell r="J132">
            <v>18.833749999999998</v>
          </cell>
          <cell r="M132">
            <v>0.47499999999999998</v>
          </cell>
          <cell r="N132">
            <v>18.833749999999998</v>
          </cell>
          <cell r="O132" t="str">
            <v>Rev20-Braden bổ sung</v>
          </cell>
        </row>
        <row r="133">
          <cell r="A133" t="str">
            <v>I90-A118</v>
          </cell>
          <cell r="B133" t="str">
            <v>Tôn tấm</v>
          </cell>
          <cell r="C133" t="str">
            <v>PL40x750x800</v>
          </cell>
          <cell r="D133" t="str">
            <v>SUS304</v>
          </cell>
          <cell r="E133" t="str">
            <v>m2</v>
          </cell>
          <cell r="F133">
            <v>317.2</v>
          </cell>
          <cell r="G133">
            <v>0.11737074401008829</v>
          </cell>
          <cell r="H133">
            <v>37.230000000000004</v>
          </cell>
          <cell r="I133">
            <v>0.60000000000000009</v>
          </cell>
          <cell r="J133">
            <v>190.32000000000002</v>
          </cell>
          <cell r="M133">
            <v>0.60000000000000009</v>
          </cell>
          <cell r="N133">
            <v>190.32000000000002</v>
          </cell>
          <cell r="O133" t="str">
            <v>Rev20-Braden bổ sung</v>
          </cell>
        </row>
        <row r="134">
          <cell r="A134" t="str">
            <v>I90-A119</v>
          </cell>
          <cell r="B134" t="str">
            <v>Thép tròn</v>
          </cell>
          <cell r="C134" t="str">
            <v>RB10-L800</v>
          </cell>
          <cell r="D134" t="str">
            <v>SUS304</v>
          </cell>
          <cell r="E134" t="str">
            <v>m</v>
          </cell>
          <cell r="F134">
            <v>0.61728395061728403</v>
          </cell>
          <cell r="G134">
            <v>0.66</v>
          </cell>
          <cell r="H134">
            <v>0.4074074074074075</v>
          </cell>
          <cell r="I134">
            <v>0.8</v>
          </cell>
          <cell r="J134">
            <v>0.49382716049382713</v>
          </cell>
          <cell r="M134">
            <v>0.8</v>
          </cell>
          <cell r="N134">
            <v>0.49382716049382713</v>
          </cell>
          <cell r="O134" t="str">
            <v>Rev20-Braden bổ sung</v>
          </cell>
        </row>
        <row r="135">
          <cell r="A135" t="str">
            <v>I90-A120</v>
          </cell>
          <cell r="B135" t="str">
            <v>Thép tròn</v>
          </cell>
          <cell r="C135" t="str">
            <v>RB12-L4000</v>
          </cell>
          <cell r="D135" t="str">
            <v>SUS304</v>
          </cell>
          <cell r="E135" t="str">
            <v>m</v>
          </cell>
          <cell r="F135">
            <v>0.88888888888888917</v>
          </cell>
          <cell r="G135">
            <v>3.6</v>
          </cell>
          <cell r="H135">
            <v>3.2000000000000011</v>
          </cell>
          <cell r="I135">
            <v>4</v>
          </cell>
          <cell r="J135">
            <v>3.5555555555555554</v>
          </cell>
          <cell r="M135">
            <v>4</v>
          </cell>
          <cell r="N135">
            <v>3.5555555555555554</v>
          </cell>
          <cell r="O135" t="str">
            <v>Rev20-Braden bổ sung</v>
          </cell>
        </row>
        <row r="136">
          <cell r="A136" t="str">
            <v>I90-A121</v>
          </cell>
          <cell r="B136" t="str">
            <v>Thép tròn</v>
          </cell>
          <cell r="C136" t="str">
            <v>RB15-L4100</v>
          </cell>
          <cell r="D136" t="str">
            <v>SUS304</v>
          </cell>
          <cell r="E136" t="str">
            <v>m</v>
          </cell>
          <cell r="F136">
            <v>1.3888888888888891</v>
          </cell>
          <cell r="G136">
            <v>4.01</v>
          </cell>
          <cell r="H136">
            <v>5.5</v>
          </cell>
          <cell r="I136">
            <v>4.0999999999999996</v>
          </cell>
          <cell r="J136">
            <v>5.6944444444444438</v>
          </cell>
          <cell r="M136">
            <v>4.0999999999999996</v>
          </cell>
          <cell r="N136">
            <v>5.6944444444444438</v>
          </cell>
          <cell r="O136" t="str">
            <v>Rev20-Braden bổ sung</v>
          </cell>
        </row>
        <row r="137">
          <cell r="A137" t="str">
            <v>I90-A122</v>
          </cell>
          <cell r="B137" t="str">
            <v>Thép tròn</v>
          </cell>
          <cell r="C137" t="str">
            <v>RB20-L500</v>
          </cell>
          <cell r="D137" t="str">
            <v>SUS304</v>
          </cell>
          <cell r="E137" t="str">
            <v>m</v>
          </cell>
          <cell r="F137">
            <v>2.4691358024691401</v>
          </cell>
          <cell r="G137">
            <v>0.40500000000000003</v>
          </cell>
          <cell r="H137">
            <v>0.9</v>
          </cell>
          <cell r="I137">
            <v>0.5</v>
          </cell>
          <cell r="J137">
            <v>1.2345679012345678</v>
          </cell>
          <cell r="M137">
            <v>0.5</v>
          </cell>
          <cell r="N137">
            <v>1.2345679012345678</v>
          </cell>
          <cell r="O137" t="str">
            <v>Rev20-Braden bổ sung</v>
          </cell>
        </row>
        <row r="138">
          <cell r="A138" t="str">
            <v>I90-A123</v>
          </cell>
          <cell r="B138" t="str">
            <v>Plate-2.0321</v>
          </cell>
          <cell r="C138" t="str">
            <v>PL0.8x300x600</v>
          </cell>
          <cell r="D138">
            <v>2.0320999999999998</v>
          </cell>
          <cell r="E138" t="str">
            <v>m2</v>
          </cell>
          <cell r="F138">
            <v>1.5519999999999998</v>
          </cell>
          <cell r="G138">
            <v>0.18</v>
          </cell>
          <cell r="H138">
            <v>0.27935999999999994</v>
          </cell>
          <cell r="I138">
            <v>0.18</v>
          </cell>
          <cell r="J138">
            <v>0.27935999999999994</v>
          </cell>
          <cell r="M138">
            <v>0.18</v>
          </cell>
          <cell r="N138">
            <v>0.27935999999999994</v>
          </cell>
          <cell r="O138" t="str">
            <v>Rev22-chỉnh lại đơn vị tính từ Pcs về chuẩn là m2</v>
          </cell>
        </row>
        <row r="139">
          <cell r="A139" t="str">
            <v>I90-A124</v>
          </cell>
          <cell r="B139" t="str">
            <v>Thép hộp</v>
          </cell>
          <cell r="C139" t="str">
            <v>SHS 80x40x2-L6000</v>
          </cell>
          <cell r="D139" t="str">
            <v>A36/SS400</v>
          </cell>
          <cell r="E139" t="str">
            <v>m</v>
          </cell>
          <cell r="F139">
            <v>3.6166666666666667</v>
          </cell>
          <cell r="G139">
            <v>90.69</v>
          </cell>
          <cell r="H139">
            <v>327.99550000000011</v>
          </cell>
          <cell r="I139">
            <v>97.9452</v>
          </cell>
          <cell r="J139">
            <v>354.23514</v>
          </cell>
          <cell r="M139">
            <v>97.9452</v>
          </cell>
          <cell r="N139">
            <v>354.23514</v>
          </cell>
          <cell r="O139" t="str">
            <v>Rev22-Braden bổ sung mới</v>
          </cell>
        </row>
        <row r="140">
          <cell r="A140" t="str">
            <v>I90-A125</v>
          </cell>
          <cell r="B140" t="str">
            <v>Thép hộp</v>
          </cell>
          <cell r="C140" t="str">
            <v>SHS 50x50x2-L6000</v>
          </cell>
          <cell r="D140" t="str">
            <v>A36/SS400</v>
          </cell>
          <cell r="E140" t="str">
            <v>m</v>
          </cell>
          <cell r="F140">
            <v>2.99</v>
          </cell>
          <cell r="G140">
            <v>28.5</v>
          </cell>
          <cell r="H140">
            <v>85.215000000000003</v>
          </cell>
          <cell r="I140">
            <v>30.78</v>
          </cell>
          <cell r="J140">
            <v>92.032200000000003</v>
          </cell>
          <cell r="M140">
            <v>30.78</v>
          </cell>
          <cell r="N140">
            <v>92.032200000000003</v>
          </cell>
          <cell r="O140" t="str">
            <v>Rev22-Braden bổ sung mới</v>
          </cell>
        </row>
        <row r="141">
          <cell r="A141" t="str">
            <v>I90-A126</v>
          </cell>
          <cell r="B141" t="str">
            <v>Thép hộp</v>
          </cell>
          <cell r="C141" t="str">
            <v>SHS 120x60x2-L6000</v>
          </cell>
          <cell r="D141" t="str">
            <v>A36/SS400</v>
          </cell>
          <cell r="E141" t="str">
            <v>m</v>
          </cell>
          <cell r="F141">
            <v>5.501666666666666</v>
          </cell>
          <cell r="G141">
            <v>28.5</v>
          </cell>
          <cell r="H141">
            <v>156.79749999999999</v>
          </cell>
          <cell r="I141">
            <v>30.78</v>
          </cell>
          <cell r="J141">
            <v>169.34129999999999</v>
          </cell>
          <cell r="M141">
            <v>30.78</v>
          </cell>
          <cell r="N141">
            <v>169.34129999999999</v>
          </cell>
          <cell r="O141" t="str">
            <v>Rev22-Braden bổ sung mới</v>
          </cell>
        </row>
        <row r="142">
          <cell r="A142" t="str">
            <v>I90-A127</v>
          </cell>
          <cell r="B142" t="str">
            <v>Thép hộp</v>
          </cell>
          <cell r="C142" t="str">
            <v>SHS 40x40x3-L6000</v>
          </cell>
          <cell r="D142" t="str">
            <v>A36/SS400</v>
          </cell>
          <cell r="E142" t="str">
            <v>m</v>
          </cell>
          <cell r="F142">
            <v>3.49</v>
          </cell>
          <cell r="G142">
            <v>3975</v>
          </cell>
          <cell r="H142">
            <v>13872.75</v>
          </cell>
          <cell r="I142">
            <v>3975</v>
          </cell>
          <cell r="J142">
            <v>13872.75</v>
          </cell>
          <cell r="M142">
            <v>3975</v>
          </cell>
          <cell r="N142">
            <v>13872.75</v>
          </cell>
          <cell r="O142" t="str">
            <v>Rev23-Braden bổ sung mới</v>
          </cell>
        </row>
        <row r="143">
          <cell r="A143" t="str">
            <v>I90-A128</v>
          </cell>
          <cell r="B143" t="str">
            <v>Tấm sàn</v>
          </cell>
          <cell r="C143" t="str">
            <v>Grating H30mm</v>
          </cell>
          <cell r="D143" t="str">
            <v>GRP-GRATING</v>
          </cell>
          <cell r="E143" t="str">
            <v>pcs</v>
          </cell>
          <cell r="G143">
            <v>24</v>
          </cell>
          <cell r="I143">
            <v>24</v>
          </cell>
          <cell r="J143">
            <v>0</v>
          </cell>
          <cell r="M143">
            <v>24</v>
          </cell>
          <cell r="N143">
            <v>0</v>
          </cell>
          <cell r="O143" t="str">
            <v>Rev25-BRADEN-bổ sung. Số lượng và quy cách mua theo bản vẽ "I90-Grating-Type H30mm"</v>
          </cell>
        </row>
        <row r="144">
          <cell r="A144" t="str">
            <v>I90-A129</v>
          </cell>
          <cell r="B144" t="str">
            <v>Tấm sàn</v>
          </cell>
          <cell r="C144" t="str">
            <v>Grating H50mm</v>
          </cell>
          <cell r="D144" t="str">
            <v>GRP-GRATING</v>
          </cell>
          <cell r="E144" t="str">
            <v>pcs</v>
          </cell>
          <cell r="G144">
            <v>16</v>
          </cell>
          <cell r="I144">
            <v>16</v>
          </cell>
          <cell r="J144">
            <v>0</v>
          </cell>
          <cell r="M144">
            <v>16</v>
          </cell>
          <cell r="N144">
            <v>0</v>
          </cell>
          <cell r="O144" t="str">
            <v>Rev27-BRADEN-bổ sung. Số lượng và quy cách mua theo tài liệu "I90-Grating H50mm-BO SUNG (U1+U2)" gửi kèm</v>
          </cell>
        </row>
        <row r="145">
          <cell r="A145" t="str">
            <v>I90-A130</v>
          </cell>
          <cell r="B145" t="str">
            <v>Tấm sàn</v>
          </cell>
          <cell r="C145" t="str">
            <v>Grating H30mm</v>
          </cell>
          <cell r="D145" t="str">
            <v>GRP-GRATING</v>
          </cell>
          <cell r="E145" t="str">
            <v>pcs</v>
          </cell>
          <cell r="G145">
            <v>36</v>
          </cell>
          <cell r="I145">
            <v>36</v>
          </cell>
          <cell r="J145">
            <v>0</v>
          </cell>
          <cell r="M145">
            <v>36</v>
          </cell>
          <cell r="N145">
            <v>0</v>
          </cell>
          <cell r="O145" t="str">
            <v>Rev28-BRADEN-bổ sung. Quy cách mua theo bản vẽ "I90-Grating-Type H30mm-13164 (3units)"</v>
          </cell>
        </row>
        <row r="146">
          <cell r="A146" t="str">
            <v>I90-A131</v>
          </cell>
          <cell r="B146" t="str">
            <v>Spring</v>
          </cell>
          <cell r="C146" t="str">
            <v>Spring D2.2</v>
          </cell>
          <cell r="D146" t="str">
            <v>Steel</v>
          </cell>
          <cell r="E146" t="str">
            <v>pcs</v>
          </cell>
          <cell r="G146">
            <v>5</v>
          </cell>
          <cell r="I146">
            <v>5</v>
          </cell>
          <cell r="M146">
            <v>5</v>
          </cell>
          <cell r="N146">
            <v>0</v>
          </cell>
          <cell r="O146" t="str">
            <v>Rev29-BE bổ sung. Xem bản vẽ "I90-Spring-D2.2"</v>
          </cell>
        </row>
        <row r="147">
          <cell r="A147" t="str">
            <v>B.</v>
          </cell>
          <cell r="B147" t="str">
            <v>Accessory-Material / Vật tư phụ (Galv :  Mạ kẽm nhúng nóng)</v>
          </cell>
        </row>
        <row r="148">
          <cell r="A148" t="str">
            <v>I90-B1</v>
          </cell>
          <cell r="B148" t="str">
            <v>Bu lông</v>
          </cell>
          <cell r="C148" t="str">
            <v>Bolt-M10x20-ISO4017-8.8-Galv</v>
          </cell>
          <cell r="D148" t="str">
            <v>8.8-Galv</v>
          </cell>
          <cell r="E148" t="str">
            <v>pcs</v>
          </cell>
          <cell r="F148">
            <v>0</v>
          </cell>
          <cell r="G148">
            <v>144</v>
          </cell>
          <cell r="H148">
            <v>0</v>
          </cell>
          <cell r="I148">
            <v>162</v>
          </cell>
          <cell r="J148">
            <v>0</v>
          </cell>
          <cell r="L148">
            <v>0</v>
          </cell>
          <cell r="M148">
            <v>162</v>
          </cell>
          <cell r="N148">
            <v>0</v>
          </cell>
          <cell r="O148" t="str">
            <v>Rev10</v>
          </cell>
        </row>
        <row r="149">
          <cell r="A149" t="str">
            <v>I90-B2</v>
          </cell>
          <cell r="B149" t="str">
            <v>Bu lông</v>
          </cell>
          <cell r="C149" t="str">
            <v>Bolt-M10x30-ISO4017-8.8-Galv</v>
          </cell>
          <cell r="D149" t="str">
            <v>8.8-Galv</v>
          </cell>
          <cell r="E149" t="str">
            <v>pcs</v>
          </cell>
          <cell r="F149">
            <v>0</v>
          </cell>
          <cell r="G149">
            <v>104</v>
          </cell>
          <cell r="H149">
            <v>0</v>
          </cell>
          <cell r="I149">
            <v>128</v>
          </cell>
          <cell r="J149">
            <v>0</v>
          </cell>
          <cell r="L149">
            <v>0</v>
          </cell>
          <cell r="M149">
            <v>128</v>
          </cell>
          <cell r="N149">
            <v>0</v>
          </cell>
          <cell r="O149" t="str">
            <v>Rev10</v>
          </cell>
        </row>
        <row r="150">
          <cell r="A150" t="str">
            <v>I90-B3</v>
          </cell>
          <cell r="B150" t="str">
            <v>Bu lông</v>
          </cell>
          <cell r="C150" t="str">
            <v>Bolt-M10x35-ISO4017-8.8-Galv</v>
          </cell>
          <cell r="D150" t="str">
            <v>8.8-Galv</v>
          </cell>
          <cell r="E150" t="str">
            <v>pcs</v>
          </cell>
          <cell r="F150">
            <v>0</v>
          </cell>
          <cell r="G150">
            <v>624</v>
          </cell>
          <cell r="H150">
            <v>0</v>
          </cell>
          <cell r="I150">
            <v>662</v>
          </cell>
          <cell r="J150">
            <v>0</v>
          </cell>
          <cell r="L150">
            <v>0</v>
          </cell>
          <cell r="M150">
            <v>662</v>
          </cell>
          <cell r="N150">
            <v>0</v>
          </cell>
          <cell r="O150" t="str">
            <v>Rev10</v>
          </cell>
        </row>
        <row r="151">
          <cell r="A151" t="str">
            <v>I90-B4</v>
          </cell>
          <cell r="B151" t="str">
            <v>Bu lông</v>
          </cell>
          <cell r="C151" t="str">
            <v>Bolt-M10x40-ISO4017-8.8-Galv</v>
          </cell>
          <cell r="D151" t="str">
            <v>8.8-Galv</v>
          </cell>
          <cell r="E151" t="str">
            <v>pcs</v>
          </cell>
          <cell r="F151">
            <v>0</v>
          </cell>
          <cell r="G151">
            <v>152</v>
          </cell>
          <cell r="H151">
            <v>0</v>
          </cell>
          <cell r="I151">
            <v>162</v>
          </cell>
          <cell r="J151">
            <v>0</v>
          </cell>
          <cell r="L151">
            <v>0</v>
          </cell>
          <cell r="M151">
            <v>162</v>
          </cell>
          <cell r="N151">
            <v>0</v>
          </cell>
          <cell r="O151" t="str">
            <v>Rev10</v>
          </cell>
        </row>
        <row r="152">
          <cell r="A152" t="str">
            <v>I90-B5</v>
          </cell>
          <cell r="B152" t="str">
            <v>Bu lông</v>
          </cell>
          <cell r="C152" t="str">
            <v>Bolt-M10x45-DIN912-8.8-Galv</v>
          </cell>
          <cell r="D152" t="str">
            <v>8.8-Galv</v>
          </cell>
          <cell r="E152" t="str">
            <v>pcs</v>
          </cell>
          <cell r="F152">
            <v>0</v>
          </cell>
          <cell r="G152">
            <v>40</v>
          </cell>
          <cell r="H152">
            <v>0</v>
          </cell>
          <cell r="I152">
            <v>50</v>
          </cell>
          <cell r="J152">
            <v>0</v>
          </cell>
          <cell r="L152">
            <v>0</v>
          </cell>
          <cell r="M152">
            <v>50</v>
          </cell>
          <cell r="N152">
            <v>0</v>
          </cell>
          <cell r="O152" t="str">
            <v>Rev10</v>
          </cell>
        </row>
        <row r="153">
          <cell r="A153" t="str">
            <v>I90-B6</v>
          </cell>
          <cell r="B153" t="str">
            <v>Bu lông</v>
          </cell>
          <cell r="C153" t="str">
            <v>Bolt-M12x35-ISO10642-8.8-Galv</v>
          </cell>
          <cell r="D153" t="str">
            <v>8.8-Galv</v>
          </cell>
          <cell r="E153" t="str">
            <v>pcs</v>
          </cell>
          <cell r="F153">
            <v>0</v>
          </cell>
          <cell r="G153">
            <v>2588</v>
          </cell>
          <cell r="H153">
            <v>0</v>
          </cell>
          <cell r="I153">
            <v>2736</v>
          </cell>
          <cell r="J153">
            <v>0</v>
          </cell>
          <cell r="L153">
            <v>0</v>
          </cell>
          <cell r="M153">
            <v>2736</v>
          </cell>
          <cell r="N153">
            <v>0</v>
          </cell>
          <cell r="O153" t="str">
            <v>Rev10</v>
          </cell>
        </row>
        <row r="154">
          <cell r="A154" t="str">
            <v>I90-B7</v>
          </cell>
          <cell r="B154" t="str">
            <v>Bu lông</v>
          </cell>
          <cell r="C154" t="str">
            <v>Bolt-M12x35-ISO4017-8.8-Galv</v>
          </cell>
          <cell r="D154" t="str">
            <v>8.8-Galv</v>
          </cell>
          <cell r="E154" t="str">
            <v>pcs</v>
          </cell>
          <cell r="F154">
            <v>0</v>
          </cell>
          <cell r="G154">
            <v>136</v>
          </cell>
          <cell r="H154">
            <v>0</v>
          </cell>
          <cell r="I154">
            <v>160</v>
          </cell>
          <cell r="J154">
            <v>0</v>
          </cell>
          <cell r="L154">
            <v>0</v>
          </cell>
          <cell r="M154">
            <v>160</v>
          </cell>
          <cell r="N154">
            <v>0</v>
          </cell>
          <cell r="O154" t="str">
            <v>Rev10</v>
          </cell>
        </row>
        <row r="155">
          <cell r="A155" t="str">
            <v>I90-B8</v>
          </cell>
          <cell r="B155" t="str">
            <v>Bu lông</v>
          </cell>
          <cell r="C155" t="str">
            <v>Bolt-M12x40-ISO4017-8.8-Galv</v>
          </cell>
          <cell r="D155" t="str">
            <v>8.8-Galv</v>
          </cell>
          <cell r="E155" t="str">
            <v>pcs</v>
          </cell>
          <cell r="F155">
            <v>0</v>
          </cell>
          <cell r="G155">
            <v>28</v>
          </cell>
          <cell r="H155">
            <v>0</v>
          </cell>
          <cell r="I155">
            <v>42</v>
          </cell>
          <cell r="J155">
            <v>0</v>
          </cell>
          <cell r="L155">
            <v>0</v>
          </cell>
          <cell r="M155">
            <v>42</v>
          </cell>
          <cell r="N155">
            <v>0</v>
          </cell>
          <cell r="O155" t="str">
            <v>Rev10</v>
          </cell>
        </row>
        <row r="156">
          <cell r="A156" t="str">
            <v>I90-B9</v>
          </cell>
          <cell r="B156" t="str">
            <v>Bu lông</v>
          </cell>
          <cell r="C156" t="str">
            <v>Bolt-M12x45-ISO4017-8.8-Galv</v>
          </cell>
          <cell r="D156" t="str">
            <v>8.8-Galv</v>
          </cell>
          <cell r="E156" t="str">
            <v>pcs</v>
          </cell>
          <cell r="F156">
            <v>0</v>
          </cell>
          <cell r="G156">
            <v>320</v>
          </cell>
          <cell r="H156">
            <v>0</v>
          </cell>
          <cell r="I156">
            <v>340</v>
          </cell>
          <cell r="J156">
            <v>0</v>
          </cell>
          <cell r="L156">
            <v>0</v>
          </cell>
          <cell r="M156">
            <v>340</v>
          </cell>
          <cell r="N156">
            <v>0</v>
          </cell>
          <cell r="O156" t="str">
            <v>Rev10</v>
          </cell>
        </row>
        <row r="157">
          <cell r="A157" t="str">
            <v>I90-B10</v>
          </cell>
          <cell r="B157" t="str">
            <v>Bu lông</v>
          </cell>
          <cell r="C157" t="str">
            <v>Bolt-M12x50-ISO4017-8.8-Galv</v>
          </cell>
          <cell r="D157" t="str">
            <v>8.8-Galv</v>
          </cell>
          <cell r="E157" t="str">
            <v>pcs</v>
          </cell>
          <cell r="F157">
            <v>0</v>
          </cell>
          <cell r="G157">
            <v>56</v>
          </cell>
          <cell r="H157">
            <v>0</v>
          </cell>
          <cell r="I157">
            <v>64</v>
          </cell>
          <cell r="J157">
            <v>0</v>
          </cell>
          <cell r="L157">
            <v>0</v>
          </cell>
          <cell r="M157">
            <v>64</v>
          </cell>
          <cell r="N157">
            <v>0</v>
          </cell>
          <cell r="O157" t="str">
            <v>Rev10</v>
          </cell>
        </row>
        <row r="158">
          <cell r="A158" t="str">
            <v>I90-B11</v>
          </cell>
          <cell r="B158" t="str">
            <v>Bu lông</v>
          </cell>
          <cell r="C158" t="str">
            <v>Bolt-M16x40-DIN912-8.8-Galv</v>
          </cell>
          <cell r="D158" t="str">
            <v>8.8-Galv</v>
          </cell>
          <cell r="E158" t="str">
            <v>pcs</v>
          </cell>
          <cell r="F158">
            <v>0</v>
          </cell>
          <cell r="G158">
            <v>80</v>
          </cell>
          <cell r="H158">
            <v>0</v>
          </cell>
          <cell r="I158">
            <v>90</v>
          </cell>
          <cell r="J158">
            <v>0</v>
          </cell>
          <cell r="L158">
            <v>0</v>
          </cell>
          <cell r="M158">
            <v>90</v>
          </cell>
          <cell r="N158">
            <v>0</v>
          </cell>
          <cell r="O158" t="str">
            <v>Rev10</v>
          </cell>
        </row>
        <row r="159">
          <cell r="A159" t="str">
            <v>I90-B12</v>
          </cell>
          <cell r="B159" t="str">
            <v>Bu lông</v>
          </cell>
          <cell r="C159" t="str">
            <v>Bolt-M16x45-ISO4017-8.8-Galv</v>
          </cell>
          <cell r="D159" t="str">
            <v>8.8-Galv</v>
          </cell>
          <cell r="E159" t="str">
            <v>pcs</v>
          </cell>
          <cell r="F159">
            <v>0</v>
          </cell>
          <cell r="G159">
            <v>40</v>
          </cell>
          <cell r="H159">
            <v>0</v>
          </cell>
          <cell r="I159">
            <v>50</v>
          </cell>
          <cell r="J159">
            <v>0</v>
          </cell>
          <cell r="L159">
            <v>0</v>
          </cell>
          <cell r="M159">
            <v>50</v>
          </cell>
          <cell r="N159">
            <v>0</v>
          </cell>
          <cell r="O159" t="str">
            <v>Rev10</v>
          </cell>
        </row>
        <row r="160">
          <cell r="A160" t="str">
            <v>I90-B13</v>
          </cell>
          <cell r="B160" t="str">
            <v>Bu lông</v>
          </cell>
          <cell r="C160" t="str">
            <v>Bolt-M16x50-ISO4017-8.8-Galv</v>
          </cell>
          <cell r="D160" t="str">
            <v>8.8-Galv</v>
          </cell>
          <cell r="E160" t="str">
            <v>pcs</v>
          </cell>
          <cell r="F160">
            <v>0</v>
          </cell>
          <cell r="G160">
            <v>3108</v>
          </cell>
          <cell r="H160">
            <v>0</v>
          </cell>
          <cell r="I160">
            <v>3268</v>
          </cell>
          <cell r="J160">
            <v>0</v>
          </cell>
          <cell r="L160">
            <v>0</v>
          </cell>
          <cell r="M160">
            <v>3268</v>
          </cell>
          <cell r="N160">
            <v>0</v>
          </cell>
          <cell r="O160" t="str">
            <v>Rev10</v>
          </cell>
        </row>
        <row r="161">
          <cell r="A161" t="str">
            <v>I90-B14</v>
          </cell>
          <cell r="B161" t="str">
            <v>Bu lông</v>
          </cell>
          <cell r="C161" t="str">
            <v>Bolt-M16x55-ISO4017-8.8-Galv</v>
          </cell>
          <cell r="D161" t="str">
            <v>8.8-Galv</v>
          </cell>
          <cell r="E161" t="str">
            <v>pcs</v>
          </cell>
          <cell r="F161">
            <v>0</v>
          </cell>
          <cell r="G161">
            <v>2700</v>
          </cell>
          <cell r="H161">
            <v>0</v>
          </cell>
          <cell r="I161">
            <v>2876</v>
          </cell>
          <cell r="J161">
            <v>0</v>
          </cell>
          <cell r="L161">
            <v>0</v>
          </cell>
          <cell r="M161">
            <v>2876</v>
          </cell>
          <cell r="N161">
            <v>0</v>
          </cell>
          <cell r="O161" t="str">
            <v>Rev10</v>
          </cell>
        </row>
        <row r="162">
          <cell r="A162" t="str">
            <v>I90-B15</v>
          </cell>
          <cell r="B162" t="str">
            <v>Bu lông</v>
          </cell>
          <cell r="C162" t="str">
            <v>Bolt-M16x60-ISO4017-8.8-Galv</v>
          </cell>
          <cell r="D162" t="str">
            <v>8.8-Galv</v>
          </cell>
          <cell r="E162" t="str">
            <v>pcs</v>
          </cell>
          <cell r="F162">
            <v>0</v>
          </cell>
          <cell r="G162">
            <v>8888</v>
          </cell>
          <cell r="H162">
            <v>0</v>
          </cell>
          <cell r="I162">
            <v>9358</v>
          </cell>
          <cell r="J162">
            <v>0</v>
          </cell>
          <cell r="L162">
            <v>0</v>
          </cell>
          <cell r="M162">
            <v>9358</v>
          </cell>
          <cell r="N162">
            <v>0</v>
          </cell>
          <cell r="O162" t="str">
            <v>Rev10</v>
          </cell>
        </row>
        <row r="163">
          <cell r="A163" t="str">
            <v>I90-B16</v>
          </cell>
          <cell r="B163" t="str">
            <v>Bu lông</v>
          </cell>
          <cell r="C163" t="str">
            <v>Bolt-M16x65-ISO4014-8.8-Galv</v>
          </cell>
          <cell r="D163" t="str">
            <v>8.8-Galv</v>
          </cell>
          <cell r="E163" t="str">
            <v>pcs</v>
          </cell>
          <cell r="F163">
            <v>0</v>
          </cell>
          <cell r="G163">
            <v>40</v>
          </cell>
          <cell r="H163">
            <v>0</v>
          </cell>
          <cell r="I163">
            <v>50</v>
          </cell>
          <cell r="J163">
            <v>0</v>
          </cell>
          <cell r="L163">
            <v>0</v>
          </cell>
          <cell r="M163">
            <v>50</v>
          </cell>
          <cell r="N163">
            <v>0</v>
          </cell>
          <cell r="O163" t="str">
            <v>Rev10</v>
          </cell>
        </row>
        <row r="164">
          <cell r="A164" t="str">
            <v>I90-B17</v>
          </cell>
          <cell r="B164" t="str">
            <v>Bu lông</v>
          </cell>
          <cell r="C164" t="str">
            <v>Bolt-M16x70-DIN186B-8.8-Galv</v>
          </cell>
          <cell r="D164" t="str">
            <v>8.8-Galv</v>
          </cell>
          <cell r="E164" t="str">
            <v>pcs</v>
          </cell>
          <cell r="F164">
            <v>0</v>
          </cell>
          <cell r="G164">
            <v>328</v>
          </cell>
          <cell r="H164">
            <v>0</v>
          </cell>
          <cell r="I164">
            <v>350</v>
          </cell>
          <cell r="J164">
            <v>0</v>
          </cell>
          <cell r="L164">
            <v>0</v>
          </cell>
          <cell r="M164">
            <v>350</v>
          </cell>
          <cell r="N164">
            <v>0</v>
          </cell>
          <cell r="O164" t="str">
            <v>Rev10</v>
          </cell>
        </row>
        <row r="165">
          <cell r="A165" t="str">
            <v>I90-B18</v>
          </cell>
          <cell r="B165" t="str">
            <v>Bu lông</v>
          </cell>
          <cell r="C165" t="str">
            <v>Bolt-M16x70-ISO4017-8.8-Galv</v>
          </cell>
          <cell r="D165" t="str">
            <v>8.8-Galv</v>
          </cell>
          <cell r="E165" t="str">
            <v>pcs</v>
          </cell>
          <cell r="F165">
            <v>0</v>
          </cell>
          <cell r="G165">
            <v>512</v>
          </cell>
          <cell r="H165">
            <v>0</v>
          </cell>
          <cell r="I165">
            <v>544</v>
          </cell>
          <cell r="J165">
            <v>0</v>
          </cell>
          <cell r="L165">
            <v>0</v>
          </cell>
          <cell r="M165">
            <v>544</v>
          </cell>
          <cell r="N165">
            <v>0</v>
          </cell>
          <cell r="O165" t="str">
            <v>Rev10</v>
          </cell>
        </row>
        <row r="166">
          <cell r="A166" t="str">
            <v>I90-B19</v>
          </cell>
          <cell r="B166" t="str">
            <v>Bu lông</v>
          </cell>
          <cell r="C166" t="str">
            <v>Bolt-M16x80-ISO4014-8.8-Galv</v>
          </cell>
          <cell r="D166" t="str">
            <v>8.8-Galv</v>
          </cell>
          <cell r="E166" t="str">
            <v>pcs</v>
          </cell>
          <cell r="F166">
            <v>0</v>
          </cell>
          <cell r="G166">
            <v>160</v>
          </cell>
          <cell r="H166">
            <v>0</v>
          </cell>
          <cell r="I166">
            <v>170</v>
          </cell>
          <cell r="J166">
            <v>0</v>
          </cell>
          <cell r="L166">
            <v>0</v>
          </cell>
          <cell r="M166">
            <v>170</v>
          </cell>
          <cell r="N166">
            <v>0</v>
          </cell>
          <cell r="O166" t="str">
            <v>Rev10</v>
          </cell>
        </row>
        <row r="167">
          <cell r="A167" t="str">
            <v>I90-B20</v>
          </cell>
          <cell r="B167" t="str">
            <v>Bu lông</v>
          </cell>
          <cell r="C167" t="str">
            <v>Bolt-M16x80-ISO4017-8.8-Galv</v>
          </cell>
          <cell r="D167" t="str">
            <v>8.8-Galv</v>
          </cell>
          <cell r="E167" t="str">
            <v>pcs</v>
          </cell>
          <cell r="F167">
            <v>0</v>
          </cell>
          <cell r="G167">
            <v>160</v>
          </cell>
          <cell r="H167">
            <v>0</v>
          </cell>
          <cell r="I167">
            <v>170</v>
          </cell>
          <cell r="J167">
            <v>0</v>
          </cell>
          <cell r="L167">
            <v>0</v>
          </cell>
          <cell r="M167">
            <v>170</v>
          </cell>
          <cell r="N167">
            <v>0</v>
          </cell>
          <cell r="O167" t="str">
            <v>Rev10</v>
          </cell>
        </row>
        <row r="168">
          <cell r="A168" t="str">
            <v>I90-B21</v>
          </cell>
          <cell r="B168" t="str">
            <v>Bu lông</v>
          </cell>
          <cell r="C168" t="str">
            <v>Bolt-M20x100-ISO4014-8.8-Galv</v>
          </cell>
          <cell r="D168" t="str">
            <v>8.8-Galv</v>
          </cell>
          <cell r="E168" t="str">
            <v>pcs</v>
          </cell>
          <cell r="F168">
            <v>0</v>
          </cell>
          <cell r="G168">
            <v>192</v>
          </cell>
          <cell r="H168">
            <v>0</v>
          </cell>
          <cell r="I168">
            <v>204</v>
          </cell>
          <cell r="J168">
            <v>0</v>
          </cell>
          <cell r="L168">
            <v>0</v>
          </cell>
          <cell r="M168">
            <v>204</v>
          </cell>
          <cell r="N168">
            <v>0</v>
          </cell>
          <cell r="O168" t="str">
            <v>Rev10</v>
          </cell>
        </row>
        <row r="169">
          <cell r="A169" t="str">
            <v>I90-B22</v>
          </cell>
          <cell r="B169" t="str">
            <v>Bu lông</v>
          </cell>
          <cell r="C169" t="str">
            <v>Bolt-M20x100-ISO4017-10.9-Galv</v>
          </cell>
          <cell r="D169" t="str">
            <v>10.9-Galv</v>
          </cell>
          <cell r="E169" t="str">
            <v>pcs</v>
          </cell>
          <cell r="F169">
            <v>0</v>
          </cell>
          <cell r="G169">
            <v>80</v>
          </cell>
          <cell r="H169">
            <v>0</v>
          </cell>
          <cell r="I169">
            <v>90</v>
          </cell>
          <cell r="J169">
            <v>0</v>
          </cell>
          <cell r="L169">
            <v>0</v>
          </cell>
          <cell r="M169">
            <v>90</v>
          </cell>
          <cell r="N169">
            <v>0</v>
          </cell>
          <cell r="O169" t="str">
            <v>Rev10</v>
          </cell>
        </row>
        <row r="170">
          <cell r="A170" t="str">
            <v>I90-B23</v>
          </cell>
          <cell r="B170" t="str">
            <v>Bu lông</v>
          </cell>
          <cell r="C170" t="str">
            <v>Bolt-M20x100-ISO4017-8.8-Galv</v>
          </cell>
          <cell r="D170" t="str">
            <v>8.8-Galv</v>
          </cell>
          <cell r="E170" t="str">
            <v>pcs</v>
          </cell>
          <cell r="F170">
            <v>0</v>
          </cell>
          <cell r="G170">
            <v>80</v>
          </cell>
          <cell r="H170">
            <v>0</v>
          </cell>
          <cell r="I170">
            <v>90</v>
          </cell>
          <cell r="J170">
            <v>0</v>
          </cell>
          <cell r="L170">
            <v>0</v>
          </cell>
          <cell r="M170">
            <v>90</v>
          </cell>
          <cell r="N170">
            <v>0</v>
          </cell>
          <cell r="O170" t="str">
            <v>Rev10</v>
          </cell>
        </row>
        <row r="171">
          <cell r="A171" t="str">
            <v>I90-B24</v>
          </cell>
          <cell r="B171" t="str">
            <v>Bu lông</v>
          </cell>
          <cell r="C171" t="str">
            <v>Bolt-M20x110-ISO4017-8.8-Galv</v>
          </cell>
          <cell r="D171" t="str">
            <v>8.8-Galv</v>
          </cell>
          <cell r="E171" t="str">
            <v>pcs</v>
          </cell>
          <cell r="F171">
            <v>0</v>
          </cell>
          <cell r="G171">
            <v>384</v>
          </cell>
          <cell r="H171">
            <v>0</v>
          </cell>
          <cell r="I171">
            <v>408</v>
          </cell>
          <cell r="J171">
            <v>0</v>
          </cell>
          <cell r="L171">
            <v>0</v>
          </cell>
          <cell r="M171">
            <v>408</v>
          </cell>
          <cell r="N171">
            <v>0</v>
          </cell>
          <cell r="O171" t="str">
            <v>Rev10</v>
          </cell>
        </row>
        <row r="172">
          <cell r="A172" t="str">
            <v>I90-B25</v>
          </cell>
          <cell r="B172" t="str">
            <v>Bu lông</v>
          </cell>
          <cell r="C172" t="str">
            <v>Bolt-M20x120-ISO4017-8.8-Galv</v>
          </cell>
          <cell r="D172" t="str">
            <v>8.8-Galv</v>
          </cell>
          <cell r="E172" t="str">
            <v>pcs</v>
          </cell>
          <cell r="F172">
            <v>0</v>
          </cell>
          <cell r="G172">
            <v>80</v>
          </cell>
          <cell r="H172">
            <v>0</v>
          </cell>
          <cell r="I172">
            <v>90</v>
          </cell>
          <cell r="J172">
            <v>0</v>
          </cell>
          <cell r="L172">
            <v>0</v>
          </cell>
          <cell r="M172">
            <v>90</v>
          </cell>
          <cell r="N172">
            <v>0</v>
          </cell>
          <cell r="O172" t="str">
            <v>Rev10</v>
          </cell>
        </row>
        <row r="173">
          <cell r="A173" t="str">
            <v>I90-B26</v>
          </cell>
          <cell r="B173" t="str">
            <v>Bu lông</v>
          </cell>
          <cell r="C173" t="str">
            <v>Bolt-M20x150-ISO4014-10.9-Galv</v>
          </cell>
          <cell r="D173" t="str">
            <v>10.9-Galv</v>
          </cell>
          <cell r="E173" t="str">
            <v>pcs</v>
          </cell>
          <cell r="F173">
            <v>0</v>
          </cell>
          <cell r="G173">
            <v>64</v>
          </cell>
          <cell r="H173">
            <v>0</v>
          </cell>
          <cell r="I173">
            <v>68</v>
          </cell>
          <cell r="J173">
            <v>0</v>
          </cell>
          <cell r="L173">
            <v>0</v>
          </cell>
          <cell r="M173">
            <v>68</v>
          </cell>
          <cell r="N173">
            <v>0</v>
          </cell>
          <cell r="O173" t="str">
            <v>Rev10</v>
          </cell>
        </row>
        <row r="174">
          <cell r="A174" t="str">
            <v>I90-B27</v>
          </cell>
          <cell r="B174" t="str">
            <v>Bu lông</v>
          </cell>
          <cell r="C174" t="str">
            <v>Bolt-M20x160-ISO4014-8.8-Galv</v>
          </cell>
          <cell r="D174" t="str">
            <v>8.8-Galv</v>
          </cell>
          <cell r="E174" t="str">
            <v>pcs</v>
          </cell>
          <cell r="F174">
            <v>0</v>
          </cell>
          <cell r="G174">
            <v>96</v>
          </cell>
          <cell r="H174">
            <v>0</v>
          </cell>
          <cell r="I174">
            <v>102</v>
          </cell>
          <cell r="J174">
            <v>0</v>
          </cell>
          <cell r="L174">
            <v>0</v>
          </cell>
          <cell r="M174">
            <v>102</v>
          </cell>
          <cell r="N174">
            <v>0</v>
          </cell>
          <cell r="O174" t="str">
            <v>Rev10</v>
          </cell>
        </row>
        <row r="175">
          <cell r="A175" t="str">
            <v>I90-B28</v>
          </cell>
          <cell r="B175" t="str">
            <v>Bu lông</v>
          </cell>
          <cell r="C175" t="str">
            <v>Bolt-M20x50-ISO4017-8.8-Galv</v>
          </cell>
          <cell r="D175" t="str">
            <v>8.8-Galv</v>
          </cell>
          <cell r="E175" t="str">
            <v>pcs</v>
          </cell>
          <cell r="F175">
            <v>0</v>
          </cell>
          <cell r="G175">
            <v>328</v>
          </cell>
          <cell r="H175">
            <v>0</v>
          </cell>
          <cell r="I175">
            <v>352</v>
          </cell>
          <cell r="J175">
            <v>0</v>
          </cell>
          <cell r="L175">
            <v>0</v>
          </cell>
          <cell r="M175">
            <v>352</v>
          </cell>
          <cell r="N175">
            <v>0</v>
          </cell>
          <cell r="O175" t="str">
            <v>Rev10</v>
          </cell>
        </row>
        <row r="176">
          <cell r="A176" t="str">
            <v>I90-B29</v>
          </cell>
          <cell r="B176" t="str">
            <v>Bu lông</v>
          </cell>
          <cell r="C176" t="str">
            <v>Bolt-M20x55-ISO4017-8.8-Galv</v>
          </cell>
          <cell r="D176" t="str">
            <v>8.8-Galv</v>
          </cell>
          <cell r="E176" t="str">
            <v>pcs</v>
          </cell>
          <cell r="F176">
            <v>0</v>
          </cell>
          <cell r="G176">
            <v>520</v>
          </cell>
          <cell r="H176">
            <v>0</v>
          </cell>
          <cell r="I176">
            <v>550</v>
          </cell>
          <cell r="J176">
            <v>0</v>
          </cell>
          <cell r="L176">
            <v>0</v>
          </cell>
          <cell r="M176">
            <v>550</v>
          </cell>
          <cell r="N176">
            <v>0</v>
          </cell>
          <cell r="O176" t="str">
            <v>Rev10</v>
          </cell>
        </row>
        <row r="177">
          <cell r="A177" t="str">
            <v>I90-B30</v>
          </cell>
          <cell r="B177" t="str">
            <v>Bu lông</v>
          </cell>
          <cell r="C177" t="str">
            <v>Bolt-M20x65-ISO4017-8.8-Galv</v>
          </cell>
          <cell r="D177" t="str">
            <v>8.8-Galv</v>
          </cell>
          <cell r="E177" t="str">
            <v>pcs</v>
          </cell>
          <cell r="F177">
            <v>0</v>
          </cell>
          <cell r="G177">
            <v>1240</v>
          </cell>
          <cell r="H177">
            <v>0</v>
          </cell>
          <cell r="I177">
            <v>1310</v>
          </cell>
          <cell r="J177">
            <v>0</v>
          </cell>
          <cell r="L177">
            <v>0</v>
          </cell>
          <cell r="M177">
            <v>1310</v>
          </cell>
          <cell r="N177">
            <v>0</v>
          </cell>
          <cell r="O177" t="str">
            <v>Rev10</v>
          </cell>
        </row>
        <row r="178">
          <cell r="A178" t="str">
            <v>I90-B31</v>
          </cell>
          <cell r="B178" t="str">
            <v>Bu lông</v>
          </cell>
          <cell r="C178" t="str">
            <v>Bolt-M20x80-ISO4017-8.8-Galv</v>
          </cell>
          <cell r="D178" t="str">
            <v>8.8-Galv</v>
          </cell>
          <cell r="E178" t="str">
            <v>pcs</v>
          </cell>
          <cell r="F178">
            <v>0</v>
          </cell>
          <cell r="G178">
            <v>20</v>
          </cell>
          <cell r="H178">
            <v>0</v>
          </cell>
          <cell r="I178">
            <v>30</v>
          </cell>
          <cell r="J178">
            <v>0</v>
          </cell>
          <cell r="L178">
            <v>0</v>
          </cell>
          <cell r="M178">
            <v>30</v>
          </cell>
          <cell r="N178">
            <v>0</v>
          </cell>
          <cell r="O178" t="str">
            <v>Rev10</v>
          </cell>
        </row>
        <row r="179">
          <cell r="A179" t="str">
            <v>I90-B32</v>
          </cell>
          <cell r="B179" t="str">
            <v>Bu lông</v>
          </cell>
          <cell r="C179" t="str">
            <v>Bolt-M24x110-DIN933-10.9-Galv</v>
          </cell>
          <cell r="D179" t="str">
            <v>10.9-Galv</v>
          </cell>
          <cell r="E179" t="str">
            <v>pcs</v>
          </cell>
          <cell r="F179">
            <v>0</v>
          </cell>
          <cell r="G179">
            <v>160</v>
          </cell>
          <cell r="H179">
            <v>0</v>
          </cell>
          <cell r="I179">
            <v>170</v>
          </cell>
          <cell r="J179">
            <v>0</v>
          </cell>
          <cell r="L179">
            <v>0</v>
          </cell>
          <cell r="M179">
            <v>170</v>
          </cell>
          <cell r="N179">
            <v>0</v>
          </cell>
          <cell r="O179" t="str">
            <v>Rev10</v>
          </cell>
        </row>
        <row r="180">
          <cell r="A180" t="str">
            <v>I90-B33</v>
          </cell>
          <cell r="B180" t="str">
            <v>Bu lông</v>
          </cell>
          <cell r="C180" t="str">
            <v>Bolt-M24x120-ISO4014-10.9-Galv</v>
          </cell>
          <cell r="D180" t="str">
            <v>10.9-Galv</v>
          </cell>
          <cell r="E180" t="str">
            <v>pcs</v>
          </cell>
          <cell r="F180">
            <v>0</v>
          </cell>
          <cell r="G180">
            <v>640</v>
          </cell>
          <cell r="H180">
            <v>0</v>
          </cell>
          <cell r="I180">
            <v>680</v>
          </cell>
          <cell r="J180">
            <v>0</v>
          </cell>
          <cell r="L180">
            <v>0</v>
          </cell>
          <cell r="M180">
            <v>680</v>
          </cell>
          <cell r="N180">
            <v>0</v>
          </cell>
          <cell r="O180" t="str">
            <v>Rev10</v>
          </cell>
        </row>
        <row r="181">
          <cell r="A181" t="str">
            <v>I90-B34</v>
          </cell>
          <cell r="B181" t="str">
            <v>Bu lông</v>
          </cell>
          <cell r="C181" t="str">
            <v>Bolt-M24x120-ISO4014-8.8-Galv</v>
          </cell>
          <cell r="D181" t="str">
            <v>8.8-Galv</v>
          </cell>
          <cell r="E181" t="str">
            <v>pcs</v>
          </cell>
          <cell r="F181">
            <v>0</v>
          </cell>
          <cell r="G181">
            <v>1392</v>
          </cell>
          <cell r="H181">
            <v>0</v>
          </cell>
          <cell r="I181">
            <v>1466</v>
          </cell>
          <cell r="J181">
            <v>0</v>
          </cell>
          <cell r="L181">
            <v>0</v>
          </cell>
          <cell r="M181">
            <v>1466</v>
          </cell>
          <cell r="N181">
            <v>0</v>
          </cell>
          <cell r="O181" t="str">
            <v>Rev10</v>
          </cell>
        </row>
        <row r="182">
          <cell r="A182" t="str">
            <v>I90-B35</v>
          </cell>
          <cell r="B182" t="str">
            <v>Bu lông</v>
          </cell>
          <cell r="C182" t="str">
            <v>Bolt-M24x85-EN14399-4-10.9-tZn</v>
          </cell>
          <cell r="D182" t="str">
            <v>10.9-tZn</v>
          </cell>
          <cell r="E182" t="str">
            <v>pcs</v>
          </cell>
          <cell r="F182">
            <v>0</v>
          </cell>
          <cell r="G182">
            <v>80</v>
          </cell>
          <cell r="H182">
            <v>0</v>
          </cell>
          <cell r="I182">
            <v>90</v>
          </cell>
          <cell r="J182">
            <v>0</v>
          </cell>
          <cell r="L182">
            <v>0</v>
          </cell>
          <cell r="M182">
            <v>90</v>
          </cell>
          <cell r="N182">
            <v>0</v>
          </cell>
          <cell r="O182" t="str">
            <v>Rev10</v>
          </cell>
        </row>
        <row r="183">
          <cell r="A183" t="str">
            <v>I90-B36</v>
          </cell>
          <cell r="B183" t="str">
            <v>Bu lông</v>
          </cell>
          <cell r="C183" t="str">
            <v>Bolt-M30x140-ISO4014-8.8-Galv</v>
          </cell>
          <cell r="D183" t="str">
            <v>8.8-Galv</v>
          </cell>
          <cell r="E183" t="str">
            <v>pcs</v>
          </cell>
          <cell r="F183">
            <v>0</v>
          </cell>
          <cell r="G183">
            <v>288</v>
          </cell>
          <cell r="H183">
            <v>0</v>
          </cell>
          <cell r="I183">
            <v>306</v>
          </cell>
          <cell r="J183">
            <v>0</v>
          </cell>
          <cell r="L183">
            <v>0</v>
          </cell>
          <cell r="M183">
            <v>306</v>
          </cell>
          <cell r="N183">
            <v>0</v>
          </cell>
          <cell r="O183" t="str">
            <v>Rev10</v>
          </cell>
        </row>
        <row r="184">
          <cell r="A184" t="str">
            <v>I90-B37</v>
          </cell>
          <cell r="B184" t="str">
            <v>Bu lông</v>
          </cell>
          <cell r="C184" t="str">
            <v>Bolt-M30x150-ISO4014-8.8-Galv</v>
          </cell>
          <cell r="D184" t="str">
            <v>8.8-Galv</v>
          </cell>
          <cell r="E184" t="str">
            <v>pcs</v>
          </cell>
          <cell r="F184">
            <v>0</v>
          </cell>
          <cell r="G184">
            <v>352</v>
          </cell>
          <cell r="H184">
            <v>0</v>
          </cell>
          <cell r="I184">
            <v>374</v>
          </cell>
          <cell r="J184">
            <v>0</v>
          </cell>
          <cell r="L184">
            <v>0</v>
          </cell>
          <cell r="M184">
            <v>374</v>
          </cell>
          <cell r="N184">
            <v>0</v>
          </cell>
          <cell r="O184" t="str">
            <v>Rev10</v>
          </cell>
        </row>
        <row r="185">
          <cell r="A185" t="str">
            <v>I90-B38</v>
          </cell>
          <cell r="B185" t="str">
            <v>Bu lông</v>
          </cell>
          <cell r="C185" t="str">
            <v>Bolt-M30x80-ISO4017-8.8-Galv</v>
          </cell>
          <cell r="D185" t="str">
            <v>8.8-Galv</v>
          </cell>
          <cell r="E185" t="str">
            <v>pcs</v>
          </cell>
          <cell r="F185">
            <v>0</v>
          </cell>
          <cell r="G185">
            <v>80</v>
          </cell>
          <cell r="H185">
            <v>0</v>
          </cell>
          <cell r="I185">
            <v>90</v>
          </cell>
          <cell r="J185">
            <v>0</v>
          </cell>
          <cell r="L185">
            <v>0</v>
          </cell>
          <cell r="M185">
            <v>90</v>
          </cell>
          <cell r="N185">
            <v>0</v>
          </cell>
          <cell r="O185" t="str">
            <v>Rev10</v>
          </cell>
        </row>
        <row r="186">
          <cell r="A186" t="str">
            <v>I90-B39</v>
          </cell>
          <cell r="B186" t="str">
            <v>Bu lông</v>
          </cell>
          <cell r="C186" t="str">
            <v>Bolt-M4x10-ISO4017-8.8-Galv</v>
          </cell>
          <cell r="D186" t="str">
            <v>8.8-Galv</v>
          </cell>
          <cell r="E186" t="str">
            <v>pcs</v>
          </cell>
          <cell r="F186">
            <v>0</v>
          </cell>
          <cell r="G186">
            <v>80</v>
          </cell>
          <cell r="H186">
            <v>0</v>
          </cell>
          <cell r="I186">
            <v>100</v>
          </cell>
          <cell r="J186">
            <v>0</v>
          </cell>
          <cell r="L186">
            <v>0</v>
          </cell>
          <cell r="M186">
            <v>100</v>
          </cell>
          <cell r="N186">
            <v>0</v>
          </cell>
          <cell r="O186" t="str">
            <v>Rev10</v>
          </cell>
        </row>
        <row r="187">
          <cell r="A187" t="str">
            <v>I90-B40</v>
          </cell>
          <cell r="B187" t="str">
            <v>Bu lông</v>
          </cell>
          <cell r="C187" t="str">
            <v>Bolt-M5x16-DIN912-8.8-Galv</v>
          </cell>
          <cell r="D187" t="str">
            <v>8.8-Galv</v>
          </cell>
          <cell r="E187" t="str">
            <v>pcs</v>
          </cell>
          <cell r="F187">
            <v>0</v>
          </cell>
          <cell r="G187">
            <v>88</v>
          </cell>
          <cell r="H187">
            <v>0</v>
          </cell>
          <cell r="I187">
            <v>92</v>
          </cell>
          <cell r="J187">
            <v>0</v>
          </cell>
          <cell r="L187">
            <v>0</v>
          </cell>
          <cell r="M187">
            <v>92</v>
          </cell>
          <cell r="N187">
            <v>0</v>
          </cell>
          <cell r="O187" t="str">
            <v>Rev10</v>
          </cell>
        </row>
        <row r="188">
          <cell r="A188" t="str">
            <v>I90-B41</v>
          </cell>
          <cell r="B188" t="str">
            <v>Bu lông</v>
          </cell>
          <cell r="C188" t="str">
            <v>Bolt-M5x45-DIN912-8.8-Galv</v>
          </cell>
          <cell r="D188" t="str">
            <v>8.8-Galv</v>
          </cell>
          <cell r="E188" t="str">
            <v>pcs</v>
          </cell>
          <cell r="F188">
            <v>0</v>
          </cell>
          <cell r="G188">
            <v>64</v>
          </cell>
          <cell r="H188">
            <v>0</v>
          </cell>
          <cell r="I188">
            <v>68</v>
          </cell>
          <cell r="J188">
            <v>0</v>
          </cell>
          <cell r="L188">
            <v>0</v>
          </cell>
          <cell r="M188">
            <v>68</v>
          </cell>
          <cell r="N188">
            <v>0</v>
          </cell>
          <cell r="O188" t="str">
            <v>Rev10</v>
          </cell>
        </row>
        <row r="189">
          <cell r="A189" t="str">
            <v>I90-B42</v>
          </cell>
          <cell r="B189" t="str">
            <v>Bu lông</v>
          </cell>
          <cell r="C189" t="str">
            <v>Bolt-M6x12-DIN7500-St-Galv</v>
          </cell>
          <cell r="D189" t="str">
            <v>St-Galv</v>
          </cell>
          <cell r="E189" t="str">
            <v>pcs</v>
          </cell>
          <cell r="F189">
            <v>0</v>
          </cell>
          <cell r="G189">
            <v>464</v>
          </cell>
          <cell r="H189">
            <v>0</v>
          </cell>
          <cell r="I189">
            <v>508</v>
          </cell>
          <cell r="J189">
            <v>0</v>
          </cell>
          <cell r="L189">
            <v>0</v>
          </cell>
          <cell r="M189">
            <v>508</v>
          </cell>
          <cell r="N189">
            <v>0</v>
          </cell>
          <cell r="O189" t="str">
            <v>Rev10</v>
          </cell>
        </row>
        <row r="190">
          <cell r="A190" t="str">
            <v>I90-B43</v>
          </cell>
          <cell r="B190" t="str">
            <v>Bu lông</v>
          </cell>
          <cell r="C190" t="str">
            <v>Bolt-M6x12-ISO4017-8.8-Galv</v>
          </cell>
          <cell r="D190" t="str">
            <v>8.8-Galv</v>
          </cell>
          <cell r="E190" t="str">
            <v>pcs</v>
          </cell>
          <cell r="F190">
            <v>0</v>
          </cell>
          <cell r="G190">
            <v>8</v>
          </cell>
          <cell r="H190">
            <v>0</v>
          </cell>
          <cell r="I190">
            <v>12</v>
          </cell>
          <cell r="J190">
            <v>0</v>
          </cell>
          <cell r="L190">
            <v>0</v>
          </cell>
          <cell r="M190">
            <v>12</v>
          </cell>
          <cell r="N190">
            <v>0</v>
          </cell>
          <cell r="O190" t="str">
            <v>Rev10</v>
          </cell>
        </row>
        <row r="191">
          <cell r="A191" t="str">
            <v>I90-B44</v>
          </cell>
          <cell r="B191" t="str">
            <v>Bu lông</v>
          </cell>
          <cell r="C191" t="str">
            <v>Bolt-M6x12-ISO7045-4.8-Galv</v>
          </cell>
          <cell r="D191" t="str">
            <v>4.8-Galv</v>
          </cell>
          <cell r="E191" t="str">
            <v>pcs</v>
          </cell>
          <cell r="F191">
            <v>0</v>
          </cell>
          <cell r="G191">
            <v>120</v>
          </cell>
          <cell r="H191">
            <v>0</v>
          </cell>
          <cell r="I191">
            <v>126</v>
          </cell>
          <cell r="J191">
            <v>0</v>
          </cell>
          <cell r="L191">
            <v>0</v>
          </cell>
          <cell r="M191">
            <v>126</v>
          </cell>
          <cell r="N191">
            <v>0</v>
          </cell>
          <cell r="O191" t="str">
            <v>Rev10</v>
          </cell>
        </row>
        <row r="192">
          <cell r="A192" t="str">
            <v>I90-B45</v>
          </cell>
          <cell r="B192" t="str">
            <v>Bu lông</v>
          </cell>
          <cell r="C192" t="str">
            <v>Bolt-M6x12-ISO7045-St-Galv</v>
          </cell>
          <cell r="D192" t="str">
            <v>St-Galv</v>
          </cell>
          <cell r="E192" t="str">
            <v>pcs</v>
          </cell>
          <cell r="F192">
            <v>0</v>
          </cell>
          <cell r="G192">
            <v>80</v>
          </cell>
          <cell r="H192">
            <v>0</v>
          </cell>
          <cell r="I192">
            <v>84</v>
          </cell>
          <cell r="J192">
            <v>0</v>
          </cell>
          <cell r="L192">
            <v>0</v>
          </cell>
          <cell r="M192">
            <v>84</v>
          </cell>
          <cell r="N192">
            <v>0</v>
          </cell>
          <cell r="O192" t="str">
            <v>Rev10</v>
          </cell>
        </row>
        <row r="193">
          <cell r="A193" t="str">
            <v>I90-B46</v>
          </cell>
          <cell r="B193" t="str">
            <v>Bu lông</v>
          </cell>
          <cell r="C193" t="str">
            <v>Bolt-M6x20-DIN7500-St-Galv</v>
          </cell>
          <cell r="D193" t="str">
            <v>St-Galv</v>
          </cell>
          <cell r="E193" t="str">
            <v>pcs</v>
          </cell>
          <cell r="F193">
            <v>0</v>
          </cell>
          <cell r="G193">
            <v>24</v>
          </cell>
          <cell r="H193">
            <v>0</v>
          </cell>
          <cell r="I193">
            <v>28</v>
          </cell>
          <cell r="J193">
            <v>0</v>
          </cell>
          <cell r="L193">
            <v>0</v>
          </cell>
          <cell r="M193">
            <v>28</v>
          </cell>
          <cell r="N193">
            <v>0</v>
          </cell>
          <cell r="O193" t="str">
            <v>Rev10</v>
          </cell>
        </row>
        <row r="194">
          <cell r="A194" t="str">
            <v>I90-B47</v>
          </cell>
          <cell r="B194" t="str">
            <v>Bu lông</v>
          </cell>
          <cell r="C194" t="str">
            <v>Bolt-M6x20-DIN933-8.8-Galv</v>
          </cell>
          <cell r="D194" t="str">
            <v>8.8-Galv</v>
          </cell>
          <cell r="E194" t="str">
            <v>pcs</v>
          </cell>
          <cell r="F194">
            <v>0</v>
          </cell>
          <cell r="G194">
            <v>640</v>
          </cell>
          <cell r="H194">
            <v>0</v>
          </cell>
          <cell r="I194">
            <v>680</v>
          </cell>
          <cell r="J194">
            <v>0</v>
          </cell>
          <cell r="L194">
            <v>0</v>
          </cell>
          <cell r="M194">
            <v>680</v>
          </cell>
          <cell r="N194">
            <v>0</v>
          </cell>
          <cell r="O194" t="str">
            <v>Rev10</v>
          </cell>
        </row>
        <row r="195">
          <cell r="A195" t="str">
            <v>I90-B48</v>
          </cell>
          <cell r="B195" t="str">
            <v>Bu lông</v>
          </cell>
          <cell r="C195" t="str">
            <v>Bolt-M6x25-ISO4017-8.8-Galv</v>
          </cell>
          <cell r="D195" t="str">
            <v>8.8-Galv</v>
          </cell>
          <cell r="E195" t="str">
            <v>pcs</v>
          </cell>
          <cell r="F195">
            <v>0</v>
          </cell>
          <cell r="G195">
            <v>284</v>
          </cell>
          <cell r="H195">
            <v>0</v>
          </cell>
          <cell r="I195">
            <v>300</v>
          </cell>
          <cell r="J195">
            <v>0</v>
          </cell>
          <cell r="L195">
            <v>0</v>
          </cell>
          <cell r="M195">
            <v>300</v>
          </cell>
          <cell r="N195">
            <v>0</v>
          </cell>
          <cell r="O195" t="str">
            <v>Rev10</v>
          </cell>
        </row>
        <row r="196">
          <cell r="A196" t="str">
            <v>I90-B49</v>
          </cell>
          <cell r="B196" t="str">
            <v>Bu lông</v>
          </cell>
          <cell r="C196" t="str">
            <v>BOLT-M8x20-ISO4017-8.8-Galv</v>
          </cell>
          <cell r="D196" t="str">
            <v>8.8-Galv</v>
          </cell>
          <cell r="E196" t="str">
            <v>pcs</v>
          </cell>
          <cell r="F196">
            <v>0</v>
          </cell>
          <cell r="G196">
            <v>8</v>
          </cell>
          <cell r="H196">
            <v>0</v>
          </cell>
          <cell r="I196">
            <v>12</v>
          </cell>
          <cell r="J196">
            <v>0</v>
          </cell>
          <cell r="L196">
            <v>0</v>
          </cell>
          <cell r="M196">
            <v>12</v>
          </cell>
          <cell r="N196">
            <v>0</v>
          </cell>
          <cell r="O196" t="str">
            <v>Rev10</v>
          </cell>
        </row>
        <row r="197">
          <cell r="A197" t="str">
            <v>I90-B50</v>
          </cell>
          <cell r="B197" t="str">
            <v>Bu lông</v>
          </cell>
          <cell r="C197" t="str">
            <v>Bolt-M8x25-ISO4017-8.8-Galv</v>
          </cell>
          <cell r="D197" t="str">
            <v>8.8-Galv</v>
          </cell>
          <cell r="E197" t="str">
            <v>pcs</v>
          </cell>
          <cell r="F197">
            <v>0</v>
          </cell>
          <cell r="G197">
            <v>56</v>
          </cell>
          <cell r="H197">
            <v>0</v>
          </cell>
          <cell r="I197">
            <v>64</v>
          </cell>
          <cell r="J197">
            <v>0</v>
          </cell>
          <cell r="L197">
            <v>0</v>
          </cell>
          <cell r="M197">
            <v>64</v>
          </cell>
          <cell r="N197">
            <v>0</v>
          </cell>
          <cell r="O197" t="str">
            <v>Rev10</v>
          </cell>
        </row>
        <row r="198">
          <cell r="A198" t="str">
            <v>I90-B51</v>
          </cell>
          <cell r="B198" t="str">
            <v>Bu lông</v>
          </cell>
          <cell r="C198" t="str">
            <v>Bolt-M8x30-ISO4017-8.8-Galv</v>
          </cell>
          <cell r="D198" t="str">
            <v>8.8-Galv</v>
          </cell>
          <cell r="E198" t="str">
            <v>pcs</v>
          </cell>
          <cell r="F198">
            <v>0</v>
          </cell>
          <cell r="G198">
            <v>40</v>
          </cell>
          <cell r="H198">
            <v>0</v>
          </cell>
          <cell r="I198">
            <v>50</v>
          </cell>
          <cell r="J198">
            <v>0</v>
          </cell>
          <cell r="L198">
            <v>0</v>
          </cell>
          <cell r="M198">
            <v>50</v>
          </cell>
          <cell r="N198">
            <v>0</v>
          </cell>
          <cell r="O198" t="str">
            <v>Rev10</v>
          </cell>
        </row>
        <row r="199">
          <cell r="A199" t="str">
            <v>I90-B52</v>
          </cell>
          <cell r="B199" t="str">
            <v>Bu lông</v>
          </cell>
          <cell r="C199" t="str">
            <v>Bolt-M8x50-DIN603-8.8-Galv</v>
          </cell>
          <cell r="D199" t="str">
            <v>8.8-Galv</v>
          </cell>
          <cell r="E199" t="str">
            <v>pcs</v>
          </cell>
          <cell r="F199">
            <v>0</v>
          </cell>
          <cell r="G199">
            <v>208</v>
          </cell>
          <cell r="H199">
            <v>0</v>
          </cell>
          <cell r="I199">
            <v>224</v>
          </cell>
          <cell r="J199">
            <v>0</v>
          </cell>
          <cell r="L199">
            <v>0</v>
          </cell>
          <cell r="M199">
            <v>224</v>
          </cell>
          <cell r="N199">
            <v>0</v>
          </cell>
          <cell r="O199" t="str">
            <v>Rev10</v>
          </cell>
        </row>
        <row r="200">
          <cell r="A200" t="str">
            <v>I90-B53</v>
          </cell>
          <cell r="B200" t="str">
            <v>Bu lông</v>
          </cell>
          <cell r="C200" t="str">
            <v>Bolt-M8x75-ISO4017-8.8-Galv</v>
          </cell>
          <cell r="D200" t="str">
            <v>8.8-Galv</v>
          </cell>
          <cell r="E200" t="str">
            <v>pcs</v>
          </cell>
          <cell r="F200">
            <v>0</v>
          </cell>
          <cell r="G200">
            <v>104</v>
          </cell>
          <cell r="H200">
            <v>0</v>
          </cell>
          <cell r="I200">
            <v>114</v>
          </cell>
          <cell r="J200">
            <v>0</v>
          </cell>
          <cell r="L200">
            <v>0</v>
          </cell>
          <cell r="M200">
            <v>114</v>
          </cell>
          <cell r="N200">
            <v>0</v>
          </cell>
          <cell r="O200" t="str">
            <v>Rev10</v>
          </cell>
        </row>
        <row r="201">
          <cell r="A201" t="str">
            <v>I90-B54</v>
          </cell>
          <cell r="B201" t="str">
            <v>Ốc</v>
          </cell>
          <cell r="C201" t="str">
            <v>Nut-M10-ISO4032-8-Galv</v>
          </cell>
          <cell r="D201" t="str">
            <v>8-Galv</v>
          </cell>
          <cell r="E201" t="str">
            <v>pcs</v>
          </cell>
          <cell r="F201">
            <v>0</v>
          </cell>
          <cell r="G201">
            <v>296</v>
          </cell>
          <cell r="H201">
            <v>0</v>
          </cell>
          <cell r="I201">
            <v>320</v>
          </cell>
          <cell r="J201">
            <v>0</v>
          </cell>
          <cell r="L201">
            <v>0</v>
          </cell>
          <cell r="M201">
            <v>320</v>
          </cell>
          <cell r="N201">
            <v>0</v>
          </cell>
          <cell r="O201" t="str">
            <v>Rev10</v>
          </cell>
        </row>
        <row r="202">
          <cell r="A202" t="str">
            <v>I90-B55</v>
          </cell>
          <cell r="B202" t="str">
            <v>Ốc</v>
          </cell>
          <cell r="C202" t="str">
            <v>Nut-M10-ISO4032-8-tZn</v>
          </cell>
          <cell r="D202" t="str">
            <v>8-tZn</v>
          </cell>
          <cell r="E202" t="str">
            <v>pcs</v>
          </cell>
          <cell r="F202">
            <v>0</v>
          </cell>
          <cell r="G202">
            <v>808</v>
          </cell>
          <cell r="H202">
            <v>0</v>
          </cell>
          <cell r="I202">
            <v>872</v>
          </cell>
          <cell r="J202">
            <v>0</v>
          </cell>
          <cell r="L202">
            <v>0</v>
          </cell>
          <cell r="M202">
            <v>872</v>
          </cell>
          <cell r="N202">
            <v>0</v>
          </cell>
          <cell r="O202" t="str">
            <v>Rev10</v>
          </cell>
        </row>
        <row r="203">
          <cell r="A203" t="str">
            <v>I90-B56</v>
          </cell>
          <cell r="B203" t="str">
            <v>Ốc</v>
          </cell>
          <cell r="C203" t="str">
            <v>Nut-M12-ISO4032-8-Galv</v>
          </cell>
          <cell r="D203" t="str">
            <v>8-Galv</v>
          </cell>
          <cell r="E203" t="str">
            <v>pcs</v>
          </cell>
          <cell r="F203">
            <v>0</v>
          </cell>
          <cell r="G203">
            <v>360</v>
          </cell>
          <cell r="H203">
            <v>0</v>
          </cell>
          <cell r="I203">
            <v>390</v>
          </cell>
          <cell r="J203">
            <v>0</v>
          </cell>
          <cell r="L203">
            <v>0</v>
          </cell>
          <cell r="M203">
            <v>390</v>
          </cell>
          <cell r="N203">
            <v>0</v>
          </cell>
          <cell r="O203" t="str">
            <v>Rev10</v>
          </cell>
        </row>
        <row r="204">
          <cell r="A204" t="str">
            <v>I90-B57</v>
          </cell>
          <cell r="B204" t="str">
            <v>Ốc</v>
          </cell>
          <cell r="C204" t="str">
            <v>Nut-M12-ISO4032-8-tZn</v>
          </cell>
          <cell r="D204" t="str">
            <v>8-tZn</v>
          </cell>
          <cell r="E204" t="str">
            <v>pcs</v>
          </cell>
          <cell r="F204">
            <v>0</v>
          </cell>
          <cell r="G204">
            <v>3840</v>
          </cell>
          <cell r="H204">
            <v>0</v>
          </cell>
          <cell r="I204">
            <v>4082</v>
          </cell>
          <cell r="J204">
            <v>0</v>
          </cell>
          <cell r="L204">
            <v>0</v>
          </cell>
          <cell r="M204">
            <v>4082</v>
          </cell>
          <cell r="N204">
            <v>0</v>
          </cell>
          <cell r="O204" t="str">
            <v>Rev10</v>
          </cell>
        </row>
        <row r="205">
          <cell r="A205" t="str">
            <v>I90-B58</v>
          </cell>
          <cell r="B205" t="str">
            <v>Ốc</v>
          </cell>
          <cell r="C205" t="str">
            <v>Nut-M16-DIN929-St-Black</v>
          </cell>
          <cell r="D205" t="str">
            <v>St-Black</v>
          </cell>
          <cell r="E205" t="str">
            <v>pcs</v>
          </cell>
          <cell r="F205">
            <v>0</v>
          </cell>
          <cell r="G205">
            <v>240</v>
          </cell>
          <cell r="H205">
            <v>0</v>
          </cell>
          <cell r="I205">
            <v>260</v>
          </cell>
          <cell r="J205">
            <v>0</v>
          </cell>
          <cell r="L205">
            <v>0</v>
          </cell>
          <cell r="M205">
            <v>260</v>
          </cell>
          <cell r="N205">
            <v>0</v>
          </cell>
          <cell r="O205" t="str">
            <v>Rev10</v>
          </cell>
        </row>
        <row r="206">
          <cell r="A206" t="str">
            <v>I90-B59</v>
          </cell>
          <cell r="B206" t="str">
            <v>Ốc</v>
          </cell>
          <cell r="C206" t="str">
            <v>Nut-M16-ISO4032-8-Galv</v>
          </cell>
          <cell r="D206" t="str">
            <v>8-Galv</v>
          </cell>
          <cell r="E206" t="str">
            <v>pcs</v>
          </cell>
          <cell r="F206">
            <v>0</v>
          </cell>
          <cell r="G206">
            <v>9520</v>
          </cell>
          <cell r="H206">
            <v>0</v>
          </cell>
          <cell r="I206">
            <v>10012</v>
          </cell>
          <cell r="J206">
            <v>0</v>
          </cell>
          <cell r="L206">
            <v>0</v>
          </cell>
          <cell r="M206">
            <v>10012</v>
          </cell>
          <cell r="N206">
            <v>0</v>
          </cell>
          <cell r="O206" t="str">
            <v>Rev10</v>
          </cell>
        </row>
        <row r="207">
          <cell r="A207" t="str">
            <v>I90-B60</v>
          </cell>
          <cell r="B207" t="str">
            <v>Ốc</v>
          </cell>
          <cell r="C207" t="str">
            <v>Nut-M16-ISO4032-8-tZn</v>
          </cell>
          <cell r="D207" t="str">
            <v>8-tZn</v>
          </cell>
          <cell r="E207" t="str">
            <v>pcs</v>
          </cell>
          <cell r="F207">
            <v>0</v>
          </cell>
          <cell r="G207">
            <v>6176</v>
          </cell>
          <cell r="H207">
            <v>0</v>
          </cell>
          <cell r="I207">
            <v>6512</v>
          </cell>
          <cell r="J207">
            <v>0</v>
          </cell>
          <cell r="L207">
            <v>0</v>
          </cell>
          <cell r="M207">
            <v>6512</v>
          </cell>
          <cell r="N207">
            <v>0</v>
          </cell>
          <cell r="O207" t="str">
            <v>Rev10</v>
          </cell>
        </row>
        <row r="208">
          <cell r="A208" t="str">
            <v>I90-B61</v>
          </cell>
          <cell r="B208" t="str">
            <v>Ốc</v>
          </cell>
          <cell r="C208" t="str">
            <v>Nut-M20-DIN934-10-Galv</v>
          </cell>
          <cell r="D208" t="str">
            <v>10-Galv</v>
          </cell>
          <cell r="E208" t="str">
            <v>pcs</v>
          </cell>
          <cell r="F208">
            <v>0</v>
          </cell>
          <cell r="G208">
            <v>1280</v>
          </cell>
          <cell r="H208">
            <v>0</v>
          </cell>
          <cell r="I208">
            <v>1360</v>
          </cell>
          <cell r="J208">
            <v>0</v>
          </cell>
          <cell r="L208">
            <v>0</v>
          </cell>
          <cell r="M208">
            <v>1360</v>
          </cell>
          <cell r="N208">
            <v>0</v>
          </cell>
          <cell r="O208" t="str">
            <v>Rev10</v>
          </cell>
        </row>
        <row r="209">
          <cell r="A209" t="str">
            <v>I90-B62</v>
          </cell>
          <cell r="B209" t="str">
            <v>Ốc</v>
          </cell>
          <cell r="C209" t="str">
            <v>Nut-M20-ISO4032-10.9-tZn</v>
          </cell>
          <cell r="D209" t="str">
            <v>10.9-tZn</v>
          </cell>
          <cell r="E209" t="str">
            <v>pcs</v>
          </cell>
          <cell r="F209">
            <v>0</v>
          </cell>
          <cell r="G209">
            <v>80</v>
          </cell>
          <cell r="H209">
            <v>0</v>
          </cell>
          <cell r="I209">
            <v>90</v>
          </cell>
          <cell r="J209">
            <v>0</v>
          </cell>
          <cell r="L209">
            <v>0</v>
          </cell>
          <cell r="M209">
            <v>90</v>
          </cell>
          <cell r="N209">
            <v>0</v>
          </cell>
          <cell r="O209" t="str">
            <v>Rev10</v>
          </cell>
        </row>
        <row r="210">
          <cell r="A210" t="str">
            <v>I90-B63</v>
          </cell>
          <cell r="B210" t="str">
            <v>Ốc</v>
          </cell>
          <cell r="C210" t="str">
            <v>Nut-M20-ISO4032-8-Galv</v>
          </cell>
          <cell r="D210" t="str">
            <v>8-Galv</v>
          </cell>
          <cell r="E210" t="str">
            <v>pcs</v>
          </cell>
          <cell r="F210">
            <v>0</v>
          </cell>
          <cell r="G210">
            <v>848</v>
          </cell>
          <cell r="H210">
            <v>0</v>
          </cell>
          <cell r="I210">
            <v>902</v>
          </cell>
          <cell r="J210">
            <v>0</v>
          </cell>
          <cell r="L210">
            <v>0</v>
          </cell>
          <cell r="M210">
            <v>902</v>
          </cell>
          <cell r="N210">
            <v>0</v>
          </cell>
          <cell r="O210" t="str">
            <v>Rev10</v>
          </cell>
        </row>
        <row r="211">
          <cell r="A211" t="str">
            <v>I90-B64</v>
          </cell>
          <cell r="B211" t="str">
            <v>Ốc</v>
          </cell>
          <cell r="C211" t="str">
            <v>Nut-M20-ISO4032-8-tZn</v>
          </cell>
          <cell r="D211" t="str">
            <v>8-tZn</v>
          </cell>
          <cell r="E211" t="str">
            <v>pcs</v>
          </cell>
          <cell r="F211">
            <v>0</v>
          </cell>
          <cell r="G211">
            <v>2272</v>
          </cell>
          <cell r="H211">
            <v>0</v>
          </cell>
          <cell r="I211">
            <v>2408</v>
          </cell>
          <cell r="J211">
            <v>0</v>
          </cell>
          <cell r="L211">
            <v>0</v>
          </cell>
          <cell r="M211">
            <v>2408</v>
          </cell>
          <cell r="N211">
            <v>0</v>
          </cell>
          <cell r="O211" t="str">
            <v>Rev10</v>
          </cell>
        </row>
        <row r="212">
          <cell r="A212" t="str">
            <v>I90-B65</v>
          </cell>
          <cell r="B212" t="str">
            <v>Ốc</v>
          </cell>
          <cell r="C212" t="str">
            <v>Nut-M24-DIN934-10-Galv</v>
          </cell>
          <cell r="D212" t="str">
            <v>10-Galv</v>
          </cell>
          <cell r="E212" t="str">
            <v>pcs</v>
          </cell>
          <cell r="F212">
            <v>0</v>
          </cell>
          <cell r="G212">
            <v>160</v>
          </cell>
          <cell r="H212">
            <v>0</v>
          </cell>
          <cell r="I212">
            <v>170</v>
          </cell>
          <cell r="J212">
            <v>0</v>
          </cell>
          <cell r="L212">
            <v>0</v>
          </cell>
          <cell r="M212">
            <v>170</v>
          </cell>
          <cell r="N212">
            <v>0</v>
          </cell>
          <cell r="O212" t="str">
            <v>Rev10</v>
          </cell>
        </row>
        <row r="213">
          <cell r="A213" t="str">
            <v>I90-B66</v>
          </cell>
          <cell r="B213" t="str">
            <v>Ốc</v>
          </cell>
          <cell r="C213" t="str">
            <v>Nut-M24-EN14399-4-10-tZn</v>
          </cell>
          <cell r="D213" t="str">
            <v>10-tZn</v>
          </cell>
          <cell r="E213" t="str">
            <v>pcs</v>
          </cell>
          <cell r="F213">
            <v>0</v>
          </cell>
          <cell r="G213">
            <v>80</v>
          </cell>
          <cell r="H213">
            <v>0</v>
          </cell>
          <cell r="I213">
            <v>90</v>
          </cell>
          <cell r="J213">
            <v>0</v>
          </cell>
          <cell r="L213">
            <v>0</v>
          </cell>
          <cell r="M213">
            <v>90</v>
          </cell>
          <cell r="N213">
            <v>0</v>
          </cell>
          <cell r="O213" t="str">
            <v>Rev10</v>
          </cell>
        </row>
        <row r="214">
          <cell r="A214" t="str">
            <v>I90-B67</v>
          </cell>
          <cell r="B214" t="str">
            <v>Ốc</v>
          </cell>
          <cell r="C214" t="str">
            <v>Nut-M24-ISO4032-8-Galv</v>
          </cell>
          <cell r="D214" t="str">
            <v>8-Galv</v>
          </cell>
          <cell r="E214" t="str">
            <v>pcs</v>
          </cell>
          <cell r="F214">
            <v>0</v>
          </cell>
          <cell r="G214">
            <v>16</v>
          </cell>
          <cell r="H214">
            <v>0</v>
          </cell>
          <cell r="I214">
            <v>20</v>
          </cell>
          <cell r="J214">
            <v>0</v>
          </cell>
          <cell r="L214">
            <v>0</v>
          </cell>
          <cell r="M214">
            <v>20</v>
          </cell>
          <cell r="N214">
            <v>0</v>
          </cell>
          <cell r="O214" t="str">
            <v>Rev10</v>
          </cell>
        </row>
        <row r="215">
          <cell r="A215" t="str">
            <v>I90-B68</v>
          </cell>
          <cell r="B215" t="str">
            <v>Ốc</v>
          </cell>
          <cell r="C215" t="str">
            <v>Nut-M24-ISO4032-8-tZn</v>
          </cell>
          <cell r="D215" t="str">
            <v>8-tZn</v>
          </cell>
          <cell r="E215" t="str">
            <v>pcs</v>
          </cell>
          <cell r="F215">
            <v>0</v>
          </cell>
          <cell r="G215">
            <v>2032</v>
          </cell>
          <cell r="H215">
            <v>0</v>
          </cell>
          <cell r="I215">
            <v>2146</v>
          </cell>
          <cell r="J215">
            <v>0</v>
          </cell>
          <cell r="L215">
            <v>0</v>
          </cell>
          <cell r="M215">
            <v>2146</v>
          </cell>
          <cell r="N215">
            <v>0</v>
          </cell>
          <cell r="O215" t="str">
            <v>Rev10</v>
          </cell>
        </row>
        <row r="216">
          <cell r="A216" t="str">
            <v>I90-B69</v>
          </cell>
          <cell r="B216" t="str">
            <v>Ốc</v>
          </cell>
          <cell r="C216" t="str">
            <v>Nut-M30-ISO4032-8-Galv</v>
          </cell>
          <cell r="D216" t="str">
            <v>8-Galv</v>
          </cell>
          <cell r="E216" t="str">
            <v>pcs</v>
          </cell>
          <cell r="F216">
            <v>0</v>
          </cell>
          <cell r="G216">
            <v>80</v>
          </cell>
          <cell r="H216">
            <v>0</v>
          </cell>
          <cell r="I216">
            <v>90</v>
          </cell>
          <cell r="J216">
            <v>0</v>
          </cell>
          <cell r="L216">
            <v>0</v>
          </cell>
          <cell r="M216">
            <v>90</v>
          </cell>
          <cell r="N216">
            <v>0</v>
          </cell>
          <cell r="O216" t="str">
            <v>Rev10</v>
          </cell>
        </row>
        <row r="217">
          <cell r="A217" t="str">
            <v>I90-B70</v>
          </cell>
          <cell r="B217" t="str">
            <v>Ốc</v>
          </cell>
          <cell r="C217" t="str">
            <v>Nut-M30-ISO4032-8-tZn</v>
          </cell>
          <cell r="D217" t="str">
            <v>8-tZn</v>
          </cell>
          <cell r="E217" t="str">
            <v>pcs</v>
          </cell>
          <cell r="F217">
            <v>0</v>
          </cell>
          <cell r="G217">
            <v>640</v>
          </cell>
          <cell r="H217">
            <v>0</v>
          </cell>
          <cell r="I217">
            <v>680</v>
          </cell>
          <cell r="J217">
            <v>0</v>
          </cell>
          <cell r="L217">
            <v>0</v>
          </cell>
          <cell r="M217">
            <v>680</v>
          </cell>
          <cell r="N217">
            <v>0</v>
          </cell>
          <cell r="O217" t="str">
            <v>Rev10</v>
          </cell>
        </row>
        <row r="218">
          <cell r="A218" t="str">
            <v>I90-B71</v>
          </cell>
          <cell r="B218" t="str">
            <v>Ốc</v>
          </cell>
          <cell r="C218" t="str">
            <v>Nut-M4-ISO4032-8-Galv</v>
          </cell>
          <cell r="D218" t="str">
            <v>8-Galv</v>
          </cell>
          <cell r="E218" t="str">
            <v>pcs</v>
          </cell>
          <cell r="F218">
            <v>0</v>
          </cell>
          <cell r="G218">
            <v>80</v>
          </cell>
          <cell r="H218">
            <v>0</v>
          </cell>
          <cell r="I218">
            <v>100</v>
          </cell>
          <cell r="J218">
            <v>0</v>
          </cell>
          <cell r="L218">
            <v>0</v>
          </cell>
          <cell r="M218">
            <v>100</v>
          </cell>
          <cell r="N218">
            <v>0</v>
          </cell>
          <cell r="O218" t="str">
            <v>Rev10</v>
          </cell>
        </row>
        <row r="219">
          <cell r="A219" t="str">
            <v>I90-B72</v>
          </cell>
          <cell r="B219" t="str">
            <v>Ốc</v>
          </cell>
          <cell r="C219" t="str">
            <v>Nut-M52-DIN439-8-Galv</v>
          </cell>
          <cell r="D219" t="str">
            <v>8-Galv</v>
          </cell>
          <cell r="E219" t="str">
            <v>pcs</v>
          </cell>
          <cell r="F219">
            <v>0</v>
          </cell>
          <cell r="G219">
            <v>80</v>
          </cell>
          <cell r="H219">
            <v>0</v>
          </cell>
          <cell r="I219">
            <v>100</v>
          </cell>
          <cell r="J219">
            <v>0</v>
          </cell>
          <cell r="L219">
            <v>0</v>
          </cell>
          <cell r="M219">
            <v>100</v>
          </cell>
          <cell r="N219">
            <v>0</v>
          </cell>
          <cell r="O219" t="str">
            <v>Rev10</v>
          </cell>
        </row>
        <row r="220">
          <cell r="A220" t="str">
            <v>I90-B73</v>
          </cell>
          <cell r="B220" t="str">
            <v>Ốc</v>
          </cell>
          <cell r="C220" t="str">
            <v>NUT-M5-ISO4032-8-Galv</v>
          </cell>
          <cell r="D220" t="str">
            <v>8-Galv</v>
          </cell>
          <cell r="E220" t="str">
            <v>pcs</v>
          </cell>
          <cell r="F220">
            <v>0</v>
          </cell>
          <cell r="G220">
            <v>88</v>
          </cell>
          <cell r="H220">
            <v>0</v>
          </cell>
          <cell r="I220">
            <v>92</v>
          </cell>
          <cell r="J220">
            <v>0</v>
          </cell>
          <cell r="L220">
            <v>0</v>
          </cell>
          <cell r="M220">
            <v>92</v>
          </cell>
          <cell r="N220">
            <v>0</v>
          </cell>
          <cell r="O220" t="str">
            <v>Rev10</v>
          </cell>
        </row>
        <row r="221">
          <cell r="A221" t="str">
            <v>I90-B74</v>
          </cell>
          <cell r="B221" t="str">
            <v>Ốc</v>
          </cell>
          <cell r="C221" t="str">
            <v>Nut-M6-ISO4032-8-Galv</v>
          </cell>
          <cell r="D221" t="str">
            <v>8-Galv</v>
          </cell>
          <cell r="E221" t="str">
            <v>pcs</v>
          </cell>
          <cell r="F221">
            <v>0</v>
          </cell>
          <cell r="G221">
            <v>284</v>
          </cell>
          <cell r="H221">
            <v>0</v>
          </cell>
          <cell r="I221">
            <v>300</v>
          </cell>
          <cell r="J221">
            <v>0</v>
          </cell>
          <cell r="L221">
            <v>0</v>
          </cell>
          <cell r="M221">
            <v>300</v>
          </cell>
          <cell r="N221">
            <v>0</v>
          </cell>
          <cell r="O221" t="str">
            <v>Rev10</v>
          </cell>
        </row>
        <row r="222">
          <cell r="A222" t="str">
            <v>I90-B75</v>
          </cell>
          <cell r="B222" t="str">
            <v>Ốc</v>
          </cell>
          <cell r="C222" t="str">
            <v>Nut-M8-Din985-8-Galv</v>
          </cell>
          <cell r="D222" t="str">
            <v>8-Galv</v>
          </cell>
          <cell r="E222" t="str">
            <v>pcs</v>
          </cell>
          <cell r="F222">
            <v>0</v>
          </cell>
          <cell r="G222">
            <v>312</v>
          </cell>
          <cell r="H222">
            <v>0</v>
          </cell>
          <cell r="I222">
            <v>332</v>
          </cell>
          <cell r="J222">
            <v>0</v>
          </cell>
          <cell r="L222">
            <v>0</v>
          </cell>
          <cell r="M222">
            <v>332</v>
          </cell>
          <cell r="N222">
            <v>0</v>
          </cell>
          <cell r="O222" t="str">
            <v>Rev10</v>
          </cell>
        </row>
        <row r="223">
          <cell r="A223" t="str">
            <v>I90-B76</v>
          </cell>
          <cell r="B223" t="str">
            <v>Ốc</v>
          </cell>
          <cell r="C223" t="str">
            <v>Nut-M8-ISO4032-8-Galv</v>
          </cell>
          <cell r="D223" t="str">
            <v>8-Galv</v>
          </cell>
          <cell r="E223" t="str">
            <v>pcs</v>
          </cell>
          <cell r="F223">
            <v>0</v>
          </cell>
          <cell r="G223">
            <v>64</v>
          </cell>
          <cell r="H223">
            <v>0</v>
          </cell>
          <cell r="I223">
            <v>76</v>
          </cell>
          <cell r="J223">
            <v>0</v>
          </cell>
          <cell r="L223">
            <v>0</v>
          </cell>
          <cell r="M223">
            <v>76</v>
          </cell>
          <cell r="N223">
            <v>0</v>
          </cell>
          <cell r="O223" t="str">
            <v>Rev10</v>
          </cell>
        </row>
        <row r="224">
          <cell r="A224" t="str">
            <v>I90-B77</v>
          </cell>
          <cell r="B224" t="str">
            <v>Ốc</v>
          </cell>
          <cell r="C224" t="str">
            <v>Nut-M8-ISO4032-8-tZn</v>
          </cell>
          <cell r="D224" t="str">
            <v>8-tZn</v>
          </cell>
          <cell r="E224" t="str">
            <v>pcs</v>
          </cell>
          <cell r="F224">
            <v>0</v>
          </cell>
          <cell r="G224">
            <v>328</v>
          </cell>
          <cell r="H224">
            <v>0</v>
          </cell>
          <cell r="I224">
            <v>358</v>
          </cell>
          <cell r="J224">
            <v>0</v>
          </cell>
          <cell r="L224">
            <v>0</v>
          </cell>
          <cell r="M224">
            <v>358</v>
          </cell>
          <cell r="N224">
            <v>0</v>
          </cell>
          <cell r="O224" t="str">
            <v>Rev10</v>
          </cell>
        </row>
        <row r="225">
          <cell r="A225" t="str">
            <v>I90-B78</v>
          </cell>
          <cell r="B225" t="str">
            <v>Chốt</v>
          </cell>
          <cell r="C225" t="str">
            <v>PIN (straight)-D8x70-ISO8752-St-Galv</v>
          </cell>
          <cell r="D225" t="str">
            <v>St-Galv</v>
          </cell>
          <cell r="E225" t="str">
            <v>pcs</v>
          </cell>
          <cell r="F225">
            <v>0</v>
          </cell>
          <cell r="G225">
            <v>20</v>
          </cell>
          <cell r="H225">
            <v>0</v>
          </cell>
          <cell r="I225">
            <v>30</v>
          </cell>
          <cell r="J225">
            <v>0</v>
          </cell>
          <cell r="L225">
            <v>0</v>
          </cell>
          <cell r="M225">
            <v>30</v>
          </cell>
          <cell r="N225">
            <v>0</v>
          </cell>
          <cell r="O225" t="str">
            <v>Rev10</v>
          </cell>
        </row>
        <row r="226">
          <cell r="A226" t="str">
            <v>I90-B79</v>
          </cell>
          <cell r="B226" t="str">
            <v>Chốt</v>
          </cell>
          <cell r="C226" t="str">
            <v>PIN (straight)-D8x75-ISO8752-St-Galv</v>
          </cell>
          <cell r="D226" t="str">
            <v>St-Galv</v>
          </cell>
          <cell r="E226" t="str">
            <v>pcs</v>
          </cell>
          <cell r="F226">
            <v>0</v>
          </cell>
          <cell r="G226">
            <v>20</v>
          </cell>
          <cell r="H226">
            <v>0</v>
          </cell>
          <cell r="I226">
            <v>30</v>
          </cell>
          <cell r="J226">
            <v>0</v>
          </cell>
          <cell r="L226">
            <v>0</v>
          </cell>
          <cell r="M226">
            <v>30</v>
          </cell>
          <cell r="N226">
            <v>0</v>
          </cell>
          <cell r="O226" t="str">
            <v>Rev10</v>
          </cell>
        </row>
        <row r="227">
          <cell r="A227" t="str">
            <v>I90-B80</v>
          </cell>
          <cell r="B227" t="str">
            <v>Đệm</v>
          </cell>
          <cell r="C227" t="str">
            <v>Ring-ID80x2.5-DIN471-St-Galv</v>
          </cell>
          <cell r="D227" t="str">
            <v>St-Galv</v>
          </cell>
          <cell r="E227" t="str">
            <v>pcs</v>
          </cell>
          <cell r="F227">
            <v>0</v>
          </cell>
          <cell r="G227">
            <v>160</v>
          </cell>
          <cell r="H227">
            <v>0</v>
          </cell>
          <cell r="I227">
            <v>0</v>
          </cell>
          <cell r="J227">
            <v>0</v>
          </cell>
          <cell r="L227">
            <v>0</v>
          </cell>
          <cell r="M227">
            <v>0</v>
          </cell>
          <cell r="N227">
            <v>0</v>
          </cell>
          <cell r="O227" t="str">
            <v>Rev27-IBS hủy</v>
          </cell>
        </row>
        <row r="228">
          <cell r="A228" t="str">
            <v>I90-B81</v>
          </cell>
          <cell r="B228" t="str">
            <v>Ma ní</v>
          </cell>
          <cell r="C228" t="str">
            <v>Threaded Rod-M12x120-DIN976-1-8.8-Galv</v>
          </cell>
          <cell r="D228" t="str">
            <v>8.8-Galv</v>
          </cell>
          <cell r="E228" t="str">
            <v>pcs</v>
          </cell>
          <cell r="F228">
            <v>0</v>
          </cell>
          <cell r="G228">
            <v>30</v>
          </cell>
          <cell r="H228">
            <v>0</v>
          </cell>
          <cell r="I228">
            <v>30</v>
          </cell>
          <cell r="J228">
            <v>0</v>
          </cell>
          <cell r="L228">
            <v>0</v>
          </cell>
          <cell r="M228">
            <v>30</v>
          </cell>
          <cell r="N228">
            <v>0</v>
          </cell>
          <cell r="O228" t="str">
            <v>Rev24-Braden bổ sung</v>
          </cell>
        </row>
        <row r="229">
          <cell r="A229" t="str">
            <v>I90-B82</v>
          </cell>
          <cell r="B229" t="str">
            <v>Ma ní</v>
          </cell>
          <cell r="C229" t="str">
            <v>Threaded Rod-M12x140-DIN976-1-8.8-Galv</v>
          </cell>
          <cell r="D229" t="str">
            <v>8.8-Galv</v>
          </cell>
          <cell r="E229" t="str">
            <v>pcs</v>
          </cell>
          <cell r="F229">
            <v>0</v>
          </cell>
          <cell r="G229">
            <v>160</v>
          </cell>
          <cell r="H229">
            <v>0</v>
          </cell>
          <cell r="I229">
            <v>170</v>
          </cell>
          <cell r="J229">
            <v>0</v>
          </cell>
          <cell r="L229">
            <v>0</v>
          </cell>
          <cell r="M229">
            <v>170</v>
          </cell>
          <cell r="N229">
            <v>0</v>
          </cell>
          <cell r="O229" t="str">
            <v>Rev10</v>
          </cell>
        </row>
        <row r="230">
          <cell r="A230" t="str">
            <v>I90-B83</v>
          </cell>
          <cell r="B230" t="str">
            <v>Ma ní</v>
          </cell>
          <cell r="C230" t="str">
            <v>Threaded Rod-M12X200-DIN976-1-8.8-Galv</v>
          </cell>
          <cell r="D230" t="str">
            <v>8.8-Galv</v>
          </cell>
          <cell r="E230" t="str">
            <v>pcs</v>
          </cell>
          <cell r="F230">
            <v>0</v>
          </cell>
          <cell r="G230">
            <v>40</v>
          </cell>
          <cell r="H230">
            <v>0</v>
          </cell>
          <cell r="I230">
            <v>50</v>
          </cell>
          <cell r="J230">
            <v>0</v>
          </cell>
          <cell r="L230">
            <v>0</v>
          </cell>
          <cell r="M230">
            <v>50</v>
          </cell>
          <cell r="N230">
            <v>0</v>
          </cell>
          <cell r="O230" t="str">
            <v>Rev10</v>
          </cell>
        </row>
        <row r="231">
          <cell r="A231" t="str">
            <v>I90-B84</v>
          </cell>
          <cell r="B231" t="str">
            <v>Đệm</v>
          </cell>
          <cell r="C231" t="str">
            <v>Washer-M10-DIN434-St-Galv</v>
          </cell>
          <cell r="D231" t="str">
            <v>St-Galv</v>
          </cell>
          <cell r="E231" t="str">
            <v>pcs</v>
          </cell>
          <cell r="F231">
            <v>0</v>
          </cell>
          <cell r="G231">
            <v>120</v>
          </cell>
          <cell r="H231">
            <v>0</v>
          </cell>
          <cell r="I231">
            <v>130</v>
          </cell>
          <cell r="J231">
            <v>0</v>
          </cell>
          <cell r="L231">
            <v>0</v>
          </cell>
          <cell r="M231">
            <v>130</v>
          </cell>
          <cell r="N231">
            <v>0</v>
          </cell>
          <cell r="O231" t="str">
            <v>Rev10</v>
          </cell>
        </row>
        <row r="232">
          <cell r="A232" t="str">
            <v>I90-B85</v>
          </cell>
          <cell r="B232" t="str">
            <v>Đệm</v>
          </cell>
          <cell r="C232" t="str">
            <v>Washer-M10-ISO7089-St-200 HV-Galv</v>
          </cell>
          <cell r="D232" t="str">
            <v>St-200 HV-Galv</v>
          </cell>
          <cell r="E232" t="str">
            <v>pcs</v>
          </cell>
          <cell r="F232">
            <v>0</v>
          </cell>
          <cell r="G232">
            <v>144</v>
          </cell>
          <cell r="H232">
            <v>0</v>
          </cell>
          <cell r="I232">
            <v>164</v>
          </cell>
          <cell r="J232">
            <v>0</v>
          </cell>
          <cell r="L232">
            <v>0</v>
          </cell>
          <cell r="M232">
            <v>164</v>
          </cell>
          <cell r="N232">
            <v>0</v>
          </cell>
          <cell r="O232" t="str">
            <v>Rev10</v>
          </cell>
        </row>
        <row r="233">
          <cell r="A233" t="str">
            <v>I90-B86</v>
          </cell>
          <cell r="B233" t="str">
            <v>Đệm</v>
          </cell>
          <cell r="C233" t="str">
            <v>Washer-M10-ISO7089-St-200 HV-tZn</v>
          </cell>
          <cell r="D233" t="str">
            <v>St-200 HV-tZn</v>
          </cell>
          <cell r="E233" t="str">
            <v>pcs</v>
          </cell>
          <cell r="F233">
            <v>0</v>
          </cell>
          <cell r="G233">
            <v>1304</v>
          </cell>
          <cell r="H233">
            <v>0</v>
          </cell>
          <cell r="I233">
            <v>1398</v>
          </cell>
          <cell r="J233">
            <v>0</v>
          </cell>
          <cell r="L233">
            <v>0</v>
          </cell>
          <cell r="M233">
            <v>1398</v>
          </cell>
          <cell r="N233">
            <v>0</v>
          </cell>
          <cell r="O233" t="str">
            <v>Rev10</v>
          </cell>
        </row>
        <row r="234">
          <cell r="A234" t="str">
            <v>I90-B87</v>
          </cell>
          <cell r="B234" t="str">
            <v>Đệm</v>
          </cell>
          <cell r="C234" t="str">
            <v>Washer-M12-ISO7089-St-200 HV-tZn</v>
          </cell>
          <cell r="D234" t="str">
            <v>St-200 HV-tZn</v>
          </cell>
          <cell r="E234" t="str">
            <v>pcs</v>
          </cell>
          <cell r="F234">
            <v>0</v>
          </cell>
          <cell r="G234">
            <v>3584</v>
          </cell>
          <cell r="H234">
            <v>0</v>
          </cell>
          <cell r="I234">
            <v>3808</v>
          </cell>
          <cell r="J234">
            <v>0</v>
          </cell>
          <cell r="L234">
            <v>0</v>
          </cell>
          <cell r="M234">
            <v>3808</v>
          </cell>
          <cell r="N234">
            <v>0</v>
          </cell>
          <cell r="O234" t="str">
            <v>Rev10</v>
          </cell>
        </row>
        <row r="235">
          <cell r="A235" t="str">
            <v>I90-B88</v>
          </cell>
          <cell r="B235" t="str">
            <v>Đệm</v>
          </cell>
          <cell r="C235" t="str">
            <v>Washer-M12-ISO7089-St-300 HV-Galv</v>
          </cell>
          <cell r="D235" t="str">
            <v>St-300 HV-Galv</v>
          </cell>
          <cell r="E235" t="str">
            <v>pcs</v>
          </cell>
          <cell r="F235">
            <v>0</v>
          </cell>
          <cell r="G235">
            <v>200</v>
          </cell>
          <cell r="H235">
            <v>0</v>
          </cell>
          <cell r="I235">
            <v>210</v>
          </cell>
          <cell r="J235">
            <v>0</v>
          </cell>
          <cell r="L235">
            <v>0</v>
          </cell>
          <cell r="M235">
            <v>210</v>
          </cell>
          <cell r="N235">
            <v>0</v>
          </cell>
          <cell r="O235" t="str">
            <v>Rev10</v>
          </cell>
        </row>
        <row r="236">
          <cell r="A236" t="str">
            <v>I90-B89</v>
          </cell>
          <cell r="B236" t="str">
            <v>Đệm</v>
          </cell>
          <cell r="C236" t="str">
            <v>Washer-M12-ISO7089-St-Galv</v>
          </cell>
          <cell r="D236" t="str">
            <v>St-Galv</v>
          </cell>
          <cell r="E236" t="str">
            <v>pcs</v>
          </cell>
          <cell r="F236">
            <v>0</v>
          </cell>
          <cell r="G236">
            <v>32</v>
          </cell>
          <cell r="H236">
            <v>0</v>
          </cell>
          <cell r="I236">
            <v>36</v>
          </cell>
          <cell r="J236">
            <v>0</v>
          </cell>
          <cell r="L236">
            <v>0</v>
          </cell>
          <cell r="M236">
            <v>36</v>
          </cell>
          <cell r="N236">
            <v>0</v>
          </cell>
          <cell r="O236" t="str">
            <v>Rev10</v>
          </cell>
        </row>
        <row r="237">
          <cell r="A237" t="str">
            <v>I90-B90</v>
          </cell>
          <cell r="B237" t="str">
            <v>Đệm</v>
          </cell>
          <cell r="C237" t="str">
            <v>Washer-M12-ISO7093-St-300 HV-Galv</v>
          </cell>
          <cell r="D237" t="str">
            <v>St-300 HV-Galv</v>
          </cell>
          <cell r="E237" t="str">
            <v>pcs</v>
          </cell>
          <cell r="F237">
            <v>0</v>
          </cell>
          <cell r="G237">
            <v>40</v>
          </cell>
          <cell r="H237">
            <v>0</v>
          </cell>
          <cell r="I237">
            <v>50</v>
          </cell>
          <cell r="J237">
            <v>0</v>
          </cell>
          <cell r="L237">
            <v>0</v>
          </cell>
          <cell r="M237">
            <v>50</v>
          </cell>
          <cell r="N237">
            <v>0</v>
          </cell>
          <cell r="O237" t="str">
            <v>Rev10</v>
          </cell>
        </row>
        <row r="238">
          <cell r="A238" t="str">
            <v>I90-B91</v>
          </cell>
          <cell r="B238" t="str">
            <v>Đệm</v>
          </cell>
          <cell r="C238" t="str">
            <v>Washer-M16-DIN434-St-tZn</v>
          </cell>
          <cell r="D238" t="str">
            <v>St-tZn</v>
          </cell>
          <cell r="E238" t="str">
            <v>pcs</v>
          </cell>
          <cell r="F238">
            <v>0</v>
          </cell>
          <cell r="G238">
            <v>32</v>
          </cell>
          <cell r="H238">
            <v>0</v>
          </cell>
          <cell r="I238">
            <v>36</v>
          </cell>
          <cell r="J238">
            <v>0</v>
          </cell>
          <cell r="L238">
            <v>0</v>
          </cell>
          <cell r="M238">
            <v>36</v>
          </cell>
          <cell r="N238">
            <v>0</v>
          </cell>
          <cell r="O238" t="str">
            <v>Rev10</v>
          </cell>
        </row>
        <row r="239">
          <cell r="A239" t="str">
            <v>I90-B92</v>
          </cell>
          <cell r="B239" t="str">
            <v>Đệm</v>
          </cell>
          <cell r="C239" t="str">
            <v>Washer-M16-ISO7089-St-200 HV-tZn</v>
          </cell>
          <cell r="D239" t="str">
            <v>St-200 HV-tZn</v>
          </cell>
          <cell r="E239" t="str">
            <v>pcs</v>
          </cell>
          <cell r="F239">
            <v>0</v>
          </cell>
          <cell r="G239">
            <v>8484</v>
          </cell>
          <cell r="H239">
            <v>0</v>
          </cell>
          <cell r="I239">
            <v>8946</v>
          </cell>
          <cell r="J239">
            <v>0</v>
          </cell>
          <cell r="L239">
            <v>0</v>
          </cell>
          <cell r="M239">
            <v>8946</v>
          </cell>
          <cell r="N239">
            <v>0</v>
          </cell>
          <cell r="O239" t="str">
            <v>Rev10</v>
          </cell>
        </row>
        <row r="240">
          <cell r="A240" t="str">
            <v>I90-B93</v>
          </cell>
          <cell r="B240" t="str">
            <v>Đệm</v>
          </cell>
          <cell r="C240" t="str">
            <v>Washer-M16-ISO7089-St-300 HV-Galv</v>
          </cell>
          <cell r="D240" t="str">
            <v>St-300 HV-Galv</v>
          </cell>
          <cell r="E240" t="str">
            <v>pcs</v>
          </cell>
          <cell r="F240">
            <v>0</v>
          </cell>
          <cell r="G240">
            <v>80</v>
          </cell>
          <cell r="H240">
            <v>0</v>
          </cell>
          <cell r="I240">
            <v>90</v>
          </cell>
          <cell r="J240">
            <v>0</v>
          </cell>
          <cell r="L240">
            <v>0</v>
          </cell>
          <cell r="M240">
            <v>90</v>
          </cell>
          <cell r="N240">
            <v>0</v>
          </cell>
          <cell r="O240" t="str">
            <v>Rev10</v>
          </cell>
        </row>
        <row r="241">
          <cell r="A241" t="str">
            <v>I90-B94</v>
          </cell>
          <cell r="B241" t="str">
            <v>Đệm</v>
          </cell>
          <cell r="C241" t="str">
            <v>Washer-M16-ISO7089-St-Galv</v>
          </cell>
          <cell r="D241" t="str">
            <v>St-Galv</v>
          </cell>
          <cell r="E241" t="str">
            <v>pcs</v>
          </cell>
          <cell r="F241">
            <v>0</v>
          </cell>
          <cell r="G241">
            <v>18304</v>
          </cell>
          <cell r="H241">
            <v>0</v>
          </cell>
          <cell r="I241">
            <v>19234</v>
          </cell>
          <cell r="J241">
            <v>0</v>
          </cell>
          <cell r="L241">
            <v>0</v>
          </cell>
          <cell r="M241">
            <v>19234</v>
          </cell>
          <cell r="N241">
            <v>0</v>
          </cell>
          <cell r="O241" t="str">
            <v>Rev10</v>
          </cell>
        </row>
        <row r="242">
          <cell r="A242" t="str">
            <v>I90-B95</v>
          </cell>
          <cell r="B242" t="str">
            <v>Đệm</v>
          </cell>
          <cell r="C242" t="str">
            <v>Washer-M16-ISO7093-St-200 HV-Galv</v>
          </cell>
          <cell r="D242" t="str">
            <v>St-200 HV-Galv</v>
          </cell>
          <cell r="E242" t="str">
            <v>pcs</v>
          </cell>
          <cell r="F242">
            <v>0</v>
          </cell>
          <cell r="G242">
            <v>328</v>
          </cell>
          <cell r="H242">
            <v>0</v>
          </cell>
          <cell r="I242">
            <v>350</v>
          </cell>
          <cell r="J242">
            <v>0</v>
          </cell>
          <cell r="L242">
            <v>0</v>
          </cell>
          <cell r="M242">
            <v>350</v>
          </cell>
          <cell r="N242">
            <v>0</v>
          </cell>
          <cell r="O242" t="str">
            <v>Rev10</v>
          </cell>
        </row>
        <row r="243">
          <cell r="A243" t="str">
            <v>I90-B96</v>
          </cell>
          <cell r="B243" t="str">
            <v>Đệm</v>
          </cell>
          <cell r="C243" t="str">
            <v>Washer-M16-ISO7093-St-200 HV-tZn</v>
          </cell>
          <cell r="D243" t="str">
            <v>St-200 HV-tZn</v>
          </cell>
          <cell r="E243" t="str">
            <v>pcs</v>
          </cell>
          <cell r="F243">
            <v>0</v>
          </cell>
          <cell r="G243">
            <v>4036</v>
          </cell>
          <cell r="H243">
            <v>0</v>
          </cell>
          <cell r="I243">
            <v>4258</v>
          </cell>
          <cell r="J243">
            <v>0</v>
          </cell>
          <cell r="L243">
            <v>0</v>
          </cell>
          <cell r="M243">
            <v>4258</v>
          </cell>
          <cell r="N243">
            <v>0</v>
          </cell>
          <cell r="O243" t="str">
            <v>Rev10</v>
          </cell>
        </row>
        <row r="244">
          <cell r="A244" t="str">
            <v>I90-B97</v>
          </cell>
          <cell r="B244" t="str">
            <v>Đệm</v>
          </cell>
          <cell r="C244" t="str">
            <v>Washer-M20-ISO7089-St-200 HV-tZn</v>
          </cell>
          <cell r="D244" t="str">
            <v>St-200 HV-tZn</v>
          </cell>
          <cell r="E244" t="str">
            <v>pcs</v>
          </cell>
          <cell r="F244">
            <v>0</v>
          </cell>
          <cell r="G244">
            <v>3832</v>
          </cell>
          <cell r="H244">
            <v>0</v>
          </cell>
          <cell r="I244">
            <v>4044</v>
          </cell>
          <cell r="J244">
            <v>0</v>
          </cell>
          <cell r="L244">
            <v>0</v>
          </cell>
          <cell r="M244">
            <v>4044</v>
          </cell>
          <cell r="N244">
            <v>0</v>
          </cell>
          <cell r="O244" t="str">
            <v>Rev10</v>
          </cell>
        </row>
        <row r="245">
          <cell r="A245" t="str">
            <v>I90-B98</v>
          </cell>
          <cell r="B245" t="str">
            <v>Đệm</v>
          </cell>
          <cell r="C245" t="str">
            <v>Washer-M20-ISO7089-St-Galv</v>
          </cell>
          <cell r="D245" t="str">
            <v>St-Galv</v>
          </cell>
          <cell r="E245" t="str">
            <v>pcs</v>
          </cell>
          <cell r="F245">
            <v>0</v>
          </cell>
          <cell r="G245">
            <v>1368</v>
          </cell>
          <cell r="H245">
            <v>0</v>
          </cell>
          <cell r="I245">
            <v>1452</v>
          </cell>
          <cell r="J245">
            <v>0</v>
          </cell>
          <cell r="L245">
            <v>0</v>
          </cell>
          <cell r="M245">
            <v>1452</v>
          </cell>
          <cell r="N245">
            <v>0</v>
          </cell>
          <cell r="O245" t="str">
            <v>Rev10</v>
          </cell>
        </row>
        <row r="246">
          <cell r="A246" t="str">
            <v>I90-B99</v>
          </cell>
          <cell r="B246" t="str">
            <v>Đệm</v>
          </cell>
          <cell r="C246" t="str">
            <v>Washer-M20-ISO7090-St-200 HV-tZn</v>
          </cell>
          <cell r="D246" t="str">
            <v>St-200 HV-tZn</v>
          </cell>
          <cell r="E246" t="str">
            <v>pcs</v>
          </cell>
          <cell r="F246">
            <v>0</v>
          </cell>
          <cell r="G246">
            <v>160</v>
          </cell>
          <cell r="H246">
            <v>0</v>
          </cell>
          <cell r="I246">
            <v>170</v>
          </cell>
          <cell r="J246">
            <v>0</v>
          </cell>
          <cell r="L246">
            <v>0</v>
          </cell>
          <cell r="M246">
            <v>170</v>
          </cell>
          <cell r="N246">
            <v>0</v>
          </cell>
          <cell r="O246" t="str">
            <v>Rev10</v>
          </cell>
        </row>
        <row r="247">
          <cell r="A247" t="str">
            <v>I90-B100</v>
          </cell>
          <cell r="B247" t="str">
            <v>Đệm</v>
          </cell>
          <cell r="C247" t="str">
            <v>Washer-M24-DIN125-C45-Galv</v>
          </cell>
          <cell r="D247" t="str">
            <v>C45-Galv</v>
          </cell>
          <cell r="E247" t="str">
            <v>pcs</v>
          </cell>
          <cell r="F247">
            <v>0</v>
          </cell>
          <cell r="G247">
            <v>320</v>
          </cell>
          <cell r="H247">
            <v>0</v>
          </cell>
          <cell r="I247">
            <v>340</v>
          </cell>
          <cell r="J247">
            <v>0</v>
          </cell>
          <cell r="L247">
            <v>0</v>
          </cell>
          <cell r="M247">
            <v>340</v>
          </cell>
          <cell r="N247">
            <v>0</v>
          </cell>
          <cell r="O247" t="str">
            <v>Rev10</v>
          </cell>
        </row>
        <row r="248">
          <cell r="A248" t="str">
            <v>I90-B101</v>
          </cell>
          <cell r="B248" t="str">
            <v>Đệm</v>
          </cell>
          <cell r="C248" t="str">
            <v>Washer-M24-EN14399-6-St-300 HV-tZn</v>
          </cell>
          <cell r="D248" t="str">
            <v>St-300 HV-tZn</v>
          </cell>
          <cell r="E248" t="str">
            <v>pcs</v>
          </cell>
          <cell r="F248">
            <v>0</v>
          </cell>
          <cell r="G248">
            <v>160</v>
          </cell>
          <cell r="H248">
            <v>0</v>
          </cell>
          <cell r="I248">
            <v>170</v>
          </cell>
          <cell r="J248">
            <v>0</v>
          </cell>
          <cell r="L248">
            <v>0</v>
          </cell>
          <cell r="M248">
            <v>170</v>
          </cell>
          <cell r="N248">
            <v>0</v>
          </cell>
          <cell r="O248" t="str">
            <v>Rev10</v>
          </cell>
        </row>
        <row r="249">
          <cell r="A249" t="str">
            <v>I90-B102</v>
          </cell>
          <cell r="B249" t="str">
            <v>Đệm</v>
          </cell>
          <cell r="C249" t="str">
            <v>Washer-M24-ISO7089-St-200 HV-tZn</v>
          </cell>
          <cell r="D249" t="str">
            <v>St-200 HV-tZn</v>
          </cell>
          <cell r="E249" t="str">
            <v>pcs</v>
          </cell>
          <cell r="F249">
            <v>0</v>
          </cell>
          <cell r="G249">
            <v>4064</v>
          </cell>
          <cell r="H249">
            <v>0</v>
          </cell>
          <cell r="I249">
            <v>4276</v>
          </cell>
          <cell r="J249">
            <v>0</v>
          </cell>
          <cell r="L249">
            <v>0</v>
          </cell>
          <cell r="M249">
            <v>4276</v>
          </cell>
          <cell r="N249">
            <v>0</v>
          </cell>
          <cell r="O249" t="str">
            <v>Rev10</v>
          </cell>
        </row>
        <row r="250">
          <cell r="A250" t="str">
            <v>I90-B103</v>
          </cell>
          <cell r="B250" t="str">
            <v>Đệm</v>
          </cell>
          <cell r="C250" t="str">
            <v>Washer-M30-ISO7089-St-200 HV-tZn</v>
          </cell>
          <cell r="D250" t="str">
            <v>St-200 HV-tZn</v>
          </cell>
          <cell r="E250" t="str">
            <v>pcs</v>
          </cell>
          <cell r="F250">
            <v>0</v>
          </cell>
          <cell r="G250">
            <v>1440</v>
          </cell>
          <cell r="H250">
            <v>0</v>
          </cell>
          <cell r="I250">
            <v>1520</v>
          </cell>
          <cell r="J250">
            <v>0</v>
          </cell>
          <cell r="L250">
            <v>0</v>
          </cell>
          <cell r="M250">
            <v>1520</v>
          </cell>
          <cell r="N250">
            <v>0</v>
          </cell>
          <cell r="O250" t="str">
            <v>Rev10</v>
          </cell>
        </row>
        <row r="251">
          <cell r="A251" t="str">
            <v>I90-B104</v>
          </cell>
          <cell r="B251" t="str">
            <v>Đệm</v>
          </cell>
          <cell r="C251" t="str">
            <v>Washer-M4-ISO7089-St-200 HV-Galv</v>
          </cell>
          <cell r="D251" t="str">
            <v>St-200 HV-Galv</v>
          </cell>
          <cell r="E251" t="str">
            <v>pcs</v>
          </cell>
          <cell r="F251">
            <v>0</v>
          </cell>
          <cell r="G251">
            <v>160</v>
          </cell>
          <cell r="H251">
            <v>0</v>
          </cell>
          <cell r="I251">
            <v>180</v>
          </cell>
          <cell r="J251">
            <v>0</v>
          </cell>
          <cell r="L251">
            <v>0</v>
          </cell>
          <cell r="M251">
            <v>180</v>
          </cell>
          <cell r="N251">
            <v>0</v>
          </cell>
          <cell r="O251" t="str">
            <v>Rev10</v>
          </cell>
        </row>
        <row r="252">
          <cell r="A252" t="str">
            <v>I90-B105</v>
          </cell>
          <cell r="B252" t="str">
            <v>Đệm</v>
          </cell>
          <cell r="C252" t="str">
            <v>Washer-M5-ISO7089-St-200 HV-tZn</v>
          </cell>
          <cell r="D252" t="str">
            <v>St-200 HV-tZn</v>
          </cell>
          <cell r="E252" t="str">
            <v>pcs</v>
          </cell>
          <cell r="F252">
            <v>0</v>
          </cell>
          <cell r="G252">
            <v>88</v>
          </cell>
          <cell r="H252">
            <v>0</v>
          </cell>
          <cell r="I252">
            <v>92</v>
          </cell>
          <cell r="J252">
            <v>0</v>
          </cell>
          <cell r="L252">
            <v>0</v>
          </cell>
          <cell r="M252">
            <v>92</v>
          </cell>
          <cell r="N252">
            <v>0</v>
          </cell>
          <cell r="O252" t="str">
            <v>Rev10</v>
          </cell>
        </row>
        <row r="253">
          <cell r="A253" t="str">
            <v>I90-B106</v>
          </cell>
          <cell r="B253" t="str">
            <v>Đệm</v>
          </cell>
          <cell r="C253" t="str">
            <v>Washer-M6-DIN127-St-Galv</v>
          </cell>
          <cell r="D253" t="str">
            <v>St-Galv</v>
          </cell>
          <cell r="E253" t="str">
            <v>pcs</v>
          </cell>
          <cell r="F253">
            <v>0</v>
          </cell>
          <cell r="G253">
            <v>640</v>
          </cell>
          <cell r="H253">
            <v>0</v>
          </cell>
          <cell r="I253">
            <v>680</v>
          </cell>
          <cell r="J253">
            <v>0</v>
          </cell>
          <cell r="L253">
            <v>0</v>
          </cell>
          <cell r="M253">
            <v>680</v>
          </cell>
          <cell r="N253">
            <v>0</v>
          </cell>
          <cell r="O253" t="str">
            <v>Rev10</v>
          </cell>
        </row>
        <row r="254">
          <cell r="A254" t="str">
            <v>I90-B107</v>
          </cell>
          <cell r="B254" t="str">
            <v>Đệm</v>
          </cell>
          <cell r="C254" t="str">
            <v>Washer-M6-ISO7089-St-200 HV-Galv</v>
          </cell>
          <cell r="D254" t="str">
            <v>St-200 HV-Galv</v>
          </cell>
          <cell r="E254" t="str">
            <v>pcs</v>
          </cell>
          <cell r="F254">
            <v>0</v>
          </cell>
          <cell r="G254">
            <v>8</v>
          </cell>
          <cell r="H254">
            <v>0</v>
          </cell>
          <cell r="I254">
            <v>12</v>
          </cell>
          <cell r="J254">
            <v>0</v>
          </cell>
          <cell r="L254">
            <v>0</v>
          </cell>
          <cell r="M254">
            <v>12</v>
          </cell>
          <cell r="N254">
            <v>0</v>
          </cell>
          <cell r="O254" t="str">
            <v>Rev10</v>
          </cell>
        </row>
        <row r="255">
          <cell r="A255" t="str">
            <v>I90-B108</v>
          </cell>
          <cell r="B255" t="str">
            <v>Đệm</v>
          </cell>
          <cell r="C255" t="str">
            <v>Washer-M6-ISO7089-St-200 HV-tZn</v>
          </cell>
          <cell r="D255" t="str">
            <v>St-200 HV-tZn</v>
          </cell>
          <cell r="E255" t="str">
            <v>pcs</v>
          </cell>
          <cell r="F255">
            <v>0</v>
          </cell>
          <cell r="G255">
            <v>568</v>
          </cell>
          <cell r="H255">
            <v>0</v>
          </cell>
          <cell r="I255">
            <v>600</v>
          </cell>
          <cell r="J255">
            <v>0</v>
          </cell>
          <cell r="L255">
            <v>0</v>
          </cell>
          <cell r="M255">
            <v>600</v>
          </cell>
          <cell r="N255">
            <v>0</v>
          </cell>
          <cell r="O255" t="str">
            <v>Rev10</v>
          </cell>
        </row>
        <row r="256">
          <cell r="A256" t="str">
            <v>I90-B109</v>
          </cell>
          <cell r="B256" t="str">
            <v>Đệm</v>
          </cell>
          <cell r="C256" t="str">
            <v>Washer-M8-DIN125-8-Galv</v>
          </cell>
          <cell r="D256" t="str">
            <v>8-Galv</v>
          </cell>
          <cell r="E256" t="str">
            <v>pcs</v>
          </cell>
          <cell r="F256">
            <v>0</v>
          </cell>
          <cell r="G256">
            <v>208</v>
          </cell>
          <cell r="H256">
            <v>0</v>
          </cell>
          <cell r="I256">
            <v>224</v>
          </cell>
          <cell r="J256">
            <v>0</v>
          </cell>
          <cell r="L256">
            <v>0</v>
          </cell>
          <cell r="M256">
            <v>224</v>
          </cell>
          <cell r="N256">
            <v>0</v>
          </cell>
          <cell r="O256" t="str">
            <v>Rev10</v>
          </cell>
        </row>
        <row r="257">
          <cell r="A257" t="str">
            <v>I90-B110</v>
          </cell>
          <cell r="B257" t="str">
            <v>Đệm</v>
          </cell>
          <cell r="C257" t="str">
            <v>Washer-M8-ISO7089-St-200 HV-tZn</v>
          </cell>
          <cell r="D257" t="str">
            <v>St-200 HV-tZn</v>
          </cell>
          <cell r="E257" t="str">
            <v>pcs</v>
          </cell>
          <cell r="F257">
            <v>0</v>
          </cell>
          <cell r="G257">
            <v>96</v>
          </cell>
          <cell r="H257">
            <v>0</v>
          </cell>
          <cell r="I257">
            <v>110</v>
          </cell>
          <cell r="J257">
            <v>0</v>
          </cell>
          <cell r="L257">
            <v>0</v>
          </cell>
          <cell r="M257">
            <v>110</v>
          </cell>
          <cell r="N257">
            <v>0</v>
          </cell>
          <cell r="O257" t="str">
            <v>Rev10</v>
          </cell>
        </row>
        <row r="258">
          <cell r="A258" t="str">
            <v>I90-B111</v>
          </cell>
          <cell r="B258" t="str">
            <v>Đệm</v>
          </cell>
          <cell r="C258" t="str">
            <v>Washer-M8-ISO7089-St-Galv</v>
          </cell>
          <cell r="D258" t="str">
            <v>St-Galv</v>
          </cell>
          <cell r="E258" t="str">
            <v>pcs</v>
          </cell>
          <cell r="F258">
            <v>0</v>
          </cell>
          <cell r="G258">
            <v>48</v>
          </cell>
          <cell r="H258">
            <v>0</v>
          </cell>
          <cell r="I258">
            <v>56</v>
          </cell>
          <cell r="J258">
            <v>0</v>
          </cell>
          <cell r="L258">
            <v>0</v>
          </cell>
          <cell r="M258">
            <v>56</v>
          </cell>
          <cell r="N258">
            <v>0</v>
          </cell>
          <cell r="O258" t="str">
            <v>Rev10</v>
          </cell>
        </row>
        <row r="259">
          <cell r="A259" t="str">
            <v>I90-B112</v>
          </cell>
          <cell r="B259" t="str">
            <v>Đệm</v>
          </cell>
          <cell r="C259" t="str">
            <v>Washer-M8-ISO7093-St-Galv</v>
          </cell>
          <cell r="D259" t="str">
            <v>St-Galv</v>
          </cell>
          <cell r="E259" t="str">
            <v>pcs</v>
          </cell>
          <cell r="F259">
            <v>0</v>
          </cell>
          <cell r="G259">
            <v>64</v>
          </cell>
          <cell r="H259">
            <v>0</v>
          </cell>
          <cell r="I259">
            <v>72</v>
          </cell>
          <cell r="J259">
            <v>0</v>
          </cell>
          <cell r="L259">
            <v>0</v>
          </cell>
          <cell r="M259">
            <v>72</v>
          </cell>
          <cell r="N259">
            <v>0</v>
          </cell>
          <cell r="O259" t="str">
            <v>Rev10</v>
          </cell>
        </row>
        <row r="260">
          <cell r="A260" t="str">
            <v>I90-B113</v>
          </cell>
          <cell r="B260" t="str">
            <v>Bu lông</v>
          </cell>
          <cell r="C260" t="str">
            <v>Bolt M12x45-8.8-ISO4017-Galv</v>
          </cell>
          <cell r="D260" t="str">
            <v>St-Galv</v>
          </cell>
          <cell r="E260" t="str">
            <v>pcs</v>
          </cell>
          <cell r="G260">
            <v>67</v>
          </cell>
          <cell r="I260">
            <v>0</v>
          </cell>
          <cell r="J260">
            <v>0</v>
          </cell>
          <cell r="M260">
            <v>0</v>
          </cell>
          <cell r="N260">
            <v>0</v>
          </cell>
          <cell r="O260" t="str">
            <v>Rev20-do chủng loại đã mua 10 units ở các mục chính</v>
          </cell>
        </row>
        <row r="261">
          <cell r="A261" t="str">
            <v>I90-B114</v>
          </cell>
          <cell r="B261" t="str">
            <v>Bu lông</v>
          </cell>
          <cell r="C261" t="str">
            <v>Bolt M20x50-8.8-ISO4017-Galv</v>
          </cell>
          <cell r="D261" t="str">
            <v>St-Galv</v>
          </cell>
          <cell r="E261" t="str">
            <v>pcs</v>
          </cell>
          <cell r="G261">
            <v>25</v>
          </cell>
          <cell r="I261">
            <v>0</v>
          </cell>
          <cell r="J261">
            <v>0</v>
          </cell>
          <cell r="M261">
            <v>0</v>
          </cell>
          <cell r="N261">
            <v>0</v>
          </cell>
          <cell r="O261" t="str">
            <v>Rev20-do chủng loại đã mua 10 units ở các mục chính</v>
          </cell>
        </row>
        <row r="262">
          <cell r="A262" t="str">
            <v>I90-B115</v>
          </cell>
          <cell r="B262" t="str">
            <v>Bu lông</v>
          </cell>
          <cell r="C262" t="str">
            <v>Bolt M20x70-8.8-ISO4017-Galv</v>
          </cell>
          <cell r="D262" t="str">
            <v>St-Galv</v>
          </cell>
          <cell r="E262" t="str">
            <v>pcs</v>
          </cell>
          <cell r="G262">
            <v>8</v>
          </cell>
          <cell r="I262">
            <v>0</v>
          </cell>
          <cell r="J262">
            <v>0</v>
          </cell>
          <cell r="M262">
            <v>0</v>
          </cell>
          <cell r="N262">
            <v>0</v>
          </cell>
          <cell r="O262" t="str">
            <v>Rev20-do chủng loại đã mua 10 units ở các mục chính</v>
          </cell>
        </row>
        <row r="263">
          <cell r="A263" t="str">
            <v>I90-B116</v>
          </cell>
          <cell r="B263" t="str">
            <v>Ốc</v>
          </cell>
          <cell r="C263" t="str">
            <v>Nut M12-8.8-ISO4032-Galv</v>
          </cell>
          <cell r="D263" t="str">
            <v>St-Galv</v>
          </cell>
          <cell r="E263" t="str">
            <v>pcs</v>
          </cell>
          <cell r="G263">
            <v>67</v>
          </cell>
          <cell r="I263">
            <v>0</v>
          </cell>
          <cell r="J263">
            <v>0</v>
          </cell>
          <cell r="M263">
            <v>0</v>
          </cell>
          <cell r="N263">
            <v>0</v>
          </cell>
          <cell r="O263" t="str">
            <v>Rev20-do chủng loại đã mua 10 units ở các mục chính</v>
          </cell>
        </row>
        <row r="264">
          <cell r="A264" t="str">
            <v>I90-B117</v>
          </cell>
          <cell r="B264" t="str">
            <v>Ốc</v>
          </cell>
          <cell r="C264" t="str">
            <v>Nut M20-8.8-ISO4032-Galv</v>
          </cell>
          <cell r="D264" t="str">
            <v>St-Galv</v>
          </cell>
          <cell r="E264" t="str">
            <v>pcs</v>
          </cell>
          <cell r="G264">
            <v>34</v>
          </cell>
          <cell r="I264">
            <v>0</v>
          </cell>
          <cell r="J264">
            <v>0</v>
          </cell>
          <cell r="M264">
            <v>0</v>
          </cell>
          <cell r="N264">
            <v>0</v>
          </cell>
          <cell r="O264" t="str">
            <v>Rev20-do chủng loại đã mua 10 units ở các mục chính</v>
          </cell>
        </row>
        <row r="265">
          <cell r="A265" t="str">
            <v>I90-B118</v>
          </cell>
          <cell r="B265" t="str">
            <v>Đệm</v>
          </cell>
          <cell r="C265" t="str">
            <v>Washer M12-St-200 HV-ISO7089-tZn</v>
          </cell>
          <cell r="D265" t="str">
            <v>St-Galv</v>
          </cell>
          <cell r="E265" t="str">
            <v>pcs</v>
          </cell>
          <cell r="G265">
            <v>67</v>
          </cell>
          <cell r="I265">
            <v>0</v>
          </cell>
          <cell r="J265">
            <v>0</v>
          </cell>
          <cell r="M265">
            <v>0</v>
          </cell>
          <cell r="N265">
            <v>0</v>
          </cell>
          <cell r="O265" t="str">
            <v>Rev20-do chủng loại đã mua 10 units ở các mục chính</v>
          </cell>
        </row>
        <row r="266">
          <cell r="A266" t="str">
            <v>I90-B119</v>
          </cell>
          <cell r="B266" t="str">
            <v>Đệm</v>
          </cell>
          <cell r="C266" t="str">
            <v>Washer M12-St-200 HV-ISO7093A-tZn</v>
          </cell>
          <cell r="D266" t="str">
            <v>St-Galv</v>
          </cell>
          <cell r="E266" t="str">
            <v>pcs</v>
          </cell>
          <cell r="G266">
            <v>67</v>
          </cell>
          <cell r="I266">
            <v>67</v>
          </cell>
          <cell r="J266">
            <v>0</v>
          </cell>
          <cell r="M266">
            <v>67</v>
          </cell>
          <cell r="N266">
            <v>0</v>
          </cell>
          <cell r="O266" t="str">
            <v>Rev19-BRADEN-bổ sung mới. Mục Protections</v>
          </cell>
        </row>
        <row r="267">
          <cell r="A267" t="str">
            <v>I90-B120</v>
          </cell>
          <cell r="B267" t="str">
            <v>Đệm</v>
          </cell>
          <cell r="C267" t="str">
            <v>Washer M20-St-200 HV-ISO7089-tZn</v>
          </cell>
          <cell r="D267" t="str">
            <v>St-Galv</v>
          </cell>
          <cell r="E267" t="str">
            <v>pcs</v>
          </cell>
          <cell r="G267">
            <v>67</v>
          </cell>
          <cell r="I267">
            <v>0</v>
          </cell>
          <cell r="J267">
            <v>0</v>
          </cell>
          <cell r="M267">
            <v>0</v>
          </cell>
          <cell r="N267">
            <v>0</v>
          </cell>
          <cell r="O267" t="str">
            <v>Rev20-do chủng loại đã mua 10 units ở các mục chính</v>
          </cell>
        </row>
        <row r="268">
          <cell r="A268" t="str">
            <v>I90-B121</v>
          </cell>
          <cell r="B268" t="str">
            <v>Vít tự khoan</v>
          </cell>
          <cell r="C268" t="str">
            <v>Hex washer head self drilling screw M5.5x25-DIN 7504 L-St-Galv.</v>
          </cell>
          <cell r="D268" t="str">
            <v>St-Galv</v>
          </cell>
          <cell r="E268" t="str">
            <v>pcs</v>
          </cell>
          <cell r="G268">
            <v>3935</v>
          </cell>
          <cell r="I268">
            <v>3935</v>
          </cell>
          <cell r="M268">
            <v>3935</v>
          </cell>
          <cell r="N268">
            <v>0</v>
          </cell>
          <cell r="O268" t="str">
            <v>Rev19-BRADEN-bổ sung mới. Mục Protections</v>
          </cell>
        </row>
        <row r="269">
          <cell r="A269" t="str">
            <v>I90-B122</v>
          </cell>
          <cell r="B269" t="str">
            <v>Kẹp</v>
          </cell>
          <cell r="C269" t="str">
            <v>FL312D</v>
          </cell>
          <cell r="D269" t="str">
            <v>St-Galv</v>
          </cell>
          <cell r="E269" t="str">
            <v>Sets</v>
          </cell>
          <cell r="G269">
            <v>688</v>
          </cell>
          <cell r="I269">
            <v>0</v>
          </cell>
          <cell r="J269">
            <v>0</v>
          </cell>
          <cell r="M269">
            <v>0</v>
          </cell>
          <cell r="N269">
            <v>0</v>
          </cell>
          <cell r="O269" t="str">
            <v>Rev31-BE-hủy do BE không đặt hàng, IBS cũng không mua</v>
          </cell>
        </row>
        <row r="270">
          <cell r="A270" t="str">
            <v>I90-B123</v>
          </cell>
          <cell r="B270" t="str">
            <v>Kẹp chốt</v>
          </cell>
          <cell r="C270" t="str">
            <v>MPR-Girder cleats 41/41/2-M8</v>
          </cell>
          <cell r="D270" t="str">
            <v>St-Galv</v>
          </cell>
          <cell r="E270" t="str">
            <v>Sets</v>
          </cell>
          <cell r="G270">
            <v>1028</v>
          </cell>
          <cell r="I270">
            <v>0</v>
          </cell>
          <cell r="J270">
            <v>0</v>
          </cell>
          <cell r="M270">
            <v>0</v>
          </cell>
          <cell r="N270">
            <v>0</v>
          </cell>
          <cell r="O270" t="str">
            <v>Rev31-BE-hủy do BE không đặt hàng, IBS cũng không mua</v>
          </cell>
        </row>
        <row r="271">
          <cell r="A271" t="str">
            <v>I90-B124</v>
          </cell>
          <cell r="B271" t="str">
            <v>Thanh ren</v>
          </cell>
          <cell r="C271" t="str">
            <v>Threaded Rod-M24x220-DIN976-1-type A-8.8-Galv</v>
          </cell>
          <cell r="D271" t="str">
            <v>8.8-Galv</v>
          </cell>
          <cell r="E271" t="str">
            <v>pcs</v>
          </cell>
          <cell r="F271">
            <v>0</v>
          </cell>
          <cell r="G271">
            <v>48</v>
          </cell>
          <cell r="H271">
            <v>0</v>
          </cell>
          <cell r="I271">
            <v>50</v>
          </cell>
          <cell r="J271">
            <v>0</v>
          </cell>
          <cell r="M271">
            <v>50</v>
          </cell>
          <cell r="N271">
            <v>0</v>
          </cell>
          <cell r="O271" t="str">
            <v>Rev21-BRADEN-bổ sung</v>
          </cell>
        </row>
        <row r="272">
          <cell r="A272" t="str">
            <v>I90-B125</v>
          </cell>
          <cell r="B272" t="str">
            <v>Vòng khóa</v>
          </cell>
          <cell r="C272" t="str">
            <v>Ring-80x2.5-DIN471-St-Galv</v>
          </cell>
          <cell r="D272" t="str">
            <v>St-Galv</v>
          </cell>
          <cell r="E272" t="str">
            <v>pcs</v>
          </cell>
          <cell r="F272">
            <v>0</v>
          </cell>
          <cell r="G272">
            <v>72</v>
          </cell>
          <cell r="H272">
            <v>0</v>
          </cell>
          <cell r="I272">
            <v>80</v>
          </cell>
          <cell r="J272">
            <v>0</v>
          </cell>
          <cell r="M272">
            <v>80</v>
          </cell>
          <cell r="N272">
            <v>0</v>
          </cell>
          <cell r="O272" t="str">
            <v>Rev22-IBS-bổ sung cho đủ số lượng 80 pcs</v>
          </cell>
        </row>
        <row r="273">
          <cell r="A273" t="str">
            <v>I90-B126</v>
          </cell>
          <cell r="B273" t="str">
            <v>Vòng khóa</v>
          </cell>
          <cell r="C273" t="str">
            <v>Ring-50x2.0-DIN471-St-Galv</v>
          </cell>
          <cell r="D273" t="str">
            <v>St-Galv</v>
          </cell>
          <cell r="E273" t="str">
            <v>pcs</v>
          </cell>
          <cell r="F273">
            <v>0</v>
          </cell>
          <cell r="G273">
            <v>72</v>
          </cell>
          <cell r="H273">
            <v>0</v>
          </cell>
          <cell r="I273">
            <v>80</v>
          </cell>
          <cell r="J273">
            <v>0</v>
          </cell>
          <cell r="M273">
            <v>80</v>
          </cell>
          <cell r="N273">
            <v>0</v>
          </cell>
          <cell r="O273" t="str">
            <v>Rev22-IBS-bổ sung cho đủ số lượng 80 pcs</v>
          </cell>
        </row>
        <row r="274">
          <cell r="A274" t="str">
            <v>I90-B127</v>
          </cell>
          <cell r="B274" t="str">
            <v>Bu lông</v>
          </cell>
          <cell r="C274" t="str">
            <v>Cylinder Head Cap Screw-M10x25-8.8-DIN912-Galv.</v>
          </cell>
          <cell r="D274" t="str">
            <v>8.8-Galv</v>
          </cell>
          <cell r="E274" t="str">
            <v>pcs</v>
          </cell>
          <cell r="F274">
            <v>0</v>
          </cell>
          <cell r="G274">
            <v>277.2</v>
          </cell>
          <cell r="H274">
            <v>0</v>
          </cell>
          <cell r="I274">
            <v>277.2</v>
          </cell>
          <cell r="J274">
            <v>0</v>
          </cell>
          <cell r="M274">
            <v>277.2</v>
          </cell>
          <cell r="N274">
            <v>0</v>
          </cell>
          <cell r="O274" t="str">
            <v>Rev22-Braden bổ sung mới</v>
          </cell>
        </row>
        <row r="275">
          <cell r="A275" t="str">
            <v>I90-B128</v>
          </cell>
          <cell r="B275" t="str">
            <v>Bu lông</v>
          </cell>
          <cell r="C275" t="str">
            <v>Cylinder Head Cap Screw-M10x35-8.8-DIN912-Galv.</v>
          </cell>
          <cell r="D275" t="str">
            <v>8.8-Galv</v>
          </cell>
          <cell r="E275" t="str">
            <v>pcs</v>
          </cell>
          <cell r="F275">
            <v>0</v>
          </cell>
          <cell r="G275">
            <v>541.80000000000007</v>
          </cell>
          <cell r="H275">
            <v>0</v>
          </cell>
          <cell r="I275">
            <v>541.80000000000007</v>
          </cell>
          <cell r="J275">
            <v>0</v>
          </cell>
          <cell r="M275">
            <v>541.80000000000007</v>
          </cell>
          <cell r="N275">
            <v>0</v>
          </cell>
          <cell r="O275" t="str">
            <v>Rev22-Braden bổ sung mới</v>
          </cell>
        </row>
        <row r="276">
          <cell r="A276" t="str">
            <v>I90-B129</v>
          </cell>
          <cell r="B276" t="str">
            <v>Bảng tên</v>
          </cell>
          <cell r="C276" t="str">
            <v>Nam plate</v>
          </cell>
          <cell r="D276" t="str">
            <v>SUS304</v>
          </cell>
          <cell r="E276" t="str">
            <v>pcs</v>
          </cell>
          <cell r="F276">
            <v>0</v>
          </cell>
          <cell r="G276">
            <v>5</v>
          </cell>
          <cell r="H276">
            <v>0</v>
          </cell>
          <cell r="I276">
            <v>5</v>
          </cell>
          <cell r="J276">
            <v>0</v>
          </cell>
          <cell r="M276">
            <v>5</v>
          </cell>
          <cell r="N276">
            <v>0</v>
          </cell>
          <cell r="O276" t="str">
            <v>Rev24-Braden bổ sung mới. Bản vẽ "I90-Name plate" kèm theo</v>
          </cell>
        </row>
        <row r="277">
          <cell r="A277" t="str">
            <v>I90-B130</v>
          </cell>
          <cell r="B277" t="str">
            <v>Tấm dán decal</v>
          </cell>
          <cell r="C277" t="str">
            <v>Sticker</v>
          </cell>
          <cell r="D277" t="str">
            <v>decal</v>
          </cell>
          <cell r="E277" t="str">
            <v>pcs</v>
          </cell>
          <cell r="F277">
            <v>0</v>
          </cell>
          <cell r="G277">
            <v>50</v>
          </cell>
          <cell r="H277">
            <v>0</v>
          </cell>
          <cell r="I277">
            <v>50</v>
          </cell>
          <cell r="J277">
            <v>0</v>
          </cell>
          <cell r="M277">
            <v>50</v>
          </cell>
          <cell r="N277">
            <v>0</v>
          </cell>
          <cell r="O277" t="str">
            <v>Rev24-Braden bổ sung mới. Bản vẽ "I90-Name plate" kèm theo</v>
          </cell>
        </row>
        <row r="278">
          <cell r="A278" t="str">
            <v>I90-B131</v>
          </cell>
          <cell r="B278" t="str">
            <v>Tai cẩu hàn</v>
          </cell>
          <cell r="C278" t="str">
            <v>Tai cẩu hàn 20T</v>
          </cell>
          <cell r="D278" t="str">
            <v>Steel</v>
          </cell>
          <cell r="E278" t="str">
            <v>pcs</v>
          </cell>
          <cell r="F278">
            <v>0</v>
          </cell>
          <cell r="G278">
            <v>3</v>
          </cell>
          <cell r="H278">
            <v>0</v>
          </cell>
          <cell r="I278">
            <v>3</v>
          </cell>
          <cell r="J278">
            <v>0</v>
          </cell>
          <cell r="M278">
            <v>3</v>
          </cell>
          <cell r="N278">
            <v>0</v>
          </cell>
          <cell r="O278" t="str">
            <v>Rev25-Braden bổ sung mới. Mua cùng loại, cùng đơn vị mà IBS đã đặt mua cho loại 5.3T, 10T</v>
          </cell>
        </row>
        <row r="279">
          <cell r="A279" t="str">
            <v>C.</v>
          </cell>
          <cell r="B279" t="str">
            <v>Packing-Material / Vật tư kiện (Galv :  Mạ kẽm nhúng nóng)</v>
          </cell>
          <cell r="H279">
            <v>149629.0912</v>
          </cell>
          <cell r="J279">
            <v>167221.02686800002</v>
          </cell>
          <cell r="L279">
            <v>0</v>
          </cell>
          <cell r="N279">
            <v>167221.02686800002</v>
          </cell>
        </row>
        <row r="280">
          <cell r="A280" t="str">
            <v>I90-C1</v>
          </cell>
          <cell r="B280" t="str">
            <v>Thùng gỗ</v>
          </cell>
          <cell r="C280" t="str">
            <v>Thùng gỗ</v>
          </cell>
          <cell r="D280" t="str">
            <v>Gỗ có dấu khử trùng 
( ISPM 15)</v>
          </cell>
          <cell r="E280" t="str">
            <v>pcs</v>
          </cell>
          <cell r="G280">
            <v>10</v>
          </cell>
          <cell r="I280">
            <v>10</v>
          </cell>
          <cell r="M280">
            <v>10</v>
          </cell>
          <cell r="O280" t="str">
            <v>Rev02-Bổ sung cho phần đóng kiện  anchor bolt. Kích thước theo bản vẽ "I90-Wood box-for 10 Units)</v>
          </cell>
        </row>
        <row r="281">
          <cell r="A281" t="str">
            <v>I90-C2</v>
          </cell>
          <cell r="B281" t="str">
            <v xml:space="preserve">Mút xốp </v>
          </cell>
          <cell r="C281" t="str">
            <v>Mút xốp 5mm</v>
          </cell>
          <cell r="D281" t="str">
            <v>mút xốp chèn kiện</v>
          </cell>
          <cell r="E281" t="str">
            <v>m2</v>
          </cell>
          <cell r="G281">
            <v>200</v>
          </cell>
          <cell r="I281">
            <v>200</v>
          </cell>
          <cell r="M281">
            <v>200</v>
          </cell>
          <cell r="O281" t="str">
            <v>Rev02-Bổ sung cho phần đóng kiện  anchor bolt.</v>
          </cell>
        </row>
        <row r="282">
          <cell r="A282" t="str">
            <v>I90-C3</v>
          </cell>
          <cell r="B282" t="str">
            <v>Tôn tấm</v>
          </cell>
          <cell r="C282" t="str">
            <v>PL3x1500x6000</v>
          </cell>
          <cell r="D282" t="str">
            <v>1.0038/A36</v>
          </cell>
          <cell r="E282" t="str">
            <v>m2</v>
          </cell>
          <cell r="F282">
            <v>23.549999999999997</v>
          </cell>
          <cell r="G282">
            <v>1.1804670912951172</v>
          </cell>
          <cell r="H282">
            <v>27.800000000000004</v>
          </cell>
          <cell r="O282" t="str">
            <v>Rev12-Braden bổ sung. Dùng tôn thừa từ vật tư chính</v>
          </cell>
        </row>
        <row r="283">
          <cell r="A283" t="str">
            <v>I90-C4</v>
          </cell>
          <cell r="B283" t="str">
            <v>Tôn tấm</v>
          </cell>
          <cell r="C283" t="str">
            <v>PL8x2000x12000</v>
          </cell>
          <cell r="D283" t="str">
            <v>1.0038/A36</v>
          </cell>
          <cell r="E283" t="str">
            <v>m2</v>
          </cell>
          <cell r="F283">
            <v>62.8</v>
          </cell>
          <cell r="G283">
            <v>8.9482484076433106</v>
          </cell>
          <cell r="H283">
            <v>561.94999999999993</v>
          </cell>
          <cell r="O283" t="str">
            <v>Rev26-Braden bổ sung 221kg.</v>
          </cell>
        </row>
        <row r="284">
          <cell r="A284" t="str">
            <v>I90-C5</v>
          </cell>
          <cell r="B284" t="str">
            <v>Tôn tấm</v>
          </cell>
          <cell r="C284" t="str">
            <v>PL10x2000x12000</v>
          </cell>
          <cell r="D284" t="str">
            <v>1.0038/A36</v>
          </cell>
          <cell r="E284" t="str">
            <v>m2</v>
          </cell>
          <cell r="F284">
            <v>78.5</v>
          </cell>
          <cell r="G284">
            <v>42.117324840764333</v>
          </cell>
          <cell r="H284">
            <v>3306.21</v>
          </cell>
          <cell r="I284">
            <v>48</v>
          </cell>
          <cell r="J284">
            <v>3768</v>
          </cell>
          <cell r="M284">
            <v>48</v>
          </cell>
          <cell r="N284">
            <v>3768</v>
          </cell>
          <cell r="O284" t="str">
            <v>Rev26-Braden bổ sung 1732.13kg.</v>
          </cell>
        </row>
        <row r="285">
          <cell r="A285" t="str">
            <v>I90-C6</v>
          </cell>
          <cell r="B285" t="str">
            <v>Tôn tấm</v>
          </cell>
          <cell r="C285" t="str">
            <v>PL12x2000x12000</v>
          </cell>
          <cell r="D285" t="str">
            <v>1.0038/A36</v>
          </cell>
          <cell r="E285" t="str">
            <v>m2</v>
          </cell>
          <cell r="F285">
            <v>94.199999999999989</v>
          </cell>
          <cell r="G285">
            <v>44.614225053078563</v>
          </cell>
          <cell r="H285">
            <v>4202.66</v>
          </cell>
          <cell r="I285">
            <v>48</v>
          </cell>
          <cell r="J285">
            <v>4521.5999999999995</v>
          </cell>
          <cell r="M285">
            <v>48</v>
          </cell>
          <cell r="N285">
            <v>4521.5999999999995</v>
          </cell>
          <cell r="O285" t="str">
            <v>Rev26-Braden bổ sung 2275.98kg.</v>
          </cell>
        </row>
        <row r="286">
          <cell r="A286" t="str">
            <v>I90-C7</v>
          </cell>
          <cell r="B286" t="str">
            <v>Tôn tấm</v>
          </cell>
          <cell r="C286" t="str">
            <v>PL15x2000x12000; PL15x2000x6000</v>
          </cell>
          <cell r="D286" t="str">
            <v>1.0038/A36</v>
          </cell>
          <cell r="E286" t="str">
            <v>m2</v>
          </cell>
          <cell r="F286">
            <v>117.75</v>
          </cell>
          <cell r="G286">
            <v>55.375966029723998</v>
          </cell>
          <cell r="H286">
            <v>6520.52</v>
          </cell>
          <cell r="I286">
            <v>60</v>
          </cell>
          <cell r="J286">
            <v>7065</v>
          </cell>
          <cell r="M286">
            <v>60</v>
          </cell>
          <cell r="N286">
            <v>7065</v>
          </cell>
          <cell r="O286" t="str">
            <v>Rev26-Braden bổ sung 1352kg. Mua thêm PL15x2000x6000-1  tờ</v>
          </cell>
        </row>
        <row r="287">
          <cell r="A287" t="str">
            <v>I90-C8</v>
          </cell>
          <cell r="B287" t="str">
            <v>Tôn tấm</v>
          </cell>
          <cell r="C287" t="str">
            <v>PL20x2000x12000</v>
          </cell>
          <cell r="D287" t="str">
            <v>1.0038/A36</v>
          </cell>
          <cell r="E287" t="str">
            <v>m2</v>
          </cell>
          <cell r="F287">
            <v>157</v>
          </cell>
          <cell r="G287">
            <v>44.076433121019107</v>
          </cell>
          <cell r="H287">
            <v>6920</v>
          </cell>
          <cell r="I287">
            <v>72</v>
          </cell>
          <cell r="J287">
            <v>11304</v>
          </cell>
          <cell r="M287">
            <v>72</v>
          </cell>
          <cell r="N287">
            <v>11304</v>
          </cell>
          <cell r="O287" t="str">
            <v>Rev26-Braden bổ sung 2920kg.</v>
          </cell>
        </row>
        <row r="288">
          <cell r="A288" t="str">
            <v>I90-C9</v>
          </cell>
          <cell r="B288" t="str">
            <v>Tôn tấm</v>
          </cell>
          <cell r="C288" t="str">
            <v>PL25x2000x12000</v>
          </cell>
          <cell r="D288" t="str">
            <v>1.0038/A36</v>
          </cell>
          <cell r="E288" t="str">
            <v>m2</v>
          </cell>
          <cell r="F288">
            <v>196.25</v>
          </cell>
          <cell r="G288">
            <v>8.6988535031847132</v>
          </cell>
          <cell r="H288">
            <v>1707.15</v>
          </cell>
          <cell r="O288" t="str">
            <v>Rev26-Braden bổ sung 902.43kg.</v>
          </cell>
        </row>
        <row r="289">
          <cell r="A289" t="str">
            <v>I90-C10</v>
          </cell>
          <cell r="B289" t="str">
            <v>Tôn tấm</v>
          </cell>
          <cell r="C289" t="str">
            <v>PL30x2000x12000</v>
          </cell>
          <cell r="D289" t="str">
            <v>1.0038/A36</v>
          </cell>
          <cell r="E289" t="str">
            <v>m2</v>
          </cell>
          <cell r="F289">
            <v>235.5</v>
          </cell>
          <cell r="G289">
            <v>37.599150743099784</v>
          </cell>
          <cell r="H289">
            <v>8854.5999999999985</v>
          </cell>
          <cell r="I289">
            <v>48</v>
          </cell>
          <cell r="J289">
            <v>11304</v>
          </cell>
          <cell r="M289">
            <v>48</v>
          </cell>
          <cell r="N289">
            <v>11304</v>
          </cell>
          <cell r="O289" t="str">
            <v>Rev26-Braden bổ sung 633.96kg.</v>
          </cell>
        </row>
        <row r="290">
          <cell r="A290" t="str">
            <v>I90-C11</v>
          </cell>
          <cell r="B290" t="str">
            <v>Tôn tấm</v>
          </cell>
          <cell r="C290" t="str">
            <v>PL35x2000x3000</v>
          </cell>
          <cell r="D290" t="str">
            <v>1.0038/A36</v>
          </cell>
          <cell r="E290" t="str">
            <v>m2</v>
          </cell>
          <cell r="F290">
            <v>274.75</v>
          </cell>
          <cell r="G290">
            <v>4.0735213830755237</v>
          </cell>
          <cell r="H290">
            <v>1119.2</v>
          </cell>
          <cell r="I290">
            <v>6</v>
          </cell>
          <cell r="J290">
            <v>1648.5</v>
          </cell>
          <cell r="M290">
            <v>6</v>
          </cell>
          <cell r="N290">
            <v>1648.5</v>
          </cell>
          <cell r="O290" t="str">
            <v>Rev12-Braden bổ sung.</v>
          </cell>
        </row>
        <row r="291">
          <cell r="A291" t="str">
            <v>I90-C12</v>
          </cell>
          <cell r="B291" t="str">
            <v>Thép hình-H</v>
          </cell>
          <cell r="C291" t="str">
            <v>HEA120(H114x120x5x8)-L12000</v>
          </cell>
          <cell r="D291" t="str">
            <v>1.0038/A36</v>
          </cell>
          <cell r="E291" t="str">
            <v>m</v>
          </cell>
          <cell r="F291">
            <v>19.899999999999999</v>
          </cell>
          <cell r="G291">
            <v>149.90199999999999</v>
          </cell>
          <cell r="H291">
            <v>2878.7799999999997</v>
          </cell>
          <cell r="I291">
            <v>158</v>
          </cell>
          <cell r="J291">
            <v>3144.2</v>
          </cell>
          <cell r="M291">
            <v>158</v>
          </cell>
          <cell r="N291">
            <v>3144.2</v>
          </cell>
          <cell r="O291" t="str">
            <v>Rev26-Braden bổ sung</v>
          </cell>
        </row>
        <row r="292">
          <cell r="A292" t="str">
            <v>I90-C13</v>
          </cell>
          <cell r="B292" t="str">
            <v>Thép hình-H</v>
          </cell>
          <cell r="C292" t="str">
            <v>HEA180(171x180x6x9.5)-L12000</v>
          </cell>
          <cell r="D292" t="str">
            <v>1.0038/A36</v>
          </cell>
          <cell r="E292" t="str">
            <v>m</v>
          </cell>
          <cell r="F292">
            <v>35.6</v>
          </cell>
          <cell r="G292">
            <v>292.00023999999996</v>
          </cell>
          <cell r="H292">
            <v>10222.700000000001</v>
          </cell>
          <cell r="I292">
            <v>307.26525200000003</v>
          </cell>
          <cell r="J292">
            <v>10938.642971199999</v>
          </cell>
          <cell r="M292">
            <v>307.26525200000003</v>
          </cell>
          <cell r="N292">
            <v>10938.642971199999</v>
          </cell>
          <cell r="O292" t="str">
            <v>Rev26-Braden bổ sung</v>
          </cell>
        </row>
        <row r="293">
          <cell r="A293" t="str">
            <v>I90-C14</v>
          </cell>
          <cell r="B293" t="str">
            <v>Thép hình-H</v>
          </cell>
          <cell r="C293" t="str">
            <v>HEA220(H210x220x7x11)-L12000</v>
          </cell>
          <cell r="D293" t="str">
            <v>1.0038/A36</v>
          </cell>
          <cell r="E293" t="str">
            <v>m</v>
          </cell>
          <cell r="F293">
            <v>50.5</v>
          </cell>
          <cell r="G293">
            <v>249.60000000000002</v>
          </cell>
          <cell r="H293">
            <v>12601.72</v>
          </cell>
          <cell r="I293">
            <v>260</v>
          </cell>
          <cell r="J293">
            <v>13130</v>
          </cell>
          <cell r="M293">
            <v>260</v>
          </cell>
          <cell r="N293">
            <v>13130</v>
          </cell>
          <cell r="O293" t="str">
            <v>Rev27-Braden bổ sung</v>
          </cell>
        </row>
        <row r="294">
          <cell r="A294" t="str">
            <v>I90-C15</v>
          </cell>
          <cell r="B294" t="str">
            <v>Thép hình-H</v>
          </cell>
          <cell r="C294" t="str">
            <v>HEA260(H250x260x7.5x12.5)-L12000</v>
          </cell>
          <cell r="D294" t="str">
            <v>1.0038/A36</v>
          </cell>
          <cell r="E294" t="str">
            <v>m</v>
          </cell>
          <cell r="F294">
            <v>68.099999999999994</v>
          </cell>
          <cell r="G294">
            <v>58.552000000000007</v>
          </cell>
          <cell r="H294">
            <v>3988.5999999999995</v>
          </cell>
          <cell r="I294">
            <v>61.68</v>
          </cell>
          <cell r="J294">
            <v>4200.4079999999994</v>
          </cell>
          <cell r="M294">
            <v>61.68</v>
          </cell>
          <cell r="N294">
            <v>4200.4079999999994</v>
          </cell>
          <cell r="O294" t="str">
            <v>Rev26-Braden bổ sung</v>
          </cell>
        </row>
        <row r="295">
          <cell r="A295" t="str">
            <v>I90-C16</v>
          </cell>
          <cell r="B295" t="str">
            <v>Thép hình-H</v>
          </cell>
          <cell r="C295" t="str">
            <v>HEB140(H140x140x7x12)-L12000</v>
          </cell>
          <cell r="D295" t="str">
            <v>1.0038/A36</v>
          </cell>
          <cell r="E295" t="str">
            <v>m</v>
          </cell>
          <cell r="F295">
            <v>33.700000000000003</v>
          </cell>
          <cell r="G295">
            <v>88.218000000000004</v>
          </cell>
          <cell r="H295">
            <v>2973.5699999999997</v>
          </cell>
          <cell r="I295">
            <v>92.047200000000004</v>
          </cell>
          <cell r="J295">
            <v>3101.9906400000004</v>
          </cell>
          <cell r="M295">
            <v>92.047200000000004</v>
          </cell>
          <cell r="N295">
            <v>3101.9906400000004</v>
          </cell>
          <cell r="O295" t="str">
            <v>Rev26-Braden bổ sung</v>
          </cell>
        </row>
        <row r="296">
          <cell r="A296" t="str">
            <v>I90-C17</v>
          </cell>
          <cell r="B296" t="str">
            <v>Thép hình-H</v>
          </cell>
          <cell r="C296" t="str">
            <v>HEB220(H220x220x9.5x16)-L12000</v>
          </cell>
          <cell r="D296" t="str">
            <v>1.0038/A36</v>
          </cell>
          <cell r="E296" t="str">
            <v>m</v>
          </cell>
          <cell r="F296">
            <v>71.400000000000006</v>
          </cell>
          <cell r="G296">
            <v>53.899200000000008</v>
          </cell>
          <cell r="H296">
            <v>3747.44</v>
          </cell>
          <cell r="I296">
            <v>56.594160000000009</v>
          </cell>
          <cell r="J296">
            <v>4040.8230240000012</v>
          </cell>
          <cell r="M296">
            <v>56.594160000000009</v>
          </cell>
          <cell r="N296">
            <v>4040.8230240000012</v>
          </cell>
          <cell r="O296" t="str">
            <v>Rev12-Braden bổ sung.</v>
          </cell>
        </row>
        <row r="297">
          <cell r="A297" t="str">
            <v>I90-C18</v>
          </cell>
          <cell r="B297" t="str">
            <v>Thép hình-H</v>
          </cell>
          <cell r="C297" t="str">
            <v>HEB300(H300x300x11x19)-L12000</v>
          </cell>
          <cell r="D297" t="str">
            <v>1.0038/A36</v>
          </cell>
          <cell r="E297" t="str">
            <v>m</v>
          </cell>
          <cell r="F297">
            <v>117</v>
          </cell>
          <cell r="G297">
            <v>102.7578</v>
          </cell>
          <cell r="H297">
            <v>11345.16</v>
          </cell>
          <cell r="I297">
            <v>108</v>
          </cell>
          <cell r="J297">
            <v>12636</v>
          </cell>
          <cell r="M297">
            <v>108</v>
          </cell>
          <cell r="N297">
            <v>12636</v>
          </cell>
          <cell r="O297" t="str">
            <v>Rev12-Braden bổ sung. (có tận dụng 1 cây thừa từ vật tư chính)</v>
          </cell>
        </row>
        <row r="298">
          <cell r="A298" t="str">
            <v>I90-C19</v>
          </cell>
          <cell r="B298" t="str">
            <v>Thép hình-H</v>
          </cell>
          <cell r="C298" t="str">
            <v>HW350(H350x350x12x19)-L12000</v>
          </cell>
          <cell r="D298" t="str">
            <v>1.0038/A36</v>
          </cell>
          <cell r="E298" t="str">
            <v>m</v>
          </cell>
          <cell r="F298">
            <v>134.9</v>
          </cell>
          <cell r="G298">
            <v>72.88</v>
          </cell>
          <cell r="H298">
            <v>9798.76</v>
          </cell>
          <cell r="I298">
            <v>76.524000000000001</v>
          </cell>
          <cell r="J298">
            <v>10323.087600000001</v>
          </cell>
          <cell r="M298">
            <v>76.524000000000001</v>
          </cell>
          <cell r="N298">
            <v>10323.087600000001</v>
          </cell>
          <cell r="O298" t="str">
            <v>Rev12-Braden bổ sung.</v>
          </cell>
        </row>
        <row r="299">
          <cell r="A299" t="str">
            <v>I90-C20</v>
          </cell>
          <cell r="B299" t="str">
            <v>Thép hình-C</v>
          </cell>
          <cell r="C299" t="str">
            <v>UNP100(C100x50x6x8.5)-L12000</v>
          </cell>
          <cell r="D299" t="str">
            <v>1.0038/A36</v>
          </cell>
          <cell r="E299" t="str">
            <v>m</v>
          </cell>
          <cell r="F299">
            <v>10.6</v>
          </cell>
          <cell r="G299">
            <v>35.344000000000001</v>
          </cell>
          <cell r="H299">
            <v>368.96</v>
          </cell>
          <cell r="I299">
            <v>37.111200000000004</v>
          </cell>
          <cell r="J299">
            <v>393.37872000000004</v>
          </cell>
          <cell r="M299">
            <v>37.111200000000004</v>
          </cell>
          <cell r="N299">
            <v>393.37872000000004</v>
          </cell>
          <cell r="O299" t="str">
            <v>Rev12-Braden bổ sung.</v>
          </cell>
        </row>
        <row r="300">
          <cell r="A300" t="str">
            <v>I90-C21</v>
          </cell>
          <cell r="B300" t="str">
            <v>Thép hình-C</v>
          </cell>
          <cell r="C300" t="str">
            <v>UNP200(C200x75x8.5x11.5)-L12000</v>
          </cell>
          <cell r="D300" t="str">
            <v>1.0038/A36</v>
          </cell>
          <cell r="E300" t="str">
            <v>m</v>
          </cell>
          <cell r="F300">
            <v>25.3</v>
          </cell>
          <cell r="G300">
            <v>500.58067999999997</v>
          </cell>
          <cell r="H300">
            <v>12309.349999999997</v>
          </cell>
          <cell r="I300">
            <v>381.5</v>
          </cell>
          <cell r="J300">
            <v>9651.9500000000007</v>
          </cell>
          <cell r="M300">
            <v>381.5</v>
          </cell>
          <cell r="N300">
            <v>9651.9500000000007</v>
          </cell>
          <cell r="O300" t="str">
            <v>Rev26-Braden bổ sung. Tạm thời dùng VT đã mua cho U6+U7 để làm. Khối lượng tinh có cả U6+U7</v>
          </cell>
        </row>
        <row r="301">
          <cell r="A301" t="str">
            <v>I90-C22</v>
          </cell>
          <cell r="B301" t="str">
            <v>Thép hình-C</v>
          </cell>
          <cell r="C301" t="str">
            <v>UNP220(C220x80x9x12.5)-L12000</v>
          </cell>
          <cell r="D301" t="str">
            <v>1.0038/A36</v>
          </cell>
          <cell r="E301" t="str">
            <v>m</v>
          </cell>
          <cell r="F301">
            <v>29.4</v>
          </cell>
          <cell r="G301">
            <v>846.87400000000002</v>
          </cell>
          <cell r="H301">
            <v>24941.07</v>
          </cell>
          <cell r="I301">
            <v>888.75739999999996</v>
          </cell>
          <cell r="J301">
            <v>26129.467559999997</v>
          </cell>
          <cell r="M301">
            <v>888.75739999999996</v>
          </cell>
          <cell r="N301">
            <v>26129.467559999997</v>
          </cell>
          <cell r="O301" t="str">
            <v>Rev26-Braden bổ sung</v>
          </cell>
        </row>
        <row r="302">
          <cell r="A302" t="str">
            <v>I90-C23</v>
          </cell>
          <cell r="B302" t="str">
            <v>Thép hình-C</v>
          </cell>
          <cell r="C302" t="str">
            <v>UNP240(C240x85x9.5x13)-L12000</v>
          </cell>
          <cell r="D302" t="str">
            <v>1.0038/A36</v>
          </cell>
          <cell r="E302" t="str">
            <v>m</v>
          </cell>
          <cell r="F302">
            <v>33.200000000000003</v>
          </cell>
          <cell r="G302">
            <v>55.546560000000007</v>
          </cell>
          <cell r="H302">
            <v>1775.8</v>
          </cell>
          <cell r="I302">
            <v>48</v>
          </cell>
          <cell r="J302">
            <v>1593.6000000000001</v>
          </cell>
          <cell r="M302">
            <v>48</v>
          </cell>
          <cell r="N302">
            <v>1593.6000000000001</v>
          </cell>
          <cell r="O302" t="str">
            <v>Rev12-Braden bổ sung. (có tận dụng 1 cây thừa từ vật tư chính)</v>
          </cell>
        </row>
        <row r="303">
          <cell r="A303" t="str">
            <v>I90-C24</v>
          </cell>
          <cell r="B303" t="str">
            <v>Thép hình-C</v>
          </cell>
          <cell r="C303" t="str">
            <v>UNP260(C260x90x10x14)-L12000</v>
          </cell>
          <cell r="D303" t="str">
            <v>1.0038/A36</v>
          </cell>
          <cell r="E303" t="str">
            <v>m</v>
          </cell>
          <cell r="F303">
            <v>37.9</v>
          </cell>
          <cell r="G303">
            <v>23.96</v>
          </cell>
          <cell r="H303">
            <v>908.90000000000009</v>
          </cell>
          <cell r="I303">
            <v>24</v>
          </cell>
          <cell r="J303">
            <v>909.59999999999991</v>
          </cell>
          <cell r="M303">
            <v>24</v>
          </cell>
          <cell r="N303">
            <v>909.59999999999991</v>
          </cell>
          <cell r="O303" t="str">
            <v>Rev26-Braden bổ sung</v>
          </cell>
        </row>
        <row r="304">
          <cell r="A304" t="str">
            <v>I90-C25</v>
          </cell>
          <cell r="B304" t="str">
            <v>Thép hình-C</v>
          </cell>
          <cell r="C304" t="str">
            <v>UPE360(H360x110x12x17)-L12000</v>
          </cell>
          <cell r="D304" t="str">
            <v>1.0038/A36</v>
          </cell>
          <cell r="E304" t="str">
            <v>m</v>
          </cell>
          <cell r="F304">
            <v>61.2</v>
          </cell>
          <cell r="G304">
            <v>66.564400000000006</v>
          </cell>
          <cell r="H304">
            <v>4010.7600000000007</v>
          </cell>
          <cell r="I304">
            <v>0</v>
          </cell>
          <cell r="J304">
            <v>0</v>
          </cell>
          <cell r="M304">
            <v>0</v>
          </cell>
          <cell r="N304">
            <v>0</v>
          </cell>
          <cell r="O304" t="str">
            <v>Rev17-Thay bằng tổ hợp từ PL16</v>
          </cell>
        </row>
        <row r="305">
          <cell r="A305" t="str">
            <v>I90-C26</v>
          </cell>
          <cell r="B305" t="str">
            <v>Thép hình-C</v>
          </cell>
          <cell r="C305" t="str">
            <v>UPN120(C120x55x7x9)-L12000</v>
          </cell>
          <cell r="D305" t="str">
            <v>1.0038/A36</v>
          </cell>
          <cell r="E305" t="str">
            <v>m</v>
          </cell>
          <cell r="F305">
            <v>13.3</v>
          </cell>
          <cell r="G305">
            <v>266.84199999999998</v>
          </cell>
          <cell r="H305">
            <v>3591.3100000000004</v>
          </cell>
          <cell r="I305">
            <v>279.51280000000003</v>
          </cell>
          <cell r="J305">
            <v>1922.0202400000003</v>
          </cell>
          <cell r="M305">
            <v>279.51280000000003</v>
          </cell>
          <cell r="N305">
            <v>1922.0202400000003</v>
          </cell>
          <cell r="O305" t="str">
            <v>Rev26-Braden bổ sung</v>
          </cell>
        </row>
        <row r="306">
          <cell r="A306" t="str">
            <v>I90-C27</v>
          </cell>
          <cell r="B306" t="str">
            <v>Thép hình-C</v>
          </cell>
          <cell r="C306" t="str">
            <v>UPN160(C160x65x7.5x10.5)-L12000</v>
          </cell>
          <cell r="D306" t="str">
            <v>1.0038/A36</v>
          </cell>
          <cell r="E306" t="str">
            <v>m</v>
          </cell>
          <cell r="F306">
            <v>18.8</v>
          </cell>
          <cell r="G306">
            <v>25.343999999999998</v>
          </cell>
          <cell r="H306">
            <v>480.8</v>
          </cell>
          <cell r="I306">
            <v>26.6112</v>
          </cell>
          <cell r="J306">
            <v>500.29056000000003</v>
          </cell>
          <cell r="M306">
            <v>26.6112</v>
          </cell>
          <cell r="N306">
            <v>500.29056000000003</v>
          </cell>
          <cell r="O306" t="str">
            <v>Rev12-Braden bổ sung.</v>
          </cell>
        </row>
        <row r="307">
          <cell r="A307" t="str">
            <v>I90-C28</v>
          </cell>
          <cell r="B307" t="str">
            <v>Thép hình-L</v>
          </cell>
          <cell r="C307" t="str">
            <v>L150x150x10-L6000</v>
          </cell>
          <cell r="D307" t="str">
            <v>1.0038/A36</v>
          </cell>
          <cell r="E307" t="str">
            <v>m</v>
          </cell>
          <cell r="F307">
            <v>23</v>
          </cell>
          <cell r="G307">
            <v>5.6</v>
          </cell>
          <cell r="H307">
            <v>126.77</v>
          </cell>
          <cell r="I307">
            <v>9</v>
          </cell>
          <cell r="J307">
            <v>207</v>
          </cell>
          <cell r="M307">
            <v>9</v>
          </cell>
          <cell r="N307">
            <v>207</v>
          </cell>
          <cell r="O307" t="str">
            <v>Rev26-Braden bổ sung</v>
          </cell>
        </row>
        <row r="308">
          <cell r="A308" t="str">
            <v>I90-C29</v>
          </cell>
          <cell r="B308" t="str">
            <v>Thép hình-L</v>
          </cell>
          <cell r="C308" t="str">
            <v>L75x75x6-L12000</v>
          </cell>
          <cell r="D308" t="str">
            <v>1.0038/A36</v>
          </cell>
          <cell r="E308" t="str">
            <v>m</v>
          </cell>
          <cell r="F308">
            <v>6.9</v>
          </cell>
          <cell r="G308">
            <v>68.377440000000007</v>
          </cell>
          <cell r="H308">
            <v>467.72</v>
          </cell>
          <cell r="I308">
            <v>74.406312000000014</v>
          </cell>
          <cell r="J308">
            <v>513.40355280000006</v>
          </cell>
          <cell r="M308">
            <v>74.406312000000014</v>
          </cell>
          <cell r="N308">
            <v>513.40355280000006</v>
          </cell>
          <cell r="O308" t="str">
            <v>Rev26-Braden bổ sung</v>
          </cell>
        </row>
        <row r="309">
          <cell r="A309" t="str">
            <v>I90-C30</v>
          </cell>
          <cell r="B309" t="str">
            <v>Thép hình-L</v>
          </cell>
          <cell r="C309" t="str">
            <v>L80x80x8-L12000</v>
          </cell>
          <cell r="D309" t="str">
            <v>1.0038/A36</v>
          </cell>
          <cell r="E309" t="str">
            <v>m</v>
          </cell>
          <cell r="F309">
            <v>9.6</v>
          </cell>
          <cell r="G309">
            <v>36.4</v>
          </cell>
          <cell r="H309">
            <v>346.92</v>
          </cell>
          <cell r="I309">
            <v>39.840000000000003</v>
          </cell>
          <cell r="J309">
            <v>382.464</v>
          </cell>
          <cell r="M309">
            <v>39.840000000000003</v>
          </cell>
          <cell r="N309">
            <v>382.464</v>
          </cell>
          <cell r="O309" t="str">
            <v>Rev26-Braden bổ sung</v>
          </cell>
        </row>
        <row r="310">
          <cell r="A310" t="str">
            <v>I90-C31</v>
          </cell>
          <cell r="B310" t="str">
            <v>Bu lông</v>
          </cell>
          <cell r="C310" t="str">
            <v>Bolt-M16x50-ISO4017-10.9-Galv</v>
          </cell>
          <cell r="E310" t="str">
            <v>Pcs</v>
          </cell>
          <cell r="G310">
            <v>32</v>
          </cell>
          <cell r="I310">
            <v>32</v>
          </cell>
          <cell r="M310">
            <v>32</v>
          </cell>
          <cell r="O310" t="str">
            <v>Rev12-Braden bổ sung.</v>
          </cell>
        </row>
        <row r="311">
          <cell r="A311" t="str">
            <v>I90-C32</v>
          </cell>
          <cell r="B311" t="str">
            <v>Bu lông</v>
          </cell>
          <cell r="C311" t="str">
            <v>Bolt-M16x50-ISO4017-8.8-Galv</v>
          </cell>
          <cell r="E311" t="str">
            <v>Pcs</v>
          </cell>
          <cell r="G311">
            <v>1124</v>
          </cell>
          <cell r="I311">
            <v>1124</v>
          </cell>
          <cell r="M311">
            <v>1124</v>
          </cell>
          <cell r="O311" t="str">
            <v>Rev26-Braden bổ sung.</v>
          </cell>
        </row>
        <row r="312">
          <cell r="A312" t="str">
            <v>I90-C33</v>
          </cell>
          <cell r="B312" t="str">
            <v>Bu lông</v>
          </cell>
          <cell r="C312" t="str">
            <v>Bolt-M16x60-ISO4017-8.8-Galv</v>
          </cell>
          <cell r="E312" t="str">
            <v>Pcs</v>
          </cell>
          <cell r="G312">
            <v>868</v>
          </cell>
          <cell r="I312">
            <v>868</v>
          </cell>
          <cell r="M312">
            <v>868</v>
          </cell>
          <cell r="O312" t="str">
            <v>Rev26-Braden bổ sung.</v>
          </cell>
        </row>
        <row r="313">
          <cell r="A313" t="str">
            <v>I90-C34</v>
          </cell>
          <cell r="B313" t="str">
            <v>Bu lông</v>
          </cell>
          <cell r="C313" t="str">
            <v>Bolt-M16x70-ISO4017-10.9-Galv</v>
          </cell>
          <cell r="E313" t="str">
            <v>Pcs</v>
          </cell>
          <cell r="G313">
            <v>32</v>
          </cell>
          <cell r="I313">
            <v>32</v>
          </cell>
          <cell r="M313">
            <v>32</v>
          </cell>
          <cell r="O313" t="str">
            <v>Rev12-Braden bổ sung.</v>
          </cell>
        </row>
        <row r="314">
          <cell r="A314" t="str">
            <v>I90-C35</v>
          </cell>
          <cell r="B314" t="str">
            <v>Bu lông</v>
          </cell>
          <cell r="C314" t="str">
            <v>Bolt-M16x70-ISO4017-8.8-Galv</v>
          </cell>
          <cell r="E314" t="str">
            <v>Pcs</v>
          </cell>
          <cell r="G314">
            <v>112</v>
          </cell>
          <cell r="I314">
            <v>112</v>
          </cell>
          <cell r="M314">
            <v>112</v>
          </cell>
          <cell r="O314" t="str">
            <v>Rev26-Braden bổ sung.</v>
          </cell>
        </row>
        <row r="315">
          <cell r="A315" t="str">
            <v>I90-C36</v>
          </cell>
          <cell r="B315" t="str">
            <v>Bu lông</v>
          </cell>
          <cell r="C315" t="str">
            <v>Bolt-M16x80-ISO4017-8.8-Galv</v>
          </cell>
          <cell r="E315" t="str">
            <v>Pcs</v>
          </cell>
          <cell r="G315">
            <v>84</v>
          </cell>
          <cell r="I315">
            <v>84</v>
          </cell>
          <cell r="M315">
            <v>84</v>
          </cell>
          <cell r="O315" t="str">
            <v>Rev26-Braden bổ sung.</v>
          </cell>
        </row>
        <row r="316">
          <cell r="A316" t="str">
            <v>I90-C37</v>
          </cell>
          <cell r="B316" t="str">
            <v>Bu lông</v>
          </cell>
          <cell r="C316" t="str">
            <v>Bolt-M16x90-ISO4017-8.8-Galv</v>
          </cell>
          <cell r="E316" t="str">
            <v>Pcs</v>
          </cell>
          <cell r="G316">
            <v>56</v>
          </cell>
          <cell r="I316">
            <v>56</v>
          </cell>
          <cell r="M316">
            <v>56</v>
          </cell>
          <cell r="O316" t="str">
            <v>Rev26-Braden bổ sung.</v>
          </cell>
        </row>
        <row r="317">
          <cell r="A317" t="str">
            <v>I90-C38</v>
          </cell>
          <cell r="B317" t="str">
            <v>Bu lông</v>
          </cell>
          <cell r="C317" t="str">
            <v>Bolt-M20x100-ISO4017-8.8-Galv</v>
          </cell>
          <cell r="E317" t="str">
            <v>Pcs</v>
          </cell>
          <cell r="G317">
            <v>40</v>
          </cell>
          <cell r="I317">
            <v>40</v>
          </cell>
          <cell r="M317">
            <v>40</v>
          </cell>
          <cell r="O317" t="str">
            <v>Rev12-Braden bổ sung.</v>
          </cell>
        </row>
        <row r="318">
          <cell r="A318" t="str">
            <v>I90-C39</v>
          </cell>
          <cell r="B318" t="str">
            <v>Bu lông</v>
          </cell>
          <cell r="C318" t="str">
            <v>Bolt-M20x110-ISO4017-8.8-Galv</v>
          </cell>
          <cell r="E318" t="str">
            <v>Pcs</v>
          </cell>
          <cell r="G318">
            <v>256</v>
          </cell>
          <cell r="I318">
            <v>256</v>
          </cell>
          <cell r="M318">
            <v>256</v>
          </cell>
          <cell r="O318" t="str">
            <v>Rev12-Braden bổ sung.</v>
          </cell>
        </row>
        <row r="319">
          <cell r="A319" t="str">
            <v>I90-C40</v>
          </cell>
          <cell r="B319" t="str">
            <v>Bu lông</v>
          </cell>
          <cell r="C319" t="str">
            <v>Bolt-M20x130-ISO4017-8.8-Galv</v>
          </cell>
          <cell r="E319" t="str">
            <v>Pcs</v>
          </cell>
          <cell r="G319">
            <v>32</v>
          </cell>
          <cell r="I319">
            <v>32</v>
          </cell>
          <cell r="M319">
            <v>32</v>
          </cell>
          <cell r="O319" t="str">
            <v>Rev12-Braden bổ sung.</v>
          </cell>
        </row>
        <row r="320">
          <cell r="A320" t="str">
            <v>I90-C41</v>
          </cell>
          <cell r="B320" t="str">
            <v>Bu lông</v>
          </cell>
          <cell r="C320" t="str">
            <v>Bolt-M20x50-ISO4017-8.8-Galv</v>
          </cell>
          <cell r="E320" t="str">
            <v>Pcs</v>
          </cell>
          <cell r="G320">
            <v>256</v>
          </cell>
          <cell r="I320">
            <v>256</v>
          </cell>
          <cell r="M320">
            <v>256</v>
          </cell>
          <cell r="O320" t="str">
            <v>Rev26-Braden bổ sung.</v>
          </cell>
        </row>
        <row r="321">
          <cell r="A321" t="str">
            <v>I90-C42</v>
          </cell>
          <cell r="B321" t="str">
            <v>Bu lông</v>
          </cell>
          <cell r="C321" t="str">
            <v>Bolt-M20x55-ISO4017-8.8-Galv</v>
          </cell>
          <cell r="E321" t="str">
            <v>Pcs</v>
          </cell>
          <cell r="G321">
            <v>549</v>
          </cell>
          <cell r="I321">
            <v>549</v>
          </cell>
          <cell r="M321">
            <v>549</v>
          </cell>
          <cell r="O321" t="str">
            <v>Rev26-Braden bổ sung.</v>
          </cell>
        </row>
        <row r="322">
          <cell r="A322" t="str">
            <v>I90-C43</v>
          </cell>
          <cell r="B322" t="str">
            <v>Bu lông</v>
          </cell>
          <cell r="C322" t="str">
            <v>Bolt-M20x60-ISO4017-10.9-Galv</v>
          </cell>
          <cell r="E322" t="str">
            <v>Pcs</v>
          </cell>
          <cell r="G322">
            <v>16</v>
          </cell>
          <cell r="I322">
            <v>16</v>
          </cell>
          <cell r="M322">
            <v>16</v>
          </cell>
          <cell r="O322" t="str">
            <v>Rev12-Braden bổ sung.</v>
          </cell>
        </row>
        <row r="323">
          <cell r="A323" t="str">
            <v>I90-C44</v>
          </cell>
          <cell r="B323" t="str">
            <v>Bu lông</v>
          </cell>
          <cell r="C323" t="str">
            <v>Bolt-M20x60-ISO4017-8.8-Galv</v>
          </cell>
          <cell r="E323" t="str">
            <v>Pcs</v>
          </cell>
          <cell r="G323">
            <v>616</v>
          </cell>
          <cell r="I323">
            <v>616</v>
          </cell>
          <cell r="M323">
            <v>616</v>
          </cell>
          <cell r="O323" t="str">
            <v>Rev26-Braden bổ sung.</v>
          </cell>
        </row>
        <row r="324">
          <cell r="A324" t="str">
            <v>I90-C45</v>
          </cell>
          <cell r="B324" t="str">
            <v>Bu lông</v>
          </cell>
          <cell r="C324" t="str">
            <v>Bolt-M20x65-ISO4017-8.8-Galv</v>
          </cell>
          <cell r="E324" t="str">
            <v>Pcs</v>
          </cell>
          <cell r="G324">
            <v>4</v>
          </cell>
          <cell r="I324">
            <v>4</v>
          </cell>
          <cell r="M324">
            <v>4</v>
          </cell>
          <cell r="O324" t="str">
            <v>Rev12-Braden bổ sung.</v>
          </cell>
        </row>
        <row r="325">
          <cell r="A325" t="str">
            <v>I90-C46</v>
          </cell>
          <cell r="B325" t="str">
            <v>Bu lông</v>
          </cell>
          <cell r="C325" t="str">
            <v>Bolt-M20x70-ISO4017-8.8-Galv</v>
          </cell>
          <cell r="E325" t="str">
            <v>Pcs</v>
          </cell>
          <cell r="G325">
            <v>464</v>
          </cell>
          <cell r="I325">
            <v>464</v>
          </cell>
          <cell r="M325">
            <v>464</v>
          </cell>
          <cell r="O325" t="str">
            <v>Rev26-Braden bổ sung.</v>
          </cell>
        </row>
        <row r="326">
          <cell r="A326" t="str">
            <v>I90-C47</v>
          </cell>
          <cell r="B326" t="str">
            <v>Bu lông</v>
          </cell>
          <cell r="C326" t="str">
            <v>Bolt-M20x80-ISO4017-8.8-Galv</v>
          </cell>
          <cell r="E326" t="str">
            <v>Pcs</v>
          </cell>
          <cell r="G326">
            <v>164</v>
          </cell>
          <cell r="I326">
            <v>164</v>
          </cell>
          <cell r="M326">
            <v>164</v>
          </cell>
          <cell r="O326" t="str">
            <v>Rev12-Braden bổ sung.</v>
          </cell>
        </row>
        <row r="327">
          <cell r="A327" t="str">
            <v>I90-C48</v>
          </cell>
          <cell r="B327" t="str">
            <v>Bu lông</v>
          </cell>
          <cell r="C327" t="str">
            <v>Bolt-M24x100-ISO4017-8.8-Galv</v>
          </cell>
          <cell r="E327" t="str">
            <v>Pcs</v>
          </cell>
          <cell r="G327">
            <v>576</v>
          </cell>
          <cell r="I327">
            <v>576</v>
          </cell>
          <cell r="M327">
            <v>576</v>
          </cell>
          <cell r="O327" t="str">
            <v>Rev26-Braden bổ sung.</v>
          </cell>
        </row>
        <row r="328">
          <cell r="A328" t="str">
            <v>I90-C49</v>
          </cell>
          <cell r="B328" t="str">
            <v>Bu lông</v>
          </cell>
          <cell r="C328" t="str">
            <v>Bolt-M24x110-ISO4017-10.9-Galv</v>
          </cell>
          <cell r="E328" t="str">
            <v>Pcs</v>
          </cell>
          <cell r="G328">
            <v>96</v>
          </cell>
          <cell r="I328">
            <v>96</v>
          </cell>
          <cell r="M328">
            <v>96</v>
          </cell>
          <cell r="O328" t="str">
            <v>Rev12-Braden bổ sung.</v>
          </cell>
        </row>
        <row r="329">
          <cell r="A329" t="str">
            <v>I90-C50</v>
          </cell>
          <cell r="B329" t="str">
            <v>Bu lông</v>
          </cell>
          <cell r="C329" t="str">
            <v>Bolt-M24x110-ISO4017-8.8-Galv</v>
          </cell>
          <cell r="E329" t="str">
            <v>Pcs</v>
          </cell>
          <cell r="G329">
            <v>176</v>
          </cell>
          <cell r="I329">
            <v>200</v>
          </cell>
          <cell r="M329">
            <v>200</v>
          </cell>
          <cell r="O329" t="str">
            <v>Rev31-IBS-REV</v>
          </cell>
        </row>
        <row r="330">
          <cell r="A330" t="str">
            <v>I90-C51</v>
          </cell>
          <cell r="B330" t="str">
            <v>Bu lông</v>
          </cell>
          <cell r="C330" t="str">
            <v>Bolt-M24x120-ISO4017-8.8-Galv</v>
          </cell>
          <cell r="E330" t="str">
            <v>Pcs</v>
          </cell>
          <cell r="G330">
            <v>192</v>
          </cell>
          <cell r="I330">
            <v>192</v>
          </cell>
          <cell r="M330">
            <v>192</v>
          </cell>
          <cell r="O330" t="str">
            <v>Rev12-Braden bổ sung.</v>
          </cell>
        </row>
        <row r="331">
          <cell r="A331" t="str">
            <v>I90-C52</v>
          </cell>
          <cell r="B331" t="str">
            <v>Bu lông</v>
          </cell>
          <cell r="C331" t="str">
            <v>Bolt-M24x90-ISO4017-8.8-Galv</v>
          </cell>
          <cell r="E331" t="str">
            <v>Pcs</v>
          </cell>
          <cell r="G331">
            <v>200</v>
          </cell>
          <cell r="I331">
            <v>200</v>
          </cell>
          <cell r="M331">
            <v>200</v>
          </cell>
          <cell r="O331" t="str">
            <v>Rev26-Braden bổ sung.</v>
          </cell>
        </row>
        <row r="332">
          <cell r="A332" t="str">
            <v>I90-C53</v>
          </cell>
          <cell r="B332" t="str">
            <v>Bu lông</v>
          </cell>
          <cell r="C332" t="str">
            <v>Bolt-M30x100-ISO4017-8.8-Galv</v>
          </cell>
          <cell r="E332" t="str">
            <v>Pcs</v>
          </cell>
          <cell r="G332">
            <v>32</v>
          </cell>
          <cell r="I332">
            <v>32</v>
          </cell>
          <cell r="M332">
            <v>32</v>
          </cell>
          <cell r="O332" t="str">
            <v>Rev12-Braden bổ sung.</v>
          </cell>
        </row>
        <row r="333">
          <cell r="A333" t="str">
            <v>I90-C54</v>
          </cell>
          <cell r="B333" t="str">
            <v>Bu lông</v>
          </cell>
          <cell r="C333" t="str">
            <v>Bolt-M30x120-ISO4017-8.8-Galv</v>
          </cell>
          <cell r="E333" t="str">
            <v>Pcs</v>
          </cell>
          <cell r="G333">
            <v>416</v>
          </cell>
          <cell r="I333">
            <v>416</v>
          </cell>
          <cell r="M333">
            <v>416</v>
          </cell>
          <cell r="O333" t="str">
            <v>Rev26-Braden bổ sung.</v>
          </cell>
        </row>
        <row r="334">
          <cell r="A334" t="str">
            <v>I90-C55</v>
          </cell>
          <cell r="B334" t="str">
            <v>Bu lông</v>
          </cell>
          <cell r="C334" t="str">
            <v>Bolt-M36x120-ISO4017-8.8-Galv</v>
          </cell>
          <cell r="E334" t="str">
            <v>Pcs</v>
          </cell>
          <cell r="G334">
            <v>64</v>
          </cell>
          <cell r="I334">
            <v>64</v>
          </cell>
          <cell r="M334">
            <v>64</v>
          </cell>
          <cell r="O334" t="str">
            <v>Rev12-Braden bổ sung.</v>
          </cell>
        </row>
        <row r="335">
          <cell r="A335" t="str">
            <v>I90-C56</v>
          </cell>
          <cell r="B335" t="str">
            <v>Ốc</v>
          </cell>
          <cell r="C335" t="str">
            <v>Nut-M16-ISO4032-8.0-Galv</v>
          </cell>
          <cell r="E335" t="str">
            <v>Pcs</v>
          </cell>
          <cell r="G335">
            <v>1774</v>
          </cell>
          <cell r="I335">
            <v>1774</v>
          </cell>
          <cell r="M335">
            <v>1774</v>
          </cell>
          <cell r="O335" t="str">
            <v>Rev26-Braden bổ sung.</v>
          </cell>
        </row>
        <row r="336">
          <cell r="A336" t="str">
            <v>I90-C57</v>
          </cell>
          <cell r="B336" t="str">
            <v>Ốc</v>
          </cell>
          <cell r="C336" t="str">
            <v>Nut-M16-ISO4032-8.0-tZn</v>
          </cell>
          <cell r="E336" t="str">
            <v>Pcs</v>
          </cell>
          <cell r="G336">
            <v>568</v>
          </cell>
          <cell r="I336">
            <v>568</v>
          </cell>
          <cell r="M336">
            <v>568</v>
          </cell>
          <cell r="O336" t="str">
            <v>Rev12-Braden bổ sung.</v>
          </cell>
        </row>
        <row r="337">
          <cell r="A337" t="str">
            <v>I90-C58</v>
          </cell>
          <cell r="B337" t="str">
            <v>Ốc</v>
          </cell>
          <cell r="C337" t="str">
            <v>Nut-M20-ISO4032-8.0-Galv</v>
          </cell>
          <cell r="E337" t="str">
            <v>Pcs</v>
          </cell>
          <cell r="G337">
            <v>1717</v>
          </cell>
          <cell r="I337">
            <v>1717</v>
          </cell>
          <cell r="M337">
            <v>1717</v>
          </cell>
          <cell r="O337" t="str">
            <v>Rev26-Braden bổ sung.</v>
          </cell>
        </row>
        <row r="338">
          <cell r="A338" t="str">
            <v>I90-C59</v>
          </cell>
          <cell r="B338" t="str">
            <v>Ốc</v>
          </cell>
          <cell r="C338" t="str">
            <v>Nut-M20-ISO4032-8.0-tZn</v>
          </cell>
          <cell r="E338" t="str">
            <v>Pcs</v>
          </cell>
          <cell r="G338">
            <v>792</v>
          </cell>
          <cell r="I338">
            <v>792</v>
          </cell>
          <cell r="M338">
            <v>792</v>
          </cell>
          <cell r="O338" t="str">
            <v>Rev12-Braden bổ sung.</v>
          </cell>
        </row>
        <row r="339">
          <cell r="A339" t="str">
            <v>I90-C60</v>
          </cell>
          <cell r="B339" t="str">
            <v>Ốc</v>
          </cell>
          <cell r="C339" t="str">
            <v>Nut-M24-ISO4032-8.0-Galv</v>
          </cell>
          <cell r="E339" t="str">
            <v>Pcs</v>
          </cell>
          <cell r="G339">
            <v>576</v>
          </cell>
          <cell r="I339">
            <v>600</v>
          </cell>
          <cell r="M339">
            <v>600</v>
          </cell>
          <cell r="O339" t="str">
            <v>Rev31-IBS-REV</v>
          </cell>
        </row>
        <row r="340">
          <cell r="A340" t="str">
            <v>I90-C61</v>
          </cell>
          <cell r="B340" t="str">
            <v>Ốc</v>
          </cell>
          <cell r="C340" t="str">
            <v>Nut-M24-ISO4032-8.0-tZn</v>
          </cell>
          <cell r="E340" t="str">
            <v>Pcs</v>
          </cell>
          <cell r="G340">
            <v>664</v>
          </cell>
          <cell r="I340">
            <v>664</v>
          </cell>
          <cell r="M340">
            <v>664</v>
          </cell>
          <cell r="O340" t="str">
            <v>Rev12-Braden bổ sung.</v>
          </cell>
        </row>
        <row r="341">
          <cell r="A341" t="str">
            <v>I90-C62</v>
          </cell>
          <cell r="B341" t="str">
            <v>Ốc</v>
          </cell>
          <cell r="C341" t="str">
            <v>Nut-M30-ISO4032-8.0-tZn</v>
          </cell>
          <cell r="E341" t="str">
            <v>Pcs</v>
          </cell>
          <cell r="G341">
            <v>352</v>
          </cell>
          <cell r="I341">
            <v>352</v>
          </cell>
          <cell r="M341">
            <v>352</v>
          </cell>
          <cell r="O341" t="str">
            <v>Rev12-Braden bổ sung.</v>
          </cell>
        </row>
        <row r="342">
          <cell r="A342" t="str">
            <v>I90-C63</v>
          </cell>
          <cell r="B342" t="str">
            <v>Ốc</v>
          </cell>
          <cell r="C342" t="str">
            <v>Nut-M36-ISO4032-8.0-tZn</v>
          </cell>
          <cell r="E342" t="str">
            <v>Pcs</v>
          </cell>
          <cell r="G342">
            <v>64</v>
          </cell>
          <cell r="I342">
            <v>64</v>
          </cell>
          <cell r="M342">
            <v>64</v>
          </cell>
          <cell r="O342" t="str">
            <v>Rev12-Braden bổ sung.</v>
          </cell>
        </row>
        <row r="343">
          <cell r="A343" t="str">
            <v>I90-C64</v>
          </cell>
          <cell r="B343" t="str">
            <v>Đệm</v>
          </cell>
          <cell r="C343" t="str">
            <v>Washer-M16-DIN434-St-Galv</v>
          </cell>
          <cell r="E343" t="str">
            <v>Pcs</v>
          </cell>
          <cell r="G343">
            <v>192</v>
          </cell>
          <cell r="I343">
            <v>192</v>
          </cell>
          <cell r="M343">
            <v>192</v>
          </cell>
          <cell r="O343" t="str">
            <v>Rev12-Braden bổ sung.</v>
          </cell>
        </row>
        <row r="344">
          <cell r="A344" t="str">
            <v>I90-C65</v>
          </cell>
          <cell r="B344" t="str">
            <v>Đệm</v>
          </cell>
          <cell r="C344" t="str">
            <v>Washer-M16-ISO7089-St-200HV-Galv</v>
          </cell>
          <cell r="E344" t="str">
            <v>Pcs</v>
          </cell>
          <cell r="G344">
            <v>704</v>
          </cell>
          <cell r="I344">
            <v>704</v>
          </cell>
          <cell r="M344">
            <v>704</v>
          </cell>
          <cell r="O344" t="str">
            <v>Rev26-Braden bổ sung.</v>
          </cell>
        </row>
        <row r="345">
          <cell r="A345" t="str">
            <v>I90-C66</v>
          </cell>
          <cell r="B345" t="str">
            <v>Đệm</v>
          </cell>
          <cell r="C345" t="str">
            <v>Washer-M16-ISO7089-St-200HV-tZn</v>
          </cell>
          <cell r="E345" t="str">
            <v>Pcs</v>
          </cell>
          <cell r="G345">
            <v>1128</v>
          </cell>
          <cell r="I345">
            <v>1128</v>
          </cell>
          <cell r="M345">
            <v>1128</v>
          </cell>
          <cell r="O345" t="str">
            <v>Rev12-Braden bổ sung.</v>
          </cell>
        </row>
        <row r="346">
          <cell r="A346" t="str">
            <v>I90-C67</v>
          </cell>
          <cell r="B346" t="str">
            <v>Đệm</v>
          </cell>
          <cell r="C346" t="str">
            <v>Washer-M16-ISO7093A-St-200HV-tZn</v>
          </cell>
          <cell r="E346" t="str">
            <v>Pcs</v>
          </cell>
          <cell r="G346">
            <v>96</v>
          </cell>
          <cell r="I346">
            <v>96</v>
          </cell>
          <cell r="M346">
            <v>96</v>
          </cell>
          <cell r="O346" t="str">
            <v>Rev26-IBS chỉnh lại lượng tinh</v>
          </cell>
        </row>
        <row r="347">
          <cell r="A347" t="str">
            <v>I90-C68</v>
          </cell>
          <cell r="B347" t="str">
            <v>Đệm</v>
          </cell>
          <cell r="C347" t="str">
            <v>Washer-M20-ISO7089-St-200HV-Galv</v>
          </cell>
          <cell r="E347" t="str">
            <v>Pcs</v>
          </cell>
          <cell r="G347">
            <v>1760</v>
          </cell>
          <cell r="I347">
            <v>1760</v>
          </cell>
          <cell r="M347">
            <v>1760</v>
          </cell>
          <cell r="O347" t="str">
            <v>Rev26-IBS chỉnh lại lượng tinh</v>
          </cell>
        </row>
        <row r="348">
          <cell r="A348" t="str">
            <v>I90-C69</v>
          </cell>
          <cell r="B348" t="str">
            <v>Đệm</v>
          </cell>
          <cell r="C348" t="str">
            <v>Washer-M20-ISO7089-St-200HV-tZn</v>
          </cell>
          <cell r="E348" t="str">
            <v>Pcs</v>
          </cell>
          <cell r="G348">
            <v>1580</v>
          </cell>
          <cell r="I348">
            <v>1580</v>
          </cell>
          <cell r="M348">
            <v>1580</v>
          </cell>
          <cell r="O348" t="str">
            <v>Rev12-Braden bổ sung.</v>
          </cell>
        </row>
        <row r="349">
          <cell r="A349" t="str">
            <v>I90-C70</v>
          </cell>
          <cell r="B349" t="str">
            <v>Đệm</v>
          </cell>
          <cell r="C349" t="str">
            <v>Washer-M20-ISO7089-St-Galv</v>
          </cell>
          <cell r="E349" t="str">
            <v>Pcs</v>
          </cell>
          <cell r="G349">
            <v>32</v>
          </cell>
          <cell r="I349">
            <v>32</v>
          </cell>
          <cell r="M349">
            <v>32</v>
          </cell>
          <cell r="O349" t="str">
            <v>Rev12-Braden bổ sung.</v>
          </cell>
        </row>
        <row r="350">
          <cell r="A350" t="str">
            <v>I90-C71</v>
          </cell>
          <cell r="B350" t="str">
            <v>Đệm</v>
          </cell>
          <cell r="C350" t="str">
            <v>Washer-M24-DIN434-St-Galv</v>
          </cell>
          <cell r="E350" t="str">
            <v>Pcs</v>
          </cell>
          <cell r="G350">
            <v>4</v>
          </cell>
          <cell r="I350">
            <v>4</v>
          </cell>
          <cell r="M350">
            <v>4</v>
          </cell>
          <cell r="O350" t="str">
            <v>Rev12-Braden bổ sung.</v>
          </cell>
        </row>
        <row r="351">
          <cell r="A351" t="str">
            <v>I90-C72</v>
          </cell>
          <cell r="B351" t="str">
            <v>Đệm</v>
          </cell>
          <cell r="C351" t="str">
            <v>Washer-M24-ISO7089-St-200HV-Galv</v>
          </cell>
          <cell r="E351" t="str">
            <v>Pcs</v>
          </cell>
          <cell r="G351">
            <v>576</v>
          </cell>
          <cell r="I351">
            <v>624</v>
          </cell>
          <cell r="M351">
            <v>624</v>
          </cell>
          <cell r="O351" t="str">
            <v>Rev31-IBS-REV</v>
          </cell>
        </row>
        <row r="352">
          <cell r="A352" t="str">
            <v>I90-C73</v>
          </cell>
          <cell r="B352" t="str">
            <v>Đệm</v>
          </cell>
          <cell r="C352" t="str">
            <v>Washer-M24-ISO7089-St-200HV-tZn</v>
          </cell>
          <cell r="E352" t="str">
            <v>Pcs</v>
          </cell>
          <cell r="G352">
            <v>1328</v>
          </cell>
          <cell r="I352">
            <v>1328</v>
          </cell>
          <cell r="M352">
            <v>1328</v>
          </cell>
          <cell r="O352" t="str">
            <v>Rev12-Braden bổ sung.</v>
          </cell>
        </row>
        <row r="353">
          <cell r="A353" t="str">
            <v>I90-C74</v>
          </cell>
          <cell r="B353" t="str">
            <v>Đệm</v>
          </cell>
          <cell r="C353" t="str">
            <v>Washer-M30-ISO7089-St-200HV-tZn</v>
          </cell>
          <cell r="E353" t="str">
            <v>Pcs</v>
          </cell>
          <cell r="G353">
            <v>704</v>
          </cell>
          <cell r="I353">
            <v>704</v>
          </cell>
          <cell r="M353">
            <v>704</v>
          </cell>
          <cell r="O353" t="str">
            <v>Rev12-Braden bổ sung.</v>
          </cell>
        </row>
        <row r="354">
          <cell r="A354" t="str">
            <v>I90-C75</v>
          </cell>
          <cell r="B354" t="str">
            <v>Đệm</v>
          </cell>
          <cell r="C354" t="str">
            <v>Washer-M36-ISO7089-St-200HV-tZn</v>
          </cell>
          <cell r="E354" t="str">
            <v>Pcs</v>
          </cell>
          <cell r="G354">
            <v>128</v>
          </cell>
          <cell r="I354">
            <v>128</v>
          </cell>
          <cell r="M354">
            <v>128</v>
          </cell>
          <cell r="O354" t="str">
            <v>Rev12-Braden bổ sung.</v>
          </cell>
        </row>
        <row r="355">
          <cell r="A355" t="str">
            <v>I90-C76</v>
          </cell>
          <cell r="B355" t="str">
            <v xml:space="preserve">Thread rod </v>
          </cell>
          <cell r="C355" t="str">
            <v>Thread rod M20x900-8.8 (tiện ren 2 đầu, mỗi đầu một đoạn ren dài 100mm)-Galv</v>
          </cell>
          <cell r="E355" t="str">
            <v>Pcs</v>
          </cell>
          <cell r="G355">
            <v>16</v>
          </cell>
          <cell r="I355">
            <v>16</v>
          </cell>
          <cell r="M355">
            <v>16</v>
          </cell>
          <cell r="O355" t="str">
            <v>Rev17-Braden thay đổi từ loại L1000 về loại L900</v>
          </cell>
        </row>
        <row r="356">
          <cell r="A356" t="str">
            <v>I90-C77</v>
          </cell>
          <cell r="B356" t="str">
            <v>Tai cẩu hàn</v>
          </cell>
          <cell r="C356" t="str">
            <v>Lifting Ring welded-on (5.3T)-Number : YD-085-05</v>
          </cell>
          <cell r="D356" t="str">
            <v>Number : YD-085-05</v>
          </cell>
          <cell r="E356" t="str">
            <v>Sets</v>
          </cell>
          <cell r="G356">
            <v>320</v>
          </cell>
          <cell r="I356">
            <v>352</v>
          </cell>
          <cell r="M356">
            <v>352</v>
          </cell>
          <cell r="O356" t="str">
            <v>Rev15-Braden bổ sung 32 sets</v>
          </cell>
        </row>
        <row r="357">
          <cell r="A357" t="str">
            <v>I90-C78</v>
          </cell>
          <cell r="B357" t="str">
            <v>Tai cẩu hàn</v>
          </cell>
          <cell r="C357" t="str">
            <v>Lifting Ring welded-on (10T)-Number: YD-085-10</v>
          </cell>
          <cell r="D357" t="str">
            <v>Number: YD-085-10</v>
          </cell>
          <cell r="E357" t="str">
            <v>Sets</v>
          </cell>
          <cell r="G357">
            <v>200</v>
          </cell>
          <cell r="I357">
            <v>200</v>
          </cell>
          <cell r="M357">
            <v>200</v>
          </cell>
          <cell r="O357" t="str">
            <v>Rev14-Braden bổ sung.</v>
          </cell>
        </row>
        <row r="358">
          <cell r="A358" t="str">
            <v>I90-C79</v>
          </cell>
          <cell r="B358" t="str">
            <v>Bạt che</v>
          </cell>
          <cell r="C358" t="str">
            <v>kích thước bạt: 10x9.5 m</v>
          </cell>
          <cell r="D358" t="str">
            <v>Bạt da 2 lớp chống nước. Viền bạt có đính khuy, khoảng cách khuy~1m</v>
          </cell>
          <cell r="E358" t="str">
            <v>Pcs</v>
          </cell>
          <cell r="G358">
            <v>4</v>
          </cell>
          <cell r="I358">
            <v>4</v>
          </cell>
          <cell r="M358">
            <v>4</v>
          </cell>
          <cell r="O358" t="str">
            <v>Rev27-chỉnh khớp với số liệu đã mua</v>
          </cell>
        </row>
        <row r="359">
          <cell r="A359" t="str">
            <v>I90-C80</v>
          </cell>
          <cell r="B359" t="str">
            <v>Bạt che</v>
          </cell>
          <cell r="C359" t="str">
            <v>kích thước bạt: 11x7.5 m</v>
          </cell>
          <cell r="E359" t="str">
            <v>Pcs</v>
          </cell>
          <cell r="G359">
            <v>4</v>
          </cell>
          <cell r="I359">
            <v>4</v>
          </cell>
          <cell r="M359">
            <v>4</v>
          </cell>
          <cell r="O359" t="str">
            <v>Rev27-chỉnh khớp với số liệu đã mua</v>
          </cell>
        </row>
        <row r="360">
          <cell r="A360" t="str">
            <v>I90-C81</v>
          </cell>
          <cell r="B360" t="str">
            <v>Bạt che</v>
          </cell>
          <cell r="C360" t="str">
            <v>kích thước bạt: 13.5x6 m</v>
          </cell>
          <cell r="E360" t="str">
            <v>Pcs</v>
          </cell>
          <cell r="G360">
            <v>4</v>
          </cell>
          <cell r="I360">
            <v>4</v>
          </cell>
          <cell r="M360">
            <v>4</v>
          </cell>
          <cell r="O360" t="str">
            <v>Rev27-chỉnh khớp với số liệu đã mua</v>
          </cell>
        </row>
        <row r="361">
          <cell r="A361" t="str">
            <v>I90-C82</v>
          </cell>
          <cell r="B361" t="str">
            <v>Bạt che</v>
          </cell>
          <cell r="C361" t="str">
            <v>kích thước bạt: 13.5x9.5 m</v>
          </cell>
          <cell r="E361" t="str">
            <v>Pcs</v>
          </cell>
          <cell r="G361">
            <v>4</v>
          </cell>
          <cell r="I361">
            <v>4</v>
          </cell>
          <cell r="M361">
            <v>4</v>
          </cell>
          <cell r="O361" t="str">
            <v>Rev27-chỉnh khớp với số liệu đã mua</v>
          </cell>
        </row>
        <row r="362">
          <cell r="A362" t="str">
            <v>I90-C83</v>
          </cell>
          <cell r="B362" t="str">
            <v>Bạt che</v>
          </cell>
          <cell r="C362" t="str">
            <v>kích thước bạt: 13.6x9 m</v>
          </cell>
          <cell r="E362" t="str">
            <v>Pcs</v>
          </cell>
          <cell r="G362">
            <v>4</v>
          </cell>
          <cell r="I362">
            <v>4</v>
          </cell>
          <cell r="M362">
            <v>4</v>
          </cell>
          <cell r="O362" t="str">
            <v>Rev27-chỉnh khớp với số liệu đã mua</v>
          </cell>
        </row>
        <row r="363">
          <cell r="A363" t="str">
            <v>I90-C84</v>
          </cell>
          <cell r="B363" t="str">
            <v>Bạt che</v>
          </cell>
          <cell r="C363" t="str">
            <v>kích thước bạt: 15.5x11.5 m</v>
          </cell>
          <cell r="E363" t="str">
            <v>Pcs</v>
          </cell>
          <cell r="G363">
            <v>8</v>
          </cell>
          <cell r="I363">
            <v>8</v>
          </cell>
          <cell r="M363">
            <v>8</v>
          </cell>
          <cell r="O363" t="str">
            <v>Rev27-chỉnh khớp với số liệu đã mua</v>
          </cell>
        </row>
        <row r="364">
          <cell r="A364" t="str">
            <v>I90-C85</v>
          </cell>
          <cell r="B364" t="str">
            <v>Bạt che</v>
          </cell>
          <cell r="C364" t="str">
            <v>kích thước bạt: 16.5x10.5 m</v>
          </cell>
          <cell r="E364" t="str">
            <v>Pcs</v>
          </cell>
          <cell r="G364">
            <v>4</v>
          </cell>
          <cell r="I364">
            <v>4</v>
          </cell>
          <cell r="M364">
            <v>4</v>
          </cell>
          <cell r="O364" t="str">
            <v>Rev27-chỉnh khớp với số liệu đã mua</v>
          </cell>
        </row>
        <row r="365">
          <cell r="A365" t="str">
            <v>I90-C86</v>
          </cell>
          <cell r="B365" t="str">
            <v>Bạt che</v>
          </cell>
          <cell r="C365" t="str">
            <v>kích thước bạt: 17x12 m</v>
          </cell>
          <cell r="E365" t="str">
            <v>Pcs</v>
          </cell>
          <cell r="G365">
            <v>4</v>
          </cell>
          <cell r="I365">
            <v>4</v>
          </cell>
          <cell r="M365">
            <v>4</v>
          </cell>
          <cell r="O365" t="str">
            <v>Rev27-chỉnh khớp với số liệu đã mua</v>
          </cell>
        </row>
        <row r="366">
          <cell r="A366" t="str">
            <v>I90-C87</v>
          </cell>
          <cell r="B366" t="str">
            <v>Bạt che</v>
          </cell>
          <cell r="C366" t="str">
            <v>kích thước bạt: 8x6.5 m</v>
          </cell>
          <cell r="E366" t="str">
            <v>Pcs</v>
          </cell>
          <cell r="G366">
            <v>4</v>
          </cell>
          <cell r="I366">
            <v>4</v>
          </cell>
          <cell r="M366">
            <v>4</v>
          </cell>
          <cell r="O366" t="str">
            <v>Rev27-chỉnh khớp với số liệu đã mua</v>
          </cell>
        </row>
        <row r="367">
          <cell r="A367" t="str">
            <v>I90-C87-A</v>
          </cell>
          <cell r="B367" t="str">
            <v>Bạt che</v>
          </cell>
          <cell r="C367" t="str">
            <v>kích thước bạt: 8x6.5 m</v>
          </cell>
          <cell r="E367" t="str">
            <v>Pcs</v>
          </cell>
          <cell r="G367">
            <v>4</v>
          </cell>
          <cell r="I367">
            <v>4</v>
          </cell>
          <cell r="M367">
            <v>4</v>
          </cell>
          <cell r="O367" t="str">
            <v>Rev19-Braden bổ sung</v>
          </cell>
        </row>
        <row r="368">
          <cell r="A368" t="str">
            <v>I90-C88</v>
          </cell>
          <cell r="B368" t="str">
            <v>Đệm</v>
          </cell>
          <cell r="C368" t="str">
            <v>Washer-17.5-DIN434-St-Galv</v>
          </cell>
          <cell r="E368" t="str">
            <v>Pcs</v>
          </cell>
          <cell r="G368">
            <v>64</v>
          </cell>
          <cell r="I368">
            <v>64</v>
          </cell>
          <cell r="M368">
            <v>64</v>
          </cell>
          <cell r="O368" t="str">
            <v>Rev15-Braden bổ sung.</v>
          </cell>
        </row>
        <row r="369">
          <cell r="A369" t="str">
            <v>I90-C89</v>
          </cell>
          <cell r="B369" t="str">
            <v>Đệm</v>
          </cell>
          <cell r="C369" t="str">
            <v>Washer-22-DIN434-8.8-Galv</v>
          </cell>
          <cell r="E369" t="str">
            <v>Pcs</v>
          </cell>
          <cell r="G369">
            <v>16</v>
          </cell>
          <cell r="I369">
            <v>16</v>
          </cell>
          <cell r="M369">
            <v>16</v>
          </cell>
          <cell r="O369" t="str">
            <v>Rev17-Braden bổ sung.</v>
          </cell>
        </row>
        <row r="370">
          <cell r="A370" t="str">
            <v>I90-C90</v>
          </cell>
          <cell r="B370" t="str">
            <v>Tôn tấm</v>
          </cell>
          <cell r="C370" t="str">
            <v>PL16x2000x12000</v>
          </cell>
          <cell r="D370" t="str">
            <v>1.0038/A36</v>
          </cell>
          <cell r="E370" t="str">
            <v>m2</v>
          </cell>
          <cell r="F370">
            <v>125.60000000000001</v>
          </cell>
          <cell r="I370">
            <v>48</v>
          </cell>
          <cell r="J370">
            <v>6028.8</v>
          </cell>
          <cell r="M370">
            <v>48</v>
          </cell>
          <cell r="N370">
            <v>6028.8</v>
          </cell>
          <cell r="O370" t="str">
            <v>Rev17-IBS đặt bổ sung sấn cho UPE360(H360x110x12x17), Khối lượng tinh được tính theo UPE360(H360x110x12x17).</v>
          </cell>
        </row>
        <row r="371">
          <cell r="A371" t="str">
            <v>I90-C92</v>
          </cell>
          <cell r="B371" t="str">
            <v>Thùng gỗ</v>
          </cell>
          <cell r="C371" t="str">
            <v>Thùng gỗ</v>
          </cell>
          <cell r="D371" t="str">
            <v>Gỗ có dấu khử trùng 
( ISPM 15)</v>
          </cell>
          <cell r="E371" t="str">
            <v>pcs</v>
          </cell>
          <cell r="G371">
            <v>5</v>
          </cell>
          <cell r="I371">
            <v>5</v>
          </cell>
          <cell r="M371">
            <v>5</v>
          </cell>
          <cell r="O371" t="str">
            <v>Rev22-IBS chỉnh lại tổng số lượng đặt mua là 5 thùng (số liệu đúng với bản vẽ đặt mua)</v>
          </cell>
        </row>
        <row r="372">
          <cell r="A372" t="str">
            <v>I90-C93</v>
          </cell>
          <cell r="B372" t="str">
            <v>Dây chằng kiện</v>
          </cell>
          <cell r="C372" t="str">
            <v>Polyme belt 50</v>
          </cell>
          <cell r="D372" t="str">
            <v>Polyeste</v>
          </cell>
          <cell r="E372" t="str">
            <v>m</v>
          </cell>
          <cell r="G372">
            <v>1000</v>
          </cell>
          <cell r="I372">
            <v>2000</v>
          </cell>
          <cell r="K372">
            <v>600</v>
          </cell>
          <cell r="M372">
            <v>2600</v>
          </cell>
          <cell r="O372" t="str">
            <v>Rev33-IBS-bổ sung cho làm hàng cont</v>
          </cell>
        </row>
        <row r="373">
          <cell r="A373" t="str">
            <v>I90-C94</v>
          </cell>
          <cell r="B373" t="str">
            <v>Khóa dây Polyme belt 50</v>
          </cell>
          <cell r="C373" t="str">
            <v>Khóa Polyme belt 50</v>
          </cell>
          <cell r="D373" t="str">
            <v>Steel</v>
          </cell>
          <cell r="E373" t="str">
            <v>Pcs</v>
          </cell>
          <cell r="G373">
            <v>200</v>
          </cell>
          <cell r="I373">
            <v>400</v>
          </cell>
          <cell r="K373">
            <v>200</v>
          </cell>
          <cell r="M373">
            <v>600</v>
          </cell>
          <cell r="O373" t="str">
            <v>Rev33-IBS-bổ sung cho làm hàng cont</v>
          </cell>
        </row>
        <row r="374">
          <cell r="A374" t="str">
            <v>I90-C95</v>
          </cell>
          <cell r="B374" t="str">
            <v xml:space="preserve">Mút xốp </v>
          </cell>
          <cell r="C374" t="str">
            <v>Mút xốp 5mm</v>
          </cell>
          <cell r="D374" t="str">
            <v>mút xốp chèn kiện</v>
          </cell>
          <cell r="E374" t="str">
            <v>m2</v>
          </cell>
          <cell r="G374">
            <v>300</v>
          </cell>
          <cell r="I374">
            <v>800</v>
          </cell>
          <cell r="M374">
            <v>800</v>
          </cell>
          <cell r="O374" t="str">
            <v>Rev30-IBS-Đóng kiện</v>
          </cell>
        </row>
        <row r="375">
          <cell r="A375" t="str">
            <v>I90-C96</v>
          </cell>
          <cell r="B375" t="str">
            <v>Gỗ đóng kiện</v>
          </cell>
          <cell r="C375" t="str">
            <v>Wood 50x100-L2000</v>
          </cell>
          <cell r="D375" t="str">
            <v>Gỗ  (có dấu khử trùng)</v>
          </cell>
          <cell r="E375" t="str">
            <v>m</v>
          </cell>
          <cell r="F375">
            <v>3</v>
          </cell>
          <cell r="G375">
            <v>300</v>
          </cell>
          <cell r="I375">
            <v>300</v>
          </cell>
          <cell r="M375">
            <v>300</v>
          </cell>
          <cell r="O375" t="str">
            <v>Rev21-Đóng kiện</v>
          </cell>
        </row>
        <row r="376">
          <cell r="A376" t="str">
            <v>I90-C97</v>
          </cell>
          <cell r="B376" t="str">
            <v>Gỗ đóng kiện</v>
          </cell>
          <cell r="C376" t="str">
            <v>Wood 100x100-L2000</v>
          </cell>
          <cell r="D376" t="str">
            <v>Gỗ  (có dấu khử trùng)</v>
          </cell>
          <cell r="E376" t="str">
            <v>m</v>
          </cell>
          <cell r="F376">
            <v>6</v>
          </cell>
          <cell r="G376">
            <v>300</v>
          </cell>
          <cell r="I376">
            <v>1900</v>
          </cell>
          <cell r="M376">
            <v>1900</v>
          </cell>
          <cell r="O376" t="str">
            <v>Rev31-IBS-Đóng kiện</v>
          </cell>
        </row>
        <row r="377">
          <cell r="A377" t="str">
            <v>I90-C98</v>
          </cell>
          <cell r="B377" t="str">
            <v>Đinh sắt</v>
          </cell>
          <cell r="C377" t="str">
            <v>đinh sắt 5 cm</v>
          </cell>
          <cell r="D377" t="str">
            <v>Steel</v>
          </cell>
          <cell r="E377" t="str">
            <v>Pcs</v>
          </cell>
          <cell r="G377">
            <v>500</v>
          </cell>
          <cell r="I377">
            <v>500</v>
          </cell>
          <cell r="M377">
            <v>500</v>
          </cell>
          <cell r="O377" t="str">
            <v>Rev21-Đóng kiện</v>
          </cell>
        </row>
        <row r="378">
          <cell r="A378" t="str">
            <v>I90-C99</v>
          </cell>
          <cell r="B378" t="str">
            <v>Đinh sắt</v>
          </cell>
          <cell r="C378" t="str">
            <v>đinh sắt 15 cm</v>
          </cell>
          <cell r="D378" t="str">
            <v>Steel</v>
          </cell>
          <cell r="E378" t="str">
            <v>Pcs</v>
          </cell>
          <cell r="G378">
            <v>500</v>
          </cell>
          <cell r="I378">
            <v>500</v>
          </cell>
          <cell r="M378">
            <v>500</v>
          </cell>
          <cell r="O378" t="str">
            <v>Rev21-Đóng kiện</v>
          </cell>
        </row>
        <row r="379">
          <cell r="A379" t="str">
            <v>I90-C100</v>
          </cell>
          <cell r="B379" t="str">
            <v>Thép hình-H</v>
          </cell>
          <cell r="C379" t="str">
            <v>HEA200(H190x200x6.5x10)-L12000</v>
          </cell>
          <cell r="D379" t="str">
            <v>1.0038/A36</v>
          </cell>
          <cell r="E379" t="str">
            <v>m</v>
          </cell>
          <cell r="F379">
            <v>42.2</v>
          </cell>
          <cell r="G379">
            <v>212.29599999999999</v>
          </cell>
          <cell r="H379">
            <v>8958.8912</v>
          </cell>
          <cell r="I379">
            <v>406</v>
          </cell>
          <cell r="J379">
            <v>17133.2</v>
          </cell>
          <cell r="M379">
            <v>406</v>
          </cell>
          <cell r="N379">
            <v>17133.2</v>
          </cell>
          <cell r="O379" t="str">
            <v>Rev32-IBS-REV. Mua bổ sung 60m về hoàn thiện U3+U4+U5. Phần 12 cây mua bằng I244 sẽ dùng cho U6+U7+U8+U9+U10</v>
          </cell>
        </row>
        <row r="380">
          <cell r="A380" t="str">
            <v>I90-C101</v>
          </cell>
          <cell r="B380" t="str">
            <v>Thép hình-H</v>
          </cell>
          <cell r="C380" t="str">
            <v>HEA160(H152x160x6x9)</v>
          </cell>
          <cell r="D380" t="str">
            <v>1.0038/A36</v>
          </cell>
          <cell r="E380" t="str">
            <v>m</v>
          </cell>
          <cell r="F380">
            <v>30.4</v>
          </cell>
          <cell r="G380">
            <v>18.276</v>
          </cell>
          <cell r="H380">
            <v>565.02</v>
          </cell>
          <cell r="I380">
            <v>24</v>
          </cell>
          <cell r="J380">
            <v>729.59999999999991</v>
          </cell>
          <cell r="M380">
            <v>24</v>
          </cell>
          <cell r="N380">
            <v>729.59999999999991</v>
          </cell>
          <cell r="O380" t="str">
            <v>Rev26-Braden bổ sung.</v>
          </cell>
        </row>
        <row r="381">
          <cell r="A381" t="str">
            <v>I90-C102</v>
          </cell>
          <cell r="B381" t="str">
            <v>Bu lông</v>
          </cell>
          <cell r="C381" t="str">
            <v>Bolt-M12x40-ISO4017-8.8-Galv</v>
          </cell>
          <cell r="E381" t="str">
            <v>Pcs</v>
          </cell>
          <cell r="G381">
            <v>280</v>
          </cell>
          <cell r="I381">
            <v>280</v>
          </cell>
          <cell r="M381">
            <v>280</v>
          </cell>
          <cell r="O381" t="str">
            <v>Rev26-Braden bổ sung.</v>
          </cell>
        </row>
        <row r="382">
          <cell r="A382" t="str">
            <v>I90-C103</v>
          </cell>
          <cell r="B382" t="str">
            <v>Bu lông</v>
          </cell>
          <cell r="C382" t="str">
            <v>Bolt-M16x65-ISO4017-8.8-Galv</v>
          </cell>
          <cell r="E382" t="str">
            <v>Pcs</v>
          </cell>
          <cell r="G382">
            <v>104</v>
          </cell>
          <cell r="I382">
            <v>104</v>
          </cell>
          <cell r="M382">
            <v>104</v>
          </cell>
          <cell r="O382" t="str">
            <v>Rev26-Braden bổ sung.</v>
          </cell>
        </row>
        <row r="383">
          <cell r="A383" t="str">
            <v>I90-C104</v>
          </cell>
          <cell r="B383" t="str">
            <v>Bu lông</v>
          </cell>
          <cell r="C383" t="str">
            <v>Bolt-M16x70-DIN933-8.8-Galv</v>
          </cell>
          <cell r="E383" t="str">
            <v>Pcs</v>
          </cell>
          <cell r="G383">
            <v>51</v>
          </cell>
          <cell r="I383">
            <v>51</v>
          </cell>
          <cell r="M383">
            <v>51</v>
          </cell>
          <cell r="O383" t="str">
            <v>Rev26-Braden bổ sung.</v>
          </cell>
        </row>
        <row r="384">
          <cell r="A384" t="str">
            <v>I90-C105</v>
          </cell>
          <cell r="B384" t="str">
            <v>Bu lông</v>
          </cell>
          <cell r="C384" t="str">
            <v>Bolt-M20x100-DIN933-8.8-Galv</v>
          </cell>
          <cell r="E384" t="str">
            <v>Pcs</v>
          </cell>
          <cell r="G384">
            <v>24</v>
          </cell>
          <cell r="I384">
            <v>24</v>
          </cell>
          <cell r="M384">
            <v>24</v>
          </cell>
          <cell r="O384" t="str">
            <v>Rev26-Braden bổ sung.</v>
          </cell>
        </row>
        <row r="385">
          <cell r="A385" t="str">
            <v>I90-C106</v>
          </cell>
          <cell r="B385" t="str">
            <v>Bu lông</v>
          </cell>
          <cell r="C385" t="str">
            <v>Bolt-M20x80-DIN933-8.8-Galv</v>
          </cell>
          <cell r="E385" t="str">
            <v>Pcs</v>
          </cell>
          <cell r="G385">
            <v>192</v>
          </cell>
          <cell r="I385">
            <v>192</v>
          </cell>
          <cell r="M385">
            <v>192</v>
          </cell>
          <cell r="O385" t="str">
            <v>Rev26-Braden bổ sung.</v>
          </cell>
        </row>
        <row r="386">
          <cell r="A386" t="str">
            <v>I90-C107</v>
          </cell>
          <cell r="B386" t="str">
            <v>Bu lông</v>
          </cell>
          <cell r="C386" t="str">
            <v>Bolt-M20x85-DIN933-8.8-Galv</v>
          </cell>
          <cell r="E386" t="str">
            <v>Pcs</v>
          </cell>
          <cell r="G386">
            <v>48</v>
          </cell>
          <cell r="I386">
            <v>56</v>
          </cell>
          <cell r="M386">
            <v>56</v>
          </cell>
          <cell r="O386" t="str">
            <v>Rev31-IBS-REV</v>
          </cell>
        </row>
        <row r="387">
          <cell r="A387" t="str">
            <v>I90-C108</v>
          </cell>
          <cell r="B387" t="str">
            <v>Bu lông</v>
          </cell>
          <cell r="C387" t="str">
            <v>Bolt-M24x110-DIN933-8.8-Galv</v>
          </cell>
          <cell r="E387" t="str">
            <v>Pcs</v>
          </cell>
          <cell r="G387">
            <v>72</v>
          </cell>
          <cell r="I387">
            <v>72</v>
          </cell>
          <cell r="M387">
            <v>72</v>
          </cell>
          <cell r="O387" t="str">
            <v>Rev26-Braden bổ sung.</v>
          </cell>
        </row>
        <row r="388">
          <cell r="A388" t="str">
            <v>I90-C109</v>
          </cell>
          <cell r="B388" t="str">
            <v>Bu lông</v>
          </cell>
          <cell r="C388" t="str">
            <v>Bolt-M24x85-DIN933-8.8-Galv</v>
          </cell>
          <cell r="E388" t="str">
            <v>Pcs</v>
          </cell>
          <cell r="G388">
            <v>72</v>
          </cell>
          <cell r="I388">
            <v>72</v>
          </cell>
          <cell r="M388">
            <v>72</v>
          </cell>
          <cell r="O388" t="str">
            <v>Rev26-Braden bổ sung.</v>
          </cell>
        </row>
        <row r="389">
          <cell r="A389" t="str">
            <v>I90-C110</v>
          </cell>
          <cell r="B389" t="str">
            <v>Bu lông</v>
          </cell>
          <cell r="C389" t="str">
            <v>Bolt-M24x90-DIN933-8.8-Galv</v>
          </cell>
          <cell r="E389" t="str">
            <v>Pcs</v>
          </cell>
          <cell r="G389">
            <v>48</v>
          </cell>
          <cell r="I389">
            <v>48</v>
          </cell>
          <cell r="M389">
            <v>48</v>
          </cell>
          <cell r="O389" t="str">
            <v>Rev26-Braden bổ sung.</v>
          </cell>
        </row>
        <row r="390">
          <cell r="A390" t="str">
            <v>I90-C111</v>
          </cell>
          <cell r="B390" t="str">
            <v>Bu lông</v>
          </cell>
          <cell r="C390" t="str">
            <v>Bolt-M30x100-DIN933-8.8-Galv</v>
          </cell>
          <cell r="E390" t="str">
            <v>Pcs</v>
          </cell>
          <cell r="G390">
            <v>72</v>
          </cell>
          <cell r="I390">
            <v>72</v>
          </cell>
          <cell r="M390">
            <v>72</v>
          </cell>
          <cell r="O390" t="str">
            <v>Rev26-Braden bổ sung.</v>
          </cell>
        </row>
        <row r="391">
          <cell r="A391" t="str">
            <v>I90-C112</v>
          </cell>
          <cell r="B391" t="str">
            <v>Bu lông</v>
          </cell>
          <cell r="C391" t="str">
            <v>Bolt-M36x100-DIN933-8.8-Galv</v>
          </cell>
          <cell r="E391" t="str">
            <v>Pcs</v>
          </cell>
          <cell r="G391">
            <v>48</v>
          </cell>
          <cell r="I391">
            <v>48</v>
          </cell>
          <cell r="M391">
            <v>48</v>
          </cell>
          <cell r="O391" t="str">
            <v>Rev26-Braden bổ sung.</v>
          </cell>
        </row>
        <row r="392">
          <cell r="A392" t="str">
            <v>I90-C113</v>
          </cell>
          <cell r="B392" t="str">
            <v>Ốc</v>
          </cell>
          <cell r="C392" t="str">
            <v>Nut-M12-ISO4032-8.0-Galv</v>
          </cell>
          <cell r="E392" t="str">
            <v>Pcs</v>
          </cell>
          <cell r="G392">
            <v>280</v>
          </cell>
          <cell r="I392">
            <v>280</v>
          </cell>
          <cell r="M392">
            <v>280</v>
          </cell>
          <cell r="O392" t="str">
            <v>Rev26-Braden bổ sung.</v>
          </cell>
        </row>
        <row r="393">
          <cell r="A393" t="str">
            <v>I90-C114</v>
          </cell>
          <cell r="B393" t="str">
            <v>Ốc</v>
          </cell>
          <cell r="C393" t="str">
            <v>Nut-M16-DIN934-8.0-Galv</v>
          </cell>
          <cell r="E393" t="str">
            <v>Pcs</v>
          </cell>
          <cell r="G393">
            <v>51</v>
          </cell>
          <cell r="I393">
            <v>51</v>
          </cell>
          <cell r="M393">
            <v>51</v>
          </cell>
          <cell r="O393" t="str">
            <v>Rev26-Braden bổ sung.</v>
          </cell>
        </row>
        <row r="394">
          <cell r="A394" t="str">
            <v>I90-C115</v>
          </cell>
          <cell r="B394" t="str">
            <v>Đệm</v>
          </cell>
          <cell r="C394" t="str">
            <v>Washer-M16-ISO7089-St-200HV-Galv</v>
          </cell>
          <cell r="E394" t="str">
            <v>Pcs</v>
          </cell>
          <cell r="G394">
            <v>432</v>
          </cell>
          <cell r="I394">
            <v>432</v>
          </cell>
          <cell r="M394">
            <v>432</v>
          </cell>
          <cell r="O394" t="str">
            <v>Rev27 Sửa lại từ ốc sang đệm cho chuẩn</v>
          </cell>
        </row>
        <row r="395">
          <cell r="A395" t="str">
            <v>I90-C116</v>
          </cell>
          <cell r="B395" t="str">
            <v>Ốc</v>
          </cell>
          <cell r="C395" t="str">
            <v>Nut-M20-DIN934-8.0-Galv</v>
          </cell>
          <cell r="E395" t="str">
            <v>Pcs</v>
          </cell>
          <cell r="G395">
            <v>264</v>
          </cell>
          <cell r="I395">
            <v>272</v>
          </cell>
          <cell r="M395">
            <v>272</v>
          </cell>
          <cell r="O395" t="str">
            <v>Rev31-IBS-REV</v>
          </cell>
        </row>
        <row r="396">
          <cell r="A396" t="str">
            <v>I90-C117</v>
          </cell>
          <cell r="B396" t="str">
            <v>Đệm</v>
          </cell>
          <cell r="C396" t="str">
            <v>Washer-M20-ISO7089-St-200HV-Galv</v>
          </cell>
          <cell r="E396" t="str">
            <v>Pcs</v>
          </cell>
          <cell r="G396">
            <v>112</v>
          </cell>
          <cell r="I396">
            <v>112</v>
          </cell>
          <cell r="M396">
            <v>112</v>
          </cell>
          <cell r="O396" t="str">
            <v>Rev27 Sửa lại từ ốc sang đệm cho chuẩn</v>
          </cell>
        </row>
        <row r="397">
          <cell r="A397" t="str">
            <v>I90-C118</v>
          </cell>
          <cell r="B397" t="str">
            <v>Ốc</v>
          </cell>
          <cell r="C397" t="str">
            <v>Nut-M24-DIN934-8.0-Galv</v>
          </cell>
          <cell r="E397" t="str">
            <v>Pcs</v>
          </cell>
          <cell r="G397">
            <v>192</v>
          </cell>
          <cell r="I397">
            <v>192</v>
          </cell>
          <cell r="M397">
            <v>192</v>
          </cell>
          <cell r="O397" t="str">
            <v>Rev26-Braden bổ sung.</v>
          </cell>
        </row>
        <row r="398">
          <cell r="A398" t="str">
            <v>I90-C119</v>
          </cell>
          <cell r="B398" t="str">
            <v>Ốc</v>
          </cell>
          <cell r="C398" t="str">
            <v>Nut-M30-DIN934-8.0-Galv</v>
          </cell>
          <cell r="E398" t="str">
            <v>Pcs</v>
          </cell>
          <cell r="G398">
            <v>72</v>
          </cell>
          <cell r="I398">
            <v>72</v>
          </cell>
          <cell r="M398">
            <v>72</v>
          </cell>
          <cell r="O398" t="str">
            <v>Rev26-Braden bổ sung.</v>
          </cell>
        </row>
        <row r="399">
          <cell r="A399" t="str">
            <v>I90-C120</v>
          </cell>
          <cell r="B399" t="str">
            <v>Ốc</v>
          </cell>
          <cell r="C399" t="str">
            <v>Nut-M30-ISO4032-8.0-Galv</v>
          </cell>
          <cell r="E399" t="str">
            <v>Pcs</v>
          </cell>
          <cell r="G399">
            <v>96</v>
          </cell>
          <cell r="I399">
            <v>96</v>
          </cell>
          <cell r="M399">
            <v>96</v>
          </cell>
          <cell r="O399" t="str">
            <v>Rev26-Braden bổ sung.</v>
          </cell>
        </row>
        <row r="400">
          <cell r="A400" t="str">
            <v>I90-C121</v>
          </cell>
          <cell r="B400" t="str">
            <v>Ốc</v>
          </cell>
          <cell r="C400" t="str">
            <v>Nut-M36-DIN934-8.0-Galv</v>
          </cell>
          <cell r="E400" t="str">
            <v>Pcs</v>
          </cell>
          <cell r="G400">
            <v>48</v>
          </cell>
          <cell r="I400">
            <v>48</v>
          </cell>
          <cell r="M400">
            <v>48</v>
          </cell>
          <cell r="O400" t="str">
            <v>Rev26-Braden bổ sung.</v>
          </cell>
        </row>
        <row r="401">
          <cell r="A401" t="str">
            <v>I90-C122</v>
          </cell>
          <cell r="B401" t="str">
            <v>Đệm</v>
          </cell>
          <cell r="C401" t="str">
            <v>Washer-12-ISO7089-St-200HV-Galv</v>
          </cell>
          <cell r="E401" t="str">
            <v>Pcs</v>
          </cell>
          <cell r="G401">
            <v>240</v>
          </cell>
          <cell r="I401">
            <v>240</v>
          </cell>
          <cell r="M401">
            <v>240</v>
          </cell>
          <cell r="O401" t="str">
            <v>Rev26-Braden bổ sung.</v>
          </cell>
        </row>
        <row r="402">
          <cell r="A402" t="str">
            <v>I90-C123</v>
          </cell>
          <cell r="B402" t="str">
            <v>Đệm</v>
          </cell>
          <cell r="C402" t="str">
            <v>Washer-16-ISO7089-St-200HV-Galv</v>
          </cell>
          <cell r="E402" t="str">
            <v>Pcs</v>
          </cell>
          <cell r="G402">
            <v>1926</v>
          </cell>
          <cell r="I402">
            <v>1926</v>
          </cell>
          <cell r="M402">
            <v>1926</v>
          </cell>
          <cell r="O402" t="str">
            <v>Rev26-Braden bổ sung.</v>
          </cell>
        </row>
        <row r="403">
          <cell r="A403" t="str">
            <v>I90-C124</v>
          </cell>
          <cell r="B403" t="str">
            <v>Đệm</v>
          </cell>
          <cell r="C403" t="str">
            <v>Washer-16-ISO7093A-St-200HV-Galv</v>
          </cell>
          <cell r="E403" t="str">
            <v>Pcs</v>
          </cell>
          <cell r="G403">
            <v>24</v>
          </cell>
          <cell r="I403">
            <v>24</v>
          </cell>
          <cell r="M403">
            <v>24</v>
          </cell>
          <cell r="O403" t="str">
            <v>Rev26-Braden bổ sung.</v>
          </cell>
        </row>
        <row r="404">
          <cell r="A404" t="str">
            <v>I90-C125</v>
          </cell>
          <cell r="B404" t="str">
            <v>Đệm</v>
          </cell>
          <cell r="C404" t="str">
            <v>Washer-17.5-DIN434-St-Galv</v>
          </cell>
          <cell r="E404" t="str">
            <v>Pcs</v>
          </cell>
          <cell r="G404">
            <v>32</v>
          </cell>
          <cell r="I404">
            <v>32</v>
          </cell>
          <cell r="M404">
            <v>32</v>
          </cell>
          <cell r="O404" t="str">
            <v>Rev26-Braden bổ sung.</v>
          </cell>
        </row>
        <row r="405">
          <cell r="A405" t="str">
            <v>I90-C126</v>
          </cell>
          <cell r="B405" t="str">
            <v>Đệm</v>
          </cell>
          <cell r="C405" t="str">
            <v>Washer-17.5-DIN434-St-Galv.-Galv</v>
          </cell>
          <cell r="E405" t="str">
            <v>Pcs</v>
          </cell>
          <cell r="G405">
            <v>32</v>
          </cell>
          <cell r="I405">
            <v>32</v>
          </cell>
          <cell r="M405">
            <v>32</v>
          </cell>
          <cell r="O405" t="str">
            <v>Rev26-Braden bổ sung.</v>
          </cell>
        </row>
        <row r="406">
          <cell r="A406" t="str">
            <v>I90-C127</v>
          </cell>
          <cell r="B406" t="str">
            <v>Đệm</v>
          </cell>
          <cell r="C406" t="str">
            <v>Washer-20-ISO7089-St-200HV-Galv</v>
          </cell>
          <cell r="E406" t="str">
            <v>Pcs</v>
          </cell>
          <cell r="G406">
            <v>1362</v>
          </cell>
          <cell r="I406">
            <v>1378</v>
          </cell>
          <cell r="M406">
            <v>1378</v>
          </cell>
          <cell r="O406" t="str">
            <v>Rev31-IBS-REV</v>
          </cell>
        </row>
        <row r="407">
          <cell r="A407" t="str">
            <v>I90-C128</v>
          </cell>
          <cell r="B407" t="str">
            <v>Đệm</v>
          </cell>
          <cell r="C407" t="str">
            <v>Washer-22-DIN434-8.8-Galv</v>
          </cell>
          <cell r="E407" t="str">
            <v>Pcs</v>
          </cell>
          <cell r="G407">
            <v>16</v>
          </cell>
          <cell r="I407">
            <v>16</v>
          </cell>
          <cell r="M407">
            <v>16</v>
          </cell>
          <cell r="O407" t="str">
            <v>Rev26-Braden bổ sung.</v>
          </cell>
        </row>
        <row r="408">
          <cell r="A408" t="str">
            <v>I90-C129</v>
          </cell>
          <cell r="B408" t="str">
            <v>Đệm</v>
          </cell>
          <cell r="C408" t="str">
            <v>Washer-22-DIN434-St-200HV-Galv</v>
          </cell>
          <cell r="E408" t="str">
            <v>Pcs</v>
          </cell>
          <cell r="G408">
            <v>12</v>
          </cell>
          <cell r="I408">
            <v>12</v>
          </cell>
          <cell r="M408">
            <v>12</v>
          </cell>
          <cell r="O408" t="str">
            <v>Rev26-Braden bổ sung.</v>
          </cell>
        </row>
        <row r="409">
          <cell r="A409" t="str">
            <v>I90-C130</v>
          </cell>
          <cell r="B409" t="str">
            <v>Đệm</v>
          </cell>
          <cell r="C409" t="str">
            <v>Washer-24-ISO7089-St-200HV-Galv</v>
          </cell>
          <cell r="E409" t="str">
            <v>Pcs</v>
          </cell>
          <cell r="G409">
            <v>576</v>
          </cell>
          <cell r="I409">
            <v>576</v>
          </cell>
          <cell r="M409">
            <v>576</v>
          </cell>
          <cell r="O409" t="str">
            <v>Rev26-Braden bổ sung.</v>
          </cell>
        </row>
        <row r="410">
          <cell r="A410" t="str">
            <v>I90-C131</v>
          </cell>
          <cell r="B410" t="str">
            <v>Đệm</v>
          </cell>
          <cell r="C410" t="str">
            <v>Washer-30-ISO7089-St-200HV-Galv</v>
          </cell>
          <cell r="E410" t="str">
            <v>Pcs</v>
          </cell>
          <cell r="G410">
            <v>192</v>
          </cell>
          <cell r="I410">
            <v>192</v>
          </cell>
          <cell r="M410">
            <v>192</v>
          </cell>
          <cell r="O410" t="str">
            <v>Rev26-Braden bổ sung.</v>
          </cell>
        </row>
        <row r="411">
          <cell r="A411" t="str">
            <v>I90-C132</v>
          </cell>
          <cell r="B411" t="str">
            <v>Đệm</v>
          </cell>
          <cell r="C411" t="str">
            <v>Washer-A16-DIN127-St-200HV-Galv</v>
          </cell>
          <cell r="E411" t="str">
            <v>Pcs</v>
          </cell>
          <cell r="G411">
            <v>102</v>
          </cell>
          <cell r="I411">
            <v>102</v>
          </cell>
          <cell r="M411">
            <v>102</v>
          </cell>
          <cell r="O411" t="str">
            <v>Rev26-Braden bổ sung.</v>
          </cell>
        </row>
        <row r="412">
          <cell r="A412" t="str">
            <v>I90-C133</v>
          </cell>
          <cell r="B412" t="str">
            <v>Đệm</v>
          </cell>
          <cell r="C412" t="str">
            <v>Washer-A20-DIN127-St-200HV-Galv</v>
          </cell>
          <cell r="E412" t="str">
            <v>Pcs</v>
          </cell>
          <cell r="G412">
            <v>528</v>
          </cell>
          <cell r="I412">
            <v>528</v>
          </cell>
          <cell r="M412">
            <v>528</v>
          </cell>
          <cell r="O412" t="str">
            <v>Rev26-Braden bổ sung.</v>
          </cell>
        </row>
        <row r="413">
          <cell r="A413" t="str">
            <v>I90-C134</v>
          </cell>
          <cell r="B413" t="str">
            <v>Đệm</v>
          </cell>
          <cell r="C413" t="str">
            <v>Washer-A24-DIN127-St-200HV-Galv</v>
          </cell>
          <cell r="E413" t="str">
            <v>Pcs</v>
          </cell>
          <cell r="G413">
            <v>384</v>
          </cell>
          <cell r="I413">
            <v>384</v>
          </cell>
          <cell r="M413">
            <v>384</v>
          </cell>
          <cell r="O413" t="str">
            <v>Rev26-Braden bổ sung.</v>
          </cell>
        </row>
        <row r="414">
          <cell r="A414" t="str">
            <v>I90-C135</v>
          </cell>
          <cell r="B414" t="str">
            <v>Đệm</v>
          </cell>
          <cell r="C414" t="str">
            <v>Washer-A30-DIN127-St-200HV-Galv</v>
          </cell>
          <cell r="E414" t="str">
            <v>Pcs</v>
          </cell>
          <cell r="G414">
            <v>144</v>
          </cell>
          <cell r="I414">
            <v>144</v>
          </cell>
          <cell r="M414">
            <v>144</v>
          </cell>
          <cell r="O414" t="str">
            <v>Rev26-Braden bổ sung.</v>
          </cell>
        </row>
        <row r="415">
          <cell r="A415" t="str">
            <v>I90-C136</v>
          </cell>
          <cell r="B415" t="str">
            <v>Đệm</v>
          </cell>
          <cell r="C415" t="str">
            <v>Washer-A36-DIN127-St-200HV-Galv</v>
          </cell>
          <cell r="E415" t="str">
            <v>Pcs</v>
          </cell>
          <cell r="G415">
            <v>96</v>
          </cell>
          <cell r="I415">
            <v>96</v>
          </cell>
          <cell r="M415">
            <v>96</v>
          </cell>
          <cell r="O415" t="str">
            <v>Rev26-Braden bổ sung.</v>
          </cell>
        </row>
        <row r="416">
          <cell r="A416" t="str">
            <v>I90-C137</v>
          </cell>
          <cell r="B416" t="str">
            <v>Đệm</v>
          </cell>
          <cell r="C416" t="str">
            <v>Washer-M12-ISO7089-St-200HV-tZn</v>
          </cell>
          <cell r="E416" t="str">
            <v>Pcs</v>
          </cell>
          <cell r="G416">
            <v>320</v>
          </cell>
          <cell r="I416">
            <v>320</v>
          </cell>
          <cell r="M416">
            <v>320</v>
          </cell>
          <cell r="O416" t="str">
            <v>Rev26-Braden bổ sung.</v>
          </cell>
        </row>
        <row r="417">
          <cell r="A417" t="str">
            <v>I90-C138</v>
          </cell>
          <cell r="B417" t="str">
            <v>Đệm</v>
          </cell>
          <cell r="C417" t="str">
            <v>Washer-M16-DIN434-St-200HV-Galv</v>
          </cell>
          <cell r="E417" t="str">
            <v>Pcs</v>
          </cell>
          <cell r="G417">
            <v>252</v>
          </cell>
          <cell r="I417">
            <v>252</v>
          </cell>
          <cell r="M417">
            <v>252</v>
          </cell>
          <cell r="O417" t="str">
            <v>Rev26-Braden bổ sung.</v>
          </cell>
        </row>
        <row r="418">
          <cell r="A418" t="str">
            <v>I90-C139</v>
          </cell>
          <cell r="B418" t="str">
            <v xml:space="preserve">Thread rod </v>
          </cell>
          <cell r="C418" t="str">
            <v>Thread rod M20-L1000-8.8 (tiện ren 2 đầu: độ dài ren một đầu 170mm,  một đầu 100mm)-Galv</v>
          </cell>
          <cell r="E418" t="str">
            <v>Pcs</v>
          </cell>
          <cell r="G418">
            <v>12</v>
          </cell>
          <cell r="I418">
            <v>12</v>
          </cell>
          <cell r="M418">
            <v>12</v>
          </cell>
          <cell r="O418" t="str">
            <v>Rev26-Braden bổ sung.</v>
          </cell>
        </row>
        <row r="419">
          <cell r="A419" t="str">
            <v>I90-C140</v>
          </cell>
          <cell r="B419" t="str">
            <v>Bạt che</v>
          </cell>
          <cell r="C419" t="str">
            <v>kích thước bạt: 10.5x6.5 m</v>
          </cell>
          <cell r="D419" t="str">
            <v>Bạt da 2 lớp chống nước. Viền bạt có đính khuy, khoảng cách khuy~1m</v>
          </cell>
          <cell r="E419" t="str">
            <v>Pcs</v>
          </cell>
          <cell r="G419">
            <v>3</v>
          </cell>
          <cell r="I419">
            <v>3</v>
          </cell>
          <cell r="M419">
            <v>3</v>
          </cell>
          <cell r="O419" t="str">
            <v>Rev27-điều chỉnh kích thước bạt che, khớp với kt đã đặt hàng</v>
          </cell>
        </row>
        <row r="420">
          <cell r="A420" t="str">
            <v>I90-C141</v>
          </cell>
          <cell r="B420" t="str">
            <v>Bạt che</v>
          </cell>
          <cell r="C420" t="str">
            <v>kích thước bạt: 12x8 m</v>
          </cell>
          <cell r="E420" t="str">
            <v>Pcs</v>
          </cell>
          <cell r="G420">
            <v>3</v>
          </cell>
          <cell r="I420">
            <v>3</v>
          </cell>
          <cell r="M420">
            <v>3</v>
          </cell>
          <cell r="O420" t="str">
            <v>Rev27-điều chỉnh kích thước bạt che, khớp với kt đã đặt hàng</v>
          </cell>
        </row>
        <row r="421">
          <cell r="A421" t="str">
            <v>I90-C142</v>
          </cell>
          <cell r="B421" t="str">
            <v>Bạt che</v>
          </cell>
          <cell r="C421" t="str">
            <v>kích thước bạt: 12x9.5m</v>
          </cell>
          <cell r="E421" t="str">
            <v>Pcs</v>
          </cell>
          <cell r="G421">
            <v>1</v>
          </cell>
          <cell r="I421">
            <v>1</v>
          </cell>
          <cell r="M421">
            <v>1</v>
          </cell>
          <cell r="O421" t="str">
            <v>Rev27-điều chỉnh kích thước bạt che, khớp với kt đã đặt hàng</v>
          </cell>
        </row>
        <row r="422">
          <cell r="A422" t="str">
            <v>I90-C143</v>
          </cell>
          <cell r="B422" t="str">
            <v>Bạt che</v>
          </cell>
          <cell r="C422" t="str">
            <v>kích thước bạt: 14x7 m</v>
          </cell>
          <cell r="E422" t="str">
            <v>Pcs</v>
          </cell>
          <cell r="G422">
            <v>4</v>
          </cell>
          <cell r="I422">
            <v>6</v>
          </cell>
          <cell r="M422">
            <v>6</v>
          </cell>
          <cell r="O422" t="str">
            <v>Rev27-Braden bổ sung</v>
          </cell>
        </row>
        <row r="423">
          <cell r="A423" t="str">
            <v>I90-C144</v>
          </cell>
          <cell r="B423" t="str">
            <v>Bạt che</v>
          </cell>
          <cell r="C423" t="str">
            <v>kích thước bạt: 15x11 m</v>
          </cell>
          <cell r="E423" t="str">
            <v>Pcs</v>
          </cell>
          <cell r="G423">
            <v>1</v>
          </cell>
          <cell r="I423">
            <v>1</v>
          </cell>
          <cell r="M423">
            <v>1</v>
          </cell>
          <cell r="O423" t="str">
            <v>Rev27-điều chỉnh kích thước bạt che, khớp với kt đã đặt hàng</v>
          </cell>
        </row>
        <row r="424">
          <cell r="A424" t="str">
            <v>I90-C145</v>
          </cell>
          <cell r="B424" t="str">
            <v>Bạt che</v>
          </cell>
          <cell r="C424" t="str">
            <v>kích thước bạt: 15x7 m</v>
          </cell>
          <cell r="E424" t="str">
            <v>Pcs</v>
          </cell>
          <cell r="G424">
            <v>3</v>
          </cell>
          <cell r="I424">
            <v>3</v>
          </cell>
          <cell r="M424">
            <v>3</v>
          </cell>
          <cell r="O424" t="str">
            <v>Rev27-điều chỉnh kích thước bạt che, khớp với kt đã đặt hàng</v>
          </cell>
        </row>
        <row r="425">
          <cell r="A425" t="str">
            <v>I90-C146</v>
          </cell>
          <cell r="B425" t="str">
            <v>Bạt che</v>
          </cell>
          <cell r="C425" t="str">
            <v>kích thước bạt: 15.5x9.5 m</v>
          </cell>
          <cell r="E425" t="str">
            <v>Pcs</v>
          </cell>
          <cell r="G425">
            <v>1</v>
          </cell>
          <cell r="I425">
            <v>1</v>
          </cell>
          <cell r="M425">
            <v>1</v>
          </cell>
          <cell r="O425" t="str">
            <v>Rev27-điều chỉnh kích thước bạt che, khớp với kt đã đặt hàng</v>
          </cell>
        </row>
        <row r="426">
          <cell r="A426" t="str">
            <v>I90-C147</v>
          </cell>
          <cell r="B426" t="str">
            <v>Bạt che</v>
          </cell>
          <cell r="C426" t="str">
            <v>kích thước bạt: 15.5x10 m</v>
          </cell>
          <cell r="E426" t="str">
            <v>Pcs</v>
          </cell>
          <cell r="G426">
            <v>1</v>
          </cell>
          <cell r="I426">
            <v>1</v>
          </cell>
          <cell r="M426">
            <v>1</v>
          </cell>
          <cell r="O426" t="str">
            <v>Rev27-điều chỉnh kích thước bạt che, khớp với kt đã đặt hàng</v>
          </cell>
        </row>
        <row r="427">
          <cell r="A427" t="str">
            <v>I90-C148</v>
          </cell>
          <cell r="B427" t="str">
            <v>Bạt che</v>
          </cell>
          <cell r="C427" t="str">
            <v>kích thước bạt: 17x12 m</v>
          </cell>
          <cell r="E427" t="str">
            <v>Pcs</v>
          </cell>
          <cell r="G427">
            <v>4</v>
          </cell>
          <cell r="I427">
            <v>4</v>
          </cell>
          <cell r="M427">
            <v>4</v>
          </cell>
          <cell r="O427" t="str">
            <v>Rev27-điều chỉnh kích thước bạt che, khớp với kt đã đặt hàng</v>
          </cell>
        </row>
        <row r="428">
          <cell r="A428" t="str">
            <v>I90-C149</v>
          </cell>
          <cell r="B428" t="str">
            <v>Bạt che</v>
          </cell>
          <cell r="C428" t="str">
            <v>kích thước bạt: 16.5x9 m</v>
          </cell>
          <cell r="E428" t="str">
            <v>Pcs</v>
          </cell>
          <cell r="G428">
            <v>3</v>
          </cell>
          <cell r="I428">
            <v>3</v>
          </cell>
          <cell r="M428">
            <v>3</v>
          </cell>
          <cell r="O428" t="str">
            <v>Rev27-điều chỉnh kích thước bạt che, khớp với kt đã đặt hàng</v>
          </cell>
        </row>
        <row r="429">
          <cell r="A429" t="str">
            <v>I90-C150</v>
          </cell>
          <cell r="B429" t="str">
            <v>Bạt che</v>
          </cell>
          <cell r="C429" t="str">
            <v>kích thước bạt: 16.5x10 m</v>
          </cell>
          <cell r="E429" t="str">
            <v>Pcs</v>
          </cell>
          <cell r="G429">
            <v>3</v>
          </cell>
          <cell r="I429">
            <v>3</v>
          </cell>
          <cell r="M429">
            <v>3</v>
          </cell>
          <cell r="O429" t="str">
            <v>Rev27-điều chỉnh kích thước bạt che, khớp với kt đã đặt hàng</v>
          </cell>
        </row>
        <row r="430">
          <cell r="A430" t="str">
            <v>I90-C151</v>
          </cell>
          <cell r="B430" t="str">
            <v>Bạt che</v>
          </cell>
          <cell r="C430" t="str">
            <v>kích thước bạt: 17.5x11.5 m</v>
          </cell>
          <cell r="E430" t="str">
            <v>Pcs</v>
          </cell>
          <cell r="G430">
            <v>3</v>
          </cell>
          <cell r="I430">
            <v>3</v>
          </cell>
          <cell r="M430">
            <v>3</v>
          </cell>
          <cell r="O430" t="str">
            <v>Rev27-điều chỉnh kích thước bạt che, khớp với kt đã đặt hàng</v>
          </cell>
        </row>
        <row r="431">
          <cell r="A431" t="str">
            <v>I90-C152</v>
          </cell>
          <cell r="B431" t="str">
            <v>Bạt che</v>
          </cell>
          <cell r="C431" t="str">
            <v>kích thước bạt: 9x7.5 m</v>
          </cell>
          <cell r="E431" t="str">
            <v>Pcs</v>
          </cell>
          <cell r="G431">
            <v>3</v>
          </cell>
          <cell r="I431">
            <v>3</v>
          </cell>
          <cell r="M431">
            <v>3</v>
          </cell>
          <cell r="O431" t="str">
            <v>Rev27-điều chỉnh kích thước bạt che, khớp với kt đã đặt hàng</v>
          </cell>
        </row>
        <row r="432">
          <cell r="A432" t="str">
            <v>I90-C153</v>
          </cell>
          <cell r="B432" t="str">
            <v>Tai cẩu hàn</v>
          </cell>
          <cell r="C432" t="str">
            <v>RUD W-ABA - 20T ( Tai  cẩu hàn 20T)</v>
          </cell>
          <cell r="D432" t="str">
            <v>Steel</v>
          </cell>
          <cell r="E432" t="str">
            <v>Pcs</v>
          </cell>
          <cell r="G432">
            <v>24</v>
          </cell>
          <cell r="I432">
            <v>24</v>
          </cell>
          <cell r="M432">
            <v>24</v>
          </cell>
          <cell r="O432" t="str">
            <v>Rev28-Braden-được chuyển sang loại 20T. Cái mà hình dáng giống loại 5.3T, 10T mà IBS đã đặt mua, ở đây chỉ khác là mua loại tải trọng 20T</v>
          </cell>
        </row>
        <row r="433">
          <cell r="A433" t="str">
            <v>I90-C154</v>
          </cell>
          <cell r="B433" t="str">
            <v>Bạt bảo quản</v>
          </cell>
          <cell r="C433" t="str">
            <v>Bạt che kích thước: 15x20 m</v>
          </cell>
          <cell r="D433" t="str">
            <v>Bạt xanh chống nước. Có may viền mép và đính khuy. Khoảng cách khuy ~ 2m</v>
          </cell>
          <cell r="E433" t="str">
            <v>Pcs</v>
          </cell>
          <cell r="G433">
            <v>10</v>
          </cell>
          <cell r="I433">
            <v>10</v>
          </cell>
          <cell r="M433">
            <v>10</v>
          </cell>
          <cell r="O433" t="str">
            <v>Rev27-IBS-bổ sung</v>
          </cell>
        </row>
        <row r="434">
          <cell r="A434" t="str">
            <v>I90-C155</v>
          </cell>
          <cell r="B434" t="str">
            <v>Dây chằng bạt</v>
          </cell>
          <cell r="C434" t="str">
            <v>Dây chằng bạt D8</v>
          </cell>
          <cell r="D434" t="str">
            <v>Dây chằng bạt D8</v>
          </cell>
          <cell r="E434" t="str">
            <v>m</v>
          </cell>
          <cell r="G434">
            <v>4000</v>
          </cell>
          <cell r="I434">
            <v>4000</v>
          </cell>
          <cell r="M434">
            <v>4000</v>
          </cell>
          <cell r="O434" t="str">
            <v>Rev27-IBS-bổ sung</v>
          </cell>
        </row>
        <row r="435">
          <cell r="A435" t="str">
            <v>I90-C156</v>
          </cell>
          <cell r="B435" t="str">
            <v>Thùng gỗ</v>
          </cell>
          <cell r="C435" t="str">
            <v>Thùng gỗ</v>
          </cell>
          <cell r="D435" t="str">
            <v>Gỗ có dấu khử trùng 
( ISPM 15)</v>
          </cell>
          <cell r="E435" t="str">
            <v>pcs</v>
          </cell>
          <cell r="G435">
            <v>6</v>
          </cell>
          <cell r="I435">
            <v>6</v>
          </cell>
          <cell r="M435">
            <v>6</v>
          </cell>
          <cell r="O435" t="str">
            <v>Rev29-BE bổ sung. Kích thước theo bản vẽ "I90-big wood box-U345"</v>
          </cell>
        </row>
        <row r="436">
          <cell r="A436" t="str">
            <v>I90-C157</v>
          </cell>
          <cell r="B436" t="str">
            <v>Thùng gỗ</v>
          </cell>
          <cell r="C436" t="str">
            <v>Thùng gỗ</v>
          </cell>
          <cell r="D436" t="str">
            <v>Gỗ có dấu khử trùng 
( ISPM 15)</v>
          </cell>
          <cell r="E436" t="str">
            <v>pcs</v>
          </cell>
          <cell r="G436">
            <v>3</v>
          </cell>
          <cell r="I436">
            <v>3</v>
          </cell>
          <cell r="M436">
            <v>3</v>
          </cell>
          <cell r="O436" t="str">
            <v>Rev29-BE bổ sung. Kích thước theo bản vẽ "I90-small wood box-U345"</v>
          </cell>
        </row>
        <row r="437">
          <cell r="A437" t="str">
            <v>I90-C158</v>
          </cell>
          <cell r="B437" t="str">
            <v>cáp thép</v>
          </cell>
          <cell r="C437" t="str">
            <v>Cáp thép bọc bỏ nhựa D14</v>
          </cell>
          <cell r="D437" t="str">
            <v>steel</v>
          </cell>
          <cell r="E437" t="str">
            <v>m</v>
          </cell>
          <cell r="K437">
            <v>300</v>
          </cell>
          <cell r="M437">
            <v>300</v>
          </cell>
          <cell r="O437" t="str">
            <v>Rev33-IBS-bổ sung cho làm hàng cont</v>
          </cell>
        </row>
        <row r="438">
          <cell r="A438" t="str">
            <v>I90-C159</v>
          </cell>
          <cell r="B438" t="str">
            <v>cóc cáp</v>
          </cell>
          <cell r="C438" t="str">
            <v>Cóc cáp 14mm mạ hợp kim</v>
          </cell>
          <cell r="D438" t="str">
            <v>steel-mạ</v>
          </cell>
          <cell r="E438" t="str">
            <v>pcs</v>
          </cell>
          <cell r="K438">
            <v>200</v>
          </cell>
          <cell r="M438">
            <v>200</v>
          </cell>
          <cell r="O438" t="str">
            <v>Rev33-IBS-bổ sung cho làm hàng cont</v>
          </cell>
        </row>
        <row r="439">
          <cell r="A439" t="str">
            <v>I90-C160</v>
          </cell>
          <cell r="B439" t="str">
            <v>tăng đơ</v>
          </cell>
          <cell r="C439" t="str">
            <v>Tăng 16 mạ TQ-loại to 1 móc 1 tròn</v>
          </cell>
          <cell r="D439" t="str">
            <v>steel-mạ</v>
          </cell>
          <cell r="E439" t="str">
            <v>pcs</v>
          </cell>
          <cell r="K439">
            <v>150</v>
          </cell>
          <cell r="M439">
            <v>150</v>
          </cell>
          <cell r="O439" t="str">
            <v>Rev33-IBS-bổ sung cho làm hàng cont</v>
          </cell>
        </row>
        <row r="440">
          <cell r="A440" t="str">
            <v>I90-C161</v>
          </cell>
          <cell r="B440" t="str">
            <v>củ tăng bạt</v>
          </cell>
          <cell r="C440" t="str">
            <v>củ và mỏ tăng bạt 5cm loại dầy</v>
          </cell>
          <cell r="E440" t="str">
            <v>Sets</v>
          </cell>
          <cell r="K440">
            <v>150</v>
          </cell>
          <cell r="M440">
            <v>150</v>
          </cell>
          <cell r="O440" t="str">
            <v>Rev33-IBS-bổ sung cho làm hàng cont</v>
          </cell>
        </row>
        <row r="441">
          <cell r="A441" t="str">
            <v>PRIORITY/  THỜI GIAN CẤP:</v>
          </cell>
        </row>
        <row r="442">
          <cell r="A442" t="str">
            <v xml:space="preserve">              CRITICAL (within 3 days) / NGAY LẬP TỨC (Dưới 3 ngày)                         </v>
          </cell>
          <cell r="D442" t="str">
            <v>URGENT / KHẨN CẤP</v>
          </cell>
          <cell r="G442" t="str">
            <v xml:space="preserve">    1 WEEK/ 1 TUẦN</v>
          </cell>
          <cell r="K442" t="str">
            <v>AS DELIVERY (Date: ……………)/ CẦN VÀO NGÀY :……………</v>
          </cell>
        </row>
        <row r="443">
          <cell r="A443" t="str">
            <v>REMARKS /  CHÚ Ý :</v>
          </cell>
        </row>
        <row r="444">
          <cell r="A444" t="str">
            <v xml:space="preserve">    </v>
          </cell>
        </row>
        <row r="445">
          <cell r="A445" t="str">
            <v>ASSIGN COST TO/ NGUỒN CHI PHÍ:</v>
          </cell>
        </row>
        <row r="446">
          <cell r="A446" t="str">
            <v xml:space="preserve">               PROJECT BUDGET/ NGÂN SÁCH DỰ ÁN</v>
          </cell>
          <cell r="D446" t="str">
            <v>PROJECT within IBS / DỰ ÁN NỘI BỘ</v>
          </cell>
          <cell r="G446" t="str">
            <v>TRADING &amp; SUPPLY / MMUA VÀ CUNG CẤP</v>
          </cell>
          <cell r="K446" t="str">
            <v>PRODUCTION,MAINTENANCE/ SẢN XUẤT,BẢO DƯỠNG</v>
          </cell>
          <cell r="O446" t="str">
            <v>OTHER/ Khác</v>
          </cell>
        </row>
        <row r="447">
          <cell r="A447" t="str">
            <v>REMARKS/  CHÚ Ý:</v>
          </cell>
        </row>
        <row r="449">
          <cell r="A449" t="str">
            <v>PURPOSE / MỤC DÍCH:</v>
          </cell>
        </row>
        <row r="450">
          <cell r="A450" t="str">
            <v>FOR IN-HOUSE/ CHO SỬ DỤNG</v>
          </cell>
          <cell r="I450" t="str">
            <v>FOR PROJECT/ DỰ ÁN</v>
          </cell>
        </row>
        <row r="451">
          <cell r="A451" t="str">
            <v xml:space="preserve">         Lost/Damaged/ Mất mát, hỏng hóc</v>
          </cell>
          <cell r="E451" t="str">
            <v xml:space="preserve">    Other/ Khác:</v>
          </cell>
          <cell r="I451" t="str">
            <v xml:space="preserve">         Shortage from previous ordered/Cấp thêm cho lần trước</v>
          </cell>
          <cell r="M451" t="str">
            <v xml:space="preserve">    Lost,Damaged/Mất mát,hỏng hóc</v>
          </cell>
          <cell r="O451" t="str">
            <v xml:space="preserve">    Other/ Khác:</v>
          </cell>
        </row>
        <row r="452">
          <cell r="A452" t="str">
            <v xml:space="preserve">          Req'd as Spares,Stock/ Dự phòng</v>
          </cell>
          <cell r="I452" t="str">
            <v xml:space="preserve">        Balance from previous ordered/ Phần còn lại chưa cấp</v>
          </cell>
          <cell r="M452" t="str">
            <v xml:space="preserve">    Req'd as Spares/ Dự phòng</v>
          </cell>
        </row>
        <row r="453">
          <cell r="A453" t="str">
            <v xml:space="preserve">          Consumables/ Vật tư tiêu hao</v>
          </cell>
          <cell r="I453" t="str">
            <v xml:space="preserve">         Replace wrong part/ Thay thế chi tiết sai</v>
          </cell>
          <cell r="M453" t="str">
            <v xml:space="preserve">    Consumables/Vật tư tiêu hao</v>
          </cell>
        </row>
        <row r="456">
          <cell r="C456" t="str">
            <v>Requested by/ Yêu cầu:</v>
          </cell>
          <cell r="D456" t="str">
            <v>Reviewed by/ Kiểm tra:</v>
          </cell>
          <cell r="I456" t="str">
            <v>Project Manager/ Giám đốc dự án</v>
          </cell>
          <cell r="M456" t="str">
            <v>Approved by/ Phê duyệt</v>
          </cell>
        </row>
        <row r="457">
          <cell r="A457" t="str">
            <v>Name/ Tên:</v>
          </cell>
        </row>
        <row r="458">
          <cell r="A458" t="str">
            <v>Position/ Vị trí:</v>
          </cell>
        </row>
        <row r="459">
          <cell r="A459" t="str">
            <v>Signature/ Chữ ký:</v>
          </cell>
        </row>
        <row r="460">
          <cell r="A460" t="str">
            <v>Date/ Ngày:</v>
          </cell>
        </row>
        <row r="462">
          <cell r="O462" t="str">
            <v>REF. DOC. NO.: ILS-PRC-F06A Rev. 0 (For Engineering only)</v>
          </cell>
        </row>
      </sheetData>
      <sheetData sheetId="1"/>
      <sheetData sheetId="2"/>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2)"/>
      <sheetName val="Sheet1"/>
      <sheetName val="WOODEN LIST"/>
      <sheetName val="REMAIN"/>
    </sheetNames>
    <sheetDataSet>
      <sheetData sheetId="0">
        <row r="12">
          <cell r="A12" t="str">
            <v>A.</v>
          </cell>
          <cell r="B12" t="str">
            <v>Main-Material /  Vật tư chính</v>
          </cell>
          <cell r="C12">
            <v>0</v>
          </cell>
          <cell r="D12">
            <v>0</v>
          </cell>
          <cell r="E12">
            <v>0</v>
          </cell>
          <cell r="F12">
            <v>0</v>
          </cell>
          <cell r="G12">
            <v>0</v>
          </cell>
          <cell r="H12">
            <v>0</v>
          </cell>
          <cell r="I12">
            <v>0</v>
          </cell>
          <cell r="J12">
            <v>0</v>
          </cell>
          <cell r="K12">
            <v>275101.40109695116</v>
          </cell>
          <cell r="L12">
            <v>0</v>
          </cell>
          <cell r="M12">
            <v>331656.4701853575</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3602.7608921933088</v>
          </cell>
          <cell r="AH12">
            <v>0</v>
          </cell>
          <cell r="AI12">
            <v>46360.430274818253</v>
          </cell>
          <cell r="AJ12">
            <v>0</v>
          </cell>
          <cell r="AK12">
            <v>0</v>
          </cell>
          <cell r="AL12">
            <v>0</v>
          </cell>
          <cell r="AM12">
            <v>0</v>
          </cell>
          <cell r="AN12">
            <v>0</v>
          </cell>
          <cell r="AO12">
            <v>669.3359999999999</v>
          </cell>
          <cell r="AP12">
            <v>0</v>
          </cell>
          <cell r="AQ12">
            <v>332325.80618535751</v>
          </cell>
        </row>
        <row r="13">
          <cell r="A13" t="str">
            <v>A-1</v>
          </cell>
          <cell r="B13" t="str">
            <v>Tôn tấm</v>
          </cell>
          <cell r="C13" t="str">
            <v>PL10*2000*12000</v>
          </cell>
          <cell r="D13">
            <v>10</v>
          </cell>
          <cell r="E13">
            <v>12000</v>
          </cell>
          <cell r="F13">
            <v>2000</v>
          </cell>
          <cell r="G13" t="str">
            <v>SS400 - JIS G3101</v>
          </cell>
          <cell r="H13" t="str">
            <v>m2</v>
          </cell>
          <cell r="I13">
            <v>78.5</v>
          </cell>
          <cell r="J13">
            <v>42.438923566878984</v>
          </cell>
          <cell r="K13">
            <v>3331.4555</v>
          </cell>
          <cell r="L13">
            <v>72</v>
          </cell>
          <cell r="M13">
            <v>5652</v>
          </cell>
          <cell r="N13">
            <v>24</v>
          </cell>
          <cell r="O13">
            <v>1884</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24</v>
          </cell>
          <cell r="AI13">
            <v>1884</v>
          </cell>
          <cell r="AJ13">
            <v>24</v>
          </cell>
          <cell r="AK13">
            <v>1884</v>
          </cell>
          <cell r="AL13">
            <v>0</v>
          </cell>
          <cell r="AM13">
            <v>0</v>
          </cell>
          <cell r="AN13">
            <v>0</v>
          </cell>
          <cell r="AO13">
            <v>0</v>
          </cell>
          <cell r="AP13">
            <v>72</v>
          </cell>
          <cell r="AQ13">
            <v>5652</v>
          </cell>
        </row>
        <row r="14">
          <cell r="A14" t="str">
            <v>A-2</v>
          </cell>
          <cell r="B14" t="str">
            <v>Tôn tấm</v>
          </cell>
          <cell r="C14" t="str">
            <v>PL10*2000*12000</v>
          </cell>
          <cell r="D14">
            <v>10</v>
          </cell>
          <cell r="E14">
            <v>6000</v>
          </cell>
          <cell r="F14">
            <v>2000</v>
          </cell>
          <cell r="G14" t="str">
            <v>ASTM A572-50</v>
          </cell>
          <cell r="H14" t="str">
            <v>m2</v>
          </cell>
          <cell r="I14">
            <v>78.5</v>
          </cell>
          <cell r="J14">
            <v>10.670445859872611</v>
          </cell>
          <cell r="K14">
            <v>837.63</v>
          </cell>
          <cell r="L14">
            <v>10.986407643312102</v>
          </cell>
          <cell r="M14">
            <v>862.43299999999999</v>
          </cell>
          <cell r="N14">
            <v>0</v>
          </cell>
          <cell r="O14">
            <v>0</v>
          </cell>
          <cell r="P14">
            <v>0</v>
          </cell>
          <cell r="Q14">
            <v>0</v>
          </cell>
          <cell r="R14">
            <v>0</v>
          </cell>
          <cell r="S14">
            <v>0</v>
          </cell>
          <cell r="T14">
            <v>12</v>
          </cell>
          <cell r="U14">
            <v>942</v>
          </cell>
          <cell r="V14">
            <v>-12</v>
          </cell>
          <cell r="W14">
            <v>-942</v>
          </cell>
          <cell r="X14">
            <v>0</v>
          </cell>
          <cell r="Y14">
            <v>0</v>
          </cell>
          <cell r="Z14">
            <v>10.986407643312102</v>
          </cell>
          <cell r="AA14">
            <v>862.43299999999999</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10.986407643312102</v>
          </cell>
          <cell r="AQ14">
            <v>862.43299999999999</v>
          </cell>
        </row>
        <row r="15">
          <cell r="A15" t="str">
            <v>A-3</v>
          </cell>
          <cell r="B15" t="str">
            <v>Tôn tấm</v>
          </cell>
          <cell r="C15" t="str">
            <v>PL12*2000*12000</v>
          </cell>
          <cell r="D15">
            <v>12</v>
          </cell>
          <cell r="E15">
            <v>12000</v>
          </cell>
          <cell r="F15">
            <v>2000</v>
          </cell>
          <cell r="G15" t="str">
            <v xml:space="preserve"> SS400</v>
          </cell>
          <cell r="H15" t="str">
            <v>m2</v>
          </cell>
          <cell r="I15">
            <v>94.2</v>
          </cell>
          <cell r="J15">
            <v>649.64925690021221</v>
          </cell>
          <cell r="K15">
            <v>61196.959999999992</v>
          </cell>
          <cell r="L15">
            <v>736.2107993630575</v>
          </cell>
          <cell r="M15">
            <v>69351.057300000015</v>
          </cell>
          <cell r="N15">
            <v>0</v>
          </cell>
          <cell r="O15">
            <v>0</v>
          </cell>
          <cell r="P15">
            <v>0</v>
          </cell>
          <cell r="Q15">
            <v>0</v>
          </cell>
          <cell r="R15">
            <v>0</v>
          </cell>
          <cell r="S15">
            <v>0</v>
          </cell>
          <cell r="T15">
            <v>384</v>
          </cell>
          <cell r="U15">
            <v>36172.799999999996</v>
          </cell>
          <cell r="V15">
            <v>64.210799363057447</v>
          </cell>
          <cell r="W15">
            <v>6048.6573000000108</v>
          </cell>
          <cell r="X15">
            <v>0</v>
          </cell>
          <cell r="Y15">
            <v>0</v>
          </cell>
          <cell r="Z15">
            <v>0</v>
          </cell>
          <cell r="AA15">
            <v>0</v>
          </cell>
          <cell r="AB15">
            <v>0</v>
          </cell>
          <cell r="AC15">
            <v>0</v>
          </cell>
          <cell r="AD15">
            <v>288</v>
          </cell>
          <cell r="AE15">
            <v>27129.599999999999</v>
          </cell>
          <cell r="AF15">
            <v>0</v>
          </cell>
          <cell r="AG15">
            <v>0</v>
          </cell>
          <cell r="AH15">
            <v>0</v>
          </cell>
          <cell r="AI15">
            <v>0</v>
          </cell>
          <cell r="AJ15">
            <v>0</v>
          </cell>
          <cell r="AK15">
            <v>0</v>
          </cell>
          <cell r="AL15">
            <v>0</v>
          </cell>
          <cell r="AM15">
            <v>0</v>
          </cell>
          <cell r="AN15">
            <v>0</v>
          </cell>
          <cell r="AO15">
            <v>0</v>
          </cell>
          <cell r="AP15">
            <v>736.2107993630575</v>
          </cell>
          <cell r="AQ15">
            <v>69351.057300000015</v>
          </cell>
        </row>
        <row r="16">
          <cell r="A16" t="str">
            <v>A-4</v>
          </cell>
          <cell r="B16" t="str">
            <v>Tôn tấm</v>
          </cell>
          <cell r="C16" t="str">
            <v>PL12*1500*12000</v>
          </cell>
          <cell r="D16">
            <v>12</v>
          </cell>
          <cell r="E16">
            <v>12000</v>
          </cell>
          <cell r="F16">
            <v>1500</v>
          </cell>
          <cell r="G16" t="str">
            <v>ASTM A572-50</v>
          </cell>
          <cell r="H16" t="str">
            <v>m2</v>
          </cell>
          <cell r="I16">
            <v>94.199999999999989</v>
          </cell>
          <cell r="J16">
            <v>40.787685774946922</v>
          </cell>
          <cell r="K16">
            <v>3842.2</v>
          </cell>
          <cell r="L16">
            <v>54</v>
          </cell>
          <cell r="M16">
            <v>5086.7999999999993</v>
          </cell>
          <cell r="N16">
            <v>0</v>
          </cell>
          <cell r="O16">
            <v>0</v>
          </cell>
          <cell r="P16">
            <v>0</v>
          </cell>
          <cell r="Q16">
            <v>0</v>
          </cell>
          <cell r="R16">
            <v>0</v>
          </cell>
          <cell r="S16">
            <v>0</v>
          </cell>
          <cell r="T16">
            <v>48</v>
          </cell>
          <cell r="U16">
            <v>4521.5999999999995</v>
          </cell>
          <cell r="V16">
            <v>-4.8794735399999993</v>
          </cell>
          <cell r="W16">
            <v>-459.64640746799989</v>
          </cell>
          <cell r="X16">
            <v>4.8794735399999993</v>
          </cell>
          <cell r="Y16">
            <v>459.64640746799989</v>
          </cell>
          <cell r="Z16">
            <v>0</v>
          </cell>
          <cell r="AA16">
            <v>0</v>
          </cell>
          <cell r="AB16">
            <v>0</v>
          </cell>
          <cell r="AC16">
            <v>0</v>
          </cell>
          <cell r="AD16">
            <v>6</v>
          </cell>
          <cell r="AE16">
            <v>565.19999999999993</v>
          </cell>
          <cell r="AF16">
            <v>0</v>
          </cell>
          <cell r="AG16">
            <v>0</v>
          </cell>
          <cell r="AH16">
            <v>0</v>
          </cell>
          <cell r="AI16">
            <v>0</v>
          </cell>
          <cell r="AJ16">
            <v>0</v>
          </cell>
          <cell r="AK16">
            <v>0</v>
          </cell>
          <cell r="AL16">
            <v>0</v>
          </cell>
          <cell r="AM16">
            <v>0</v>
          </cell>
          <cell r="AN16">
            <v>0</v>
          </cell>
          <cell r="AO16">
            <v>0</v>
          </cell>
          <cell r="AP16">
            <v>54</v>
          </cell>
          <cell r="AQ16">
            <v>5086.7999999999993</v>
          </cell>
        </row>
        <row r="17">
          <cell r="A17" t="str">
            <v>A-5</v>
          </cell>
          <cell r="B17" t="str">
            <v>Tôn tấm</v>
          </cell>
          <cell r="C17" t="str">
            <v>PL16*2000*12000</v>
          </cell>
          <cell r="D17">
            <v>16</v>
          </cell>
          <cell r="E17">
            <v>12000</v>
          </cell>
          <cell r="F17">
            <v>2000</v>
          </cell>
          <cell r="G17" t="str">
            <v>ASTM A572-50</v>
          </cell>
          <cell r="H17" t="str">
            <v>m2</v>
          </cell>
          <cell r="I17">
            <v>125.6</v>
          </cell>
          <cell r="J17">
            <v>14.155812101910829</v>
          </cell>
          <cell r="K17">
            <v>1777.97</v>
          </cell>
          <cell r="L17">
            <v>48</v>
          </cell>
          <cell r="M17">
            <v>6028.7999999999993</v>
          </cell>
          <cell r="N17">
            <v>0</v>
          </cell>
          <cell r="O17">
            <v>0</v>
          </cell>
          <cell r="P17">
            <v>0</v>
          </cell>
          <cell r="Q17">
            <v>0</v>
          </cell>
          <cell r="R17">
            <v>0</v>
          </cell>
          <cell r="S17">
            <v>0</v>
          </cell>
          <cell r="T17">
            <v>48</v>
          </cell>
          <cell r="U17">
            <v>6028.7999999999993</v>
          </cell>
          <cell r="V17">
            <v>-16.625587259999996</v>
          </cell>
          <cell r="W17">
            <v>-2088.1737598559994</v>
          </cell>
          <cell r="X17">
            <v>16.625587259999996</v>
          </cell>
          <cell r="Y17">
            <v>2088.1737598559994</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48</v>
          </cell>
          <cell r="AQ17">
            <v>6028.7999999999993</v>
          </cell>
        </row>
        <row r="18">
          <cell r="A18" t="str">
            <v>A-6</v>
          </cell>
          <cell r="B18" t="str">
            <v>Tôn tấm</v>
          </cell>
          <cell r="C18" t="str">
            <v>PL19*2000*12000</v>
          </cell>
          <cell r="D18">
            <v>19</v>
          </cell>
          <cell r="E18">
            <v>12000</v>
          </cell>
          <cell r="F18">
            <v>2000</v>
          </cell>
          <cell r="G18" t="str">
            <v>ASTM A572-50</v>
          </cell>
          <cell r="H18" t="str">
            <v>m2</v>
          </cell>
          <cell r="I18">
            <v>149.15</v>
          </cell>
          <cell r="J18">
            <v>64.797854508883674</v>
          </cell>
          <cell r="K18">
            <v>9664.6</v>
          </cell>
          <cell r="L18">
            <v>108</v>
          </cell>
          <cell r="M18">
            <v>16108.2</v>
          </cell>
          <cell r="N18">
            <v>0</v>
          </cell>
          <cell r="O18">
            <v>0</v>
          </cell>
          <cell r="P18">
            <v>0</v>
          </cell>
          <cell r="Q18">
            <v>0</v>
          </cell>
          <cell r="R18">
            <v>0</v>
          </cell>
          <cell r="S18">
            <v>0</v>
          </cell>
          <cell r="T18">
            <v>96</v>
          </cell>
          <cell r="U18">
            <v>14318.400000000001</v>
          </cell>
          <cell r="V18">
            <v>3.7032683350000042</v>
          </cell>
          <cell r="W18">
            <v>552.34247216525068</v>
          </cell>
          <cell r="X18">
            <v>8.2967316649999958</v>
          </cell>
          <cell r="Y18">
            <v>1237.4575278347495</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108</v>
          </cell>
          <cell r="AQ18">
            <v>16108.2</v>
          </cell>
        </row>
        <row r="19">
          <cell r="A19" t="str">
            <v>A-7</v>
          </cell>
          <cell r="B19" t="str">
            <v>Tôn tấm</v>
          </cell>
          <cell r="C19" t="str">
            <v>PL25*2000*12000</v>
          </cell>
          <cell r="D19">
            <v>25</v>
          </cell>
          <cell r="E19">
            <v>12000</v>
          </cell>
          <cell r="F19">
            <v>2000</v>
          </cell>
          <cell r="G19" t="str">
            <v>ASTM A572-50</v>
          </cell>
          <cell r="H19" t="str">
            <v>m2</v>
          </cell>
          <cell r="I19">
            <v>196.25</v>
          </cell>
          <cell r="J19">
            <v>58.831082802547769</v>
          </cell>
          <cell r="K19">
            <v>11545.6</v>
          </cell>
          <cell r="L19">
            <v>132</v>
          </cell>
          <cell r="M19">
            <v>25905</v>
          </cell>
          <cell r="N19">
            <v>0</v>
          </cell>
          <cell r="O19">
            <v>0</v>
          </cell>
          <cell r="P19">
            <v>0</v>
          </cell>
          <cell r="Q19">
            <v>0</v>
          </cell>
          <cell r="R19">
            <v>0</v>
          </cell>
          <cell r="S19">
            <v>0</v>
          </cell>
          <cell r="T19">
            <v>120</v>
          </cell>
          <cell r="U19">
            <v>23550</v>
          </cell>
          <cell r="V19">
            <v>-7.6497821299999913</v>
          </cell>
          <cell r="W19">
            <v>-1501.2697430124983</v>
          </cell>
          <cell r="X19">
            <v>19.649782129999991</v>
          </cell>
          <cell r="Y19">
            <v>3856.2697430124981</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132</v>
          </cell>
          <cell r="AQ19">
            <v>25905</v>
          </cell>
        </row>
        <row r="20">
          <cell r="A20" t="str">
            <v>A-8</v>
          </cell>
          <cell r="B20" t="str">
            <v>Thép hình</v>
          </cell>
          <cell r="C20" t="str">
            <v>C-200X80X7.5X11*12000</v>
          </cell>
          <cell r="D20" t="str">
            <v>C-200X80X7.5X11</v>
          </cell>
          <cell r="E20">
            <v>12000</v>
          </cell>
          <cell r="F20">
            <v>0</v>
          </cell>
          <cell r="G20" t="str">
            <v>JIS SS400</v>
          </cell>
          <cell r="H20" t="str">
            <v>m</v>
          </cell>
          <cell r="I20">
            <v>24.52</v>
          </cell>
          <cell r="J20">
            <v>1019.03</v>
          </cell>
          <cell r="K20">
            <v>24986.615599999997</v>
          </cell>
          <cell r="L20">
            <v>1079.1627243066882</v>
          </cell>
          <cell r="M20">
            <v>26461.07</v>
          </cell>
          <cell r="N20">
            <v>0</v>
          </cell>
          <cell r="O20">
            <v>0</v>
          </cell>
          <cell r="P20">
            <v>0</v>
          </cell>
          <cell r="Q20">
            <v>0</v>
          </cell>
          <cell r="R20">
            <v>0</v>
          </cell>
          <cell r="S20">
            <v>0</v>
          </cell>
          <cell r="T20">
            <v>228</v>
          </cell>
          <cell r="U20">
            <v>5590.5599999999995</v>
          </cell>
          <cell r="V20">
            <v>208.54272430668834</v>
          </cell>
          <cell r="W20">
            <v>5113.4675999999981</v>
          </cell>
          <cell r="X20">
            <v>0</v>
          </cell>
          <cell r="Y20">
            <v>0</v>
          </cell>
          <cell r="Z20">
            <v>0</v>
          </cell>
          <cell r="AA20">
            <v>0</v>
          </cell>
          <cell r="AB20">
            <v>78.62</v>
          </cell>
          <cell r="AC20">
            <v>1927.7624000000001</v>
          </cell>
          <cell r="AD20">
            <v>180</v>
          </cell>
          <cell r="AE20">
            <v>4413.6000000000004</v>
          </cell>
          <cell r="AF20">
            <v>0</v>
          </cell>
          <cell r="AG20">
            <v>0</v>
          </cell>
          <cell r="AH20">
            <v>384</v>
          </cell>
          <cell r="AI20">
            <v>9415.68</v>
          </cell>
          <cell r="AJ20">
            <v>0</v>
          </cell>
          <cell r="AK20">
            <v>0</v>
          </cell>
          <cell r="AL20">
            <v>0</v>
          </cell>
          <cell r="AM20">
            <v>0</v>
          </cell>
          <cell r="AN20">
            <v>0</v>
          </cell>
          <cell r="AO20">
            <v>0</v>
          </cell>
          <cell r="AP20">
            <v>1079.1627243066882</v>
          </cell>
          <cell r="AQ20">
            <v>26461.07</v>
          </cell>
        </row>
        <row r="21">
          <cell r="A21" t="str">
            <v>A-9</v>
          </cell>
          <cell r="B21" t="str">
            <v>Thép hình</v>
          </cell>
          <cell r="C21" t="str">
            <v>C-250X90X9X13*12000</v>
          </cell>
          <cell r="D21" t="str">
            <v>C-250X90X9X13</v>
          </cell>
          <cell r="E21">
            <v>12000</v>
          </cell>
          <cell r="F21">
            <v>0</v>
          </cell>
          <cell r="G21" t="str">
            <v>JIS SS400</v>
          </cell>
          <cell r="H21" t="str">
            <v>m</v>
          </cell>
          <cell r="I21">
            <v>34.590000000000003</v>
          </cell>
          <cell r="J21">
            <v>66.099999999999994</v>
          </cell>
          <cell r="K21">
            <v>2286.3989999999999</v>
          </cell>
          <cell r="L21">
            <v>141.88368603642672</v>
          </cell>
          <cell r="M21">
            <v>4907.7567000000017</v>
          </cell>
          <cell r="N21">
            <v>0</v>
          </cell>
          <cell r="O21">
            <v>0</v>
          </cell>
          <cell r="P21">
            <v>0</v>
          </cell>
          <cell r="Q21">
            <v>0</v>
          </cell>
          <cell r="R21">
            <v>0</v>
          </cell>
          <cell r="S21">
            <v>0</v>
          </cell>
          <cell r="T21">
            <v>336</v>
          </cell>
          <cell r="U21">
            <v>11622.240000000002</v>
          </cell>
          <cell r="V21">
            <v>-194.11631396357328</v>
          </cell>
          <cell r="W21">
            <v>-6714.4832999999999</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141.88368603642672</v>
          </cell>
          <cell r="AQ21">
            <v>4907.7567000000017</v>
          </cell>
        </row>
        <row r="22">
          <cell r="A22" t="str">
            <v>A-10</v>
          </cell>
          <cell r="B22" t="str">
            <v>Thép hình</v>
          </cell>
          <cell r="C22" t="str">
            <v>H175X175X7.5X11*12000</v>
          </cell>
          <cell r="D22" t="str">
            <v>H175X175X7.5X11</v>
          </cell>
          <cell r="E22">
            <v>12000</v>
          </cell>
          <cell r="F22">
            <v>0</v>
          </cell>
          <cell r="G22" t="str">
            <v>A572-50/SM520/SM490</v>
          </cell>
          <cell r="H22" t="str">
            <v>m</v>
          </cell>
          <cell r="I22">
            <v>40.200000000000003</v>
          </cell>
          <cell r="J22">
            <v>21.05</v>
          </cell>
          <cell r="K22">
            <v>846.21</v>
          </cell>
          <cell r="L22">
            <v>22.85</v>
          </cell>
          <cell r="M22">
            <v>918.57000000000016</v>
          </cell>
          <cell r="N22">
            <v>0</v>
          </cell>
          <cell r="O22">
            <v>0</v>
          </cell>
          <cell r="P22">
            <v>0</v>
          </cell>
          <cell r="Q22">
            <v>0</v>
          </cell>
          <cell r="R22">
            <v>0</v>
          </cell>
          <cell r="S22">
            <v>0</v>
          </cell>
          <cell r="T22">
            <v>12</v>
          </cell>
          <cell r="U22">
            <v>482.40000000000003</v>
          </cell>
          <cell r="V22">
            <v>2.8364999999999974</v>
          </cell>
          <cell r="W22">
            <v>114.0272999999999</v>
          </cell>
          <cell r="X22">
            <v>0</v>
          </cell>
          <cell r="Y22">
            <v>0</v>
          </cell>
          <cell r="Z22">
            <v>1.9635000000000034</v>
          </cell>
          <cell r="AA22">
            <v>78.932700000000139</v>
          </cell>
          <cell r="AB22">
            <v>0</v>
          </cell>
          <cell r="AC22">
            <v>0</v>
          </cell>
          <cell r="AD22">
            <v>6.0500000000000007</v>
          </cell>
          <cell r="AE22">
            <v>243.21000000000004</v>
          </cell>
          <cell r="AF22">
            <v>0</v>
          </cell>
          <cell r="AG22">
            <v>0</v>
          </cell>
          <cell r="AH22">
            <v>0</v>
          </cell>
          <cell r="AI22">
            <v>0</v>
          </cell>
          <cell r="AJ22">
            <v>0</v>
          </cell>
          <cell r="AK22">
            <v>0</v>
          </cell>
          <cell r="AL22">
            <v>0</v>
          </cell>
          <cell r="AM22">
            <v>0</v>
          </cell>
          <cell r="AN22">
            <v>0</v>
          </cell>
          <cell r="AO22">
            <v>0</v>
          </cell>
          <cell r="AP22">
            <v>22.85</v>
          </cell>
          <cell r="AQ22">
            <v>918.57000000000016</v>
          </cell>
        </row>
        <row r="23">
          <cell r="A23" t="str">
            <v>A-11</v>
          </cell>
          <cell r="B23" t="str">
            <v>Thép hình</v>
          </cell>
          <cell r="C23" t="str">
            <v>H300X150X6.5X9*12000</v>
          </cell>
          <cell r="D23" t="str">
            <v>H300X150X6.5X9</v>
          </cell>
          <cell r="E23">
            <v>12000</v>
          </cell>
          <cell r="F23">
            <v>0</v>
          </cell>
          <cell r="G23" t="str">
            <v>JIS SS400</v>
          </cell>
          <cell r="H23" t="str">
            <v>m</v>
          </cell>
          <cell r="I23">
            <v>36.72</v>
          </cell>
          <cell r="J23">
            <v>0</v>
          </cell>
          <cell r="K23">
            <v>0</v>
          </cell>
          <cell r="L23">
            <v>0</v>
          </cell>
          <cell r="M23">
            <v>0</v>
          </cell>
          <cell r="N23">
            <v>0</v>
          </cell>
          <cell r="O23">
            <v>0</v>
          </cell>
          <cell r="P23">
            <v>0</v>
          </cell>
          <cell r="Q23">
            <v>0</v>
          </cell>
          <cell r="R23">
            <v>0</v>
          </cell>
          <cell r="S23">
            <v>0</v>
          </cell>
          <cell r="T23">
            <v>24</v>
          </cell>
          <cell r="U23">
            <v>881.28</v>
          </cell>
          <cell r="V23">
            <v>-24</v>
          </cell>
          <cell r="W23">
            <v>-881.28</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row>
        <row r="24">
          <cell r="A24" t="str">
            <v>A-12</v>
          </cell>
          <cell r="B24" t="str">
            <v>Thép hình</v>
          </cell>
          <cell r="C24" t="str">
            <v>H350X175X7X11*12000</v>
          </cell>
          <cell r="D24" t="str">
            <v>H350X175X7X11</v>
          </cell>
          <cell r="E24">
            <v>12000</v>
          </cell>
          <cell r="F24">
            <v>0</v>
          </cell>
          <cell r="G24" t="str">
            <v>JIS SS400</v>
          </cell>
          <cell r="H24" t="str">
            <v>m</v>
          </cell>
          <cell r="I24">
            <v>49.56</v>
          </cell>
          <cell r="J24">
            <v>98.5</v>
          </cell>
          <cell r="K24">
            <v>4881.66</v>
          </cell>
          <cell r="L24">
            <v>128.71150423728812</v>
          </cell>
          <cell r="M24">
            <v>6378.9421499999999</v>
          </cell>
          <cell r="N24">
            <v>0</v>
          </cell>
          <cell r="O24">
            <v>0</v>
          </cell>
          <cell r="P24">
            <v>0</v>
          </cell>
          <cell r="Q24">
            <v>0</v>
          </cell>
          <cell r="R24">
            <v>0</v>
          </cell>
          <cell r="S24">
            <v>0</v>
          </cell>
          <cell r="T24">
            <v>36</v>
          </cell>
          <cell r="U24">
            <v>1784.16</v>
          </cell>
          <cell r="V24">
            <v>92.711504237288125</v>
          </cell>
          <cell r="W24">
            <v>4594.78215</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128.71150423728812</v>
          </cell>
          <cell r="AQ24">
            <v>6378.9421499999999</v>
          </cell>
        </row>
        <row r="25">
          <cell r="A25" t="str">
            <v>A-13</v>
          </cell>
          <cell r="B25" t="str">
            <v>Thép hình</v>
          </cell>
          <cell r="C25" t="str">
            <v>H400X200X8X13*12000</v>
          </cell>
          <cell r="D25" t="str">
            <v>H400X200X8X13</v>
          </cell>
          <cell r="E25">
            <v>12000</v>
          </cell>
          <cell r="F25">
            <v>0</v>
          </cell>
          <cell r="G25" t="str">
            <v>JIS SS400</v>
          </cell>
          <cell r="H25" t="str">
            <v>m</v>
          </cell>
          <cell r="I25">
            <v>66.03</v>
          </cell>
          <cell r="J25">
            <v>0</v>
          </cell>
          <cell r="K25">
            <v>0</v>
          </cell>
          <cell r="L25">
            <v>0</v>
          </cell>
          <cell r="M25">
            <v>0</v>
          </cell>
          <cell r="N25">
            <v>0</v>
          </cell>
          <cell r="O25">
            <v>0</v>
          </cell>
          <cell r="P25">
            <v>0</v>
          </cell>
          <cell r="Q25">
            <v>0</v>
          </cell>
          <cell r="R25">
            <v>0</v>
          </cell>
          <cell r="S25">
            <v>0</v>
          </cell>
          <cell r="T25">
            <v>60</v>
          </cell>
          <cell r="U25">
            <v>3961.8</v>
          </cell>
          <cell r="V25">
            <v>-60</v>
          </cell>
          <cell r="W25">
            <v>-3961.8</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A26" t="str">
            <v>A-14</v>
          </cell>
          <cell r="B26" t="str">
            <v>Thép hình</v>
          </cell>
          <cell r="C26" t="str">
            <v>L100X100X10*12000</v>
          </cell>
          <cell r="D26" t="str">
            <v>L100X100X10</v>
          </cell>
          <cell r="E26">
            <v>12000</v>
          </cell>
          <cell r="F26">
            <v>0</v>
          </cell>
          <cell r="G26" t="str">
            <v>JIS SS400</v>
          </cell>
          <cell r="H26" t="str">
            <v>m</v>
          </cell>
          <cell r="I26">
            <v>14.917999999999999</v>
          </cell>
          <cell r="J26">
            <v>117.3</v>
          </cell>
          <cell r="K26">
            <v>1749.8813999999998</v>
          </cell>
          <cell r="L26">
            <v>130.47</v>
          </cell>
          <cell r="M26">
            <v>1946.3514599999999</v>
          </cell>
          <cell r="N26">
            <v>0</v>
          </cell>
          <cell r="O26">
            <v>0</v>
          </cell>
          <cell r="P26">
            <v>0</v>
          </cell>
          <cell r="Q26">
            <v>0</v>
          </cell>
          <cell r="R26">
            <v>0</v>
          </cell>
          <cell r="S26">
            <v>0</v>
          </cell>
          <cell r="T26">
            <v>12</v>
          </cell>
          <cell r="U26">
            <v>179.01599999999999</v>
          </cell>
          <cell r="V26">
            <v>1.6464807614961821</v>
          </cell>
          <cell r="W26">
            <v>24.562200000000043</v>
          </cell>
          <cell r="X26">
            <v>0</v>
          </cell>
          <cell r="Y26">
            <v>0</v>
          </cell>
          <cell r="Z26">
            <v>8.8235192385038168</v>
          </cell>
          <cell r="AA26">
            <v>131.62925999999993</v>
          </cell>
          <cell r="AB26">
            <v>48</v>
          </cell>
          <cell r="AC26">
            <v>716.06399999999996</v>
          </cell>
          <cell r="AD26">
            <v>24</v>
          </cell>
          <cell r="AE26">
            <v>358.03199999999998</v>
          </cell>
          <cell r="AF26">
            <v>0</v>
          </cell>
          <cell r="AG26">
            <v>0</v>
          </cell>
          <cell r="AH26">
            <v>36</v>
          </cell>
          <cell r="AI26">
            <v>537.048</v>
          </cell>
          <cell r="AJ26">
            <v>0</v>
          </cell>
          <cell r="AK26">
            <v>0</v>
          </cell>
          <cell r="AL26">
            <v>0</v>
          </cell>
          <cell r="AM26">
            <v>0</v>
          </cell>
          <cell r="AN26">
            <v>0</v>
          </cell>
          <cell r="AO26">
            <v>0</v>
          </cell>
          <cell r="AP26">
            <v>130.47</v>
          </cell>
          <cell r="AQ26">
            <v>1946.3514599999999</v>
          </cell>
        </row>
        <row r="27">
          <cell r="A27" t="str">
            <v>A-15</v>
          </cell>
          <cell r="B27" t="str">
            <v>Thép hình</v>
          </cell>
          <cell r="C27" t="str">
            <v>L100X100X7*12000</v>
          </cell>
          <cell r="D27" t="str">
            <v>L100X100X7</v>
          </cell>
          <cell r="E27">
            <v>12000</v>
          </cell>
          <cell r="F27">
            <v>0</v>
          </cell>
          <cell r="G27" t="str">
            <v>JIS SS400</v>
          </cell>
          <cell r="H27" t="str">
            <v>m</v>
          </cell>
          <cell r="I27">
            <v>10.689</v>
          </cell>
          <cell r="J27">
            <v>94.2</v>
          </cell>
          <cell r="K27">
            <v>1006.9038</v>
          </cell>
          <cell r="L27">
            <v>101.05</v>
          </cell>
          <cell r="M27">
            <v>1080.12345</v>
          </cell>
          <cell r="N27">
            <v>0</v>
          </cell>
          <cell r="O27">
            <v>0</v>
          </cell>
          <cell r="P27">
            <v>0</v>
          </cell>
          <cell r="Q27">
            <v>0</v>
          </cell>
          <cell r="R27">
            <v>0</v>
          </cell>
          <cell r="S27">
            <v>0</v>
          </cell>
          <cell r="T27">
            <v>12</v>
          </cell>
          <cell r="U27">
            <v>128.268</v>
          </cell>
          <cell r="V27">
            <v>-12</v>
          </cell>
          <cell r="W27">
            <v>-128.268</v>
          </cell>
          <cell r="X27">
            <v>0</v>
          </cell>
          <cell r="Y27">
            <v>0</v>
          </cell>
          <cell r="Z27">
            <v>14.700000000000001</v>
          </cell>
          <cell r="AA27">
            <v>157.12830000000002</v>
          </cell>
          <cell r="AB27">
            <v>0.35</v>
          </cell>
          <cell r="AC27">
            <v>3.7411499999999998</v>
          </cell>
          <cell r="AD27">
            <v>48</v>
          </cell>
          <cell r="AE27">
            <v>513.072</v>
          </cell>
          <cell r="AF27">
            <v>0</v>
          </cell>
          <cell r="AG27">
            <v>0</v>
          </cell>
          <cell r="AH27">
            <v>38</v>
          </cell>
          <cell r="AI27">
            <v>406.18200000000002</v>
          </cell>
          <cell r="AJ27">
            <v>0</v>
          </cell>
          <cell r="AK27">
            <v>0</v>
          </cell>
          <cell r="AL27">
            <v>0</v>
          </cell>
          <cell r="AM27">
            <v>0</v>
          </cell>
          <cell r="AN27">
            <v>0</v>
          </cell>
          <cell r="AO27">
            <v>0</v>
          </cell>
          <cell r="AP27">
            <v>101.05</v>
          </cell>
          <cell r="AQ27">
            <v>1080.12345</v>
          </cell>
        </row>
        <row r="28">
          <cell r="A28" t="str">
            <v>A-16</v>
          </cell>
          <cell r="B28" t="str">
            <v>Thép hình</v>
          </cell>
          <cell r="C28" t="str">
            <v>L90X90X6*12000</v>
          </cell>
          <cell r="D28" t="str">
            <v>L90X90X6</v>
          </cell>
          <cell r="E28">
            <v>12000</v>
          </cell>
          <cell r="F28">
            <v>0</v>
          </cell>
          <cell r="G28" t="str">
            <v>JIS SS400</v>
          </cell>
          <cell r="H28" t="str">
            <v>m</v>
          </cell>
          <cell r="I28">
            <v>8.2789999999999999</v>
          </cell>
          <cell r="J28">
            <v>12.14</v>
          </cell>
          <cell r="K28">
            <v>100.5</v>
          </cell>
          <cell r="L28">
            <v>18</v>
          </cell>
          <cell r="M28">
            <v>149.02199999999999</v>
          </cell>
          <cell r="N28">
            <v>0</v>
          </cell>
          <cell r="O28">
            <v>0</v>
          </cell>
          <cell r="P28">
            <v>0</v>
          </cell>
          <cell r="Q28">
            <v>0</v>
          </cell>
          <cell r="R28">
            <v>0</v>
          </cell>
          <cell r="S28">
            <v>0</v>
          </cell>
          <cell r="T28">
            <v>96</v>
          </cell>
          <cell r="U28">
            <v>794.78399999999999</v>
          </cell>
          <cell r="V28">
            <v>-96</v>
          </cell>
          <cell r="W28">
            <v>-794.78399999999999</v>
          </cell>
          <cell r="X28">
            <v>0</v>
          </cell>
          <cell r="Y28">
            <v>0</v>
          </cell>
          <cell r="Z28">
            <v>0</v>
          </cell>
          <cell r="AA28">
            <v>0</v>
          </cell>
          <cell r="AB28">
            <v>0</v>
          </cell>
          <cell r="AC28">
            <v>0</v>
          </cell>
          <cell r="AD28">
            <v>18</v>
          </cell>
          <cell r="AE28">
            <v>149.02199999999999</v>
          </cell>
          <cell r="AF28">
            <v>0</v>
          </cell>
          <cell r="AG28">
            <v>0</v>
          </cell>
          <cell r="AH28">
            <v>0</v>
          </cell>
          <cell r="AI28">
            <v>0</v>
          </cell>
          <cell r="AJ28">
            <v>0</v>
          </cell>
          <cell r="AK28">
            <v>0</v>
          </cell>
          <cell r="AL28">
            <v>0</v>
          </cell>
          <cell r="AM28">
            <v>0</v>
          </cell>
          <cell r="AN28">
            <v>0</v>
          </cell>
          <cell r="AO28">
            <v>0</v>
          </cell>
          <cell r="AP28">
            <v>18</v>
          </cell>
          <cell r="AQ28">
            <v>149.02199999999999</v>
          </cell>
        </row>
        <row r="29">
          <cell r="A29" t="str">
            <v>A-17</v>
          </cell>
          <cell r="B29" t="str">
            <v>Tôn liner-INOX</v>
          </cell>
          <cell r="C29" t="str">
            <v>PL1.5*1220*2440</v>
          </cell>
          <cell r="D29">
            <v>1.5</v>
          </cell>
          <cell r="E29">
            <v>2440</v>
          </cell>
          <cell r="F29">
            <v>1220</v>
          </cell>
          <cell r="G29" t="str">
            <v>JIS G4304-SUS304</v>
          </cell>
          <cell r="H29" t="str">
            <v>m2</v>
          </cell>
          <cell r="I29">
            <v>11.67</v>
          </cell>
          <cell r="J29">
            <v>427</v>
          </cell>
          <cell r="K29">
            <v>4356</v>
          </cell>
          <cell r="L29">
            <v>414.24000000000007</v>
          </cell>
          <cell r="M29">
            <v>4834.1808000000001</v>
          </cell>
          <cell r="N29">
            <v>0</v>
          </cell>
          <cell r="O29">
            <v>0</v>
          </cell>
          <cell r="P29">
            <v>0</v>
          </cell>
          <cell r="Q29">
            <v>0</v>
          </cell>
          <cell r="R29">
            <v>0</v>
          </cell>
          <cell r="S29">
            <v>0</v>
          </cell>
          <cell r="T29">
            <v>396</v>
          </cell>
          <cell r="U29">
            <v>4621.32</v>
          </cell>
          <cell r="V29">
            <v>74.502802056555424</v>
          </cell>
          <cell r="W29">
            <v>869.44770000000176</v>
          </cell>
          <cell r="X29">
            <v>-100</v>
          </cell>
          <cell r="Y29">
            <v>-1167</v>
          </cell>
          <cell r="Z29">
            <v>30</v>
          </cell>
          <cell r="AA29">
            <v>350.1</v>
          </cell>
          <cell r="AB29">
            <v>77.737197943444642</v>
          </cell>
          <cell r="AC29">
            <v>907.19309999999894</v>
          </cell>
          <cell r="AD29">
            <v>-82</v>
          </cell>
          <cell r="AE29">
            <v>-956.93999999999994</v>
          </cell>
          <cell r="AF29">
            <v>18</v>
          </cell>
          <cell r="AG29">
            <v>210.06</v>
          </cell>
          <cell r="AH29">
            <v>0</v>
          </cell>
          <cell r="AI29">
            <v>0</v>
          </cell>
          <cell r="AJ29">
            <v>0</v>
          </cell>
          <cell r="AK29">
            <v>0</v>
          </cell>
          <cell r="AL29">
            <v>0</v>
          </cell>
          <cell r="AM29">
            <v>0</v>
          </cell>
          <cell r="AN29">
            <v>0</v>
          </cell>
          <cell r="AO29">
            <v>0</v>
          </cell>
          <cell r="AP29">
            <v>414.24000000000007</v>
          </cell>
          <cell r="AQ29">
            <v>4834.1808000000001</v>
          </cell>
        </row>
        <row r="30">
          <cell r="A30" t="str">
            <v>A-18</v>
          </cell>
          <cell r="B30" t="str">
            <v>Thép hình</v>
          </cell>
          <cell r="C30" t="str">
            <v>L90X90X10*12000</v>
          </cell>
          <cell r="D30" t="str">
            <v>L90X90X10</v>
          </cell>
          <cell r="E30">
            <v>12000</v>
          </cell>
          <cell r="F30">
            <v>0</v>
          </cell>
          <cell r="G30" t="str">
            <v>JIS SS400</v>
          </cell>
          <cell r="H30" t="str">
            <v>m</v>
          </cell>
          <cell r="I30">
            <v>13.34</v>
          </cell>
          <cell r="J30">
            <v>184.03</v>
          </cell>
          <cell r="K30">
            <v>2454.9602</v>
          </cell>
          <cell r="L30">
            <v>204</v>
          </cell>
          <cell r="M30">
            <v>2721.3599999999997</v>
          </cell>
          <cell r="N30">
            <v>0</v>
          </cell>
          <cell r="O30">
            <v>0</v>
          </cell>
          <cell r="P30">
            <v>0</v>
          </cell>
          <cell r="Q30">
            <v>0</v>
          </cell>
          <cell r="R30">
            <v>0</v>
          </cell>
          <cell r="S30">
            <v>0</v>
          </cell>
          <cell r="T30">
            <v>0</v>
          </cell>
          <cell r="U30">
            <v>0</v>
          </cell>
          <cell r="V30">
            <v>168</v>
          </cell>
          <cell r="W30">
            <v>2241.12</v>
          </cell>
          <cell r="X30">
            <v>0</v>
          </cell>
          <cell r="Y30">
            <v>0</v>
          </cell>
          <cell r="Z30">
            <v>0</v>
          </cell>
          <cell r="AA30">
            <v>0</v>
          </cell>
          <cell r="AB30">
            <v>0</v>
          </cell>
          <cell r="AC30">
            <v>0</v>
          </cell>
          <cell r="AD30">
            <v>36</v>
          </cell>
          <cell r="AE30">
            <v>480.24</v>
          </cell>
          <cell r="AF30">
            <v>0</v>
          </cell>
          <cell r="AG30">
            <v>0</v>
          </cell>
          <cell r="AH30">
            <v>0</v>
          </cell>
          <cell r="AI30">
            <v>0</v>
          </cell>
          <cell r="AJ30">
            <v>0</v>
          </cell>
          <cell r="AK30">
            <v>0</v>
          </cell>
          <cell r="AL30">
            <v>0</v>
          </cell>
          <cell r="AM30">
            <v>0</v>
          </cell>
          <cell r="AN30">
            <v>0</v>
          </cell>
          <cell r="AO30">
            <v>0</v>
          </cell>
          <cell r="AP30">
            <v>204</v>
          </cell>
          <cell r="AQ30">
            <v>2721.3599999999997</v>
          </cell>
        </row>
        <row r="31">
          <cell r="A31" t="str">
            <v>A-19</v>
          </cell>
          <cell r="B31" t="str">
            <v>Tôn tấm</v>
          </cell>
          <cell r="C31" t="str">
            <v>PL1.5*1000*1000</v>
          </cell>
          <cell r="D31">
            <v>1.5</v>
          </cell>
          <cell r="E31">
            <v>1000</v>
          </cell>
          <cell r="F31">
            <v>1000</v>
          </cell>
          <cell r="G31" t="str">
            <v>ASTM A572-50</v>
          </cell>
          <cell r="H31" t="str">
            <v>m2</v>
          </cell>
          <cell r="I31">
            <v>11.774999999999999</v>
          </cell>
          <cell r="J31">
            <v>0.50460000000000005</v>
          </cell>
          <cell r="K31">
            <v>5.9416650000000004</v>
          </cell>
          <cell r="L31">
            <v>0</v>
          </cell>
          <cell r="M31">
            <v>0</v>
          </cell>
          <cell r="N31">
            <v>0</v>
          </cell>
          <cell r="O31">
            <v>0</v>
          </cell>
          <cell r="P31">
            <v>0</v>
          </cell>
          <cell r="Q31">
            <v>0</v>
          </cell>
          <cell r="R31">
            <v>0</v>
          </cell>
          <cell r="S31">
            <v>0</v>
          </cell>
          <cell r="T31">
            <v>0</v>
          </cell>
          <cell r="U31">
            <v>0</v>
          </cell>
          <cell r="V31">
            <v>0</v>
          </cell>
          <cell r="W31">
            <v>0</v>
          </cell>
          <cell r="X31">
            <v>1</v>
          </cell>
          <cell r="Y31">
            <v>11.774999999999999</v>
          </cell>
          <cell r="Z31">
            <v>-1</v>
          </cell>
          <cell r="AA31">
            <v>-11.774999999999999</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row>
        <row r="32">
          <cell r="A32" t="str">
            <v>A-20</v>
          </cell>
          <cell r="B32" t="str">
            <v>Tôn tấm</v>
          </cell>
          <cell r="C32" t="str">
            <v>PL3*6000*1500</v>
          </cell>
          <cell r="D32">
            <v>3</v>
          </cell>
          <cell r="E32">
            <v>1500</v>
          </cell>
          <cell r="F32">
            <v>6000</v>
          </cell>
          <cell r="G32" t="str">
            <v>ASTM A572-50</v>
          </cell>
          <cell r="H32" t="str">
            <v>m2</v>
          </cell>
          <cell r="I32">
            <v>23.549999999999997</v>
          </cell>
          <cell r="J32">
            <v>0.50460000000000005</v>
          </cell>
          <cell r="K32">
            <v>11.883330000000001</v>
          </cell>
          <cell r="L32">
            <v>1.5</v>
          </cell>
          <cell r="M32">
            <v>35.324999999999996</v>
          </cell>
          <cell r="N32">
            <v>0</v>
          </cell>
          <cell r="O32">
            <v>0</v>
          </cell>
          <cell r="P32">
            <v>0</v>
          </cell>
          <cell r="Q32">
            <v>0</v>
          </cell>
          <cell r="R32">
            <v>0</v>
          </cell>
          <cell r="S32">
            <v>0</v>
          </cell>
          <cell r="T32">
            <v>0</v>
          </cell>
          <cell r="U32">
            <v>0</v>
          </cell>
          <cell r="V32">
            <v>0</v>
          </cell>
          <cell r="W32">
            <v>0</v>
          </cell>
          <cell r="X32">
            <v>1.5</v>
          </cell>
          <cell r="Y32">
            <v>35.324999999999996</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1.5</v>
          </cell>
          <cell r="AQ32">
            <v>35.324999999999996</v>
          </cell>
        </row>
        <row r="33">
          <cell r="A33" t="str">
            <v>A-21</v>
          </cell>
          <cell r="B33" t="str">
            <v>Tôn tấm</v>
          </cell>
          <cell r="C33" t="str">
            <v>PL36*2000*6000</v>
          </cell>
          <cell r="D33">
            <v>36</v>
          </cell>
          <cell r="E33">
            <v>6000</v>
          </cell>
          <cell r="F33">
            <v>2000</v>
          </cell>
          <cell r="G33" t="str">
            <v>ASTM A572-50</v>
          </cell>
          <cell r="H33" t="str">
            <v>m2</v>
          </cell>
          <cell r="I33">
            <v>282.59999999999997</v>
          </cell>
          <cell r="J33">
            <v>7.7810000000000006</v>
          </cell>
          <cell r="K33">
            <v>2198.9105999999997</v>
          </cell>
          <cell r="L33">
            <v>11</v>
          </cell>
          <cell r="M33">
            <v>3108.5999999999995</v>
          </cell>
          <cell r="N33">
            <v>0</v>
          </cell>
          <cell r="O33">
            <v>0</v>
          </cell>
          <cell r="P33">
            <v>0</v>
          </cell>
          <cell r="Q33">
            <v>0</v>
          </cell>
          <cell r="R33">
            <v>0</v>
          </cell>
          <cell r="S33">
            <v>0</v>
          </cell>
          <cell r="T33">
            <v>0</v>
          </cell>
          <cell r="U33">
            <v>0</v>
          </cell>
          <cell r="V33">
            <v>0</v>
          </cell>
          <cell r="W33">
            <v>0</v>
          </cell>
          <cell r="X33">
            <v>9</v>
          </cell>
          <cell r="Y33">
            <v>2543.3999999999996</v>
          </cell>
          <cell r="Z33">
            <v>0</v>
          </cell>
          <cell r="AA33">
            <v>0</v>
          </cell>
          <cell r="AB33">
            <v>2</v>
          </cell>
          <cell r="AC33">
            <v>565.19999999999993</v>
          </cell>
          <cell r="AD33">
            <v>0</v>
          </cell>
          <cell r="AE33">
            <v>0</v>
          </cell>
          <cell r="AF33">
            <v>0</v>
          </cell>
          <cell r="AG33">
            <v>0</v>
          </cell>
          <cell r="AH33">
            <v>0</v>
          </cell>
          <cell r="AI33">
            <v>0</v>
          </cell>
          <cell r="AJ33">
            <v>0</v>
          </cell>
          <cell r="AK33">
            <v>0</v>
          </cell>
          <cell r="AL33">
            <v>0</v>
          </cell>
          <cell r="AM33">
            <v>0</v>
          </cell>
          <cell r="AN33">
            <v>0</v>
          </cell>
          <cell r="AO33">
            <v>0</v>
          </cell>
          <cell r="AP33">
            <v>11</v>
          </cell>
          <cell r="AQ33">
            <v>3108.5999999999995</v>
          </cell>
        </row>
        <row r="34">
          <cell r="A34" t="str">
            <v>A-22</v>
          </cell>
          <cell r="B34" t="str">
            <v>Tôn tấm</v>
          </cell>
          <cell r="C34" t="str">
            <v>PL65*1560*6900</v>
          </cell>
          <cell r="D34">
            <v>65</v>
          </cell>
          <cell r="E34">
            <v>6900</v>
          </cell>
          <cell r="F34">
            <v>1560</v>
          </cell>
          <cell r="G34" t="str">
            <v>ASTM A572-50</v>
          </cell>
          <cell r="H34" t="str">
            <v>m2</v>
          </cell>
          <cell r="I34">
            <v>510.25</v>
          </cell>
          <cell r="J34">
            <v>7.5347999999999997</v>
          </cell>
          <cell r="K34">
            <v>3844.6316999999999</v>
          </cell>
          <cell r="L34">
            <v>9</v>
          </cell>
          <cell r="M34">
            <v>4592.25</v>
          </cell>
          <cell r="N34">
            <v>0</v>
          </cell>
          <cell r="O34">
            <v>0</v>
          </cell>
          <cell r="P34">
            <v>0</v>
          </cell>
          <cell r="Q34">
            <v>0</v>
          </cell>
          <cell r="R34">
            <v>0</v>
          </cell>
          <cell r="S34">
            <v>0</v>
          </cell>
          <cell r="T34">
            <v>0</v>
          </cell>
          <cell r="U34">
            <v>0</v>
          </cell>
          <cell r="V34">
            <v>0</v>
          </cell>
          <cell r="W34">
            <v>0</v>
          </cell>
          <cell r="X34">
            <v>9</v>
          </cell>
          <cell r="Y34">
            <v>4592.25</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9</v>
          </cell>
          <cell r="AQ34">
            <v>4592.25</v>
          </cell>
        </row>
        <row r="35">
          <cell r="A35" t="str">
            <v>A-23</v>
          </cell>
          <cell r="B35" t="str">
            <v>Thép ống</v>
          </cell>
          <cell r="C35" t="str">
            <v>PIPE 5"SCH.XXS (PIPE Ø141.3x19.05)*6000</v>
          </cell>
          <cell r="D35" t="str">
            <v>PIPE 5"SCH.XXS (PIPE Ø141.3x19.05)</v>
          </cell>
          <cell r="E35">
            <v>6000</v>
          </cell>
          <cell r="F35">
            <v>0</v>
          </cell>
          <cell r="G35" t="str">
            <v>A53 Gr.B</v>
          </cell>
          <cell r="H35" t="str">
            <v>m</v>
          </cell>
          <cell r="I35">
            <v>57.43</v>
          </cell>
          <cell r="J35">
            <v>23.4</v>
          </cell>
          <cell r="K35">
            <v>1343.8619999999999</v>
          </cell>
          <cell r="L35">
            <v>24</v>
          </cell>
          <cell r="M35">
            <v>1378.32</v>
          </cell>
          <cell r="N35">
            <v>0</v>
          </cell>
          <cell r="O35">
            <v>0</v>
          </cell>
          <cell r="P35">
            <v>0</v>
          </cell>
          <cell r="Q35">
            <v>0</v>
          </cell>
          <cell r="R35">
            <v>0</v>
          </cell>
          <cell r="S35">
            <v>0</v>
          </cell>
          <cell r="T35">
            <v>0</v>
          </cell>
          <cell r="U35">
            <v>0</v>
          </cell>
          <cell r="V35">
            <v>0</v>
          </cell>
          <cell r="W35">
            <v>0</v>
          </cell>
          <cell r="X35">
            <v>18</v>
          </cell>
          <cell r="Y35">
            <v>1033.74</v>
          </cell>
          <cell r="Z35">
            <v>6</v>
          </cell>
          <cell r="AA35">
            <v>344.58</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24</v>
          </cell>
          <cell r="AQ35">
            <v>1378.32</v>
          </cell>
        </row>
        <row r="36">
          <cell r="A36" t="str">
            <v>A-24</v>
          </cell>
          <cell r="B36" t="str">
            <v>Thép vuông đặc</v>
          </cell>
          <cell r="C36" t="str">
            <v>S25*6000</v>
          </cell>
          <cell r="D36" t="str">
            <v>S25</v>
          </cell>
          <cell r="E36">
            <v>6000</v>
          </cell>
          <cell r="F36">
            <v>0</v>
          </cell>
          <cell r="G36" t="str">
            <v>ASTM A572-50</v>
          </cell>
          <cell r="H36" t="str">
            <v>m</v>
          </cell>
          <cell r="I36">
            <v>5</v>
          </cell>
          <cell r="J36">
            <v>19.8</v>
          </cell>
          <cell r="K36">
            <v>97.143750000000011</v>
          </cell>
          <cell r="L36">
            <v>0</v>
          </cell>
          <cell r="M36">
            <v>0</v>
          </cell>
          <cell r="N36">
            <v>0</v>
          </cell>
          <cell r="O36">
            <v>0</v>
          </cell>
          <cell r="P36">
            <v>0</v>
          </cell>
          <cell r="Q36">
            <v>0</v>
          </cell>
          <cell r="R36">
            <v>0</v>
          </cell>
          <cell r="S36">
            <v>0</v>
          </cell>
          <cell r="T36">
            <v>0</v>
          </cell>
          <cell r="U36">
            <v>0</v>
          </cell>
          <cell r="V36">
            <v>0</v>
          </cell>
          <cell r="W36">
            <v>0</v>
          </cell>
          <cell r="X36">
            <v>18</v>
          </cell>
          <cell r="Y36">
            <v>90</v>
          </cell>
          <cell r="Z36">
            <v>-18</v>
          </cell>
          <cell r="AA36">
            <v>-90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37">
          <cell r="A37" t="str">
            <v>A-25</v>
          </cell>
          <cell r="B37" t="str">
            <v>Thép hình</v>
          </cell>
          <cell r="C37" t="str">
            <v>C-150X75X6.5X10*12000</v>
          </cell>
          <cell r="D37" t="str">
            <v>C-150X75X6.5X10</v>
          </cell>
          <cell r="E37">
            <v>12000</v>
          </cell>
          <cell r="F37">
            <v>0</v>
          </cell>
          <cell r="G37" t="str">
            <v>JIS SS400</v>
          </cell>
          <cell r="H37" t="str">
            <v>m</v>
          </cell>
          <cell r="I37">
            <v>18.61</v>
          </cell>
          <cell r="J37">
            <v>27.97</v>
          </cell>
          <cell r="K37">
            <v>520.52170000000001</v>
          </cell>
          <cell r="L37">
            <v>36</v>
          </cell>
          <cell r="M37">
            <v>669.96</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2.95</v>
          </cell>
          <cell r="AC37">
            <v>54.899500000000003</v>
          </cell>
          <cell r="AD37">
            <v>16.55</v>
          </cell>
          <cell r="AE37">
            <v>307.99549999999999</v>
          </cell>
          <cell r="AF37">
            <v>21</v>
          </cell>
          <cell r="AG37">
            <v>390.81</v>
          </cell>
          <cell r="AH37">
            <v>12</v>
          </cell>
          <cell r="AI37">
            <v>223.32</v>
          </cell>
          <cell r="AJ37">
            <v>0</v>
          </cell>
          <cell r="AK37">
            <v>0</v>
          </cell>
          <cell r="AL37">
            <v>0</v>
          </cell>
          <cell r="AM37">
            <v>0</v>
          </cell>
          <cell r="AN37">
            <v>0</v>
          </cell>
          <cell r="AO37">
            <v>0</v>
          </cell>
          <cell r="AP37">
            <v>36</v>
          </cell>
          <cell r="AQ37">
            <v>669.96</v>
          </cell>
        </row>
        <row r="38">
          <cell r="A38" t="str">
            <v>A-26</v>
          </cell>
          <cell r="B38" t="str">
            <v>Thép hình</v>
          </cell>
          <cell r="C38" t="str">
            <v>L-75X75X6*6000</v>
          </cell>
          <cell r="D38" t="str">
            <v>L-75X75X6</v>
          </cell>
          <cell r="E38">
            <v>6000</v>
          </cell>
          <cell r="F38">
            <v>0</v>
          </cell>
          <cell r="G38" t="str">
            <v>JIS SS400</v>
          </cell>
          <cell r="H38" t="str">
            <v>m</v>
          </cell>
          <cell r="I38">
            <v>6.85</v>
          </cell>
          <cell r="J38">
            <v>225.46</v>
          </cell>
          <cell r="K38">
            <v>1544.4010000000001</v>
          </cell>
          <cell r="L38">
            <v>246</v>
          </cell>
          <cell r="M38">
            <v>1685.1</v>
          </cell>
          <cell r="N38">
            <v>0</v>
          </cell>
          <cell r="O38">
            <v>0</v>
          </cell>
          <cell r="P38">
            <v>0</v>
          </cell>
          <cell r="Q38">
            <v>0</v>
          </cell>
          <cell r="R38">
            <v>0</v>
          </cell>
          <cell r="S38">
            <v>0</v>
          </cell>
          <cell r="T38">
            <v>0</v>
          </cell>
          <cell r="U38">
            <v>0</v>
          </cell>
          <cell r="V38">
            <v>0</v>
          </cell>
          <cell r="W38">
            <v>0</v>
          </cell>
          <cell r="X38">
            <v>0</v>
          </cell>
          <cell r="Y38">
            <v>0</v>
          </cell>
          <cell r="Z38">
            <v>6</v>
          </cell>
          <cell r="AA38">
            <v>41.099999999999994</v>
          </cell>
          <cell r="AB38">
            <v>78</v>
          </cell>
          <cell r="AC38">
            <v>534.29999999999995</v>
          </cell>
          <cell r="AD38">
            <v>24</v>
          </cell>
          <cell r="AE38">
            <v>164.39999999999998</v>
          </cell>
          <cell r="AF38">
            <v>0</v>
          </cell>
          <cell r="AG38">
            <v>0</v>
          </cell>
          <cell r="AH38">
            <v>138</v>
          </cell>
          <cell r="AI38">
            <v>945.3</v>
          </cell>
          <cell r="AJ38">
            <v>0</v>
          </cell>
          <cell r="AK38">
            <v>0</v>
          </cell>
          <cell r="AL38">
            <v>0</v>
          </cell>
          <cell r="AM38">
            <v>0</v>
          </cell>
          <cell r="AN38">
            <v>0</v>
          </cell>
          <cell r="AO38">
            <v>0</v>
          </cell>
          <cell r="AP38">
            <v>246</v>
          </cell>
          <cell r="AQ38">
            <v>1685.1</v>
          </cell>
        </row>
        <row r="39">
          <cell r="A39" t="str">
            <v>A-27</v>
          </cell>
          <cell r="B39" t="str">
            <v>Tôn tấm</v>
          </cell>
          <cell r="C39" t="str">
            <v>PL6*1500*6000</v>
          </cell>
          <cell r="D39">
            <v>6</v>
          </cell>
          <cell r="E39">
            <v>6000</v>
          </cell>
          <cell r="F39">
            <v>1500</v>
          </cell>
          <cell r="G39" t="str">
            <v>JIS SS400</v>
          </cell>
          <cell r="H39" t="str">
            <v>m2</v>
          </cell>
          <cell r="I39">
            <v>47.099999999999994</v>
          </cell>
          <cell r="J39">
            <v>2.3779193205944803E-2</v>
          </cell>
          <cell r="K39">
            <v>1.1200000000000001</v>
          </cell>
          <cell r="L39">
            <v>2.6157112526539288E-2</v>
          </cell>
          <cell r="M39">
            <v>1.2320000000000002</v>
          </cell>
          <cell r="N39">
            <v>0</v>
          </cell>
          <cell r="O39">
            <v>0</v>
          </cell>
          <cell r="P39">
            <v>0</v>
          </cell>
          <cell r="Q39">
            <v>0</v>
          </cell>
          <cell r="R39">
            <v>0</v>
          </cell>
          <cell r="S39">
            <v>0</v>
          </cell>
          <cell r="T39">
            <v>0</v>
          </cell>
          <cell r="U39">
            <v>0</v>
          </cell>
          <cell r="V39">
            <v>0</v>
          </cell>
          <cell r="W39">
            <v>0</v>
          </cell>
          <cell r="X39">
            <v>0</v>
          </cell>
          <cell r="Y39">
            <v>0</v>
          </cell>
          <cell r="Z39">
            <v>2.6157112526539288E-2</v>
          </cell>
          <cell r="AA39">
            <v>1.2320000000000002</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2.6157112526539288E-2</v>
          </cell>
          <cell r="AQ39">
            <v>1.2320000000000002</v>
          </cell>
        </row>
        <row r="40">
          <cell r="A40" t="str">
            <v>A-28</v>
          </cell>
          <cell r="B40" t="str">
            <v>Tôn tấm</v>
          </cell>
          <cell r="C40" t="str">
            <v>PL32*1500*6000</v>
          </cell>
          <cell r="D40">
            <v>32</v>
          </cell>
          <cell r="E40">
            <v>6000</v>
          </cell>
          <cell r="F40">
            <v>1500</v>
          </cell>
          <cell r="G40" t="str">
            <v>ASTM A572-50</v>
          </cell>
          <cell r="H40" t="str">
            <v>m2</v>
          </cell>
          <cell r="I40">
            <v>251.2</v>
          </cell>
          <cell r="J40">
            <v>2.1775477707006372</v>
          </cell>
          <cell r="K40">
            <v>547</v>
          </cell>
          <cell r="L40">
            <v>2.3953025477707013</v>
          </cell>
          <cell r="M40">
            <v>601.70000000000016</v>
          </cell>
          <cell r="N40">
            <v>0</v>
          </cell>
          <cell r="O40">
            <v>0</v>
          </cell>
          <cell r="P40">
            <v>0</v>
          </cell>
          <cell r="Q40">
            <v>0</v>
          </cell>
          <cell r="R40">
            <v>0</v>
          </cell>
          <cell r="S40">
            <v>0</v>
          </cell>
          <cell r="T40">
            <v>0</v>
          </cell>
          <cell r="U40">
            <v>0</v>
          </cell>
          <cell r="V40">
            <v>0</v>
          </cell>
          <cell r="W40">
            <v>0</v>
          </cell>
          <cell r="X40">
            <v>0</v>
          </cell>
          <cell r="Y40">
            <v>0</v>
          </cell>
          <cell r="Z40">
            <v>2.3953025477707013</v>
          </cell>
          <cell r="AA40">
            <v>601.70000000000016</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2.3953025477707013</v>
          </cell>
          <cell r="AQ40">
            <v>601.70000000000016</v>
          </cell>
        </row>
        <row r="41">
          <cell r="A41" t="str">
            <v>A-29</v>
          </cell>
          <cell r="B41" t="str">
            <v>Thép tròn đặc</v>
          </cell>
          <cell r="C41" t="str">
            <v>RB10*6000</v>
          </cell>
          <cell r="D41" t="str">
            <v>RB10</v>
          </cell>
          <cell r="E41">
            <v>6000</v>
          </cell>
          <cell r="F41">
            <v>0</v>
          </cell>
          <cell r="G41" t="str">
            <v>JIS SS400</v>
          </cell>
          <cell r="H41" t="str">
            <v>m</v>
          </cell>
          <cell r="I41">
            <v>0.61651937499999998</v>
          </cell>
          <cell r="J41">
            <v>6.1760000000000002</v>
          </cell>
          <cell r="K41">
            <v>3.80762366</v>
          </cell>
          <cell r="L41">
            <v>6.8632</v>
          </cell>
          <cell r="M41">
            <v>4.2312957744999995</v>
          </cell>
          <cell r="N41">
            <v>0</v>
          </cell>
          <cell r="O41">
            <v>0</v>
          </cell>
          <cell r="P41">
            <v>0</v>
          </cell>
          <cell r="Q41">
            <v>0</v>
          </cell>
          <cell r="R41">
            <v>0</v>
          </cell>
          <cell r="S41">
            <v>0</v>
          </cell>
          <cell r="T41">
            <v>0</v>
          </cell>
          <cell r="U41">
            <v>0</v>
          </cell>
          <cell r="V41">
            <v>0</v>
          </cell>
          <cell r="W41">
            <v>0</v>
          </cell>
          <cell r="X41">
            <v>0</v>
          </cell>
          <cell r="Y41">
            <v>0</v>
          </cell>
          <cell r="Z41">
            <v>0.89760000000000006</v>
          </cell>
          <cell r="AA41">
            <v>0.55338779100000002</v>
          </cell>
          <cell r="AB41">
            <v>0.89760000000000006</v>
          </cell>
          <cell r="AC41">
            <v>0.55338779100000002</v>
          </cell>
          <cell r="AD41">
            <v>1.9679999999999997</v>
          </cell>
          <cell r="AE41">
            <v>1.2133101299999998</v>
          </cell>
          <cell r="AF41">
            <v>0</v>
          </cell>
          <cell r="AG41">
            <v>0</v>
          </cell>
          <cell r="AH41">
            <v>3.1</v>
          </cell>
          <cell r="AI41">
            <v>1.9112100624999999</v>
          </cell>
          <cell r="AJ41">
            <v>0</v>
          </cell>
          <cell r="AK41">
            <v>0</v>
          </cell>
          <cell r="AL41">
            <v>0</v>
          </cell>
          <cell r="AM41">
            <v>0</v>
          </cell>
          <cell r="AN41">
            <v>0</v>
          </cell>
          <cell r="AO41">
            <v>0</v>
          </cell>
          <cell r="AP41">
            <v>6.8632</v>
          </cell>
          <cell r="AQ41">
            <v>4.2312957744999995</v>
          </cell>
        </row>
        <row r="42">
          <cell r="A42" t="str">
            <v>A-30</v>
          </cell>
          <cell r="B42" t="str">
            <v>Thép tròn đặc</v>
          </cell>
          <cell r="C42" t="str">
            <v>RB13*6000</v>
          </cell>
          <cell r="D42" t="str">
            <v>RB13</v>
          </cell>
          <cell r="E42">
            <v>6000</v>
          </cell>
          <cell r="F42">
            <v>0</v>
          </cell>
          <cell r="G42" t="str">
            <v>JIS SS400</v>
          </cell>
          <cell r="H42" t="str">
            <v>m</v>
          </cell>
          <cell r="I42">
            <v>1.04191774375</v>
          </cell>
          <cell r="J42">
            <v>3.5449999999999999</v>
          </cell>
          <cell r="K42">
            <v>3.69359840159375</v>
          </cell>
          <cell r="L42">
            <v>3.8940000000000006</v>
          </cell>
          <cell r="M42">
            <v>4.8433155599064852</v>
          </cell>
          <cell r="N42">
            <v>0</v>
          </cell>
          <cell r="O42">
            <v>0</v>
          </cell>
          <cell r="P42">
            <v>0</v>
          </cell>
          <cell r="Q42">
            <v>0</v>
          </cell>
          <cell r="R42">
            <v>0</v>
          </cell>
          <cell r="S42">
            <v>0</v>
          </cell>
          <cell r="T42">
            <v>0</v>
          </cell>
          <cell r="U42">
            <v>0</v>
          </cell>
          <cell r="V42">
            <v>0</v>
          </cell>
          <cell r="W42">
            <v>0</v>
          </cell>
          <cell r="X42">
            <v>0</v>
          </cell>
          <cell r="Y42">
            <v>0</v>
          </cell>
          <cell r="Z42">
            <v>0.97350000000000014</v>
          </cell>
          <cell r="AA42">
            <v>97.350000000000009</v>
          </cell>
          <cell r="AB42">
            <v>0.97350000000000014</v>
          </cell>
          <cell r="AC42">
            <v>1.8003947892846097</v>
          </cell>
          <cell r="AD42">
            <v>1.9470000000000003</v>
          </cell>
          <cell r="AE42">
            <v>2.0286138470812505</v>
          </cell>
          <cell r="AF42">
            <v>0</v>
          </cell>
          <cell r="AG42">
            <v>0</v>
          </cell>
          <cell r="AH42">
            <v>0</v>
          </cell>
          <cell r="AI42">
            <v>0</v>
          </cell>
          <cell r="AJ42">
            <v>0</v>
          </cell>
          <cell r="AK42">
            <v>0</v>
          </cell>
          <cell r="AL42">
            <v>0</v>
          </cell>
          <cell r="AM42">
            <v>0</v>
          </cell>
          <cell r="AN42">
            <v>0</v>
          </cell>
          <cell r="AO42">
            <v>0</v>
          </cell>
          <cell r="AP42">
            <v>3.8940000000000006</v>
          </cell>
          <cell r="AQ42">
            <v>4.8433155599064852</v>
          </cell>
        </row>
        <row r="43">
          <cell r="A43" t="str">
            <v>A-31</v>
          </cell>
          <cell r="B43" t="str">
            <v>Thép tròn đặc</v>
          </cell>
          <cell r="C43" t="str">
            <v>RB16*6000</v>
          </cell>
          <cell r="D43" t="str">
            <v>RB16</v>
          </cell>
          <cell r="E43">
            <v>6000</v>
          </cell>
          <cell r="F43">
            <v>0</v>
          </cell>
          <cell r="G43" t="str">
            <v>JIS SS400</v>
          </cell>
          <cell r="H43" t="str">
            <v>m</v>
          </cell>
          <cell r="I43">
            <v>1.5782896000000002</v>
          </cell>
          <cell r="J43">
            <v>8.1940000000000008</v>
          </cell>
          <cell r="K43">
            <v>12.932504982400003</v>
          </cell>
          <cell r="L43">
            <v>9.6384000000000007</v>
          </cell>
          <cell r="M43">
            <v>15.212186480640003</v>
          </cell>
          <cell r="N43">
            <v>0</v>
          </cell>
          <cell r="O43">
            <v>0</v>
          </cell>
          <cell r="P43">
            <v>0</v>
          </cell>
          <cell r="Q43">
            <v>0</v>
          </cell>
          <cell r="R43">
            <v>0</v>
          </cell>
          <cell r="S43">
            <v>0</v>
          </cell>
          <cell r="T43">
            <v>0</v>
          </cell>
          <cell r="U43">
            <v>0</v>
          </cell>
          <cell r="V43">
            <v>0</v>
          </cell>
          <cell r="W43">
            <v>0</v>
          </cell>
          <cell r="X43">
            <v>0</v>
          </cell>
          <cell r="Y43">
            <v>0</v>
          </cell>
          <cell r="Z43">
            <v>0.87120000000000009</v>
          </cell>
          <cell r="AA43">
            <v>1.3750058995200003</v>
          </cell>
          <cell r="AB43">
            <v>0.87120000000000009</v>
          </cell>
          <cell r="AC43">
            <v>1.3750058995200003</v>
          </cell>
          <cell r="AD43">
            <v>1.8959999999999999</v>
          </cell>
          <cell r="AE43">
            <v>2.9924370816000003</v>
          </cell>
          <cell r="AF43">
            <v>0</v>
          </cell>
          <cell r="AG43">
            <v>0</v>
          </cell>
          <cell r="AH43">
            <v>6</v>
          </cell>
          <cell r="AI43">
            <v>9.469737600000002</v>
          </cell>
          <cell r="AJ43">
            <v>0</v>
          </cell>
          <cell r="AK43">
            <v>0</v>
          </cell>
          <cell r="AL43">
            <v>0</v>
          </cell>
          <cell r="AM43">
            <v>0</v>
          </cell>
          <cell r="AN43">
            <v>0</v>
          </cell>
          <cell r="AO43">
            <v>0</v>
          </cell>
          <cell r="AP43">
            <v>9.6384000000000007</v>
          </cell>
          <cell r="AQ43">
            <v>15.212186480640003</v>
          </cell>
        </row>
        <row r="44">
          <cell r="A44" t="str">
            <v>A-32</v>
          </cell>
          <cell r="B44" t="str">
            <v>Thép tròn đặc</v>
          </cell>
          <cell r="C44" t="str">
            <v>RB19*6000</v>
          </cell>
          <cell r="D44" t="str">
            <v>RB19</v>
          </cell>
          <cell r="E44">
            <v>6000</v>
          </cell>
          <cell r="F44">
            <v>0</v>
          </cell>
          <cell r="G44" t="str">
            <v>JIS SS400</v>
          </cell>
          <cell r="H44" t="str">
            <v>m</v>
          </cell>
          <cell r="I44">
            <v>2.2256349437500003</v>
          </cell>
          <cell r="J44">
            <v>114.23599999999999</v>
          </cell>
          <cell r="K44">
            <v>254.24763343422501</v>
          </cell>
          <cell r="L44">
            <v>122.354</v>
          </cell>
          <cell r="M44">
            <v>272.31533790758749</v>
          </cell>
          <cell r="N44">
            <v>0</v>
          </cell>
          <cell r="O44">
            <v>0</v>
          </cell>
          <cell r="P44">
            <v>0</v>
          </cell>
          <cell r="Q44">
            <v>0</v>
          </cell>
          <cell r="R44">
            <v>0</v>
          </cell>
          <cell r="S44">
            <v>0</v>
          </cell>
          <cell r="T44">
            <v>0</v>
          </cell>
          <cell r="U44">
            <v>0</v>
          </cell>
          <cell r="V44">
            <v>0</v>
          </cell>
          <cell r="W44">
            <v>0</v>
          </cell>
          <cell r="X44">
            <v>0</v>
          </cell>
          <cell r="Y44">
            <v>0</v>
          </cell>
          <cell r="Z44">
            <v>0.58850000000000013</v>
          </cell>
          <cell r="AA44">
            <v>1.3097861643968756</v>
          </cell>
          <cell r="AB44">
            <v>0.58850000000000013</v>
          </cell>
          <cell r="AC44">
            <v>1.3097861643968756</v>
          </cell>
          <cell r="AD44">
            <v>1.1770000000000003</v>
          </cell>
          <cell r="AE44">
            <v>2.6195723287937511</v>
          </cell>
          <cell r="AF44">
            <v>0</v>
          </cell>
          <cell r="AG44">
            <v>0</v>
          </cell>
          <cell r="AH44">
            <v>120</v>
          </cell>
          <cell r="AI44">
            <v>267.07619325000002</v>
          </cell>
          <cell r="AJ44">
            <v>0</v>
          </cell>
          <cell r="AK44">
            <v>0</v>
          </cell>
          <cell r="AL44">
            <v>0</v>
          </cell>
          <cell r="AM44">
            <v>0</v>
          </cell>
          <cell r="AN44">
            <v>0</v>
          </cell>
          <cell r="AO44">
            <v>0</v>
          </cell>
          <cell r="AP44">
            <v>122.354</v>
          </cell>
          <cell r="AQ44">
            <v>272.31533790758749</v>
          </cell>
        </row>
        <row r="45">
          <cell r="A45" t="str">
            <v>A-33</v>
          </cell>
          <cell r="B45" t="str">
            <v>Thép tròn đặc</v>
          </cell>
          <cell r="C45" t="str">
            <v>RB38*6000</v>
          </cell>
          <cell r="D45" t="str">
            <v>RB38</v>
          </cell>
          <cell r="E45">
            <v>6000</v>
          </cell>
          <cell r="F45">
            <v>0</v>
          </cell>
          <cell r="G45" t="str">
            <v>JIS SS400</v>
          </cell>
          <cell r="H45" t="str">
            <v>m</v>
          </cell>
          <cell r="I45">
            <v>8.902539775000001</v>
          </cell>
          <cell r="J45">
            <v>4.76</v>
          </cell>
          <cell r="K45">
            <v>42.376089329000003</v>
          </cell>
          <cell r="L45">
            <v>5.2359999999999998</v>
          </cell>
          <cell r="M45">
            <v>46.613698261900005</v>
          </cell>
          <cell r="N45">
            <v>0</v>
          </cell>
          <cell r="O45">
            <v>0</v>
          </cell>
          <cell r="P45">
            <v>0</v>
          </cell>
          <cell r="Q45">
            <v>0</v>
          </cell>
          <cell r="R45">
            <v>0</v>
          </cell>
          <cell r="S45">
            <v>0</v>
          </cell>
          <cell r="T45">
            <v>0</v>
          </cell>
          <cell r="U45">
            <v>0</v>
          </cell>
          <cell r="V45">
            <v>0</v>
          </cell>
          <cell r="W45">
            <v>0</v>
          </cell>
          <cell r="X45">
            <v>0</v>
          </cell>
          <cell r="Y45">
            <v>0</v>
          </cell>
          <cell r="Z45">
            <v>1.3089999999999999</v>
          </cell>
          <cell r="AA45">
            <v>11.653424565475001</v>
          </cell>
          <cell r="AB45">
            <v>1.3089999999999999</v>
          </cell>
          <cell r="AC45">
            <v>11.653424565475001</v>
          </cell>
          <cell r="AD45">
            <v>2.6179999999999999</v>
          </cell>
          <cell r="AE45">
            <v>23.306849130950003</v>
          </cell>
          <cell r="AF45">
            <v>0</v>
          </cell>
          <cell r="AG45">
            <v>0</v>
          </cell>
          <cell r="AH45">
            <v>0</v>
          </cell>
          <cell r="AI45">
            <v>0</v>
          </cell>
          <cell r="AJ45">
            <v>0</v>
          </cell>
          <cell r="AK45">
            <v>0</v>
          </cell>
          <cell r="AL45">
            <v>0</v>
          </cell>
          <cell r="AM45">
            <v>0</v>
          </cell>
          <cell r="AN45">
            <v>0</v>
          </cell>
          <cell r="AO45">
            <v>0</v>
          </cell>
          <cell r="AP45">
            <v>5.2359999999999998</v>
          </cell>
          <cell r="AQ45">
            <v>46.613698261900005</v>
          </cell>
        </row>
        <row r="46">
          <cell r="A46" t="str">
            <v>A-34</v>
          </cell>
          <cell r="B46" t="str">
            <v>Thép ống</v>
          </cell>
          <cell r="C46" t="str">
            <v>CHS88.9*5.5*6000</v>
          </cell>
          <cell r="D46" t="str">
            <v>CHS88.9*5.5</v>
          </cell>
          <cell r="E46">
            <v>6000</v>
          </cell>
          <cell r="F46">
            <v>0</v>
          </cell>
          <cell r="G46" t="str">
            <v>A-106 GR B</v>
          </cell>
          <cell r="H46" t="str">
            <v>m</v>
          </cell>
          <cell r="I46">
            <v>11.311542000000003</v>
          </cell>
          <cell r="J46">
            <v>0.45900000000000002</v>
          </cell>
          <cell r="K46">
            <v>5.191997778000002</v>
          </cell>
          <cell r="L46">
            <v>0.50190000000000001</v>
          </cell>
          <cell r="M46">
            <v>5.6772629298000012</v>
          </cell>
          <cell r="N46">
            <v>0</v>
          </cell>
          <cell r="O46">
            <v>0</v>
          </cell>
          <cell r="P46">
            <v>0</v>
          </cell>
          <cell r="Q46">
            <v>0</v>
          </cell>
          <cell r="R46">
            <v>0</v>
          </cell>
          <cell r="S46">
            <v>0</v>
          </cell>
          <cell r="T46">
            <v>0</v>
          </cell>
          <cell r="U46">
            <v>0</v>
          </cell>
          <cell r="V46">
            <v>0</v>
          </cell>
          <cell r="W46">
            <v>0</v>
          </cell>
          <cell r="X46">
            <v>0</v>
          </cell>
          <cell r="Y46">
            <v>0</v>
          </cell>
          <cell r="Z46">
            <v>0.25190000000000001</v>
          </cell>
          <cell r="AA46">
            <v>2.849377429800001</v>
          </cell>
          <cell r="AB46">
            <v>0</v>
          </cell>
          <cell r="AC46">
            <v>0</v>
          </cell>
          <cell r="AD46">
            <v>0.25</v>
          </cell>
          <cell r="AE46">
            <v>2.8278855000000007</v>
          </cell>
          <cell r="AF46">
            <v>0</v>
          </cell>
          <cell r="AG46">
            <v>0</v>
          </cell>
          <cell r="AH46">
            <v>0</v>
          </cell>
          <cell r="AI46">
            <v>0</v>
          </cell>
          <cell r="AJ46">
            <v>0</v>
          </cell>
          <cell r="AK46">
            <v>0</v>
          </cell>
          <cell r="AL46">
            <v>0</v>
          </cell>
          <cell r="AM46">
            <v>0</v>
          </cell>
          <cell r="AN46">
            <v>0</v>
          </cell>
          <cell r="AO46">
            <v>0</v>
          </cell>
          <cell r="AP46">
            <v>0.50190000000000001</v>
          </cell>
          <cell r="AQ46">
            <v>5.6772629298000012</v>
          </cell>
        </row>
        <row r="47">
          <cell r="A47" t="str">
            <v>A-35</v>
          </cell>
          <cell r="B47" t="str">
            <v>Tôn tấm</v>
          </cell>
          <cell r="C47" t="str">
            <v>PL2*1220*2440</v>
          </cell>
          <cell r="D47">
            <v>2</v>
          </cell>
          <cell r="E47">
            <v>2440</v>
          </cell>
          <cell r="F47">
            <v>1220</v>
          </cell>
          <cell r="G47" t="str">
            <v>JIS G4304-SUS304</v>
          </cell>
          <cell r="H47" t="str">
            <v>m2</v>
          </cell>
          <cell r="I47">
            <v>15.86</v>
          </cell>
          <cell r="J47">
            <v>250.22887767969738</v>
          </cell>
          <cell r="K47">
            <v>3968.63</v>
          </cell>
          <cell r="L47">
            <v>304.23538461538465</v>
          </cell>
          <cell r="M47">
            <v>4825.1732000000002</v>
          </cell>
          <cell r="N47">
            <v>0</v>
          </cell>
          <cell r="O47">
            <v>0</v>
          </cell>
          <cell r="P47">
            <v>0</v>
          </cell>
          <cell r="Q47">
            <v>0</v>
          </cell>
          <cell r="R47">
            <v>0</v>
          </cell>
          <cell r="S47">
            <v>0</v>
          </cell>
          <cell r="T47">
            <v>0</v>
          </cell>
          <cell r="U47">
            <v>0</v>
          </cell>
          <cell r="V47">
            <v>0</v>
          </cell>
          <cell r="W47">
            <v>0</v>
          </cell>
          <cell r="X47">
            <v>0</v>
          </cell>
          <cell r="Y47">
            <v>0</v>
          </cell>
          <cell r="Z47">
            <v>61.29538461538462</v>
          </cell>
          <cell r="AA47">
            <v>956.20800000000008</v>
          </cell>
          <cell r="AB47">
            <v>10.940000000000012</v>
          </cell>
          <cell r="AC47">
            <v>0</v>
          </cell>
          <cell r="AD47">
            <v>232</v>
          </cell>
          <cell r="AE47">
            <v>3679.52</v>
          </cell>
          <cell r="AF47">
            <v>0</v>
          </cell>
          <cell r="AG47">
            <v>0</v>
          </cell>
          <cell r="AH47">
            <v>0</v>
          </cell>
          <cell r="AI47">
            <v>0</v>
          </cell>
          <cell r="AJ47">
            <v>0</v>
          </cell>
          <cell r="AK47">
            <v>0</v>
          </cell>
          <cell r="AL47">
            <v>0</v>
          </cell>
          <cell r="AM47">
            <v>0</v>
          </cell>
          <cell r="AN47">
            <v>0</v>
          </cell>
          <cell r="AO47">
            <v>0</v>
          </cell>
          <cell r="AP47">
            <v>304.23538461538465</v>
          </cell>
          <cell r="AQ47">
            <v>4825.1732000000002</v>
          </cell>
        </row>
        <row r="48">
          <cell r="A48" t="str">
            <v>A-36</v>
          </cell>
          <cell r="B48" t="str">
            <v>Tôn tấm</v>
          </cell>
          <cell r="C48" t="str">
            <v>PL2.6*1220*2500</v>
          </cell>
          <cell r="D48">
            <v>2.6</v>
          </cell>
          <cell r="E48">
            <v>2500</v>
          </cell>
          <cell r="F48">
            <v>1220</v>
          </cell>
          <cell r="G48" t="str">
            <v>SUS304</v>
          </cell>
          <cell r="H48" t="str">
            <v>m2</v>
          </cell>
          <cell r="I48">
            <v>20.28</v>
          </cell>
          <cell r="J48">
            <v>24.013806706114398</v>
          </cell>
          <cell r="K48">
            <v>487</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26.415187376725839</v>
          </cell>
          <cell r="AA48">
            <v>535.70000000000005</v>
          </cell>
          <cell r="AB48">
            <v>0</v>
          </cell>
          <cell r="AC48">
            <v>0</v>
          </cell>
          <cell r="AD48">
            <v>-26</v>
          </cell>
          <cell r="AE48">
            <v>-535.70000000000005</v>
          </cell>
          <cell r="AF48">
            <v>0</v>
          </cell>
          <cell r="AG48">
            <v>0</v>
          </cell>
          <cell r="AH48">
            <v>0</v>
          </cell>
          <cell r="AI48">
            <v>0</v>
          </cell>
          <cell r="AJ48">
            <v>0</v>
          </cell>
          <cell r="AK48">
            <v>0</v>
          </cell>
          <cell r="AL48">
            <v>0</v>
          </cell>
          <cell r="AM48">
            <v>0</v>
          </cell>
          <cell r="AN48">
            <v>0</v>
          </cell>
          <cell r="AO48">
            <v>0</v>
          </cell>
          <cell r="AP48">
            <v>0</v>
          </cell>
          <cell r="AQ48">
            <v>0</v>
          </cell>
        </row>
        <row r="49">
          <cell r="A49" t="str">
            <v>A-37</v>
          </cell>
          <cell r="B49" t="str">
            <v>Tôn tấm</v>
          </cell>
          <cell r="C49" t="str">
            <v>PL3*1220*2500</v>
          </cell>
          <cell r="D49">
            <v>3</v>
          </cell>
          <cell r="E49">
            <v>2500</v>
          </cell>
          <cell r="F49">
            <v>1220</v>
          </cell>
          <cell r="G49" t="str">
            <v>SUH409</v>
          </cell>
          <cell r="H49" t="str">
            <v>m2</v>
          </cell>
          <cell r="I49">
            <v>23.4</v>
          </cell>
          <cell r="J49">
            <v>0.24786324786324787</v>
          </cell>
          <cell r="K49">
            <v>5.8</v>
          </cell>
          <cell r="L49">
            <v>0.53854700854700854</v>
          </cell>
          <cell r="M49">
            <v>12.601999999999999</v>
          </cell>
          <cell r="N49">
            <v>0</v>
          </cell>
          <cell r="O49">
            <v>0</v>
          </cell>
          <cell r="P49">
            <v>0</v>
          </cell>
          <cell r="Q49">
            <v>0</v>
          </cell>
          <cell r="R49">
            <v>0</v>
          </cell>
          <cell r="S49">
            <v>0</v>
          </cell>
          <cell r="T49">
            <v>0</v>
          </cell>
          <cell r="U49">
            <v>0</v>
          </cell>
          <cell r="V49">
            <v>0</v>
          </cell>
          <cell r="W49">
            <v>0</v>
          </cell>
          <cell r="X49">
            <v>0</v>
          </cell>
          <cell r="Y49">
            <v>0</v>
          </cell>
          <cell r="Z49">
            <v>3.854700854700855E-2</v>
          </cell>
          <cell r="AA49">
            <v>0.90200000000000002</v>
          </cell>
          <cell r="AB49">
            <v>0</v>
          </cell>
          <cell r="AC49">
            <v>0</v>
          </cell>
          <cell r="AD49">
            <v>0</v>
          </cell>
          <cell r="AE49">
            <v>0</v>
          </cell>
          <cell r="AF49">
            <v>0.5</v>
          </cell>
          <cell r="AG49">
            <v>11.7</v>
          </cell>
          <cell r="AH49">
            <v>0</v>
          </cell>
          <cell r="AI49">
            <v>0</v>
          </cell>
          <cell r="AJ49">
            <v>0</v>
          </cell>
          <cell r="AK49">
            <v>0</v>
          </cell>
          <cell r="AL49">
            <v>0</v>
          </cell>
          <cell r="AM49">
            <v>0</v>
          </cell>
          <cell r="AN49">
            <v>0</v>
          </cell>
          <cell r="AO49">
            <v>0</v>
          </cell>
          <cell r="AP49">
            <v>0.53854700854700854</v>
          </cell>
          <cell r="AQ49">
            <v>12.601999999999999</v>
          </cell>
        </row>
        <row r="50">
          <cell r="A50" t="str">
            <v>A-38</v>
          </cell>
          <cell r="B50" t="str">
            <v>Thép ống</v>
          </cell>
          <cell r="C50" t="str">
            <v>PIPE 4"SCH40 (CHS114.3*6)*6000</v>
          </cell>
          <cell r="D50" t="str">
            <v>PIPE 4"SCH40 (CHS114.3*6)</v>
          </cell>
          <cell r="E50">
            <v>6000</v>
          </cell>
          <cell r="F50">
            <v>0</v>
          </cell>
          <cell r="G50" t="str">
            <v>A-312 TP304</v>
          </cell>
          <cell r="H50" t="str">
            <v>m</v>
          </cell>
          <cell r="I50">
            <v>16.079999999999998</v>
          </cell>
          <cell r="J50">
            <v>0.92500000000000004</v>
          </cell>
          <cell r="K50">
            <v>14.873999999999999</v>
          </cell>
          <cell r="L50">
            <v>0.47850000000000004</v>
          </cell>
          <cell r="M50">
            <v>7.69428</v>
          </cell>
          <cell r="N50">
            <v>0</v>
          </cell>
          <cell r="O50">
            <v>0</v>
          </cell>
          <cell r="P50">
            <v>0</v>
          </cell>
          <cell r="Q50">
            <v>0</v>
          </cell>
          <cell r="R50">
            <v>0</v>
          </cell>
          <cell r="S50">
            <v>0</v>
          </cell>
          <cell r="T50">
            <v>0</v>
          </cell>
          <cell r="U50">
            <v>0</v>
          </cell>
          <cell r="V50">
            <v>0</v>
          </cell>
          <cell r="W50">
            <v>0</v>
          </cell>
          <cell r="X50">
            <v>0</v>
          </cell>
          <cell r="Y50">
            <v>0</v>
          </cell>
          <cell r="Z50">
            <v>0.47850000000000004</v>
          </cell>
          <cell r="AA50">
            <v>7.69428</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0.47850000000000004</v>
          </cell>
          <cell r="AQ50">
            <v>7.69428</v>
          </cell>
        </row>
        <row r="51">
          <cell r="A51" t="str">
            <v>A-39</v>
          </cell>
          <cell r="B51" t="str">
            <v>Thép ống</v>
          </cell>
          <cell r="C51" t="str">
            <v>PIPE 1/2"SCH80 (CHS21.3*3.7)*6000</v>
          </cell>
          <cell r="D51" t="str">
            <v>PIPE 1/2"SCH80 (CHS21.3*3.7)</v>
          </cell>
          <cell r="E51">
            <v>6000</v>
          </cell>
          <cell r="F51">
            <v>0</v>
          </cell>
          <cell r="G51" t="str">
            <v>A-312 TP304</v>
          </cell>
          <cell r="H51" t="str">
            <v>m</v>
          </cell>
          <cell r="I51">
            <v>1.27</v>
          </cell>
          <cell r="J51">
            <v>2.512</v>
          </cell>
          <cell r="K51">
            <v>3.92</v>
          </cell>
          <cell r="L51">
            <v>2.7632000000000003</v>
          </cell>
          <cell r="M51">
            <v>3.5092640000000004</v>
          </cell>
          <cell r="N51">
            <v>0</v>
          </cell>
          <cell r="O51">
            <v>0</v>
          </cell>
          <cell r="P51">
            <v>0</v>
          </cell>
          <cell r="Q51">
            <v>0</v>
          </cell>
          <cell r="R51">
            <v>0</v>
          </cell>
          <cell r="S51">
            <v>0</v>
          </cell>
          <cell r="T51">
            <v>0</v>
          </cell>
          <cell r="U51">
            <v>0</v>
          </cell>
          <cell r="V51">
            <v>0</v>
          </cell>
          <cell r="W51">
            <v>0</v>
          </cell>
          <cell r="X51">
            <v>0</v>
          </cell>
          <cell r="Y51">
            <v>0</v>
          </cell>
          <cell r="Z51">
            <v>2.7632000000000003</v>
          </cell>
          <cell r="AA51">
            <v>3.5092640000000004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2.7632000000000003</v>
          </cell>
          <cell r="AQ51">
            <v>3.5092640000000004</v>
          </cell>
        </row>
        <row r="52">
          <cell r="A52" t="str">
            <v>A-40</v>
          </cell>
          <cell r="B52" t="str">
            <v>Thép ống</v>
          </cell>
          <cell r="C52" t="str">
            <v>PIPE 2"SCH40 (CHS60.3*3.9)*6000</v>
          </cell>
          <cell r="D52" t="str">
            <v>PIPE 2"SCH40 (CHS60.3*3.9)</v>
          </cell>
          <cell r="E52">
            <v>6000</v>
          </cell>
          <cell r="F52">
            <v>0</v>
          </cell>
          <cell r="G52" t="str">
            <v>A-312 TP304</v>
          </cell>
          <cell r="H52" t="str">
            <v>m</v>
          </cell>
          <cell r="I52">
            <v>5.44</v>
          </cell>
          <cell r="J52">
            <v>2.08</v>
          </cell>
          <cell r="K52">
            <v>11.13</v>
          </cell>
          <cell r="L52">
            <v>2.2880000000000003</v>
          </cell>
          <cell r="M52">
            <v>12.446720000000003</v>
          </cell>
          <cell r="N52">
            <v>0</v>
          </cell>
          <cell r="O52">
            <v>0</v>
          </cell>
          <cell r="P52">
            <v>0</v>
          </cell>
          <cell r="Q52">
            <v>0</v>
          </cell>
          <cell r="R52">
            <v>0</v>
          </cell>
          <cell r="S52">
            <v>0</v>
          </cell>
          <cell r="T52">
            <v>0</v>
          </cell>
          <cell r="U52">
            <v>0</v>
          </cell>
          <cell r="V52">
            <v>0</v>
          </cell>
          <cell r="W52">
            <v>0</v>
          </cell>
          <cell r="X52">
            <v>0</v>
          </cell>
          <cell r="Y52">
            <v>0</v>
          </cell>
          <cell r="Z52">
            <v>2.2880000000000003</v>
          </cell>
          <cell r="AA52">
            <v>12.446720000000003</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2.2880000000000003</v>
          </cell>
          <cell r="AQ52">
            <v>12.446720000000003</v>
          </cell>
        </row>
        <row r="53">
          <cell r="A53" t="str">
            <v>A-41</v>
          </cell>
          <cell r="B53" t="str">
            <v>Thép ống</v>
          </cell>
          <cell r="C53" t="str">
            <v>PIPE 2"SCH80 (CHS60.3*5.5)*6000</v>
          </cell>
          <cell r="D53" t="str">
            <v>PIPE 2"SCH80 (CHS60.3*5.5)</v>
          </cell>
          <cell r="E53">
            <v>6000</v>
          </cell>
          <cell r="F53">
            <v>0</v>
          </cell>
          <cell r="G53" t="str">
            <v>A-312 TP304</v>
          </cell>
          <cell r="H53" t="str">
            <v>m</v>
          </cell>
          <cell r="I53">
            <v>7.48</v>
          </cell>
          <cell r="J53">
            <v>0.215</v>
          </cell>
          <cell r="K53">
            <v>1.58</v>
          </cell>
          <cell r="L53">
            <v>0.23650000000000002</v>
          </cell>
          <cell r="M53">
            <v>1.7690200000000003</v>
          </cell>
          <cell r="N53">
            <v>0</v>
          </cell>
          <cell r="O53">
            <v>0</v>
          </cell>
          <cell r="P53">
            <v>0</v>
          </cell>
          <cell r="Q53">
            <v>0</v>
          </cell>
          <cell r="R53">
            <v>0</v>
          </cell>
          <cell r="S53">
            <v>0</v>
          </cell>
          <cell r="T53">
            <v>0</v>
          </cell>
          <cell r="U53">
            <v>0</v>
          </cell>
          <cell r="V53">
            <v>0</v>
          </cell>
          <cell r="W53">
            <v>0</v>
          </cell>
          <cell r="X53">
            <v>0</v>
          </cell>
          <cell r="Y53">
            <v>0</v>
          </cell>
          <cell r="Z53">
            <v>0.23650000000000002</v>
          </cell>
          <cell r="AA53">
            <v>1.7690200000000003</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0.23650000000000002</v>
          </cell>
          <cell r="AQ53">
            <v>1.7690200000000003</v>
          </cell>
        </row>
        <row r="54">
          <cell r="A54" t="str">
            <v>A-42</v>
          </cell>
          <cell r="B54" t="str">
            <v>Dây Ø1mm-INOX</v>
          </cell>
          <cell r="C54" t="str">
            <v>WIRE ROD D1</v>
          </cell>
          <cell r="D54">
            <v>0</v>
          </cell>
          <cell r="E54">
            <v>0</v>
          </cell>
          <cell r="F54">
            <v>0</v>
          </cell>
          <cell r="G54" t="str">
            <v>INOX (SUS304)</v>
          </cell>
          <cell r="H54" t="str">
            <v>m</v>
          </cell>
          <cell r="I54">
            <v>4.3989882327064786E-3</v>
          </cell>
          <cell r="J54">
            <v>127.30199999999999</v>
          </cell>
          <cell r="K54">
            <v>0.56000000000000005</v>
          </cell>
          <cell r="L54">
            <v>140.03219999999999</v>
          </cell>
          <cell r="M54">
            <v>0.6160000000000001</v>
          </cell>
          <cell r="N54">
            <v>0</v>
          </cell>
          <cell r="O54">
            <v>0</v>
          </cell>
          <cell r="P54">
            <v>0</v>
          </cell>
          <cell r="Q54">
            <v>0</v>
          </cell>
          <cell r="R54">
            <v>0</v>
          </cell>
          <cell r="S54">
            <v>0</v>
          </cell>
          <cell r="T54">
            <v>0</v>
          </cell>
          <cell r="U54">
            <v>0</v>
          </cell>
          <cell r="V54">
            <v>0</v>
          </cell>
          <cell r="W54">
            <v>0</v>
          </cell>
          <cell r="X54">
            <v>0</v>
          </cell>
          <cell r="Y54">
            <v>0</v>
          </cell>
          <cell r="Z54">
            <v>140.03219999999999</v>
          </cell>
          <cell r="AA54">
            <v>0.6160000000000001</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140.03219999999999</v>
          </cell>
          <cell r="AQ54">
            <v>0.6160000000000001</v>
          </cell>
        </row>
        <row r="55">
          <cell r="A55" t="str">
            <v>A-43</v>
          </cell>
          <cell r="B55" t="str">
            <v>Thép tròn đặc</v>
          </cell>
          <cell r="C55" t="str">
            <v>RB12*6000</v>
          </cell>
          <cell r="D55" t="str">
            <v>RB12</v>
          </cell>
          <cell r="E55">
            <v>6000</v>
          </cell>
          <cell r="F55">
            <v>0</v>
          </cell>
          <cell r="G55" t="str">
            <v>SUS304H</v>
          </cell>
          <cell r="H55" t="str">
            <v>m</v>
          </cell>
          <cell r="I55">
            <v>0.89683542000000005</v>
          </cell>
          <cell r="J55">
            <v>0.35599999999999998</v>
          </cell>
          <cell r="K55">
            <v>0.28999999999999998</v>
          </cell>
          <cell r="L55">
            <v>0.3916</v>
          </cell>
          <cell r="M55">
            <v>0.351200750472</v>
          </cell>
          <cell r="N55">
            <v>0</v>
          </cell>
          <cell r="O55">
            <v>0</v>
          </cell>
          <cell r="P55">
            <v>0</v>
          </cell>
          <cell r="Q55">
            <v>0</v>
          </cell>
          <cell r="R55">
            <v>0</v>
          </cell>
          <cell r="S55">
            <v>0</v>
          </cell>
          <cell r="T55">
            <v>0</v>
          </cell>
          <cell r="U55">
            <v>0</v>
          </cell>
          <cell r="V55">
            <v>0</v>
          </cell>
          <cell r="W55">
            <v>0</v>
          </cell>
          <cell r="X55">
            <v>0</v>
          </cell>
          <cell r="Y55">
            <v>0</v>
          </cell>
          <cell r="Z55">
            <v>0.3916</v>
          </cell>
          <cell r="AA55">
            <v>0.351200750472</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0.3916</v>
          </cell>
          <cell r="AQ55">
            <v>0.351200750472</v>
          </cell>
        </row>
        <row r="56">
          <cell r="A56" t="str">
            <v>A-44</v>
          </cell>
          <cell r="B56" t="str">
            <v>Lưới dập dãn</v>
          </cell>
          <cell r="C56" t="str">
            <v>EXPANDED METAL 3/4" #16</v>
          </cell>
          <cell r="D56">
            <v>0</v>
          </cell>
          <cell r="E56">
            <v>0</v>
          </cell>
          <cell r="F56">
            <v>0</v>
          </cell>
          <cell r="G56" t="str">
            <v>SS400/A36</v>
          </cell>
          <cell r="H56" t="str">
            <v>m2</v>
          </cell>
          <cell r="I56">
            <v>2.29</v>
          </cell>
          <cell r="J56">
            <v>40.799999999999997</v>
          </cell>
          <cell r="K56">
            <v>93.431999999999988</v>
          </cell>
          <cell r="L56">
            <v>47.6</v>
          </cell>
          <cell r="M56">
            <v>109.00400000000002</v>
          </cell>
          <cell r="N56">
            <v>0</v>
          </cell>
          <cell r="O56">
            <v>0</v>
          </cell>
          <cell r="P56">
            <v>0</v>
          </cell>
          <cell r="Q56">
            <v>0</v>
          </cell>
          <cell r="R56">
            <v>0</v>
          </cell>
          <cell r="S56">
            <v>0</v>
          </cell>
          <cell r="T56">
            <v>0</v>
          </cell>
          <cell r="U56">
            <v>0</v>
          </cell>
          <cell r="V56">
            <v>0</v>
          </cell>
          <cell r="W56">
            <v>0</v>
          </cell>
          <cell r="X56">
            <v>0</v>
          </cell>
          <cell r="Y56">
            <v>0</v>
          </cell>
          <cell r="Z56">
            <v>39.6</v>
          </cell>
          <cell r="AA56">
            <v>760.36400000000003</v>
          </cell>
          <cell r="AB56">
            <v>8</v>
          </cell>
          <cell r="AC56">
            <v>18.32</v>
          </cell>
          <cell r="AD56">
            <v>0</v>
          </cell>
          <cell r="AE56">
            <v>0</v>
          </cell>
          <cell r="AF56">
            <v>0</v>
          </cell>
          <cell r="AG56">
            <v>0</v>
          </cell>
          <cell r="AH56">
            <v>0</v>
          </cell>
          <cell r="AI56">
            <v>0</v>
          </cell>
          <cell r="AJ56">
            <v>0</v>
          </cell>
          <cell r="AK56">
            <v>0</v>
          </cell>
          <cell r="AL56">
            <v>0</v>
          </cell>
          <cell r="AM56">
            <v>0</v>
          </cell>
          <cell r="AN56">
            <v>0</v>
          </cell>
          <cell r="AO56">
            <v>0</v>
          </cell>
          <cell r="AP56">
            <v>47.6</v>
          </cell>
          <cell r="AQ56">
            <v>109.00400000000002</v>
          </cell>
        </row>
        <row r="57">
          <cell r="A57" t="str">
            <v>A-45</v>
          </cell>
          <cell r="B57" t="str">
            <v>Thép hình</v>
          </cell>
          <cell r="C57" t="str">
            <v>C125X65X6X8*12000</v>
          </cell>
          <cell r="D57">
            <v>0</v>
          </cell>
          <cell r="E57">
            <v>0</v>
          </cell>
          <cell r="F57">
            <v>0</v>
          </cell>
          <cell r="G57" t="str">
            <v>SS400</v>
          </cell>
          <cell r="H57" t="str">
            <v>m</v>
          </cell>
          <cell r="I57">
            <v>13.4</v>
          </cell>
          <cell r="J57">
            <v>222.02600000000001</v>
          </cell>
          <cell r="K57">
            <v>2792.3</v>
          </cell>
          <cell r="L57">
            <v>234</v>
          </cell>
          <cell r="M57">
            <v>3135.6000000000004</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90</v>
          </cell>
          <cell r="AC57">
            <v>1206</v>
          </cell>
          <cell r="AD57">
            <v>144</v>
          </cell>
          <cell r="AE57">
            <v>1929.6000000000001</v>
          </cell>
          <cell r="AF57">
            <v>0</v>
          </cell>
          <cell r="AG57">
            <v>0</v>
          </cell>
          <cell r="AH57">
            <v>0</v>
          </cell>
          <cell r="AI57">
            <v>0</v>
          </cell>
          <cell r="AJ57">
            <v>0</v>
          </cell>
          <cell r="AK57">
            <v>0</v>
          </cell>
          <cell r="AL57">
            <v>0</v>
          </cell>
          <cell r="AM57">
            <v>0</v>
          </cell>
          <cell r="AN57">
            <v>0</v>
          </cell>
          <cell r="AO57">
            <v>0</v>
          </cell>
          <cell r="AP57">
            <v>234</v>
          </cell>
          <cell r="AQ57">
            <v>3135.6000000000004</v>
          </cell>
        </row>
        <row r="58">
          <cell r="A58" t="str">
            <v>A-46</v>
          </cell>
          <cell r="B58" t="str">
            <v>Thép hình</v>
          </cell>
          <cell r="C58" t="str">
            <v>H150X150X7X10*12000</v>
          </cell>
          <cell r="D58">
            <v>0</v>
          </cell>
          <cell r="E58">
            <v>0</v>
          </cell>
          <cell r="F58">
            <v>0</v>
          </cell>
          <cell r="G58" t="str">
            <v>SS400</v>
          </cell>
          <cell r="H58" t="str">
            <v>m</v>
          </cell>
          <cell r="I58">
            <v>31.5</v>
          </cell>
          <cell r="J58">
            <v>1.21</v>
          </cell>
          <cell r="K58">
            <v>35.4</v>
          </cell>
          <cell r="L58">
            <v>1.2826</v>
          </cell>
          <cell r="M58">
            <v>40.401899999999998</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1.2826</v>
          </cell>
          <cell r="AC58">
            <v>40.401899999999998</v>
          </cell>
          <cell r="AD58">
            <v>0</v>
          </cell>
          <cell r="AE58">
            <v>0</v>
          </cell>
          <cell r="AF58">
            <v>0</v>
          </cell>
          <cell r="AG58">
            <v>0</v>
          </cell>
          <cell r="AH58">
            <v>0</v>
          </cell>
          <cell r="AI58">
            <v>0</v>
          </cell>
          <cell r="AJ58">
            <v>0</v>
          </cell>
          <cell r="AK58">
            <v>0</v>
          </cell>
          <cell r="AL58">
            <v>0</v>
          </cell>
          <cell r="AM58">
            <v>0</v>
          </cell>
          <cell r="AN58">
            <v>0</v>
          </cell>
          <cell r="AO58">
            <v>0</v>
          </cell>
          <cell r="AP58">
            <v>1.2826</v>
          </cell>
          <cell r="AQ58">
            <v>40.401899999999998</v>
          </cell>
        </row>
        <row r="59">
          <cell r="A59" t="str">
            <v>A-47</v>
          </cell>
          <cell r="B59" t="str">
            <v>Thép hình</v>
          </cell>
          <cell r="C59" t="str">
            <v>H194X150X6X9*12000</v>
          </cell>
          <cell r="D59">
            <v>0</v>
          </cell>
          <cell r="E59">
            <v>0</v>
          </cell>
          <cell r="F59">
            <v>0</v>
          </cell>
          <cell r="G59" t="str">
            <v>SS400</v>
          </cell>
          <cell r="H59" t="str">
            <v>m</v>
          </cell>
          <cell r="I59">
            <v>30.6</v>
          </cell>
          <cell r="J59">
            <v>31.380000000000003</v>
          </cell>
          <cell r="K59">
            <v>960.22800000000018</v>
          </cell>
          <cell r="L59">
            <v>34.735939999999999</v>
          </cell>
          <cell r="M59">
            <v>1062.919764</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1.5359400000000001</v>
          </cell>
          <cell r="AC59">
            <v>46.999764000000006</v>
          </cell>
          <cell r="AD59">
            <v>3.2</v>
          </cell>
          <cell r="AE59">
            <v>97.920000000000016</v>
          </cell>
          <cell r="AF59">
            <v>0</v>
          </cell>
          <cell r="AG59">
            <v>0</v>
          </cell>
          <cell r="AH59">
            <v>30</v>
          </cell>
          <cell r="AI59">
            <v>918</v>
          </cell>
          <cell r="AJ59">
            <v>0</v>
          </cell>
          <cell r="AK59">
            <v>0</v>
          </cell>
          <cell r="AL59">
            <v>0</v>
          </cell>
          <cell r="AM59">
            <v>0</v>
          </cell>
          <cell r="AN59">
            <v>0</v>
          </cell>
          <cell r="AO59">
            <v>0</v>
          </cell>
          <cell r="AP59">
            <v>34.735939999999999</v>
          </cell>
          <cell r="AQ59">
            <v>1062.919764</v>
          </cell>
        </row>
        <row r="60">
          <cell r="A60" t="str">
            <v>A-48</v>
          </cell>
          <cell r="B60" t="str">
            <v>Thép hình YÊU CẦU MUA DÀI 12000</v>
          </cell>
          <cell r="C60" t="str">
            <v>L130X130X9*12000</v>
          </cell>
          <cell r="D60">
            <v>0</v>
          </cell>
          <cell r="E60">
            <v>0</v>
          </cell>
          <cell r="F60">
            <v>0</v>
          </cell>
          <cell r="G60" t="str">
            <v>SS400</v>
          </cell>
          <cell r="H60" t="str">
            <v>m</v>
          </cell>
          <cell r="I60">
            <v>17.899999999999999</v>
          </cell>
          <cell r="J60">
            <v>230.369</v>
          </cell>
          <cell r="K60">
            <v>4112.3999999999996</v>
          </cell>
          <cell r="L60">
            <v>276</v>
          </cell>
          <cell r="M60">
            <v>4940.3999999999996</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252</v>
          </cell>
          <cell r="AC60">
            <v>4510.7999999999993</v>
          </cell>
          <cell r="AD60">
            <v>0</v>
          </cell>
          <cell r="AE60">
            <v>0</v>
          </cell>
          <cell r="AF60">
            <v>24</v>
          </cell>
          <cell r="AG60">
            <v>429.59999999999997</v>
          </cell>
          <cell r="AH60">
            <v>0</v>
          </cell>
          <cell r="AI60">
            <v>0</v>
          </cell>
          <cell r="AJ60">
            <v>0</v>
          </cell>
          <cell r="AK60">
            <v>0</v>
          </cell>
          <cell r="AL60">
            <v>0</v>
          </cell>
          <cell r="AM60">
            <v>0</v>
          </cell>
          <cell r="AN60">
            <v>0</v>
          </cell>
          <cell r="AO60">
            <v>0</v>
          </cell>
          <cell r="AP60">
            <v>276</v>
          </cell>
          <cell r="AQ60">
            <v>4940.3999999999996</v>
          </cell>
        </row>
        <row r="61">
          <cell r="A61" t="str">
            <v>A-49</v>
          </cell>
          <cell r="B61" t="str">
            <v>Thép hình</v>
          </cell>
          <cell r="C61" t="str">
            <v>L90X90X7*6000</v>
          </cell>
          <cell r="D61">
            <v>0</v>
          </cell>
          <cell r="E61">
            <v>0</v>
          </cell>
          <cell r="F61">
            <v>0</v>
          </cell>
          <cell r="G61" t="str">
            <v>SS400</v>
          </cell>
          <cell r="H61" t="str">
            <v>m</v>
          </cell>
          <cell r="I61">
            <v>9.6</v>
          </cell>
          <cell r="J61">
            <v>30.21</v>
          </cell>
          <cell r="K61">
            <v>290.01600000000002</v>
          </cell>
          <cell r="L61">
            <v>31.3</v>
          </cell>
          <cell r="M61">
            <v>300.48</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3.8</v>
          </cell>
          <cell r="AC61">
            <v>36.479999999999997</v>
          </cell>
          <cell r="AD61">
            <v>24</v>
          </cell>
          <cell r="AE61">
            <v>230.39999999999998</v>
          </cell>
          <cell r="AF61">
            <v>0</v>
          </cell>
          <cell r="AG61">
            <v>0</v>
          </cell>
          <cell r="AH61">
            <v>3.5</v>
          </cell>
          <cell r="AI61">
            <v>33.6</v>
          </cell>
          <cell r="AJ61">
            <v>0</v>
          </cell>
          <cell r="AK61">
            <v>0</v>
          </cell>
          <cell r="AL61">
            <v>0</v>
          </cell>
          <cell r="AM61">
            <v>0</v>
          </cell>
          <cell r="AN61">
            <v>0</v>
          </cell>
          <cell r="AO61">
            <v>0</v>
          </cell>
          <cell r="AP61">
            <v>31.3</v>
          </cell>
          <cell r="AQ61">
            <v>300.48</v>
          </cell>
        </row>
        <row r="62">
          <cell r="A62" t="str">
            <v>A-50</v>
          </cell>
          <cell r="B62" t="str">
            <v>Thép hình</v>
          </cell>
          <cell r="C62" t="str">
            <v>L65X65X8*60000</v>
          </cell>
          <cell r="D62">
            <v>0</v>
          </cell>
          <cell r="E62">
            <v>0</v>
          </cell>
          <cell r="F62">
            <v>0</v>
          </cell>
          <cell r="G62" t="str">
            <v>SS400</v>
          </cell>
          <cell r="H62" t="str">
            <v>m</v>
          </cell>
          <cell r="I62">
            <v>7.66</v>
          </cell>
          <cell r="J62">
            <v>7.3869999999999996</v>
          </cell>
          <cell r="K62">
            <v>56.599999999999994</v>
          </cell>
          <cell r="L62">
            <v>8</v>
          </cell>
          <cell r="M62">
            <v>61.28</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8</v>
          </cell>
          <cell r="AC62">
            <v>61.28</v>
          </cell>
          <cell r="AD62">
            <v>0</v>
          </cell>
          <cell r="AE62">
            <v>0</v>
          </cell>
          <cell r="AF62">
            <v>0</v>
          </cell>
          <cell r="AG62">
            <v>0</v>
          </cell>
          <cell r="AH62">
            <v>0</v>
          </cell>
          <cell r="AI62">
            <v>0</v>
          </cell>
          <cell r="AJ62">
            <v>0</v>
          </cell>
          <cell r="AK62">
            <v>0</v>
          </cell>
          <cell r="AL62">
            <v>0</v>
          </cell>
          <cell r="AM62">
            <v>0</v>
          </cell>
          <cell r="AN62">
            <v>0</v>
          </cell>
          <cell r="AO62">
            <v>0</v>
          </cell>
          <cell r="AP62">
            <v>8</v>
          </cell>
          <cell r="AQ62">
            <v>61.28</v>
          </cell>
        </row>
        <row r="63">
          <cell r="A63" t="str">
            <v>A-51</v>
          </cell>
          <cell r="B63" t="str">
            <v>Thép ống</v>
          </cell>
          <cell r="C63" t="str">
            <v>CHS114.3*6.0</v>
          </cell>
          <cell r="D63">
            <v>0</v>
          </cell>
          <cell r="E63">
            <v>0</v>
          </cell>
          <cell r="F63">
            <v>0</v>
          </cell>
          <cell r="G63" t="str">
            <v>A-106 GR B</v>
          </cell>
          <cell r="H63" t="str">
            <v>m</v>
          </cell>
          <cell r="I63">
            <v>15.983606557377049</v>
          </cell>
          <cell r="J63">
            <v>0.48799999999999999</v>
          </cell>
          <cell r="K63">
            <v>7.8</v>
          </cell>
          <cell r="L63">
            <v>0.51727999999999996</v>
          </cell>
          <cell r="M63">
            <v>8.2679999999999989</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0.51727999999999996</v>
          </cell>
          <cell r="AC63">
            <v>8.2679999999999989</v>
          </cell>
          <cell r="AD63">
            <v>0</v>
          </cell>
          <cell r="AE63">
            <v>0</v>
          </cell>
          <cell r="AF63">
            <v>0</v>
          </cell>
          <cell r="AG63">
            <v>0</v>
          </cell>
          <cell r="AH63">
            <v>0</v>
          </cell>
          <cell r="AI63">
            <v>0</v>
          </cell>
          <cell r="AJ63">
            <v>0</v>
          </cell>
          <cell r="AK63">
            <v>0</v>
          </cell>
          <cell r="AL63">
            <v>0</v>
          </cell>
          <cell r="AM63">
            <v>0</v>
          </cell>
          <cell r="AN63">
            <v>0</v>
          </cell>
          <cell r="AO63">
            <v>0</v>
          </cell>
          <cell r="AP63">
            <v>0.51727999999999996</v>
          </cell>
          <cell r="AQ63">
            <v>8.2679999999999989</v>
          </cell>
        </row>
        <row r="64">
          <cell r="A64" t="str">
            <v>A-52</v>
          </cell>
          <cell r="B64" t="str">
            <v>Thép ống</v>
          </cell>
          <cell r="C64" t="str">
            <v>CHS141.3*6.5</v>
          </cell>
          <cell r="D64">
            <v>0</v>
          </cell>
          <cell r="E64">
            <v>0</v>
          </cell>
          <cell r="F64">
            <v>0</v>
          </cell>
          <cell r="G64" t="str">
            <v>A-106 GR B</v>
          </cell>
          <cell r="H64" t="str">
            <v>m</v>
          </cell>
          <cell r="I64">
            <v>21.311475409836067</v>
          </cell>
          <cell r="J64">
            <v>0.48799999999999999</v>
          </cell>
          <cell r="K64">
            <v>10.4</v>
          </cell>
          <cell r="L64">
            <v>0.51727999999999996</v>
          </cell>
          <cell r="M64">
            <v>11.023999999999999</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0.51727999999999996</v>
          </cell>
          <cell r="AC64">
            <v>11.023999999999999</v>
          </cell>
          <cell r="AD64">
            <v>0</v>
          </cell>
          <cell r="AE64">
            <v>0</v>
          </cell>
          <cell r="AF64">
            <v>0</v>
          </cell>
          <cell r="AG64">
            <v>0</v>
          </cell>
          <cell r="AH64">
            <v>0</v>
          </cell>
          <cell r="AI64">
            <v>0</v>
          </cell>
          <cell r="AJ64">
            <v>0</v>
          </cell>
          <cell r="AK64">
            <v>0</v>
          </cell>
          <cell r="AL64">
            <v>0</v>
          </cell>
          <cell r="AM64">
            <v>0</v>
          </cell>
          <cell r="AN64">
            <v>0</v>
          </cell>
          <cell r="AO64">
            <v>0</v>
          </cell>
          <cell r="AP64">
            <v>0.51727999999999996</v>
          </cell>
          <cell r="AQ64">
            <v>11.023999999999999</v>
          </cell>
        </row>
        <row r="65">
          <cell r="A65" t="str">
            <v>A-53</v>
          </cell>
          <cell r="B65" t="str">
            <v>Thép ống</v>
          </cell>
          <cell r="C65" t="str">
            <v>CHS168.3*7.1</v>
          </cell>
          <cell r="D65">
            <v>0</v>
          </cell>
          <cell r="E65">
            <v>0</v>
          </cell>
          <cell r="F65">
            <v>0</v>
          </cell>
          <cell r="G65" t="str">
            <v>A-106 GR B</v>
          </cell>
          <cell r="H65" t="str">
            <v>m</v>
          </cell>
          <cell r="I65">
            <v>27.920081967213115</v>
          </cell>
          <cell r="J65">
            <v>2.6520000000000001</v>
          </cell>
          <cell r="K65">
            <v>74.044057377049185</v>
          </cell>
          <cell r="L65">
            <v>2.8391199999999999</v>
          </cell>
          <cell r="M65">
            <v>79.268463114754098</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2.0691199999999998</v>
          </cell>
          <cell r="AC65">
            <v>57.769999999999996</v>
          </cell>
          <cell r="AD65">
            <v>0.77</v>
          </cell>
          <cell r="AE65">
            <v>21.498463114754099</v>
          </cell>
          <cell r="AF65">
            <v>0</v>
          </cell>
          <cell r="AG65">
            <v>0</v>
          </cell>
          <cell r="AH65">
            <v>0</v>
          </cell>
          <cell r="AI65">
            <v>0</v>
          </cell>
          <cell r="AJ65">
            <v>0</v>
          </cell>
          <cell r="AK65">
            <v>0</v>
          </cell>
          <cell r="AL65">
            <v>0</v>
          </cell>
          <cell r="AM65">
            <v>0</v>
          </cell>
          <cell r="AN65">
            <v>0</v>
          </cell>
          <cell r="AO65">
            <v>0</v>
          </cell>
          <cell r="AP65">
            <v>2.8391199999999999</v>
          </cell>
          <cell r="AQ65">
            <v>79.268463114754098</v>
          </cell>
        </row>
        <row r="66">
          <cell r="A66" t="str">
            <v>A-54</v>
          </cell>
          <cell r="B66" t="str">
            <v>Thép ống</v>
          </cell>
          <cell r="C66" t="str">
            <v>CHS60.3*3.9*6000</v>
          </cell>
          <cell r="D66">
            <v>0</v>
          </cell>
          <cell r="E66">
            <v>0</v>
          </cell>
          <cell r="F66">
            <v>0</v>
          </cell>
          <cell r="G66" t="str">
            <v>A-106 GR B</v>
          </cell>
          <cell r="H66" t="str">
            <v>m</v>
          </cell>
          <cell r="I66">
            <v>5.2044609665427508</v>
          </cell>
          <cell r="J66">
            <v>15.218</v>
          </cell>
          <cell r="K66">
            <v>79.201486988847577</v>
          </cell>
          <cell r="L66">
            <v>16.50328</v>
          </cell>
          <cell r="M66">
            <v>85.890676579925639</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14.82728</v>
          </cell>
          <cell r="AC66">
            <v>77.167999999999992</v>
          </cell>
          <cell r="AD66">
            <v>1.476</v>
          </cell>
          <cell r="AE66">
            <v>7.6817843866171005</v>
          </cell>
          <cell r="AF66">
            <v>0.2</v>
          </cell>
          <cell r="AG66">
            <v>1.0408921933085502</v>
          </cell>
          <cell r="AH66">
            <v>0</v>
          </cell>
          <cell r="AI66">
            <v>0</v>
          </cell>
          <cell r="AJ66">
            <v>0</v>
          </cell>
          <cell r="AK66">
            <v>0</v>
          </cell>
          <cell r="AL66">
            <v>0</v>
          </cell>
          <cell r="AM66">
            <v>0</v>
          </cell>
          <cell r="AN66">
            <v>0</v>
          </cell>
          <cell r="AO66">
            <v>0</v>
          </cell>
          <cell r="AP66">
            <v>16.50328</v>
          </cell>
          <cell r="AQ66">
            <v>85.890676579925639</v>
          </cell>
        </row>
        <row r="67">
          <cell r="A67" t="str">
            <v>A-55</v>
          </cell>
          <cell r="B67" t="str">
            <v>Thép ống</v>
          </cell>
          <cell r="C67" t="str">
            <v>CHS88.9*5.5</v>
          </cell>
          <cell r="D67">
            <v>0</v>
          </cell>
          <cell r="E67">
            <v>0</v>
          </cell>
          <cell r="F67">
            <v>0</v>
          </cell>
          <cell r="G67" t="str">
            <v>A-312 TP304</v>
          </cell>
          <cell r="H67" t="str">
            <v>m</v>
          </cell>
          <cell r="I67">
            <v>11.131824234354195</v>
          </cell>
          <cell r="J67">
            <v>3.7549999999999999</v>
          </cell>
          <cell r="K67">
            <v>41.8</v>
          </cell>
          <cell r="L67">
            <v>3.9803000000000002</v>
          </cell>
          <cell r="M67">
            <v>44.308</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3.9803000000000002</v>
          </cell>
          <cell r="AC67">
            <v>44.308</v>
          </cell>
          <cell r="AD67">
            <v>0</v>
          </cell>
          <cell r="AE67">
            <v>0</v>
          </cell>
          <cell r="AF67">
            <v>0</v>
          </cell>
          <cell r="AG67">
            <v>0</v>
          </cell>
          <cell r="AH67">
            <v>0</v>
          </cell>
          <cell r="AI67">
            <v>0</v>
          </cell>
          <cell r="AJ67">
            <v>0</v>
          </cell>
          <cell r="AK67">
            <v>0</v>
          </cell>
          <cell r="AL67">
            <v>0</v>
          </cell>
          <cell r="AM67">
            <v>0</v>
          </cell>
          <cell r="AN67">
            <v>0</v>
          </cell>
          <cell r="AO67">
            <v>0</v>
          </cell>
          <cell r="AP67">
            <v>3.9803000000000002</v>
          </cell>
          <cell r="AQ67">
            <v>44.308</v>
          </cell>
        </row>
        <row r="68">
          <cell r="A68" t="str">
            <v>A-56</v>
          </cell>
          <cell r="B68" t="str">
            <v>Thép ống đề nghị mua dài 12000</v>
          </cell>
          <cell r="C68" t="str">
            <v>CHS114.3*6.0*12000L</v>
          </cell>
          <cell r="D68">
            <v>0</v>
          </cell>
          <cell r="E68">
            <v>0</v>
          </cell>
          <cell r="F68">
            <v>0</v>
          </cell>
          <cell r="G68" t="str">
            <v>A53 Gr.B</v>
          </cell>
          <cell r="H68" t="str">
            <v>m</v>
          </cell>
          <cell r="I68">
            <v>16.014785908635258</v>
          </cell>
          <cell r="J68">
            <v>111.72799999999999</v>
          </cell>
          <cell r="K68">
            <v>1789.3</v>
          </cell>
          <cell r="L68">
            <v>132</v>
          </cell>
          <cell r="M68">
            <v>2113.9517399398542</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120</v>
          </cell>
          <cell r="AC68">
            <v>1921.774309036231</v>
          </cell>
          <cell r="AD68">
            <v>12</v>
          </cell>
          <cell r="AE68">
            <v>192.17743090362308</v>
          </cell>
          <cell r="AF68">
            <v>0</v>
          </cell>
          <cell r="AG68">
            <v>0</v>
          </cell>
          <cell r="AH68">
            <v>0</v>
          </cell>
          <cell r="AI68">
            <v>0</v>
          </cell>
          <cell r="AJ68">
            <v>0</v>
          </cell>
          <cell r="AK68">
            <v>0</v>
          </cell>
          <cell r="AL68">
            <v>0</v>
          </cell>
          <cell r="AM68">
            <v>0</v>
          </cell>
          <cell r="AN68">
            <v>0</v>
          </cell>
          <cell r="AO68">
            <v>0</v>
          </cell>
          <cell r="AP68">
            <v>132</v>
          </cell>
          <cell r="AQ68">
            <v>2113.9517399398542</v>
          </cell>
        </row>
        <row r="69">
          <cell r="A69" t="str">
            <v>A-57</v>
          </cell>
          <cell r="B69" t="str">
            <v xml:space="preserve">thép tấm mua đúng khổ </v>
          </cell>
          <cell r="C69" t="str">
            <v>PL10X1500X12000</v>
          </cell>
          <cell r="D69">
            <v>0</v>
          </cell>
          <cell r="E69">
            <v>0</v>
          </cell>
          <cell r="F69">
            <v>0</v>
          </cell>
          <cell r="G69" t="str">
            <v>SS400</v>
          </cell>
          <cell r="H69" t="str">
            <v>m2</v>
          </cell>
          <cell r="I69">
            <v>78.5</v>
          </cell>
          <cell r="J69">
            <v>79.155414012738845</v>
          </cell>
          <cell r="K69">
            <v>6213.7</v>
          </cell>
          <cell r="L69">
            <v>80</v>
          </cell>
          <cell r="M69">
            <v>6280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80</v>
          </cell>
          <cell r="AC69">
            <v>6280</v>
          </cell>
          <cell r="AD69">
            <v>0</v>
          </cell>
          <cell r="AE69">
            <v>0</v>
          </cell>
          <cell r="AF69">
            <v>0</v>
          </cell>
          <cell r="AG69">
            <v>0</v>
          </cell>
          <cell r="AH69">
            <v>0</v>
          </cell>
          <cell r="AI69">
            <v>0</v>
          </cell>
          <cell r="AJ69">
            <v>0</v>
          </cell>
          <cell r="AK69">
            <v>0</v>
          </cell>
          <cell r="AL69">
            <v>0</v>
          </cell>
          <cell r="AM69">
            <v>0</v>
          </cell>
          <cell r="AN69">
            <v>0</v>
          </cell>
          <cell r="AO69">
            <v>0</v>
          </cell>
          <cell r="AP69">
            <v>80</v>
          </cell>
          <cell r="AQ69">
            <v>6280</v>
          </cell>
        </row>
        <row r="70">
          <cell r="A70" t="str">
            <v>A-58</v>
          </cell>
          <cell r="B70" t="str">
            <v xml:space="preserve">thép tấm mua đúng khổ </v>
          </cell>
          <cell r="C70" t="str">
            <v>PL12x1500x9500- tôn cuộn</v>
          </cell>
          <cell r="D70">
            <v>0</v>
          </cell>
          <cell r="E70">
            <v>0</v>
          </cell>
          <cell r="F70">
            <v>0</v>
          </cell>
          <cell r="G70" t="str">
            <v>SS400</v>
          </cell>
          <cell r="H70" t="str">
            <v>m2</v>
          </cell>
          <cell r="I70">
            <v>94.2</v>
          </cell>
          <cell r="J70">
            <v>89.65498938428874</v>
          </cell>
          <cell r="K70">
            <v>8445.5</v>
          </cell>
          <cell r="L70">
            <v>71.25</v>
          </cell>
          <cell r="M70">
            <v>6711.75</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71.25</v>
          </cell>
          <cell r="AC70">
            <v>6711.75</v>
          </cell>
          <cell r="AD70">
            <v>0</v>
          </cell>
          <cell r="AE70">
            <v>0</v>
          </cell>
          <cell r="AF70">
            <v>0</v>
          </cell>
          <cell r="AG70">
            <v>0</v>
          </cell>
          <cell r="AH70">
            <v>0</v>
          </cell>
          <cell r="AI70">
            <v>0</v>
          </cell>
          <cell r="AJ70">
            <v>0</v>
          </cell>
          <cell r="AK70">
            <v>0</v>
          </cell>
          <cell r="AL70">
            <v>0</v>
          </cell>
          <cell r="AM70">
            <v>0</v>
          </cell>
          <cell r="AN70">
            <v>0</v>
          </cell>
          <cell r="AO70">
            <v>0</v>
          </cell>
          <cell r="AP70">
            <v>71.25</v>
          </cell>
          <cell r="AQ70">
            <v>6711.75</v>
          </cell>
        </row>
        <row r="71">
          <cell r="A71" t="str">
            <v>A-59</v>
          </cell>
          <cell r="B71" t="str">
            <v>thép tấm</v>
          </cell>
          <cell r="C71" t="str">
            <v>PL15x2000x12000</v>
          </cell>
          <cell r="D71">
            <v>0</v>
          </cell>
          <cell r="E71">
            <v>0</v>
          </cell>
          <cell r="F71">
            <v>0</v>
          </cell>
          <cell r="G71" t="str">
            <v>SS400</v>
          </cell>
          <cell r="H71" t="str">
            <v>m2</v>
          </cell>
          <cell r="I71">
            <v>117.75</v>
          </cell>
          <cell r="J71">
            <v>97.267940552016981</v>
          </cell>
          <cell r="K71">
            <v>11460.599999999999</v>
          </cell>
          <cell r="L71">
            <v>120</v>
          </cell>
          <cell r="M71">
            <v>14130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120</v>
          </cell>
          <cell r="AC71">
            <v>14130</v>
          </cell>
          <cell r="AD71">
            <v>0</v>
          </cell>
          <cell r="AE71">
            <v>0</v>
          </cell>
          <cell r="AF71">
            <v>0</v>
          </cell>
          <cell r="AG71">
            <v>0</v>
          </cell>
          <cell r="AH71">
            <v>0</v>
          </cell>
          <cell r="AI71">
            <v>0</v>
          </cell>
          <cell r="AJ71">
            <v>0</v>
          </cell>
          <cell r="AK71">
            <v>0</v>
          </cell>
          <cell r="AL71">
            <v>0</v>
          </cell>
          <cell r="AM71">
            <v>0</v>
          </cell>
          <cell r="AN71">
            <v>0</v>
          </cell>
          <cell r="AO71">
            <v>0</v>
          </cell>
          <cell r="AP71">
            <v>120</v>
          </cell>
          <cell r="AQ71">
            <v>14130</v>
          </cell>
        </row>
        <row r="72">
          <cell r="A72" t="str">
            <v>A-60</v>
          </cell>
          <cell r="B72" t="str">
            <v>thép tấm đúng khổ 2000</v>
          </cell>
          <cell r="C72" t="str">
            <v>PL19x2000x12000</v>
          </cell>
          <cell r="D72">
            <v>0</v>
          </cell>
          <cell r="E72">
            <v>0</v>
          </cell>
          <cell r="F72">
            <v>0</v>
          </cell>
          <cell r="G72" t="str">
            <v>SS400</v>
          </cell>
          <cell r="H72" t="str">
            <v>m2</v>
          </cell>
          <cell r="I72">
            <v>149.15</v>
          </cell>
          <cell r="J72">
            <v>55.298692591350985</v>
          </cell>
          <cell r="K72">
            <v>8247.7999999999993</v>
          </cell>
          <cell r="L72">
            <v>56</v>
          </cell>
          <cell r="M72">
            <v>8352.4</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56</v>
          </cell>
          <cell r="AC72">
            <v>8352.4</v>
          </cell>
          <cell r="AD72">
            <v>0</v>
          </cell>
          <cell r="AE72">
            <v>0</v>
          </cell>
          <cell r="AF72">
            <v>0</v>
          </cell>
          <cell r="AG72">
            <v>0</v>
          </cell>
          <cell r="AH72">
            <v>0</v>
          </cell>
          <cell r="AI72">
            <v>0</v>
          </cell>
          <cell r="AJ72">
            <v>0</v>
          </cell>
          <cell r="AK72">
            <v>0</v>
          </cell>
          <cell r="AL72">
            <v>0</v>
          </cell>
          <cell r="AM72">
            <v>0</v>
          </cell>
          <cell r="AN72">
            <v>0</v>
          </cell>
          <cell r="AO72">
            <v>0</v>
          </cell>
          <cell r="AP72">
            <v>56</v>
          </cell>
          <cell r="AQ72">
            <v>8352.4</v>
          </cell>
        </row>
        <row r="73">
          <cell r="A73" t="str">
            <v>A-61</v>
          </cell>
          <cell r="B73" t="str">
            <v>thép tấm</v>
          </cell>
          <cell r="C73" t="str">
            <v>PL25x2000x12000</v>
          </cell>
          <cell r="D73">
            <v>0</v>
          </cell>
          <cell r="E73">
            <v>0</v>
          </cell>
          <cell r="F73">
            <v>0</v>
          </cell>
          <cell r="G73" t="str">
            <v>SS400</v>
          </cell>
          <cell r="H73" t="str">
            <v>m2</v>
          </cell>
          <cell r="I73">
            <v>196.25</v>
          </cell>
          <cell r="J73">
            <v>25.736560509554142</v>
          </cell>
          <cell r="K73">
            <v>5050.8</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A74" t="str">
            <v>A-62</v>
          </cell>
          <cell r="B74" t="str">
            <v>thép tấm</v>
          </cell>
          <cell r="C74" t="str">
            <v>PL30x2000x6000</v>
          </cell>
          <cell r="D74">
            <v>0</v>
          </cell>
          <cell r="E74">
            <v>0</v>
          </cell>
          <cell r="F74">
            <v>0</v>
          </cell>
          <cell r="G74" t="str">
            <v>SS400</v>
          </cell>
          <cell r="H74" t="str">
            <v>m2</v>
          </cell>
          <cell r="I74">
            <v>235.5</v>
          </cell>
          <cell r="J74">
            <v>0.44203821656050957</v>
          </cell>
          <cell r="K74">
            <v>104.1</v>
          </cell>
          <cell r="L74">
            <v>0.8</v>
          </cell>
          <cell r="M74">
            <v>188.4</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0.8</v>
          </cell>
          <cell r="AC74">
            <v>188.4</v>
          </cell>
          <cell r="AD74">
            <v>0</v>
          </cell>
          <cell r="AE74">
            <v>0</v>
          </cell>
          <cell r="AF74">
            <v>0</v>
          </cell>
          <cell r="AG74">
            <v>0</v>
          </cell>
          <cell r="AH74">
            <v>0</v>
          </cell>
          <cell r="AI74">
            <v>0</v>
          </cell>
          <cell r="AJ74">
            <v>0</v>
          </cell>
          <cell r="AK74">
            <v>0</v>
          </cell>
          <cell r="AL74">
            <v>0</v>
          </cell>
          <cell r="AM74">
            <v>0</v>
          </cell>
          <cell r="AN74">
            <v>0</v>
          </cell>
          <cell r="AO74">
            <v>0</v>
          </cell>
          <cell r="AP74">
            <v>0.8</v>
          </cell>
          <cell r="AQ74">
            <v>188.4</v>
          </cell>
        </row>
        <row r="75">
          <cell r="A75" t="str">
            <v>A-63</v>
          </cell>
          <cell r="B75" t="str">
            <v>thép tấm mua đúng khổ  dài 12000 tổ hợp</v>
          </cell>
          <cell r="C75" t="str">
            <v>PL32x2000x12000</v>
          </cell>
          <cell r="D75">
            <v>0</v>
          </cell>
          <cell r="E75">
            <v>0</v>
          </cell>
          <cell r="F75">
            <v>0</v>
          </cell>
          <cell r="G75" t="str">
            <v>SS400</v>
          </cell>
          <cell r="H75" t="str">
            <v>m2</v>
          </cell>
          <cell r="I75">
            <v>251.20000000000002</v>
          </cell>
          <cell r="J75">
            <v>23.560907643312103</v>
          </cell>
          <cell r="K75">
            <v>5918.5</v>
          </cell>
          <cell r="L75">
            <v>29</v>
          </cell>
          <cell r="M75">
            <v>7284.8</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29</v>
          </cell>
          <cell r="AC75">
            <v>7284.8</v>
          </cell>
          <cell r="AD75">
            <v>0</v>
          </cell>
          <cell r="AE75">
            <v>0</v>
          </cell>
          <cell r="AF75">
            <v>0</v>
          </cell>
          <cell r="AG75">
            <v>0</v>
          </cell>
          <cell r="AH75">
            <v>0</v>
          </cell>
          <cell r="AI75">
            <v>0</v>
          </cell>
          <cell r="AJ75">
            <v>0</v>
          </cell>
          <cell r="AK75">
            <v>0</v>
          </cell>
          <cell r="AL75">
            <v>0</v>
          </cell>
          <cell r="AM75">
            <v>0</v>
          </cell>
          <cell r="AN75">
            <v>0</v>
          </cell>
          <cell r="AO75">
            <v>0</v>
          </cell>
          <cell r="AP75">
            <v>29</v>
          </cell>
          <cell r="AQ75">
            <v>7284.8</v>
          </cell>
        </row>
        <row r="76">
          <cell r="A76" t="str">
            <v>A-64</v>
          </cell>
          <cell r="B76" t="str">
            <v>thép tấm</v>
          </cell>
          <cell r="C76" t="str">
            <v>PL6X1500X6000</v>
          </cell>
          <cell r="D76">
            <v>0</v>
          </cell>
          <cell r="E76">
            <v>0</v>
          </cell>
          <cell r="F76">
            <v>0</v>
          </cell>
          <cell r="G76" t="str">
            <v>SS400</v>
          </cell>
          <cell r="H76" t="str">
            <v>m2</v>
          </cell>
          <cell r="I76">
            <v>47.099999999999994</v>
          </cell>
          <cell r="J76">
            <v>104.31549893842889</v>
          </cell>
          <cell r="K76">
            <v>4913.26</v>
          </cell>
          <cell r="L76">
            <v>144</v>
          </cell>
          <cell r="M76">
            <v>6782.3999999999987</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126</v>
          </cell>
          <cell r="AC76">
            <v>5934.5999999999995</v>
          </cell>
          <cell r="AD76">
            <v>9</v>
          </cell>
          <cell r="AE76">
            <v>423.9</v>
          </cell>
          <cell r="AF76">
            <v>0</v>
          </cell>
          <cell r="AG76">
            <v>0</v>
          </cell>
          <cell r="AH76">
            <v>0</v>
          </cell>
          <cell r="AI76">
            <v>0</v>
          </cell>
          <cell r="AJ76">
            <v>9</v>
          </cell>
          <cell r="AK76">
            <v>423.9</v>
          </cell>
          <cell r="AL76">
            <v>0</v>
          </cell>
          <cell r="AM76">
            <v>0</v>
          </cell>
          <cell r="AN76">
            <v>0</v>
          </cell>
          <cell r="AO76">
            <v>0</v>
          </cell>
          <cell r="AP76">
            <v>144</v>
          </cell>
          <cell r="AQ76">
            <v>6782.3999999999987</v>
          </cell>
        </row>
        <row r="77">
          <cell r="A77" t="str">
            <v>A-65</v>
          </cell>
          <cell r="B77" t="str">
            <v>thép tấm mua đúng khổ  dài 12000</v>
          </cell>
          <cell r="C77" t="str">
            <v>PL8X1500X12000</v>
          </cell>
          <cell r="D77">
            <v>0</v>
          </cell>
          <cell r="E77">
            <v>0</v>
          </cell>
          <cell r="F77">
            <v>0</v>
          </cell>
          <cell r="G77" t="str">
            <v>SS400</v>
          </cell>
          <cell r="H77" t="str">
            <v>m2</v>
          </cell>
          <cell r="I77">
            <v>62.8</v>
          </cell>
          <cell r="J77">
            <v>261.322038216561</v>
          </cell>
          <cell r="K77">
            <v>16453.170000000002</v>
          </cell>
          <cell r="L77">
            <v>288</v>
          </cell>
          <cell r="M77">
            <v>18086.399999999998</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288</v>
          </cell>
          <cell r="AC77">
            <v>18086.399999999998</v>
          </cell>
          <cell r="AD77">
            <v>0</v>
          </cell>
          <cell r="AE77">
            <v>0</v>
          </cell>
          <cell r="AF77">
            <v>0</v>
          </cell>
          <cell r="AG77">
            <v>0</v>
          </cell>
          <cell r="AH77">
            <v>0</v>
          </cell>
          <cell r="AI77">
            <v>0</v>
          </cell>
          <cell r="AJ77">
            <v>0</v>
          </cell>
          <cell r="AK77">
            <v>0</v>
          </cell>
          <cell r="AL77">
            <v>0</v>
          </cell>
          <cell r="AM77">
            <v>0</v>
          </cell>
          <cell r="AN77">
            <v>0</v>
          </cell>
          <cell r="AO77">
            <v>0</v>
          </cell>
          <cell r="AP77">
            <v>288</v>
          </cell>
          <cell r="AQ77">
            <v>18086.399999999998</v>
          </cell>
        </row>
        <row r="78">
          <cell r="A78" t="str">
            <v>A-66</v>
          </cell>
          <cell r="B78" t="str">
            <v>thép tấm</v>
          </cell>
          <cell r="C78" t="str">
            <v>PL80x2000x6000</v>
          </cell>
          <cell r="D78">
            <v>0</v>
          </cell>
          <cell r="E78">
            <v>0</v>
          </cell>
          <cell r="F78">
            <v>0</v>
          </cell>
          <cell r="G78" t="str">
            <v>SS400</v>
          </cell>
          <cell r="H78" t="str">
            <v>m2</v>
          </cell>
          <cell r="I78">
            <v>628</v>
          </cell>
          <cell r="J78">
            <v>7.5894904458598731</v>
          </cell>
          <cell r="K78">
            <v>4766.2</v>
          </cell>
          <cell r="L78">
            <v>12</v>
          </cell>
          <cell r="M78">
            <v>7536</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12</v>
          </cell>
          <cell r="AC78">
            <v>7536</v>
          </cell>
          <cell r="AD78">
            <v>0</v>
          </cell>
          <cell r="AE78">
            <v>0</v>
          </cell>
          <cell r="AF78">
            <v>0</v>
          </cell>
          <cell r="AG78">
            <v>0</v>
          </cell>
          <cell r="AH78">
            <v>0</v>
          </cell>
          <cell r="AI78">
            <v>0</v>
          </cell>
          <cell r="AJ78">
            <v>0</v>
          </cell>
          <cell r="AK78">
            <v>0</v>
          </cell>
          <cell r="AL78">
            <v>0</v>
          </cell>
          <cell r="AM78">
            <v>0</v>
          </cell>
          <cell r="AN78">
            <v>0</v>
          </cell>
          <cell r="AO78">
            <v>0</v>
          </cell>
          <cell r="AP78">
            <v>12</v>
          </cell>
          <cell r="AQ78">
            <v>7536</v>
          </cell>
        </row>
        <row r="79">
          <cell r="A79" t="str">
            <v>A-67</v>
          </cell>
          <cell r="B79" t="str">
            <v>Bích mù</v>
          </cell>
          <cell r="C79" t="str">
            <v>5"_BLIND_FLANGE_#150_RF</v>
          </cell>
          <cell r="D79">
            <v>0</v>
          </cell>
          <cell r="E79">
            <v>0</v>
          </cell>
          <cell r="F79">
            <v>0</v>
          </cell>
          <cell r="G79" t="str">
            <v>A105</v>
          </cell>
          <cell r="H79" t="str">
            <v>pcs</v>
          </cell>
          <cell r="I79">
            <v>0</v>
          </cell>
          <cell r="J79">
            <v>2</v>
          </cell>
          <cell r="K79">
            <v>18.3</v>
          </cell>
          <cell r="L79">
            <v>2</v>
          </cell>
          <cell r="M79">
            <v>18.3</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2</v>
          </cell>
          <cell r="AC79">
            <v>18.3</v>
          </cell>
          <cell r="AD79">
            <v>0</v>
          </cell>
          <cell r="AE79">
            <v>0</v>
          </cell>
          <cell r="AF79">
            <v>0</v>
          </cell>
          <cell r="AG79">
            <v>0</v>
          </cell>
          <cell r="AH79">
            <v>0</v>
          </cell>
          <cell r="AI79">
            <v>0</v>
          </cell>
          <cell r="AJ79">
            <v>0</v>
          </cell>
          <cell r="AK79">
            <v>0</v>
          </cell>
          <cell r="AL79">
            <v>0</v>
          </cell>
          <cell r="AM79">
            <v>0</v>
          </cell>
          <cell r="AN79">
            <v>0</v>
          </cell>
          <cell r="AO79">
            <v>0</v>
          </cell>
          <cell r="AP79">
            <v>2</v>
          </cell>
          <cell r="AQ79">
            <v>18.3</v>
          </cell>
        </row>
        <row r="80">
          <cell r="A80" t="str">
            <v>A-68</v>
          </cell>
          <cell r="B80" t="str">
            <v>Bích</v>
          </cell>
          <cell r="C80" t="str">
            <v>5"_FLANGE_#150_SORF</v>
          </cell>
          <cell r="D80">
            <v>0</v>
          </cell>
          <cell r="E80">
            <v>0</v>
          </cell>
          <cell r="F80">
            <v>0</v>
          </cell>
          <cell r="G80" t="str">
            <v>A105</v>
          </cell>
          <cell r="H80" t="str">
            <v>pcs</v>
          </cell>
          <cell r="I80">
            <v>0</v>
          </cell>
          <cell r="J80">
            <v>2</v>
          </cell>
          <cell r="K80">
            <v>13.3</v>
          </cell>
          <cell r="L80">
            <v>2</v>
          </cell>
          <cell r="M80">
            <v>13.3</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2</v>
          </cell>
          <cell r="AC80">
            <v>13.3</v>
          </cell>
          <cell r="AD80">
            <v>0</v>
          </cell>
          <cell r="AE80">
            <v>0</v>
          </cell>
          <cell r="AF80">
            <v>0</v>
          </cell>
          <cell r="AG80">
            <v>0</v>
          </cell>
          <cell r="AH80">
            <v>0</v>
          </cell>
          <cell r="AI80">
            <v>0</v>
          </cell>
          <cell r="AJ80">
            <v>0</v>
          </cell>
          <cell r="AK80">
            <v>0</v>
          </cell>
          <cell r="AL80">
            <v>0</v>
          </cell>
          <cell r="AM80">
            <v>0</v>
          </cell>
          <cell r="AN80">
            <v>0</v>
          </cell>
          <cell r="AO80">
            <v>0</v>
          </cell>
          <cell r="AP80">
            <v>2</v>
          </cell>
          <cell r="AQ80">
            <v>13.3</v>
          </cell>
        </row>
        <row r="81">
          <cell r="A81" t="str">
            <v>A-69</v>
          </cell>
          <cell r="B81" t="str">
            <v>Đệm làm kín</v>
          </cell>
          <cell r="C81" t="str">
            <v>5"_GASKET_#150_SORF</v>
          </cell>
          <cell r="D81">
            <v>0</v>
          </cell>
          <cell r="E81">
            <v>0</v>
          </cell>
          <cell r="F81">
            <v>0</v>
          </cell>
          <cell r="G81" t="str">
            <v>CERAMIC_FIBER</v>
          </cell>
          <cell r="H81" t="str">
            <v>pcs</v>
          </cell>
          <cell r="I81">
            <v>0</v>
          </cell>
          <cell r="J81">
            <v>2</v>
          </cell>
          <cell r="K81">
            <v>0.1</v>
          </cell>
          <cell r="L81">
            <v>2</v>
          </cell>
          <cell r="M81">
            <v>0.1</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2</v>
          </cell>
          <cell r="AC81">
            <v>0.1</v>
          </cell>
          <cell r="AD81">
            <v>0</v>
          </cell>
          <cell r="AE81">
            <v>0</v>
          </cell>
          <cell r="AF81">
            <v>0</v>
          </cell>
          <cell r="AG81">
            <v>0</v>
          </cell>
          <cell r="AH81">
            <v>0</v>
          </cell>
          <cell r="AI81">
            <v>0</v>
          </cell>
          <cell r="AJ81">
            <v>0</v>
          </cell>
          <cell r="AK81">
            <v>0</v>
          </cell>
          <cell r="AL81">
            <v>0</v>
          </cell>
          <cell r="AM81">
            <v>0</v>
          </cell>
          <cell r="AN81">
            <v>0</v>
          </cell>
          <cell r="AO81">
            <v>0</v>
          </cell>
          <cell r="AP81">
            <v>2</v>
          </cell>
          <cell r="AQ81">
            <v>0.1</v>
          </cell>
        </row>
        <row r="82">
          <cell r="A82" t="str">
            <v>A-70</v>
          </cell>
          <cell r="B82" t="str">
            <v>Bích mù</v>
          </cell>
          <cell r="C82" t="str">
            <v>6"_BLIND_FLANGE_#150_RF</v>
          </cell>
          <cell r="D82">
            <v>0</v>
          </cell>
          <cell r="E82">
            <v>0</v>
          </cell>
          <cell r="F82">
            <v>0</v>
          </cell>
          <cell r="G82" t="str">
            <v>A105</v>
          </cell>
          <cell r="H82" t="str">
            <v>pcs</v>
          </cell>
          <cell r="I82">
            <v>0</v>
          </cell>
          <cell r="J82">
            <v>11</v>
          </cell>
          <cell r="K82">
            <v>132.80000000000001</v>
          </cell>
          <cell r="L82">
            <v>14</v>
          </cell>
          <cell r="M82">
            <v>132.80000000000001</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8</v>
          </cell>
          <cell r="AC82">
            <v>96.6</v>
          </cell>
          <cell r="AD82">
            <v>3</v>
          </cell>
          <cell r="AE82">
            <v>0</v>
          </cell>
          <cell r="AF82">
            <v>3</v>
          </cell>
          <cell r="AG82">
            <v>0</v>
          </cell>
          <cell r="AH82">
            <v>0</v>
          </cell>
          <cell r="AI82">
            <v>0</v>
          </cell>
          <cell r="AJ82">
            <v>0</v>
          </cell>
          <cell r="AK82">
            <v>0</v>
          </cell>
          <cell r="AL82">
            <v>0</v>
          </cell>
          <cell r="AM82">
            <v>0</v>
          </cell>
          <cell r="AN82">
            <v>0</v>
          </cell>
          <cell r="AO82">
            <v>0</v>
          </cell>
          <cell r="AP82">
            <v>14</v>
          </cell>
          <cell r="AQ82">
            <v>132.80000000000001</v>
          </cell>
        </row>
        <row r="83">
          <cell r="A83" t="str">
            <v>A-71</v>
          </cell>
          <cell r="B83" t="str">
            <v>Bích</v>
          </cell>
          <cell r="C83" t="str">
            <v>6"_FLANGE_#150_SORF</v>
          </cell>
          <cell r="D83">
            <v>0</v>
          </cell>
          <cell r="E83">
            <v>0</v>
          </cell>
          <cell r="F83">
            <v>0</v>
          </cell>
          <cell r="G83" t="str">
            <v>A105</v>
          </cell>
          <cell r="H83" t="str">
            <v>pcs</v>
          </cell>
          <cell r="I83">
            <v>0</v>
          </cell>
          <cell r="J83">
            <v>11</v>
          </cell>
          <cell r="K83">
            <v>89.1</v>
          </cell>
          <cell r="L83">
            <v>11</v>
          </cell>
          <cell r="M83">
            <v>89.1</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8</v>
          </cell>
          <cell r="AC83">
            <v>64.8</v>
          </cell>
          <cell r="AD83">
            <v>3</v>
          </cell>
          <cell r="AE83">
            <v>24.3</v>
          </cell>
          <cell r="AF83">
            <v>0</v>
          </cell>
          <cell r="AG83">
            <v>0</v>
          </cell>
          <cell r="AH83">
            <v>0</v>
          </cell>
          <cell r="AI83">
            <v>0</v>
          </cell>
          <cell r="AJ83">
            <v>0</v>
          </cell>
          <cell r="AK83">
            <v>0</v>
          </cell>
          <cell r="AL83">
            <v>0</v>
          </cell>
          <cell r="AM83">
            <v>0</v>
          </cell>
          <cell r="AN83">
            <v>0</v>
          </cell>
          <cell r="AO83">
            <v>0</v>
          </cell>
          <cell r="AP83">
            <v>11</v>
          </cell>
          <cell r="AQ83">
            <v>89.1</v>
          </cell>
        </row>
        <row r="84">
          <cell r="A84" t="str">
            <v>A-72</v>
          </cell>
          <cell r="B84" t="str">
            <v>Đệm làm kín</v>
          </cell>
          <cell r="C84" t="str">
            <v>6"_GASKET_#150_SORF</v>
          </cell>
          <cell r="D84">
            <v>0</v>
          </cell>
          <cell r="E84">
            <v>0</v>
          </cell>
          <cell r="F84">
            <v>0</v>
          </cell>
          <cell r="G84" t="str">
            <v>CERAMIC_FIBER</v>
          </cell>
          <cell r="H84" t="str">
            <v>pcs</v>
          </cell>
          <cell r="I84">
            <v>0</v>
          </cell>
          <cell r="J84">
            <v>11</v>
          </cell>
          <cell r="K84">
            <v>0.4</v>
          </cell>
          <cell r="L84">
            <v>11</v>
          </cell>
          <cell r="M84">
            <v>0.4</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8</v>
          </cell>
          <cell r="AC84">
            <v>0.4</v>
          </cell>
          <cell r="AD84">
            <v>3</v>
          </cell>
          <cell r="AE84">
            <v>0</v>
          </cell>
          <cell r="AF84">
            <v>0</v>
          </cell>
          <cell r="AG84">
            <v>0</v>
          </cell>
          <cell r="AH84">
            <v>0</v>
          </cell>
          <cell r="AI84">
            <v>0</v>
          </cell>
          <cell r="AJ84">
            <v>0</v>
          </cell>
          <cell r="AK84">
            <v>0</v>
          </cell>
          <cell r="AL84">
            <v>0</v>
          </cell>
          <cell r="AM84">
            <v>0</v>
          </cell>
          <cell r="AN84">
            <v>0</v>
          </cell>
          <cell r="AO84">
            <v>0</v>
          </cell>
          <cell r="AP84">
            <v>11</v>
          </cell>
          <cell r="AQ84">
            <v>0.4</v>
          </cell>
        </row>
        <row r="85">
          <cell r="A85" t="str">
            <v>A-73</v>
          </cell>
          <cell r="B85" t="str">
            <v>Bịt đầu ống</v>
          </cell>
          <cell r="C85" t="str">
            <v>SQUARE HEAD PLUG 2"-3000#</v>
          </cell>
          <cell r="D85">
            <v>0</v>
          </cell>
          <cell r="E85">
            <v>0</v>
          </cell>
          <cell r="F85">
            <v>0</v>
          </cell>
          <cell r="G85" t="str">
            <v>A105</v>
          </cell>
          <cell r="H85" t="str">
            <v>pcs</v>
          </cell>
          <cell r="I85">
            <v>0</v>
          </cell>
          <cell r="J85">
            <v>4</v>
          </cell>
          <cell r="K85">
            <v>0</v>
          </cell>
          <cell r="L85">
            <v>4</v>
          </cell>
          <cell r="M85">
            <v>3.5</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4</v>
          </cell>
          <cell r="AC85">
            <v>3.5</v>
          </cell>
          <cell r="AD85">
            <v>0</v>
          </cell>
          <cell r="AE85">
            <v>0</v>
          </cell>
          <cell r="AF85">
            <v>0</v>
          </cell>
          <cell r="AG85">
            <v>0</v>
          </cell>
          <cell r="AH85">
            <v>0</v>
          </cell>
          <cell r="AI85">
            <v>0</v>
          </cell>
          <cell r="AJ85">
            <v>0</v>
          </cell>
          <cell r="AK85">
            <v>0</v>
          </cell>
          <cell r="AL85">
            <v>0</v>
          </cell>
          <cell r="AM85">
            <v>0</v>
          </cell>
          <cell r="AN85">
            <v>0</v>
          </cell>
          <cell r="AO85">
            <v>0</v>
          </cell>
          <cell r="AP85">
            <v>4</v>
          </cell>
          <cell r="AQ85">
            <v>3.5</v>
          </cell>
        </row>
        <row r="86">
          <cell r="A86" t="str">
            <v>A-74</v>
          </cell>
          <cell r="B86" t="str">
            <v>Bích</v>
          </cell>
          <cell r="C86" t="str">
            <v>3"_FLANGE_#150_SORF</v>
          </cell>
          <cell r="D86">
            <v>0</v>
          </cell>
          <cell r="E86">
            <v>0</v>
          </cell>
          <cell r="F86">
            <v>0</v>
          </cell>
          <cell r="G86" t="str">
            <v>A182-F304</v>
          </cell>
          <cell r="H86" t="str">
            <v>pcs</v>
          </cell>
          <cell r="I86">
            <v>0</v>
          </cell>
          <cell r="J86">
            <v>1</v>
          </cell>
          <cell r="K86">
            <v>4</v>
          </cell>
          <cell r="L86">
            <v>1</v>
          </cell>
          <cell r="M86">
            <v>4</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1</v>
          </cell>
          <cell r="AC86">
            <v>4</v>
          </cell>
          <cell r="AD86">
            <v>0</v>
          </cell>
          <cell r="AE86">
            <v>0</v>
          </cell>
          <cell r="AF86">
            <v>0</v>
          </cell>
          <cell r="AG86">
            <v>0</v>
          </cell>
          <cell r="AH86">
            <v>0</v>
          </cell>
          <cell r="AI86">
            <v>0</v>
          </cell>
          <cell r="AJ86">
            <v>0</v>
          </cell>
          <cell r="AK86">
            <v>0</v>
          </cell>
          <cell r="AL86">
            <v>0</v>
          </cell>
          <cell r="AM86">
            <v>0</v>
          </cell>
          <cell r="AN86">
            <v>0</v>
          </cell>
          <cell r="AO86">
            <v>0</v>
          </cell>
          <cell r="AP86">
            <v>1</v>
          </cell>
          <cell r="AQ86">
            <v>4</v>
          </cell>
        </row>
        <row r="87">
          <cell r="A87" t="str">
            <v>A-75</v>
          </cell>
          <cell r="B87" t="str">
            <v>CUT</v>
          </cell>
          <cell r="C87" t="str">
            <v>ELBOW 90-LR-CHS88.9*5.5</v>
          </cell>
          <cell r="D87">
            <v>0</v>
          </cell>
          <cell r="E87">
            <v>0</v>
          </cell>
          <cell r="F87">
            <v>0</v>
          </cell>
          <cell r="G87" t="str">
            <v>SA403-WP304</v>
          </cell>
          <cell r="H87" t="str">
            <v>pcs</v>
          </cell>
          <cell r="I87">
            <v>0</v>
          </cell>
          <cell r="J87">
            <v>1</v>
          </cell>
          <cell r="K87">
            <v>2.4</v>
          </cell>
          <cell r="L87">
            <v>1</v>
          </cell>
          <cell r="M87">
            <v>2.4</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1</v>
          </cell>
          <cell r="AC87">
            <v>2.4</v>
          </cell>
          <cell r="AD87">
            <v>0</v>
          </cell>
          <cell r="AE87">
            <v>0</v>
          </cell>
          <cell r="AF87">
            <v>0</v>
          </cell>
          <cell r="AG87">
            <v>0</v>
          </cell>
          <cell r="AH87">
            <v>0</v>
          </cell>
          <cell r="AI87">
            <v>0</v>
          </cell>
          <cell r="AJ87">
            <v>0</v>
          </cell>
          <cell r="AK87">
            <v>0</v>
          </cell>
          <cell r="AL87">
            <v>0</v>
          </cell>
          <cell r="AM87">
            <v>0</v>
          </cell>
          <cell r="AN87">
            <v>0</v>
          </cell>
          <cell r="AO87">
            <v>0</v>
          </cell>
          <cell r="AP87">
            <v>1</v>
          </cell>
          <cell r="AQ87">
            <v>2.4</v>
          </cell>
        </row>
        <row r="88">
          <cell r="A88" t="str">
            <v>A-76</v>
          </cell>
          <cell r="B88" t="str">
            <v>Tôn tấm</v>
          </cell>
          <cell r="C88" t="str">
            <v>PL1.5*1220*2440</v>
          </cell>
          <cell r="D88">
            <v>1.5</v>
          </cell>
          <cell r="E88">
            <v>2440</v>
          </cell>
          <cell r="F88">
            <v>1220</v>
          </cell>
          <cell r="G88" t="str">
            <v>SUH409</v>
          </cell>
          <cell r="H88" t="str">
            <v>m2</v>
          </cell>
          <cell r="I88">
            <v>11.895</v>
          </cell>
          <cell r="J88">
            <v>202.82274064733082</v>
          </cell>
          <cell r="K88">
            <v>2412.5765000000001</v>
          </cell>
          <cell r="L88">
            <v>219</v>
          </cell>
          <cell r="M88">
            <v>2605.0050000000001</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194</v>
          </cell>
          <cell r="AE88">
            <v>2307.63</v>
          </cell>
          <cell r="AF88">
            <v>25</v>
          </cell>
          <cell r="AG88">
            <v>297.375</v>
          </cell>
          <cell r="AH88">
            <v>0</v>
          </cell>
          <cell r="AI88">
            <v>0</v>
          </cell>
          <cell r="AJ88">
            <v>0</v>
          </cell>
          <cell r="AK88">
            <v>0</v>
          </cell>
          <cell r="AL88">
            <v>0</v>
          </cell>
          <cell r="AM88">
            <v>0</v>
          </cell>
          <cell r="AN88">
            <v>0</v>
          </cell>
          <cell r="AO88">
            <v>0</v>
          </cell>
          <cell r="AP88">
            <v>219</v>
          </cell>
          <cell r="AQ88">
            <v>2605.0050000000001</v>
          </cell>
        </row>
        <row r="89">
          <cell r="A89" t="str">
            <v>A-77</v>
          </cell>
          <cell r="B89" t="str">
            <v>Tôn tấm</v>
          </cell>
          <cell r="C89" t="str">
            <v>PL2*1220*2440</v>
          </cell>
          <cell r="D89">
            <v>2</v>
          </cell>
          <cell r="E89">
            <v>2440</v>
          </cell>
          <cell r="F89">
            <v>1220</v>
          </cell>
          <cell r="G89" t="str">
            <v>SUH409</v>
          </cell>
          <cell r="H89" t="str">
            <v>m2</v>
          </cell>
          <cell r="I89">
            <v>15.86</v>
          </cell>
          <cell r="J89">
            <v>26.147540983606561</v>
          </cell>
          <cell r="K89">
            <v>414.70000000000005</v>
          </cell>
          <cell r="L89">
            <v>34</v>
          </cell>
          <cell r="M89">
            <v>539.24</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27</v>
          </cell>
          <cell r="AE89">
            <v>428.21999999999997</v>
          </cell>
          <cell r="AF89">
            <v>7</v>
          </cell>
          <cell r="AG89">
            <v>111.02</v>
          </cell>
          <cell r="AH89">
            <v>0</v>
          </cell>
          <cell r="AI89">
            <v>0</v>
          </cell>
          <cell r="AJ89">
            <v>0</v>
          </cell>
          <cell r="AK89">
            <v>0</v>
          </cell>
          <cell r="AL89">
            <v>0</v>
          </cell>
          <cell r="AM89">
            <v>0</v>
          </cell>
          <cell r="AN89">
            <v>0</v>
          </cell>
          <cell r="AO89">
            <v>0</v>
          </cell>
          <cell r="AP89">
            <v>34</v>
          </cell>
          <cell r="AQ89">
            <v>539.24</v>
          </cell>
        </row>
        <row r="90">
          <cell r="A90" t="str">
            <v>A-78</v>
          </cell>
          <cell r="B90" t="str">
            <v>Thép tròn đầu ren dài 50mm</v>
          </cell>
          <cell r="C90" t="str">
            <v>STUD PIN M10X67( 01 PIN-SUS304H+02 NUT-SUS304H+02  PLATE WASHER-SUH409)</v>
          </cell>
          <cell r="D90">
            <v>0</v>
          </cell>
          <cell r="E90">
            <v>0</v>
          </cell>
          <cell r="F90">
            <v>0</v>
          </cell>
          <cell r="G90" t="str">
            <v>SUS304H+SUH409</v>
          </cell>
          <cell r="H90" t="str">
            <v>pcs</v>
          </cell>
          <cell r="I90">
            <v>0</v>
          </cell>
          <cell r="J90">
            <v>400</v>
          </cell>
          <cell r="K90">
            <v>0</v>
          </cell>
          <cell r="L90">
            <v>400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400</v>
          </cell>
          <cell r="AE90">
            <v>0</v>
          </cell>
          <cell r="AF90">
            <v>0</v>
          </cell>
          <cell r="AG90">
            <v>0</v>
          </cell>
          <cell r="AH90">
            <v>0</v>
          </cell>
          <cell r="AI90">
            <v>0</v>
          </cell>
          <cell r="AJ90">
            <v>0</v>
          </cell>
          <cell r="AK90">
            <v>0</v>
          </cell>
          <cell r="AL90">
            <v>0</v>
          </cell>
          <cell r="AM90">
            <v>0</v>
          </cell>
          <cell r="AN90">
            <v>0</v>
          </cell>
          <cell r="AO90">
            <v>0</v>
          </cell>
          <cell r="AP90">
            <v>400</v>
          </cell>
          <cell r="AQ90">
            <v>0</v>
          </cell>
        </row>
        <row r="91">
          <cell r="A91" t="str">
            <v>A-79</v>
          </cell>
          <cell r="B91" t="str">
            <v>Thép tròn đầu ren dài 50mm</v>
          </cell>
          <cell r="C91" t="str">
            <v>STUD PIN M10X89( 01 PIN-SUS304H+02 NUT-SUS304H+02  PLATE WASHER-SUH409)</v>
          </cell>
          <cell r="D91">
            <v>0</v>
          </cell>
          <cell r="E91">
            <v>0</v>
          </cell>
          <cell r="F91">
            <v>0</v>
          </cell>
          <cell r="G91" t="str">
            <v>SUS304H+SUH409</v>
          </cell>
          <cell r="H91" t="str">
            <v>pcs</v>
          </cell>
          <cell r="I91">
            <v>0</v>
          </cell>
          <cell r="J91">
            <v>420</v>
          </cell>
          <cell r="K91">
            <v>0</v>
          </cell>
          <cell r="L91">
            <v>420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420</v>
          </cell>
          <cell r="AE91">
            <v>0</v>
          </cell>
          <cell r="AF91">
            <v>0</v>
          </cell>
          <cell r="AG91">
            <v>0</v>
          </cell>
          <cell r="AH91">
            <v>0</v>
          </cell>
          <cell r="AI91">
            <v>0</v>
          </cell>
          <cell r="AJ91">
            <v>0</v>
          </cell>
          <cell r="AK91">
            <v>0</v>
          </cell>
          <cell r="AL91">
            <v>0</v>
          </cell>
          <cell r="AM91">
            <v>0</v>
          </cell>
          <cell r="AN91">
            <v>0</v>
          </cell>
          <cell r="AO91">
            <v>0</v>
          </cell>
          <cell r="AP91">
            <v>420</v>
          </cell>
          <cell r="AQ91">
            <v>0</v>
          </cell>
        </row>
        <row r="92">
          <cell r="A92" t="str">
            <v>A-80</v>
          </cell>
          <cell r="B92" t="str">
            <v>insulation pin AGM INDUSTRIES SC-250</v>
          </cell>
          <cell r="C92" t="str">
            <v>PIN Ø2.6X80( 01 PIN+01 SELF-LOCKING INSULAFTION  WASHER 2 1/2"X2 1/2" SQUARE )</v>
          </cell>
          <cell r="D92">
            <v>0</v>
          </cell>
          <cell r="E92">
            <v>0</v>
          </cell>
          <cell r="F92">
            <v>0</v>
          </cell>
          <cell r="G92" t="str">
            <v>STAINLESS STELL</v>
          </cell>
          <cell r="H92" t="str">
            <v>SET</v>
          </cell>
          <cell r="I92">
            <v>6.5094339622641509E-2</v>
          </cell>
          <cell r="J92">
            <v>600</v>
          </cell>
          <cell r="K92">
            <v>34.5</v>
          </cell>
          <cell r="L92">
            <v>600</v>
          </cell>
          <cell r="M92">
            <v>39.056603773584904</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600</v>
          </cell>
          <cell r="AE92">
            <v>0</v>
          </cell>
          <cell r="AF92">
            <v>0</v>
          </cell>
          <cell r="AG92">
            <v>0</v>
          </cell>
          <cell r="AH92">
            <v>0</v>
          </cell>
          <cell r="AI92">
            <v>0</v>
          </cell>
          <cell r="AJ92">
            <v>0</v>
          </cell>
          <cell r="AK92">
            <v>0</v>
          </cell>
          <cell r="AL92">
            <v>0</v>
          </cell>
          <cell r="AM92">
            <v>0</v>
          </cell>
          <cell r="AN92">
            <v>0</v>
          </cell>
          <cell r="AO92">
            <v>0</v>
          </cell>
          <cell r="AP92">
            <v>600</v>
          </cell>
          <cell r="AQ92">
            <v>39.056603773584904</v>
          </cell>
        </row>
        <row r="93">
          <cell r="A93" t="str">
            <v>A-81</v>
          </cell>
          <cell r="B93" t="str">
            <v>THÉP C</v>
          </cell>
          <cell r="C93" t="str">
            <v>C180X75X7X10.5*12000</v>
          </cell>
          <cell r="D93">
            <v>0</v>
          </cell>
          <cell r="E93">
            <v>0</v>
          </cell>
          <cell r="F93">
            <v>0</v>
          </cell>
          <cell r="G93" t="str">
            <v>SS400</v>
          </cell>
          <cell r="H93" t="str">
            <v>m</v>
          </cell>
          <cell r="I93">
            <v>20.9462360461788</v>
          </cell>
          <cell r="J93">
            <v>83.847999999999999</v>
          </cell>
          <cell r="K93">
            <v>1756.3</v>
          </cell>
          <cell r="L93">
            <v>96</v>
          </cell>
          <cell r="M93">
            <v>2010.8386604331649</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96</v>
          </cell>
          <cell r="AE93">
            <v>2010.8386604331649</v>
          </cell>
          <cell r="AF93">
            <v>0</v>
          </cell>
          <cell r="AG93">
            <v>0</v>
          </cell>
          <cell r="AH93">
            <v>0</v>
          </cell>
          <cell r="AI93">
            <v>0</v>
          </cell>
          <cell r="AJ93">
            <v>0</v>
          </cell>
          <cell r="AK93">
            <v>0</v>
          </cell>
          <cell r="AL93">
            <v>0</v>
          </cell>
          <cell r="AM93">
            <v>0</v>
          </cell>
          <cell r="AN93">
            <v>0</v>
          </cell>
          <cell r="AO93">
            <v>0</v>
          </cell>
          <cell r="AP93">
            <v>96</v>
          </cell>
          <cell r="AQ93">
            <v>2010.8386604331649</v>
          </cell>
        </row>
        <row r="94">
          <cell r="A94" t="str">
            <v>A-82</v>
          </cell>
          <cell r="B94" t="str">
            <v>THÉP ỐNG</v>
          </cell>
          <cell r="C94" t="str">
            <v>CHS168.3*7.1</v>
          </cell>
          <cell r="D94">
            <v>0</v>
          </cell>
          <cell r="E94">
            <v>0</v>
          </cell>
          <cell r="F94">
            <v>0</v>
          </cell>
          <cell r="G94" t="str">
            <v>A-312 TP304</v>
          </cell>
          <cell r="H94" t="str">
            <v>m</v>
          </cell>
          <cell r="I94">
            <v>28.061224489795919</v>
          </cell>
          <cell r="J94">
            <v>0.98</v>
          </cell>
          <cell r="K94">
            <v>27.5</v>
          </cell>
          <cell r="L94">
            <v>1.1759999999999999</v>
          </cell>
          <cell r="M94">
            <v>33</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1.1759999999999999</v>
          </cell>
          <cell r="AE94">
            <v>33</v>
          </cell>
          <cell r="AF94">
            <v>0</v>
          </cell>
          <cell r="AG94">
            <v>0</v>
          </cell>
          <cell r="AH94">
            <v>0</v>
          </cell>
          <cell r="AI94">
            <v>0</v>
          </cell>
          <cell r="AJ94">
            <v>0</v>
          </cell>
          <cell r="AK94">
            <v>0</v>
          </cell>
          <cell r="AL94">
            <v>0</v>
          </cell>
          <cell r="AM94">
            <v>0</v>
          </cell>
          <cell r="AN94">
            <v>0</v>
          </cell>
          <cell r="AO94">
            <v>0</v>
          </cell>
          <cell r="AP94">
            <v>1.1759999999999999</v>
          </cell>
          <cell r="AQ94">
            <v>33</v>
          </cell>
        </row>
        <row r="95">
          <cell r="A95" t="str">
            <v>A-83</v>
          </cell>
          <cell r="B95" t="str">
            <v>THÉP ỐNG</v>
          </cell>
          <cell r="C95" t="str">
            <v>CHS60.3*5.5</v>
          </cell>
          <cell r="D95">
            <v>0</v>
          </cell>
          <cell r="E95">
            <v>0</v>
          </cell>
          <cell r="F95">
            <v>0</v>
          </cell>
          <cell r="G95" t="str">
            <v>A-312 TP304</v>
          </cell>
          <cell r="H95" t="str">
            <v>m</v>
          </cell>
          <cell r="I95">
            <v>7.2727272727272734</v>
          </cell>
          <cell r="J95">
            <v>0.22</v>
          </cell>
          <cell r="K95">
            <v>1.6</v>
          </cell>
          <cell r="L95">
            <v>0.25</v>
          </cell>
          <cell r="M95">
            <v>1.8181818181818183</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0.25</v>
          </cell>
          <cell r="AE95">
            <v>1.8181818181818183</v>
          </cell>
          <cell r="AF95">
            <v>0</v>
          </cell>
          <cell r="AG95">
            <v>0</v>
          </cell>
          <cell r="AH95">
            <v>0</v>
          </cell>
          <cell r="AI95">
            <v>0</v>
          </cell>
          <cell r="AJ95">
            <v>0</v>
          </cell>
          <cell r="AK95">
            <v>0</v>
          </cell>
          <cell r="AL95">
            <v>0</v>
          </cell>
          <cell r="AM95">
            <v>0</v>
          </cell>
          <cell r="AN95">
            <v>0</v>
          </cell>
          <cell r="AO95">
            <v>0</v>
          </cell>
          <cell r="AP95">
            <v>0.25</v>
          </cell>
          <cell r="AQ95">
            <v>1.8181818181818183</v>
          </cell>
        </row>
        <row r="96">
          <cell r="A96" t="str">
            <v>A-84</v>
          </cell>
          <cell r="B96" t="str">
            <v>DÂY BUỘC INOX Ø1</v>
          </cell>
          <cell r="C96" t="str">
            <v>D1</v>
          </cell>
          <cell r="D96">
            <v>0</v>
          </cell>
          <cell r="E96">
            <v>0</v>
          </cell>
          <cell r="F96">
            <v>0</v>
          </cell>
          <cell r="G96" t="str">
            <v>SUS304</v>
          </cell>
          <cell r="H96" t="str">
            <v>KG</v>
          </cell>
          <cell r="I96">
            <v>0</v>
          </cell>
          <cell r="J96">
            <v>1</v>
          </cell>
          <cell r="K96">
            <v>0</v>
          </cell>
          <cell r="L96">
            <v>1</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1</v>
          </cell>
          <cell r="AE96">
            <v>0</v>
          </cell>
          <cell r="AF96">
            <v>0</v>
          </cell>
          <cell r="AG96">
            <v>0</v>
          </cell>
          <cell r="AH96">
            <v>0</v>
          </cell>
          <cell r="AI96">
            <v>0</v>
          </cell>
          <cell r="AJ96">
            <v>0</v>
          </cell>
          <cell r="AK96">
            <v>0</v>
          </cell>
          <cell r="AL96">
            <v>0</v>
          </cell>
          <cell r="AM96">
            <v>0</v>
          </cell>
          <cell r="AN96">
            <v>0</v>
          </cell>
          <cell r="AO96">
            <v>0</v>
          </cell>
          <cell r="AP96">
            <v>1</v>
          </cell>
          <cell r="AQ96">
            <v>0</v>
          </cell>
        </row>
        <row r="97">
          <cell r="A97" t="str">
            <v>A-85</v>
          </cell>
          <cell r="B97" t="str">
            <v>TÔN TẤM</v>
          </cell>
          <cell r="C97" t="str">
            <v>PL10</v>
          </cell>
          <cell r="D97">
            <v>0</v>
          </cell>
          <cell r="E97">
            <v>0</v>
          </cell>
          <cell r="F97">
            <v>0</v>
          </cell>
          <cell r="G97" t="str">
            <v>A-240TP304</v>
          </cell>
          <cell r="H97" t="str">
            <v>m2</v>
          </cell>
          <cell r="I97">
            <v>79.3</v>
          </cell>
          <cell r="J97">
            <v>0.1</v>
          </cell>
          <cell r="K97">
            <v>8.1</v>
          </cell>
          <cell r="L97">
            <v>0.2</v>
          </cell>
          <cell r="M97">
            <v>15.86</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0.2</v>
          </cell>
          <cell r="AE97">
            <v>15.86</v>
          </cell>
          <cell r="AF97">
            <v>0</v>
          </cell>
          <cell r="AG97">
            <v>0</v>
          </cell>
          <cell r="AH97">
            <v>0</v>
          </cell>
          <cell r="AI97">
            <v>0</v>
          </cell>
          <cell r="AJ97">
            <v>0</v>
          </cell>
          <cell r="AK97">
            <v>0</v>
          </cell>
          <cell r="AL97">
            <v>0</v>
          </cell>
          <cell r="AM97">
            <v>0</v>
          </cell>
          <cell r="AN97">
            <v>0</v>
          </cell>
          <cell r="AO97">
            <v>0</v>
          </cell>
          <cell r="AP97">
            <v>0.2</v>
          </cell>
          <cell r="AQ97">
            <v>15.86</v>
          </cell>
        </row>
        <row r="98">
          <cell r="A98" t="str">
            <v>A-86</v>
          </cell>
          <cell r="B98" t="str">
            <v>TÔN TẤM</v>
          </cell>
          <cell r="C98" t="str">
            <v>PL30x2000x6000</v>
          </cell>
          <cell r="D98">
            <v>0</v>
          </cell>
          <cell r="E98">
            <v>0</v>
          </cell>
          <cell r="F98">
            <v>0</v>
          </cell>
          <cell r="G98" t="str">
            <v>A572-GR.50</v>
          </cell>
          <cell r="H98" t="str">
            <v>m2</v>
          </cell>
          <cell r="I98">
            <v>235.5</v>
          </cell>
          <cell r="J98">
            <v>0.95583864118895967</v>
          </cell>
          <cell r="K98">
            <v>225.1</v>
          </cell>
          <cell r="L98">
            <v>1.5</v>
          </cell>
          <cell r="M98">
            <v>353.25</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1.5</v>
          </cell>
          <cell r="AE98">
            <v>353.25</v>
          </cell>
          <cell r="AF98">
            <v>0</v>
          </cell>
          <cell r="AG98">
            <v>0</v>
          </cell>
          <cell r="AH98">
            <v>0</v>
          </cell>
          <cell r="AI98">
            <v>0</v>
          </cell>
          <cell r="AJ98">
            <v>0</v>
          </cell>
          <cell r="AK98">
            <v>0</v>
          </cell>
          <cell r="AL98">
            <v>0</v>
          </cell>
          <cell r="AM98">
            <v>0</v>
          </cell>
          <cell r="AN98">
            <v>0</v>
          </cell>
          <cell r="AO98">
            <v>0</v>
          </cell>
          <cell r="AP98">
            <v>1.5</v>
          </cell>
          <cell r="AQ98">
            <v>353.25</v>
          </cell>
        </row>
        <row r="99">
          <cell r="A99" t="str">
            <v>A-87</v>
          </cell>
          <cell r="B99" t="str">
            <v>TÔN TẤM</v>
          </cell>
          <cell r="C99" t="str">
            <v>PL6X2000X6000</v>
          </cell>
          <cell r="D99">
            <v>0</v>
          </cell>
          <cell r="E99">
            <v>0</v>
          </cell>
          <cell r="F99">
            <v>0</v>
          </cell>
          <cell r="G99" t="str">
            <v>SS400</v>
          </cell>
          <cell r="H99" t="str">
            <v>m2</v>
          </cell>
          <cell r="I99">
            <v>47.099999999999994</v>
          </cell>
          <cell r="J99">
            <v>140.26539278131636</v>
          </cell>
          <cell r="K99">
            <v>6606.5</v>
          </cell>
          <cell r="L99">
            <v>144</v>
          </cell>
          <cell r="M99">
            <v>6782.3999999999987</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96</v>
          </cell>
          <cell r="AE99">
            <v>4521.5999999999995</v>
          </cell>
          <cell r="AF99">
            <v>36</v>
          </cell>
          <cell r="AG99">
            <v>1695.6</v>
          </cell>
          <cell r="AH99">
            <v>12</v>
          </cell>
          <cell r="AI99">
            <v>565.19999999999993</v>
          </cell>
          <cell r="AJ99">
            <v>0</v>
          </cell>
          <cell r="AK99">
            <v>0</v>
          </cell>
          <cell r="AL99">
            <v>0</v>
          </cell>
          <cell r="AM99">
            <v>0</v>
          </cell>
          <cell r="AN99">
            <v>0</v>
          </cell>
          <cell r="AO99">
            <v>0</v>
          </cell>
          <cell r="AP99">
            <v>144</v>
          </cell>
          <cell r="AQ99">
            <v>6782.3999999999987</v>
          </cell>
        </row>
        <row r="100">
          <cell r="A100" t="str">
            <v>A-88</v>
          </cell>
          <cell r="B100" t="str">
            <v>TÔN TẤM</v>
          </cell>
          <cell r="C100" t="str">
            <v>PL6X1500X6000</v>
          </cell>
          <cell r="D100">
            <v>0</v>
          </cell>
          <cell r="E100">
            <v>0</v>
          </cell>
          <cell r="F100">
            <v>0</v>
          </cell>
          <cell r="G100" t="str">
            <v>A572-GR.50</v>
          </cell>
          <cell r="H100" t="str">
            <v>m2</v>
          </cell>
          <cell r="I100">
            <v>47.099999999999994</v>
          </cell>
          <cell r="J100">
            <v>1.62</v>
          </cell>
          <cell r="K100">
            <v>76.301999999999992</v>
          </cell>
          <cell r="L100">
            <v>3.5</v>
          </cell>
          <cell r="M100">
            <v>164.84999999999997</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2</v>
          </cell>
          <cell r="AE100">
            <v>94.199999999999989</v>
          </cell>
          <cell r="AF100">
            <v>1.5</v>
          </cell>
          <cell r="AG100">
            <v>70.649999999999991</v>
          </cell>
          <cell r="AH100">
            <v>0</v>
          </cell>
          <cell r="AI100">
            <v>0</v>
          </cell>
          <cell r="AJ100">
            <v>0</v>
          </cell>
          <cell r="AK100">
            <v>0</v>
          </cell>
          <cell r="AL100">
            <v>0</v>
          </cell>
          <cell r="AM100">
            <v>0</v>
          </cell>
          <cell r="AN100">
            <v>0</v>
          </cell>
          <cell r="AO100">
            <v>0</v>
          </cell>
          <cell r="AP100">
            <v>3.5</v>
          </cell>
          <cell r="AQ100">
            <v>164.84999999999997</v>
          </cell>
        </row>
        <row r="101">
          <cell r="A101" t="str">
            <v>A-89</v>
          </cell>
          <cell r="B101" t="str">
            <v>TÔN TẤM</v>
          </cell>
          <cell r="C101" t="str">
            <v>PL6X1500X6000</v>
          </cell>
          <cell r="D101">
            <v>0</v>
          </cell>
          <cell r="E101">
            <v>0</v>
          </cell>
          <cell r="F101">
            <v>0</v>
          </cell>
          <cell r="G101" t="str">
            <v>SUS304</v>
          </cell>
          <cell r="H101" t="str">
            <v>m2</v>
          </cell>
          <cell r="I101">
            <v>47.099999999999994</v>
          </cell>
          <cell r="J101">
            <v>5.0955414012738856E-2</v>
          </cell>
          <cell r="K101">
            <v>2.4</v>
          </cell>
          <cell r="L101">
            <v>0.7</v>
          </cell>
          <cell r="M101">
            <v>32.97</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0.5</v>
          </cell>
          <cell r="AE101">
            <v>23.549999999999997</v>
          </cell>
          <cell r="AF101">
            <v>0.2</v>
          </cell>
          <cell r="AG101">
            <v>9.42</v>
          </cell>
          <cell r="AH101">
            <v>0</v>
          </cell>
          <cell r="AI101">
            <v>0</v>
          </cell>
          <cell r="AJ101">
            <v>0</v>
          </cell>
          <cell r="AK101">
            <v>0</v>
          </cell>
          <cell r="AL101">
            <v>0</v>
          </cell>
          <cell r="AM101">
            <v>0</v>
          </cell>
          <cell r="AN101">
            <v>0</v>
          </cell>
          <cell r="AO101">
            <v>0</v>
          </cell>
          <cell r="AP101">
            <v>0.7</v>
          </cell>
          <cell r="AQ101">
            <v>32.97</v>
          </cell>
        </row>
        <row r="102">
          <cell r="A102" t="str">
            <v>A-90</v>
          </cell>
          <cell r="B102" t="str">
            <v>TÔN TẤM</v>
          </cell>
          <cell r="C102" t="str">
            <v>PL8X1500X6000</v>
          </cell>
          <cell r="D102">
            <v>0</v>
          </cell>
          <cell r="E102">
            <v>0</v>
          </cell>
          <cell r="F102">
            <v>0</v>
          </cell>
          <cell r="G102" t="str">
            <v>SS400</v>
          </cell>
          <cell r="H102" t="str">
            <v>m2</v>
          </cell>
          <cell r="I102">
            <v>54.949999999999996</v>
          </cell>
          <cell r="J102">
            <v>6.23</v>
          </cell>
          <cell r="K102">
            <v>342.2</v>
          </cell>
          <cell r="L102">
            <v>6.9776000000000016</v>
          </cell>
          <cell r="M102">
            <v>383.41912000000008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6.9776000000000016</v>
          </cell>
          <cell r="AE102">
            <v>383.41912000000008</v>
          </cell>
          <cell r="AF102">
            <v>0</v>
          </cell>
          <cell r="AG102">
            <v>0</v>
          </cell>
          <cell r="AH102">
            <v>0</v>
          </cell>
          <cell r="AI102">
            <v>0</v>
          </cell>
          <cell r="AJ102">
            <v>0</v>
          </cell>
          <cell r="AK102">
            <v>0</v>
          </cell>
          <cell r="AL102">
            <v>0</v>
          </cell>
          <cell r="AM102">
            <v>0</v>
          </cell>
          <cell r="AN102">
            <v>0</v>
          </cell>
          <cell r="AO102">
            <v>0</v>
          </cell>
          <cell r="AP102">
            <v>6.9776000000000016</v>
          </cell>
          <cell r="AQ102">
            <v>383.41912000000008</v>
          </cell>
        </row>
        <row r="103">
          <cell r="A103" t="str">
            <v>A-91</v>
          </cell>
          <cell r="B103" t="str">
            <v>Lưới dập dãn</v>
          </cell>
          <cell r="C103" t="str">
            <v>EXPANDED_METAL_1/2"_#13</v>
          </cell>
          <cell r="D103">
            <v>0</v>
          </cell>
          <cell r="E103">
            <v>0</v>
          </cell>
          <cell r="F103">
            <v>0</v>
          </cell>
          <cell r="G103" t="str">
            <v>SS400/A36</v>
          </cell>
          <cell r="H103" t="str">
            <v>m2</v>
          </cell>
          <cell r="I103">
            <v>2.29</v>
          </cell>
          <cell r="J103">
            <v>1.572052401746725</v>
          </cell>
          <cell r="K103">
            <v>3.6</v>
          </cell>
          <cell r="L103">
            <v>2</v>
          </cell>
          <cell r="M103">
            <v>4.58</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2</v>
          </cell>
          <cell r="AG103">
            <v>4.58</v>
          </cell>
          <cell r="AH103">
            <v>0</v>
          </cell>
          <cell r="AI103">
            <v>0</v>
          </cell>
          <cell r="AJ103">
            <v>0</v>
          </cell>
          <cell r="AK103">
            <v>0</v>
          </cell>
          <cell r="AL103">
            <v>0</v>
          </cell>
          <cell r="AM103">
            <v>0</v>
          </cell>
          <cell r="AN103">
            <v>0</v>
          </cell>
          <cell r="AO103">
            <v>0</v>
          </cell>
          <cell r="AP103">
            <v>2</v>
          </cell>
          <cell r="AQ103">
            <v>4.58</v>
          </cell>
        </row>
        <row r="104">
          <cell r="A104" t="str">
            <v>A-92</v>
          </cell>
          <cell r="B104" t="str">
            <v>Nối ống</v>
          </cell>
          <cell r="C104" t="str">
            <v>2"-3000# THREADED COUPING</v>
          </cell>
          <cell r="D104">
            <v>0</v>
          </cell>
          <cell r="E104">
            <v>0</v>
          </cell>
          <cell r="F104">
            <v>0</v>
          </cell>
          <cell r="G104" t="str">
            <v>A105</v>
          </cell>
          <cell r="H104" t="str">
            <v>pcs</v>
          </cell>
          <cell r="I104">
            <v>0</v>
          </cell>
          <cell r="J104">
            <v>4</v>
          </cell>
          <cell r="K104">
            <v>0</v>
          </cell>
          <cell r="L104">
            <v>4</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4</v>
          </cell>
          <cell r="AG104">
            <v>0</v>
          </cell>
          <cell r="AH104">
            <v>0</v>
          </cell>
          <cell r="AI104">
            <v>0</v>
          </cell>
          <cell r="AJ104">
            <v>0</v>
          </cell>
          <cell r="AK104">
            <v>0</v>
          </cell>
          <cell r="AL104">
            <v>0</v>
          </cell>
          <cell r="AM104">
            <v>0</v>
          </cell>
          <cell r="AN104">
            <v>0</v>
          </cell>
          <cell r="AO104">
            <v>0</v>
          </cell>
          <cell r="AP104">
            <v>4</v>
          </cell>
          <cell r="AQ104">
            <v>0</v>
          </cell>
        </row>
        <row r="105">
          <cell r="A105" t="str">
            <v>A-93</v>
          </cell>
          <cell r="B105" t="str">
            <v>THÉP ỐNG</v>
          </cell>
          <cell r="C105" t="str">
            <v>CHS114.3X8.56</v>
          </cell>
          <cell r="D105">
            <v>0</v>
          </cell>
          <cell r="E105">
            <v>0</v>
          </cell>
          <cell r="F105">
            <v>0</v>
          </cell>
          <cell r="G105" t="str">
            <v>A-312 TP304</v>
          </cell>
          <cell r="H105" t="str">
            <v>m</v>
          </cell>
          <cell r="I105">
            <v>22.32</v>
          </cell>
          <cell r="J105">
            <v>9.3320000000000007</v>
          </cell>
          <cell r="K105">
            <v>208.29024000000001</v>
          </cell>
          <cell r="L105">
            <v>11</v>
          </cell>
          <cell r="M105">
            <v>245.52</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11</v>
          </cell>
          <cell r="AG105">
            <v>245.52</v>
          </cell>
          <cell r="AH105">
            <v>0</v>
          </cell>
          <cell r="AI105">
            <v>0</v>
          </cell>
          <cell r="AJ105">
            <v>0</v>
          </cell>
          <cell r="AK105">
            <v>0</v>
          </cell>
          <cell r="AL105">
            <v>0</v>
          </cell>
          <cell r="AM105">
            <v>0</v>
          </cell>
          <cell r="AN105">
            <v>0</v>
          </cell>
          <cell r="AO105">
            <v>0</v>
          </cell>
          <cell r="AP105">
            <v>11</v>
          </cell>
          <cell r="AQ105">
            <v>245.52</v>
          </cell>
        </row>
        <row r="106">
          <cell r="A106" t="str">
            <v>A-94</v>
          </cell>
          <cell r="B106" t="str">
            <v>THÉP ỐNG</v>
          </cell>
          <cell r="C106" t="str">
            <v>CHS88.9X7.62</v>
          </cell>
          <cell r="D106">
            <v>0</v>
          </cell>
          <cell r="E106">
            <v>0</v>
          </cell>
          <cell r="F106">
            <v>0</v>
          </cell>
          <cell r="G106" t="str">
            <v>A-312 TP304</v>
          </cell>
          <cell r="H106" t="str">
            <v>m</v>
          </cell>
          <cell r="I106">
            <v>15.27</v>
          </cell>
          <cell r="J106">
            <v>0.35599999999999998</v>
          </cell>
          <cell r="K106">
            <v>5.4361199999999998</v>
          </cell>
          <cell r="L106">
            <v>0.5</v>
          </cell>
          <cell r="M106">
            <v>7.6349999999999998</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0.5</v>
          </cell>
          <cell r="AG106">
            <v>7.6349999999999998</v>
          </cell>
          <cell r="AH106">
            <v>0</v>
          </cell>
          <cell r="AI106">
            <v>0</v>
          </cell>
          <cell r="AJ106">
            <v>0</v>
          </cell>
          <cell r="AK106">
            <v>0</v>
          </cell>
          <cell r="AL106">
            <v>0</v>
          </cell>
          <cell r="AM106">
            <v>0</v>
          </cell>
          <cell r="AN106">
            <v>0</v>
          </cell>
          <cell r="AO106">
            <v>0</v>
          </cell>
          <cell r="AP106">
            <v>0.5</v>
          </cell>
          <cell r="AQ106">
            <v>7.6349999999999998</v>
          </cell>
        </row>
        <row r="107">
          <cell r="A107" t="str">
            <v>A-95</v>
          </cell>
          <cell r="B107" t="str">
            <v>TÔN TẤM</v>
          </cell>
          <cell r="C107" t="str">
            <v>PL5</v>
          </cell>
          <cell r="D107">
            <v>0</v>
          </cell>
          <cell r="E107">
            <v>0</v>
          </cell>
          <cell r="F107">
            <v>0</v>
          </cell>
          <cell r="G107" t="str">
            <v>SS400</v>
          </cell>
          <cell r="H107" t="str">
            <v>m2</v>
          </cell>
          <cell r="I107">
            <v>39.25</v>
          </cell>
          <cell r="J107">
            <v>1.8850955414012738</v>
          </cell>
          <cell r="K107">
            <v>73.989999999999995</v>
          </cell>
          <cell r="L107">
            <v>3</v>
          </cell>
          <cell r="M107">
            <v>117.75</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3</v>
          </cell>
          <cell r="AG107">
            <v>117.75</v>
          </cell>
          <cell r="AH107">
            <v>0</v>
          </cell>
          <cell r="AI107">
            <v>0</v>
          </cell>
          <cell r="AJ107">
            <v>0</v>
          </cell>
          <cell r="AK107">
            <v>0</v>
          </cell>
          <cell r="AL107">
            <v>0</v>
          </cell>
          <cell r="AM107">
            <v>0</v>
          </cell>
          <cell r="AN107">
            <v>0</v>
          </cell>
          <cell r="AO107">
            <v>0</v>
          </cell>
          <cell r="AP107">
            <v>3</v>
          </cell>
          <cell r="AQ107">
            <v>117.75</v>
          </cell>
        </row>
        <row r="108">
          <cell r="A108" t="str">
            <v>A-96</v>
          </cell>
          <cell r="B108" t="str">
            <v>INSULATION PIN</v>
          </cell>
          <cell r="C108" t="str">
            <v>INSULATION CD PIN D3X55</v>
          </cell>
          <cell r="D108">
            <v>0</v>
          </cell>
          <cell r="E108">
            <v>0</v>
          </cell>
          <cell r="F108">
            <v>0</v>
          </cell>
          <cell r="G108" t="str">
            <v>SUS304</v>
          </cell>
          <cell r="H108" t="str">
            <v>PCS</v>
          </cell>
          <cell r="I108">
            <v>0</v>
          </cell>
          <cell r="J108">
            <v>1500</v>
          </cell>
          <cell r="K108">
            <v>0</v>
          </cell>
          <cell r="L108">
            <v>1800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1800</v>
          </cell>
          <cell r="AI108">
            <v>0</v>
          </cell>
          <cell r="AJ108">
            <v>0</v>
          </cell>
          <cell r="AK108">
            <v>0</v>
          </cell>
          <cell r="AL108">
            <v>0</v>
          </cell>
          <cell r="AM108">
            <v>0</v>
          </cell>
          <cell r="AN108">
            <v>0</v>
          </cell>
          <cell r="AO108">
            <v>0</v>
          </cell>
          <cell r="AP108">
            <v>1800</v>
          </cell>
          <cell r="AQ108">
            <v>0</v>
          </cell>
        </row>
        <row r="109">
          <cell r="A109" t="str">
            <v>A-97</v>
          </cell>
          <cell r="B109" t="str">
            <v>Thép hình</v>
          </cell>
          <cell r="C109" t="str">
            <v>C100X50X5X7.5*6000</v>
          </cell>
          <cell r="D109">
            <v>0</v>
          </cell>
          <cell r="E109">
            <v>0</v>
          </cell>
          <cell r="F109">
            <v>0</v>
          </cell>
          <cell r="G109" t="str">
            <v>SS400</v>
          </cell>
          <cell r="H109" t="str">
            <v>m</v>
          </cell>
          <cell r="I109">
            <v>9.3646138807429118</v>
          </cell>
          <cell r="J109">
            <v>5.1150000000000002</v>
          </cell>
          <cell r="K109">
            <v>47.9</v>
          </cell>
          <cell r="L109">
            <v>6</v>
          </cell>
          <cell r="M109">
            <v>56.187683284457471</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6</v>
          </cell>
          <cell r="AI109">
            <v>56.187683284457471</v>
          </cell>
          <cell r="AJ109">
            <v>0</v>
          </cell>
          <cell r="AK109">
            <v>0</v>
          </cell>
          <cell r="AL109">
            <v>0</v>
          </cell>
          <cell r="AM109">
            <v>0</v>
          </cell>
          <cell r="AN109">
            <v>0</v>
          </cell>
          <cell r="AO109">
            <v>0</v>
          </cell>
          <cell r="AP109">
            <v>6</v>
          </cell>
          <cell r="AQ109">
            <v>56.187683284457471</v>
          </cell>
        </row>
        <row r="110">
          <cell r="A110" t="str">
            <v>A-98</v>
          </cell>
          <cell r="B110" t="str">
            <v>Thép hình</v>
          </cell>
          <cell r="C110" t="str">
            <v>C200X90X8X13.5*12000</v>
          </cell>
          <cell r="D110">
            <v>0</v>
          </cell>
          <cell r="E110">
            <v>0</v>
          </cell>
          <cell r="F110">
            <v>0</v>
          </cell>
          <cell r="G110" t="str">
            <v>SS400</v>
          </cell>
          <cell r="H110" t="str">
            <v>m</v>
          </cell>
          <cell r="I110">
            <v>30.336800396235763</v>
          </cell>
          <cell r="J110">
            <v>28.265999999999998</v>
          </cell>
          <cell r="K110">
            <v>857.5</v>
          </cell>
          <cell r="L110">
            <v>36</v>
          </cell>
          <cell r="M110">
            <v>1092.1248142644874</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36</v>
          </cell>
          <cell r="AI110">
            <v>1092.1248142644874</v>
          </cell>
          <cell r="AJ110">
            <v>0</v>
          </cell>
          <cell r="AK110">
            <v>0</v>
          </cell>
          <cell r="AL110">
            <v>0</v>
          </cell>
          <cell r="AM110">
            <v>0</v>
          </cell>
          <cell r="AN110">
            <v>0</v>
          </cell>
          <cell r="AO110">
            <v>0</v>
          </cell>
          <cell r="AP110">
            <v>36</v>
          </cell>
          <cell r="AQ110">
            <v>1092.1248142644874</v>
          </cell>
        </row>
        <row r="111">
          <cell r="A111" t="str">
            <v>A-99</v>
          </cell>
          <cell r="B111" t="str">
            <v>Thép hình</v>
          </cell>
          <cell r="C111" t="str">
            <v>C300X90X9X13*12000</v>
          </cell>
          <cell r="D111">
            <v>0</v>
          </cell>
          <cell r="E111">
            <v>0</v>
          </cell>
          <cell r="F111">
            <v>0</v>
          </cell>
          <cell r="G111" t="str">
            <v>SS400</v>
          </cell>
          <cell r="H111" t="str">
            <v>m</v>
          </cell>
          <cell r="I111">
            <v>38.12880861658666</v>
          </cell>
          <cell r="J111">
            <v>145.39400000000001</v>
          </cell>
          <cell r="K111">
            <v>5543.7000000000007</v>
          </cell>
          <cell r="L111">
            <v>150</v>
          </cell>
          <cell r="M111">
            <v>5719.321292487999</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150</v>
          </cell>
          <cell r="AI111">
            <v>5719.321292487999</v>
          </cell>
          <cell r="AJ111">
            <v>0</v>
          </cell>
          <cell r="AK111">
            <v>0</v>
          </cell>
          <cell r="AL111">
            <v>0</v>
          </cell>
          <cell r="AM111">
            <v>0</v>
          </cell>
          <cell r="AN111">
            <v>0</v>
          </cell>
          <cell r="AO111">
            <v>0</v>
          </cell>
          <cell r="AP111">
            <v>150</v>
          </cell>
          <cell r="AQ111">
            <v>5719.321292487999</v>
          </cell>
        </row>
        <row r="112">
          <cell r="A112" t="str">
            <v>A-100</v>
          </cell>
          <cell r="B112" t="str">
            <v>thép ống</v>
          </cell>
          <cell r="C112" t="str">
            <v>CHS48.3x3.6*6000</v>
          </cell>
          <cell r="D112">
            <v>0</v>
          </cell>
          <cell r="E112">
            <v>0</v>
          </cell>
          <cell r="F112">
            <v>0</v>
          </cell>
          <cell r="G112" t="str">
            <v>A53-GR.B</v>
          </cell>
          <cell r="H112" t="str">
            <v>m</v>
          </cell>
          <cell r="I112">
            <v>3.9729619605424022</v>
          </cell>
          <cell r="J112">
            <v>878.61399999999946</v>
          </cell>
          <cell r="K112">
            <v>3490.7000000000003</v>
          </cell>
          <cell r="L112">
            <v>966</v>
          </cell>
          <cell r="M112">
            <v>3837.8812538839607</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936</v>
          </cell>
          <cell r="AI112">
            <v>3718.6923950676887</v>
          </cell>
          <cell r="AJ112">
            <v>0</v>
          </cell>
          <cell r="AK112">
            <v>0</v>
          </cell>
          <cell r="AL112">
            <v>30</v>
          </cell>
          <cell r="AM112">
            <v>119.18885881627207</v>
          </cell>
          <cell r="AN112">
            <v>0</v>
          </cell>
          <cell r="AO112">
            <v>0</v>
          </cell>
          <cell r="AP112">
            <v>966</v>
          </cell>
          <cell r="AQ112">
            <v>3837.8812538839607</v>
          </cell>
        </row>
        <row r="113">
          <cell r="A113" t="str">
            <v>A-101</v>
          </cell>
          <cell r="B113" t="str">
            <v>thép ống</v>
          </cell>
          <cell r="C113" t="str">
            <v>CHS48.3x5.0*6000</v>
          </cell>
          <cell r="D113">
            <v>0</v>
          </cell>
          <cell r="E113">
            <v>0</v>
          </cell>
          <cell r="F113">
            <v>0</v>
          </cell>
          <cell r="G113" t="str">
            <v>A53-GR.B</v>
          </cell>
          <cell r="H113" t="str">
            <v>m</v>
          </cell>
          <cell r="I113">
            <v>5.338853729778311</v>
          </cell>
          <cell r="J113">
            <v>427.26400000000001</v>
          </cell>
          <cell r="K113">
            <v>2281.1000000000004</v>
          </cell>
          <cell r="L113">
            <v>498</v>
          </cell>
          <cell r="M113">
            <v>2658.7491574295987</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444</v>
          </cell>
          <cell r="AI113">
            <v>2370.4510560215699</v>
          </cell>
          <cell r="AJ113">
            <v>0</v>
          </cell>
          <cell r="AK113">
            <v>0</v>
          </cell>
          <cell r="AL113">
            <v>54</v>
          </cell>
          <cell r="AM113">
            <v>288.2981014080288</v>
          </cell>
          <cell r="AN113">
            <v>0</v>
          </cell>
          <cell r="AO113">
            <v>0</v>
          </cell>
          <cell r="AP113">
            <v>498</v>
          </cell>
          <cell r="AQ113">
            <v>2658.7491574295987</v>
          </cell>
        </row>
        <row r="114">
          <cell r="A114" t="str">
            <v>A-102</v>
          </cell>
          <cell r="B114" t="str">
            <v>thép hình</v>
          </cell>
          <cell r="C114" t="str">
            <v>H200X200X8X12*12000</v>
          </cell>
          <cell r="D114">
            <v>0</v>
          </cell>
          <cell r="E114">
            <v>0</v>
          </cell>
          <cell r="F114">
            <v>0</v>
          </cell>
          <cell r="G114" t="str">
            <v>SS400</v>
          </cell>
          <cell r="H114" t="str">
            <v>m</v>
          </cell>
          <cell r="I114">
            <v>48.733462407228139</v>
          </cell>
          <cell r="J114">
            <v>22.225999999999999</v>
          </cell>
          <cell r="K114">
            <v>1102.51</v>
          </cell>
          <cell r="L114">
            <v>24</v>
          </cell>
          <cell r="M114">
            <v>1169.6030977734754</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14</v>
          </cell>
          <cell r="AI114">
            <v>682.2684737011939</v>
          </cell>
          <cell r="AJ114">
            <v>0</v>
          </cell>
          <cell r="AK114">
            <v>0</v>
          </cell>
          <cell r="AL114">
            <v>10</v>
          </cell>
          <cell r="AM114">
            <v>487.33462407228137</v>
          </cell>
          <cell r="AN114">
            <v>0</v>
          </cell>
          <cell r="AO114">
            <v>0</v>
          </cell>
          <cell r="AP114">
            <v>24</v>
          </cell>
          <cell r="AQ114">
            <v>1169.6030977734754</v>
          </cell>
        </row>
        <row r="115">
          <cell r="A115" t="str">
            <v>A-103</v>
          </cell>
          <cell r="B115" t="str">
            <v>thép hình</v>
          </cell>
          <cell r="C115" t="str">
            <v>H244X175X7X11*12000</v>
          </cell>
          <cell r="D115">
            <v>0</v>
          </cell>
          <cell r="E115">
            <v>0</v>
          </cell>
          <cell r="F115">
            <v>0</v>
          </cell>
          <cell r="G115" t="str">
            <v>SS400</v>
          </cell>
          <cell r="H115" t="str">
            <v>m</v>
          </cell>
          <cell r="I115">
            <v>44.150233135132829</v>
          </cell>
          <cell r="J115">
            <v>46.753999999999991</v>
          </cell>
          <cell r="K115">
            <v>2064.1999999999998</v>
          </cell>
          <cell r="L115">
            <v>48</v>
          </cell>
          <cell r="M115">
            <v>2119.2111904863759</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48</v>
          </cell>
          <cell r="AI115">
            <v>2119.2111904863759</v>
          </cell>
          <cell r="AJ115">
            <v>0</v>
          </cell>
          <cell r="AK115">
            <v>0</v>
          </cell>
          <cell r="AL115">
            <v>0</v>
          </cell>
          <cell r="AM115">
            <v>0</v>
          </cell>
          <cell r="AN115">
            <v>0</v>
          </cell>
          <cell r="AO115">
            <v>0</v>
          </cell>
          <cell r="AP115">
            <v>48</v>
          </cell>
          <cell r="AQ115">
            <v>2119.2111904863759</v>
          </cell>
        </row>
        <row r="116">
          <cell r="A116" t="str">
            <v>A-104</v>
          </cell>
          <cell r="B116" t="str">
            <v>thép hình</v>
          </cell>
          <cell r="C116" t="str">
            <v>H294X200X8X12*12000</v>
          </cell>
          <cell r="D116">
            <v>0</v>
          </cell>
          <cell r="E116">
            <v>0</v>
          </cell>
          <cell r="F116">
            <v>0</v>
          </cell>
          <cell r="G116" t="str">
            <v>SS400</v>
          </cell>
          <cell r="H116" t="str">
            <v>m</v>
          </cell>
          <cell r="I116">
            <v>54.513334397955937</v>
          </cell>
          <cell r="J116">
            <v>50.095999999999997</v>
          </cell>
          <cell r="K116">
            <v>2730.9000000000005</v>
          </cell>
          <cell r="L116">
            <v>51</v>
          </cell>
          <cell r="M116">
            <v>2780.1800542957526</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51</v>
          </cell>
          <cell r="AI116">
            <v>2780.1800542957526</v>
          </cell>
          <cell r="AJ116">
            <v>0</v>
          </cell>
          <cell r="AK116">
            <v>0</v>
          </cell>
          <cell r="AL116">
            <v>0</v>
          </cell>
          <cell r="AM116">
            <v>0</v>
          </cell>
          <cell r="AN116">
            <v>0</v>
          </cell>
          <cell r="AO116">
            <v>0</v>
          </cell>
          <cell r="AP116">
            <v>51</v>
          </cell>
          <cell r="AQ116">
            <v>2780.1800542957526</v>
          </cell>
        </row>
        <row r="117">
          <cell r="A117" t="str">
            <v>A-105</v>
          </cell>
          <cell r="B117" t="str">
            <v>thép hình</v>
          </cell>
          <cell r="C117" t="str">
            <v>H300X300X10X15*12000</v>
          </cell>
          <cell r="D117">
            <v>0</v>
          </cell>
          <cell r="E117">
            <v>0</v>
          </cell>
          <cell r="F117">
            <v>0</v>
          </cell>
          <cell r="G117" t="str">
            <v>SS400</v>
          </cell>
          <cell r="H117" t="str">
            <v>m</v>
          </cell>
          <cell r="I117">
            <v>94.043760129659645</v>
          </cell>
          <cell r="J117">
            <v>9.8719999999999999</v>
          </cell>
          <cell r="K117">
            <v>928.4</v>
          </cell>
          <cell r="L117">
            <v>12</v>
          </cell>
          <cell r="M117">
            <v>1128.5251215559158</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12</v>
          </cell>
          <cell r="AI117">
            <v>1128.5251215559158</v>
          </cell>
          <cell r="AJ117">
            <v>0</v>
          </cell>
          <cell r="AK117">
            <v>0</v>
          </cell>
          <cell r="AL117">
            <v>0</v>
          </cell>
          <cell r="AM117">
            <v>0</v>
          </cell>
          <cell r="AN117">
            <v>0</v>
          </cell>
          <cell r="AO117">
            <v>0</v>
          </cell>
          <cell r="AP117">
            <v>12</v>
          </cell>
          <cell r="AQ117">
            <v>1128.5251215559158</v>
          </cell>
        </row>
        <row r="118">
          <cell r="A118" t="str">
            <v>A-106</v>
          </cell>
          <cell r="B118" t="str">
            <v>thép hình</v>
          </cell>
          <cell r="C118" t="str">
            <v>L150X150X12*12000</v>
          </cell>
          <cell r="D118">
            <v>0</v>
          </cell>
          <cell r="E118">
            <v>0</v>
          </cell>
          <cell r="F118">
            <v>0</v>
          </cell>
          <cell r="G118" t="str">
            <v>SS400</v>
          </cell>
          <cell r="H118" t="str">
            <v>m</v>
          </cell>
          <cell r="I118">
            <v>27.309612983770286</v>
          </cell>
          <cell r="J118">
            <v>3.2040000000000002</v>
          </cell>
          <cell r="K118">
            <v>87.5</v>
          </cell>
          <cell r="L118">
            <v>4</v>
          </cell>
          <cell r="M118">
            <v>109.23845193508114</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4</v>
          </cell>
          <cell r="AI118">
            <v>109.23845193508114</v>
          </cell>
          <cell r="AJ118">
            <v>0</v>
          </cell>
          <cell r="AK118">
            <v>0</v>
          </cell>
          <cell r="AL118">
            <v>0</v>
          </cell>
          <cell r="AM118">
            <v>0</v>
          </cell>
          <cell r="AN118">
            <v>0</v>
          </cell>
          <cell r="AO118">
            <v>0</v>
          </cell>
          <cell r="AP118">
            <v>4</v>
          </cell>
          <cell r="AQ118">
            <v>109.23845193508114</v>
          </cell>
        </row>
        <row r="119">
          <cell r="A119" t="str">
            <v>A-107</v>
          </cell>
          <cell r="B119" t="str">
            <v>thép hình</v>
          </cell>
          <cell r="C119" t="str">
            <v>L50X50X6*6000</v>
          </cell>
          <cell r="D119">
            <v>0</v>
          </cell>
          <cell r="E119">
            <v>0</v>
          </cell>
          <cell r="F119">
            <v>0</v>
          </cell>
          <cell r="G119" t="str">
            <v>SS400</v>
          </cell>
          <cell r="H119" t="str">
            <v>m</v>
          </cell>
          <cell r="I119">
            <v>4.4287118977384461</v>
          </cell>
          <cell r="J119">
            <v>30.805</v>
          </cell>
          <cell r="K119">
            <v>136.63999999999999</v>
          </cell>
          <cell r="L119">
            <v>36</v>
          </cell>
          <cell r="M119">
            <v>159.43362831858406</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30</v>
          </cell>
          <cell r="AI119">
            <v>132.86135693215337</v>
          </cell>
          <cell r="AJ119">
            <v>0</v>
          </cell>
          <cell r="AK119">
            <v>0</v>
          </cell>
          <cell r="AL119">
            <v>6</v>
          </cell>
          <cell r="AM119">
            <v>26.572271386430678</v>
          </cell>
          <cell r="AN119">
            <v>0</v>
          </cell>
          <cell r="AO119">
            <v>0</v>
          </cell>
          <cell r="AP119">
            <v>36</v>
          </cell>
          <cell r="AQ119">
            <v>159.43362831858406</v>
          </cell>
        </row>
        <row r="120">
          <cell r="A120" t="str">
            <v>A-108</v>
          </cell>
          <cell r="B120" t="str">
            <v>thép hình</v>
          </cell>
          <cell r="C120" t="str">
            <v>T122X175X7X11*12000</v>
          </cell>
          <cell r="D120">
            <v>0</v>
          </cell>
          <cell r="E120">
            <v>0</v>
          </cell>
          <cell r="F120">
            <v>0</v>
          </cell>
          <cell r="G120" t="str">
            <v>SS400</v>
          </cell>
          <cell r="H120" t="str">
            <v>m</v>
          </cell>
          <cell r="I120">
            <v>14.779595664860359</v>
          </cell>
          <cell r="J120">
            <v>38.384</v>
          </cell>
          <cell r="K120">
            <v>567.30000000000007</v>
          </cell>
          <cell r="L120">
            <v>40</v>
          </cell>
          <cell r="M120">
            <v>591.18382659441431</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40</v>
          </cell>
          <cell r="AI120">
            <v>591.18382659441431</v>
          </cell>
          <cell r="AJ120">
            <v>0</v>
          </cell>
          <cell r="AK120">
            <v>0</v>
          </cell>
          <cell r="AL120">
            <v>0</v>
          </cell>
          <cell r="AM120">
            <v>0</v>
          </cell>
          <cell r="AN120">
            <v>0</v>
          </cell>
          <cell r="AO120">
            <v>0</v>
          </cell>
          <cell r="AP120">
            <v>40</v>
          </cell>
          <cell r="AQ120">
            <v>591.18382659441431</v>
          </cell>
        </row>
        <row r="121">
          <cell r="A121" t="str">
            <v>A-109</v>
          </cell>
          <cell r="B121" t="str">
            <v>thép hình</v>
          </cell>
          <cell r="C121" t="str">
            <v>T97X150X6X9*12000</v>
          </cell>
          <cell r="D121">
            <v>0</v>
          </cell>
          <cell r="E121">
            <v>0</v>
          </cell>
          <cell r="F121">
            <v>0</v>
          </cell>
          <cell r="G121" t="str">
            <v>SS400</v>
          </cell>
          <cell r="H121" t="str">
            <v>m</v>
          </cell>
          <cell r="I121">
            <v>14.780577381919029</v>
          </cell>
          <cell r="J121">
            <v>80.050999999999988</v>
          </cell>
          <cell r="K121">
            <v>1183.2</v>
          </cell>
          <cell r="L121">
            <v>84</v>
          </cell>
          <cell r="M121">
            <v>1241.5685000811984</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84</v>
          </cell>
          <cell r="AI121">
            <v>1241.5685000811984</v>
          </cell>
          <cell r="AJ121">
            <v>0</v>
          </cell>
          <cell r="AK121">
            <v>0</v>
          </cell>
          <cell r="AL121">
            <v>0</v>
          </cell>
          <cell r="AM121">
            <v>0</v>
          </cell>
          <cell r="AN121">
            <v>0</v>
          </cell>
          <cell r="AO121">
            <v>0</v>
          </cell>
          <cell r="AP121">
            <v>84</v>
          </cell>
          <cell r="AQ121">
            <v>1241.5685000811984</v>
          </cell>
        </row>
        <row r="122">
          <cell r="A122" t="str">
            <v>A-110</v>
          </cell>
          <cell r="B122" t="str">
            <v>tôn nhám</v>
          </cell>
          <cell r="C122" t="str">
            <v>CHKPL6</v>
          </cell>
          <cell r="D122">
            <v>0</v>
          </cell>
          <cell r="E122">
            <v>0</v>
          </cell>
          <cell r="F122">
            <v>0</v>
          </cell>
          <cell r="G122" t="str">
            <v>SS400</v>
          </cell>
          <cell r="H122" t="str">
            <v>m2</v>
          </cell>
          <cell r="I122">
            <v>50.099999999999994</v>
          </cell>
          <cell r="J122">
            <v>10.990219560878243</v>
          </cell>
          <cell r="K122">
            <v>550.61</v>
          </cell>
          <cell r="L122">
            <v>1.1363057324840766</v>
          </cell>
          <cell r="M122">
            <v>56.928917197452229</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1.1363057324840766</v>
          </cell>
          <cell r="AI122">
            <v>56.928917197452229</v>
          </cell>
          <cell r="AJ122">
            <v>0</v>
          </cell>
          <cell r="AK122">
            <v>0</v>
          </cell>
          <cell r="AL122">
            <v>0</v>
          </cell>
          <cell r="AM122">
            <v>0</v>
          </cell>
          <cell r="AN122">
            <v>13.36</v>
          </cell>
          <cell r="AO122">
            <v>669.3359999999999</v>
          </cell>
          <cell r="AP122">
            <v>14.496305732484077</v>
          </cell>
          <cell r="AQ122">
            <v>726.26491719745218</v>
          </cell>
        </row>
        <row r="123">
          <cell r="A123" t="str">
            <v>A-111</v>
          </cell>
          <cell r="B123" t="str">
            <v>gratting</v>
          </cell>
          <cell r="C123" t="str">
            <v>GRATTING32X5-HOT DIP GALV</v>
          </cell>
          <cell r="D123">
            <v>0</v>
          </cell>
          <cell r="E123">
            <v>0</v>
          </cell>
          <cell r="F123">
            <v>0</v>
          </cell>
          <cell r="G123" t="str">
            <v>SS400</v>
          </cell>
          <cell r="H123" t="str">
            <v>m2</v>
          </cell>
          <cell r="I123">
            <v>45.5</v>
          </cell>
          <cell r="J123">
            <v>205.60219780219779</v>
          </cell>
          <cell r="K123">
            <v>9354.9</v>
          </cell>
          <cell r="L123">
            <v>205.60219780219779</v>
          </cell>
          <cell r="M123">
            <v>9354.9</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205.60219780219779</v>
          </cell>
          <cell r="AI123">
            <v>9354.9</v>
          </cell>
          <cell r="AJ123">
            <v>0</v>
          </cell>
          <cell r="AK123">
            <v>0</v>
          </cell>
          <cell r="AL123">
            <v>0</v>
          </cell>
          <cell r="AM123">
            <v>0</v>
          </cell>
          <cell r="AN123">
            <v>0</v>
          </cell>
          <cell r="AO123">
            <v>0</v>
          </cell>
          <cell r="AP123">
            <v>205.60219780219779</v>
          </cell>
          <cell r="AQ123">
            <v>9354.9</v>
          </cell>
        </row>
        <row r="124">
          <cell r="A124" t="str">
            <v>A-112</v>
          </cell>
          <cell r="B124" t="str">
            <v>đệm</v>
          </cell>
          <cell r="C124" t="str">
            <v>WASHER M10</v>
          </cell>
          <cell r="D124">
            <v>0</v>
          </cell>
          <cell r="E124">
            <v>0</v>
          </cell>
          <cell r="F124">
            <v>0</v>
          </cell>
          <cell r="G124">
            <v>4.5999999999999996</v>
          </cell>
          <cell r="H124" t="str">
            <v>pcs</v>
          </cell>
          <cell r="I124">
            <v>0</v>
          </cell>
          <cell r="J124">
            <v>30</v>
          </cell>
          <cell r="K124">
            <v>0.1</v>
          </cell>
          <cell r="L124">
            <v>32</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32</v>
          </cell>
          <cell r="AI124">
            <v>0</v>
          </cell>
          <cell r="AJ124">
            <v>0</v>
          </cell>
          <cell r="AK124">
            <v>0</v>
          </cell>
          <cell r="AL124">
            <v>0</v>
          </cell>
          <cell r="AM124">
            <v>0</v>
          </cell>
          <cell r="AN124">
            <v>0</v>
          </cell>
          <cell r="AO124">
            <v>0</v>
          </cell>
          <cell r="AP124">
            <v>32</v>
          </cell>
          <cell r="AQ124">
            <v>0</v>
          </cell>
        </row>
        <row r="125">
          <cell r="A125" t="str">
            <v>A-113</v>
          </cell>
          <cell r="B125" t="str">
            <v>đệm</v>
          </cell>
          <cell r="C125" t="str">
            <v>WASHER M16</v>
          </cell>
          <cell r="D125">
            <v>0</v>
          </cell>
          <cell r="E125">
            <v>0</v>
          </cell>
          <cell r="F125">
            <v>0</v>
          </cell>
          <cell r="G125">
            <v>4.5999999999999996</v>
          </cell>
          <cell r="H125" t="str">
            <v>pcs</v>
          </cell>
          <cell r="I125">
            <v>0</v>
          </cell>
          <cell r="J125">
            <v>15</v>
          </cell>
          <cell r="K125">
            <v>0.2</v>
          </cell>
          <cell r="L125">
            <v>16</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16</v>
          </cell>
          <cell r="AI125">
            <v>0</v>
          </cell>
          <cell r="AJ125">
            <v>0</v>
          </cell>
          <cell r="AK125">
            <v>0</v>
          </cell>
          <cell r="AL125">
            <v>0</v>
          </cell>
          <cell r="AM125">
            <v>0</v>
          </cell>
          <cell r="AN125">
            <v>0</v>
          </cell>
          <cell r="AO125">
            <v>0</v>
          </cell>
          <cell r="AP125">
            <v>16</v>
          </cell>
          <cell r="AQ125">
            <v>0</v>
          </cell>
        </row>
        <row r="126">
          <cell r="A126" t="str">
            <v>A-114</v>
          </cell>
          <cell r="B126" t="str">
            <v>NUT-ĐEN</v>
          </cell>
          <cell r="C126" t="str">
            <v>NUT_M10</v>
          </cell>
          <cell r="D126">
            <v>0</v>
          </cell>
          <cell r="E126">
            <v>0</v>
          </cell>
          <cell r="F126">
            <v>0</v>
          </cell>
          <cell r="G126">
            <v>4.5999999999999996</v>
          </cell>
          <cell r="H126" t="str">
            <v>pcs</v>
          </cell>
          <cell r="I126">
            <v>0</v>
          </cell>
          <cell r="J126">
            <v>30</v>
          </cell>
          <cell r="K126">
            <v>0.2</v>
          </cell>
          <cell r="L126">
            <v>32</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32</v>
          </cell>
          <cell r="AI126">
            <v>0</v>
          </cell>
          <cell r="AJ126">
            <v>0</v>
          </cell>
          <cell r="AK126">
            <v>0</v>
          </cell>
          <cell r="AL126">
            <v>0</v>
          </cell>
          <cell r="AM126">
            <v>0</v>
          </cell>
          <cell r="AN126">
            <v>0</v>
          </cell>
          <cell r="AO126">
            <v>0</v>
          </cell>
          <cell r="AP126">
            <v>32</v>
          </cell>
          <cell r="AQ126">
            <v>0</v>
          </cell>
        </row>
        <row r="127">
          <cell r="A127" t="str">
            <v>A-115</v>
          </cell>
          <cell r="B127" t="str">
            <v>lò so</v>
          </cell>
          <cell r="C127" t="str">
            <v>SPRING-D3</v>
          </cell>
          <cell r="D127">
            <v>0</v>
          </cell>
          <cell r="E127">
            <v>0</v>
          </cell>
          <cell r="F127">
            <v>0</v>
          </cell>
          <cell r="G127" t="str">
            <v>SUS304</v>
          </cell>
          <cell r="H127" t="str">
            <v>pcs</v>
          </cell>
          <cell r="I127">
            <v>0</v>
          </cell>
          <cell r="J127">
            <v>15</v>
          </cell>
          <cell r="K127">
            <v>0.8</v>
          </cell>
          <cell r="L127">
            <v>16</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16</v>
          </cell>
          <cell r="AI127">
            <v>0</v>
          </cell>
          <cell r="AJ127">
            <v>0</v>
          </cell>
          <cell r="AK127">
            <v>0</v>
          </cell>
          <cell r="AL127">
            <v>0</v>
          </cell>
          <cell r="AM127">
            <v>0</v>
          </cell>
          <cell r="AN127">
            <v>0</v>
          </cell>
          <cell r="AO127">
            <v>0</v>
          </cell>
          <cell r="AP127">
            <v>16</v>
          </cell>
          <cell r="AQ127">
            <v>0</v>
          </cell>
        </row>
        <row r="128">
          <cell r="A128" t="str">
            <v>A-116</v>
          </cell>
          <cell r="B128" t="str">
            <v>Ổ BẠC</v>
          </cell>
          <cell r="C128" t="str">
            <v>PRESS_FIT_BUSHING_OD3/4"ID3/8"</v>
          </cell>
          <cell r="D128">
            <v>0</v>
          </cell>
          <cell r="E128">
            <v>0</v>
          </cell>
          <cell r="F128">
            <v>0</v>
          </cell>
          <cell r="G128" t="str">
            <v>BRONZE</v>
          </cell>
          <cell r="H128" t="str">
            <v>PCS</v>
          </cell>
          <cell r="I128">
            <v>0</v>
          </cell>
          <cell r="J128">
            <v>6</v>
          </cell>
          <cell r="K128">
            <v>0</v>
          </cell>
          <cell r="L128">
            <v>6</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6</v>
          </cell>
          <cell r="AK128">
            <v>0</v>
          </cell>
          <cell r="AL128">
            <v>0</v>
          </cell>
          <cell r="AM128">
            <v>0</v>
          </cell>
          <cell r="AN128">
            <v>0</v>
          </cell>
          <cell r="AO128">
            <v>0</v>
          </cell>
          <cell r="AP128">
            <v>6</v>
          </cell>
          <cell r="AQ128">
            <v>0</v>
          </cell>
        </row>
        <row r="129">
          <cell r="A129" t="str">
            <v>A-117</v>
          </cell>
          <cell r="B129" t="str">
            <v>THÉP HỘP</v>
          </cell>
          <cell r="C129" t="str">
            <v>SHS152.4X10</v>
          </cell>
          <cell r="D129">
            <v>0</v>
          </cell>
          <cell r="E129">
            <v>0</v>
          </cell>
          <cell r="F129">
            <v>0</v>
          </cell>
          <cell r="G129" t="str">
            <v>SS400</v>
          </cell>
          <cell r="H129" t="str">
            <v>m</v>
          </cell>
          <cell r="I129">
            <v>44.7</v>
          </cell>
          <cell r="J129">
            <v>1.554</v>
          </cell>
          <cell r="K129">
            <v>69.463800000000006</v>
          </cell>
          <cell r="L129">
            <v>2</v>
          </cell>
          <cell r="M129">
            <v>89.4</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2</v>
          </cell>
          <cell r="AK129">
            <v>89.4</v>
          </cell>
          <cell r="AL129">
            <v>0</v>
          </cell>
          <cell r="AM129">
            <v>0</v>
          </cell>
          <cell r="AN129">
            <v>0</v>
          </cell>
          <cell r="AO129">
            <v>0</v>
          </cell>
          <cell r="AP129">
            <v>2</v>
          </cell>
          <cell r="AQ129">
            <v>89.4</v>
          </cell>
        </row>
        <row r="130">
          <cell r="A130" t="str">
            <v>A-118</v>
          </cell>
          <cell r="B130" t="str">
            <v>thép hình H</v>
          </cell>
          <cell r="C130" t="str">
            <v>H100x100x6x8</v>
          </cell>
          <cell r="D130" t="str">
            <v>SS400</v>
          </cell>
          <cell r="E130">
            <v>0</v>
          </cell>
          <cell r="F130">
            <v>0</v>
          </cell>
          <cell r="G130" t="str">
            <v>SS400</v>
          </cell>
          <cell r="H130" t="str">
            <v>m</v>
          </cell>
          <cell r="I130">
            <v>17.41586137954015</v>
          </cell>
          <cell r="J130">
            <v>6.0020000000000007</v>
          </cell>
          <cell r="K130">
            <v>104.53</v>
          </cell>
          <cell r="L130">
            <v>6.6022000000000016</v>
          </cell>
          <cell r="M130">
            <v>114.983</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6.6022000000000016</v>
          </cell>
          <cell r="AM130">
            <v>114.983</v>
          </cell>
          <cell r="AN130">
            <v>0</v>
          </cell>
          <cell r="AO130">
            <v>0</v>
          </cell>
          <cell r="AP130">
            <v>6.6022000000000016</v>
          </cell>
          <cell r="AQ130">
            <v>114.983</v>
          </cell>
        </row>
        <row r="131">
          <cell r="A131" t="str">
            <v>A-119</v>
          </cell>
          <cell r="B131" t="str">
            <v>thép hình H</v>
          </cell>
          <cell r="C131" t="str">
            <v>H125x125x6.5x9</v>
          </cell>
          <cell r="D131" t="str">
            <v>SS400</v>
          </cell>
          <cell r="E131">
            <v>0</v>
          </cell>
          <cell r="F131">
            <v>0</v>
          </cell>
          <cell r="G131" t="str">
            <v>SS400</v>
          </cell>
          <cell r="H131" t="str">
            <v>m</v>
          </cell>
          <cell r="I131">
            <v>24.267515923566879</v>
          </cell>
          <cell r="J131">
            <v>0.157</v>
          </cell>
          <cell r="K131">
            <v>3.81</v>
          </cell>
          <cell r="L131">
            <v>0.17270000000000002</v>
          </cell>
          <cell r="M131">
            <v>4.1910000000000007</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0.17270000000000002</v>
          </cell>
          <cell r="AM131">
            <v>4.1910000000000007</v>
          </cell>
          <cell r="AN131">
            <v>0</v>
          </cell>
          <cell r="AO131">
            <v>0</v>
          </cell>
          <cell r="AP131">
            <v>0.17270000000000002</v>
          </cell>
          <cell r="AQ131">
            <v>4.1910000000000007</v>
          </cell>
        </row>
        <row r="132">
          <cell r="A132" t="str">
            <v>A-120</v>
          </cell>
          <cell r="B132" t="str">
            <v>thép hình H</v>
          </cell>
          <cell r="C132" t="str">
            <v>H200x100x5.5x8</v>
          </cell>
          <cell r="D132" t="str">
            <v>SS400</v>
          </cell>
          <cell r="E132">
            <v>0</v>
          </cell>
          <cell r="F132">
            <v>0</v>
          </cell>
          <cell r="G132" t="str">
            <v>SS400</v>
          </cell>
          <cell r="H132" t="str">
            <v>m</v>
          </cell>
          <cell r="I132">
            <v>21.64842454394693</v>
          </cell>
          <cell r="J132">
            <v>3.0150000000000001</v>
          </cell>
          <cell r="K132">
            <v>65.27</v>
          </cell>
          <cell r="L132">
            <v>3.3165000000000004</v>
          </cell>
          <cell r="M132">
            <v>71.797000000000011</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3.3165000000000004</v>
          </cell>
          <cell r="AM132">
            <v>71.797000000000011</v>
          </cell>
          <cell r="AN132">
            <v>0</v>
          </cell>
          <cell r="AO132">
            <v>0</v>
          </cell>
          <cell r="AP132">
            <v>3.3165000000000004</v>
          </cell>
          <cell r="AQ132">
            <v>71.797000000000011</v>
          </cell>
        </row>
        <row r="133">
          <cell r="A133" t="str">
            <v>A-121</v>
          </cell>
          <cell r="B133" t="str">
            <v>THÉP HỘP</v>
          </cell>
          <cell r="C133" t="str">
            <v>SHS100x100x6</v>
          </cell>
          <cell r="D133">
            <v>0</v>
          </cell>
          <cell r="E133">
            <v>0</v>
          </cell>
          <cell r="F133">
            <v>0</v>
          </cell>
          <cell r="G133" t="str">
            <v>STKR400</v>
          </cell>
          <cell r="H133" t="str">
            <v>m</v>
          </cell>
          <cell r="I133">
            <v>17.429822071500077</v>
          </cell>
          <cell r="J133">
            <v>66.936999999999983</v>
          </cell>
          <cell r="K133">
            <v>1166.7000000000003</v>
          </cell>
          <cell r="L133">
            <v>73.63069999999999</v>
          </cell>
          <cell r="M133">
            <v>1283.3700000000006</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73.63069999999999</v>
          </cell>
          <cell r="AM133">
            <v>1283.3700000000006</v>
          </cell>
          <cell r="AN133">
            <v>0</v>
          </cell>
          <cell r="AO133">
            <v>0</v>
          </cell>
          <cell r="AP133">
            <v>73.63069999999999</v>
          </cell>
          <cell r="AQ133">
            <v>1283.3700000000006</v>
          </cell>
        </row>
        <row r="134">
          <cell r="A134" t="str">
            <v>A-122</v>
          </cell>
          <cell r="B134" t="str">
            <v>THÉP HỘP</v>
          </cell>
          <cell r="C134" t="str">
            <v>SHS150x150x6</v>
          </cell>
          <cell r="D134">
            <v>0</v>
          </cell>
          <cell r="E134">
            <v>0</v>
          </cell>
          <cell r="F134">
            <v>0</v>
          </cell>
          <cell r="G134" t="str">
            <v>STKR400</v>
          </cell>
          <cell r="H134" t="str">
            <v>m</v>
          </cell>
          <cell r="I134">
            <v>26.992436936732947</v>
          </cell>
          <cell r="J134">
            <v>22.080999999999996</v>
          </cell>
          <cell r="K134">
            <v>596.0200000000001</v>
          </cell>
          <cell r="L134">
            <v>24.289099999999998</v>
          </cell>
          <cell r="M134">
            <v>655.62200000000018</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24.289099999999998</v>
          </cell>
          <cell r="AM134">
            <v>655.62200000000018</v>
          </cell>
          <cell r="AN134">
            <v>0</v>
          </cell>
          <cell r="AO134">
            <v>0</v>
          </cell>
          <cell r="AP134">
            <v>24.289099999999998</v>
          </cell>
          <cell r="AQ134">
            <v>655.62200000000018</v>
          </cell>
        </row>
        <row r="135">
          <cell r="A135" t="str">
            <v>A-123</v>
          </cell>
          <cell r="B135" t="str">
            <v>THÉP HỘP</v>
          </cell>
          <cell r="C135" t="str">
            <v>SHS200x200x6</v>
          </cell>
          <cell r="D135">
            <v>0</v>
          </cell>
          <cell r="E135">
            <v>0</v>
          </cell>
          <cell r="F135">
            <v>0</v>
          </cell>
          <cell r="G135" t="str">
            <v>STKR400</v>
          </cell>
          <cell r="H135" t="str">
            <v>m</v>
          </cell>
          <cell r="I135">
            <v>37.095322295450892</v>
          </cell>
          <cell r="J135">
            <v>6.2210000000000001</v>
          </cell>
          <cell r="K135">
            <v>230.76999999999998</v>
          </cell>
          <cell r="L135">
            <v>6.8431000000000006</v>
          </cell>
          <cell r="M135">
            <v>253.84700000000001</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6.8431000000000006</v>
          </cell>
          <cell r="AM135">
            <v>253.84700000000001</v>
          </cell>
          <cell r="AN135">
            <v>0</v>
          </cell>
          <cell r="AO135">
            <v>0</v>
          </cell>
          <cell r="AP135">
            <v>6.8431000000000006</v>
          </cell>
          <cell r="AQ135">
            <v>253.84700000000001</v>
          </cell>
        </row>
        <row r="136">
          <cell r="A136" t="str">
            <v>A-124</v>
          </cell>
          <cell r="B136" t="str">
            <v>THÉP HỘP</v>
          </cell>
          <cell r="C136" t="str">
            <v>SHS250x250x6</v>
          </cell>
          <cell r="D136">
            <v>0</v>
          </cell>
          <cell r="E136">
            <v>0</v>
          </cell>
          <cell r="F136">
            <v>0</v>
          </cell>
          <cell r="G136" t="str">
            <v>STKR400</v>
          </cell>
          <cell r="H136" t="str">
            <v>m</v>
          </cell>
          <cell r="I136">
            <v>46.834888323437937</v>
          </cell>
          <cell r="J136">
            <v>7.0740000000000007</v>
          </cell>
          <cell r="K136">
            <v>331.31</v>
          </cell>
          <cell r="L136">
            <v>7.7814000000000014</v>
          </cell>
          <cell r="M136">
            <v>364.44100000000003</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7.7814000000000014</v>
          </cell>
          <cell r="AM136">
            <v>364.44100000000003</v>
          </cell>
          <cell r="AN136">
            <v>0</v>
          </cell>
          <cell r="AO136">
            <v>0</v>
          </cell>
          <cell r="AP136">
            <v>7.7814000000000014</v>
          </cell>
          <cell r="AQ136">
            <v>364.44100000000003</v>
          </cell>
        </row>
        <row r="137">
          <cell r="A137" t="str">
            <v>A-125</v>
          </cell>
          <cell r="B137" t="str">
            <v>THÉP HỘP</v>
          </cell>
          <cell r="C137" t="str">
            <v>SHS75x75x6</v>
          </cell>
          <cell r="D137">
            <v>0</v>
          </cell>
          <cell r="E137">
            <v>0</v>
          </cell>
          <cell r="F137">
            <v>0</v>
          </cell>
          <cell r="G137" t="str">
            <v>STKR400</v>
          </cell>
          <cell r="H137" t="str">
            <v>m</v>
          </cell>
          <cell r="I137">
            <v>12.992125984251969</v>
          </cell>
          <cell r="J137">
            <v>0.76200000000000001</v>
          </cell>
          <cell r="K137">
            <v>9.9</v>
          </cell>
          <cell r="L137">
            <v>0.83820000000000006</v>
          </cell>
          <cell r="M137">
            <v>10.89</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0.83820000000000006</v>
          </cell>
          <cell r="AM137">
            <v>10.89</v>
          </cell>
          <cell r="AN137">
            <v>0</v>
          </cell>
          <cell r="AO137">
            <v>0</v>
          </cell>
          <cell r="AP137">
            <v>0.83820000000000006</v>
          </cell>
          <cell r="AQ137">
            <v>10.89</v>
          </cell>
        </row>
        <row r="138">
          <cell r="A138" t="str">
            <v>A-126</v>
          </cell>
          <cell r="B138" t="str">
            <v>u bolt-mạ kẽm</v>
          </cell>
          <cell r="C138" t="str">
            <v>U-BOLT 3/8" ROD x 2"NOM.PIPE( 1 Ubolt+4 Nuts)</v>
          </cell>
          <cell r="D138">
            <v>0</v>
          </cell>
          <cell r="E138">
            <v>0</v>
          </cell>
          <cell r="F138">
            <v>0</v>
          </cell>
          <cell r="G138" t="str">
            <v>CARBON STEEL(FIG.137)</v>
          </cell>
          <cell r="H138" t="str">
            <v>sets</v>
          </cell>
          <cell r="I138">
            <v>0.15</v>
          </cell>
          <cell r="J138">
            <v>3</v>
          </cell>
          <cell r="K138">
            <v>0.45</v>
          </cell>
          <cell r="L138">
            <v>4</v>
          </cell>
          <cell r="M138">
            <v>0.6</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4</v>
          </cell>
          <cell r="AM138">
            <v>0.6</v>
          </cell>
          <cell r="AN138">
            <v>0</v>
          </cell>
          <cell r="AO138">
            <v>0</v>
          </cell>
          <cell r="AP138">
            <v>4</v>
          </cell>
          <cell r="AQ138">
            <v>0.6</v>
          </cell>
        </row>
        <row r="139">
          <cell r="A139" t="str">
            <v>A-127</v>
          </cell>
          <cell r="B139" t="str">
            <v>thanh ren +nuts-mạ kẽm</v>
          </cell>
          <cell r="C139" t="str">
            <v>HILTI KWIK BOLT TZ 3/4"x10"(1 stud bolt+02 nuts)</v>
          </cell>
          <cell r="D139">
            <v>0</v>
          </cell>
          <cell r="E139">
            <v>0</v>
          </cell>
          <cell r="F139">
            <v>0</v>
          </cell>
          <cell r="G139" t="str">
            <v>CARBON STEEL</v>
          </cell>
          <cell r="H139" t="str">
            <v>sets</v>
          </cell>
          <cell r="I139">
            <v>0.68152777777777784</v>
          </cell>
          <cell r="J139">
            <v>144</v>
          </cell>
          <cell r="K139">
            <v>98.140000000000015</v>
          </cell>
          <cell r="L139">
            <v>160</v>
          </cell>
          <cell r="M139">
            <v>109.04444444444445</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160</v>
          </cell>
          <cell r="AM139">
            <v>109.04444444444445</v>
          </cell>
          <cell r="AN139">
            <v>0</v>
          </cell>
          <cell r="AO139">
            <v>0</v>
          </cell>
          <cell r="AP139">
            <v>160</v>
          </cell>
          <cell r="AQ139">
            <v>109.04444444444445</v>
          </cell>
        </row>
        <row r="140">
          <cell r="A140" t="str">
            <v>B.</v>
          </cell>
          <cell r="B140" t="str">
            <v>Accessory-Material / Vật tư phụ</v>
          </cell>
          <cell r="C140">
            <v>0</v>
          </cell>
          <cell r="D140">
            <v>0</v>
          </cell>
          <cell r="E140">
            <v>0</v>
          </cell>
          <cell r="F140">
            <v>0</v>
          </cell>
          <cell r="G140">
            <v>0</v>
          </cell>
          <cell r="H140">
            <v>0</v>
          </cell>
          <cell r="I140">
            <v>0</v>
          </cell>
          <cell r="J140">
            <v>0</v>
          </cell>
          <cell r="K140">
            <v>15531.552000000001</v>
          </cell>
          <cell r="L140">
            <v>0</v>
          </cell>
          <cell r="M140">
            <v>17715.408220000001</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5760</v>
          </cell>
          <cell r="AH140">
            <v>0</v>
          </cell>
          <cell r="AI140">
            <v>0</v>
          </cell>
          <cell r="AJ140">
            <v>0</v>
          </cell>
          <cell r="AK140">
            <v>0</v>
          </cell>
          <cell r="AL140">
            <v>0</v>
          </cell>
          <cell r="AM140">
            <v>0</v>
          </cell>
          <cell r="AN140">
            <v>0</v>
          </cell>
          <cell r="AO140">
            <v>0</v>
          </cell>
          <cell r="AP140">
            <v>0</v>
          </cell>
          <cell r="AQ140">
            <v>17715.408220000001</v>
          </cell>
        </row>
        <row r="141">
          <cell r="A141" t="str">
            <v>B-1</v>
          </cell>
          <cell r="B141" t="str">
            <v>Bu lông (1B+1N)</v>
          </cell>
          <cell r="C141" t="str">
            <v>BOLT 1/2" DIA x 1 1/2" (40mm) LG, GAL</v>
          </cell>
          <cell r="D141">
            <v>0</v>
          </cell>
          <cell r="E141">
            <v>0</v>
          </cell>
          <cell r="F141">
            <v>0</v>
          </cell>
          <cell r="G141" t="str">
            <v>A307</v>
          </cell>
          <cell r="H141" t="str">
            <v>set</v>
          </cell>
          <cell r="I141">
            <v>0</v>
          </cell>
          <cell r="J141">
            <v>18</v>
          </cell>
          <cell r="K141">
            <v>0</v>
          </cell>
          <cell r="L141">
            <v>22</v>
          </cell>
          <cell r="M141">
            <v>0</v>
          </cell>
          <cell r="N141">
            <v>20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2</v>
          </cell>
          <cell r="AG141">
            <v>0</v>
          </cell>
          <cell r="AH141">
            <v>0</v>
          </cell>
          <cell r="AI141">
            <v>0</v>
          </cell>
          <cell r="AJ141">
            <v>0</v>
          </cell>
          <cell r="AK141">
            <v>0</v>
          </cell>
          <cell r="AL141">
            <v>0</v>
          </cell>
          <cell r="AM141">
            <v>0</v>
          </cell>
          <cell r="AN141">
            <v>0</v>
          </cell>
          <cell r="AO141">
            <v>0</v>
          </cell>
          <cell r="AP141">
            <v>22</v>
          </cell>
          <cell r="AQ141">
            <v>0</v>
          </cell>
        </row>
        <row r="142">
          <cell r="A142" t="str">
            <v>B-2</v>
          </cell>
          <cell r="B142" t="str">
            <v>Bu lông neo 1" ( 1B+3N+1W )</v>
          </cell>
          <cell r="C142" t="str">
            <v>ANCHOR BOLT 1" DIA x29 3/8" (746mm) LG, HOT GAL</v>
          </cell>
          <cell r="D142">
            <v>0</v>
          </cell>
          <cell r="E142">
            <v>0</v>
          </cell>
          <cell r="F142">
            <v>0</v>
          </cell>
          <cell r="G142" t="str">
            <v>ASTM F1554 Gr36</v>
          </cell>
          <cell r="H142" t="str">
            <v>set</v>
          </cell>
          <cell r="I142">
            <v>0</v>
          </cell>
          <cell r="J142">
            <v>16</v>
          </cell>
          <cell r="K142">
            <v>0</v>
          </cell>
          <cell r="L142">
            <v>16</v>
          </cell>
          <cell r="M142">
            <v>0</v>
          </cell>
          <cell r="N142">
            <v>16</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16</v>
          </cell>
          <cell r="AQ142">
            <v>0</v>
          </cell>
        </row>
        <row r="143">
          <cell r="A143" t="str">
            <v>B-3</v>
          </cell>
          <cell r="B143" t="str">
            <v>Bu lông neo 1" ( 1B+3N+1W )</v>
          </cell>
          <cell r="C143" t="str">
            <v>ANCHOR BOLT 1" DIA x28" (711mm) LG, HOT GAL</v>
          </cell>
          <cell r="D143">
            <v>0</v>
          </cell>
          <cell r="E143">
            <v>0</v>
          </cell>
          <cell r="F143">
            <v>0</v>
          </cell>
          <cell r="G143" t="str">
            <v>ASTM F1554 Gr36</v>
          </cell>
          <cell r="H143" t="str">
            <v>set</v>
          </cell>
          <cell r="I143">
            <v>0</v>
          </cell>
          <cell r="J143">
            <v>8</v>
          </cell>
          <cell r="K143">
            <v>0</v>
          </cell>
          <cell r="L143">
            <v>8</v>
          </cell>
          <cell r="M143">
            <v>0</v>
          </cell>
          <cell r="N143">
            <v>8</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8</v>
          </cell>
          <cell r="AQ143">
            <v>0</v>
          </cell>
        </row>
        <row r="144">
          <cell r="A144" t="str">
            <v>B-4</v>
          </cell>
          <cell r="B144" t="str">
            <v>Bu lông neo 2 1/4" ( 1B+3N+2W )</v>
          </cell>
          <cell r="C144" t="str">
            <v>ANCHOR BOLT 2 1/4" DIA x 67 3/4" (1721mm) LG, HOT GAL</v>
          </cell>
          <cell r="D144">
            <v>0</v>
          </cell>
          <cell r="E144">
            <v>0</v>
          </cell>
          <cell r="F144">
            <v>0</v>
          </cell>
          <cell r="G144" t="str">
            <v>ASTM F1554 Gr55</v>
          </cell>
          <cell r="H144" t="str">
            <v>set</v>
          </cell>
          <cell r="I144">
            <v>0</v>
          </cell>
          <cell r="J144">
            <v>8</v>
          </cell>
          <cell r="K144">
            <v>0</v>
          </cell>
          <cell r="L144">
            <v>8</v>
          </cell>
          <cell r="M144">
            <v>0</v>
          </cell>
          <cell r="N144">
            <v>8</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8</v>
          </cell>
          <cell r="AQ144">
            <v>0</v>
          </cell>
        </row>
        <row r="145">
          <cell r="A145" t="str">
            <v>B-5</v>
          </cell>
          <cell r="B145" t="str">
            <v>Bu lông neo 2 1/4" ( 1B+3N+2W )</v>
          </cell>
          <cell r="C145" t="str">
            <v>ANCHOR BOLT 2 1/4" DIA x 64 3/4" (1645mm) LG, HOT GAL</v>
          </cell>
          <cell r="D145">
            <v>0</v>
          </cell>
          <cell r="E145">
            <v>0</v>
          </cell>
          <cell r="F145">
            <v>0</v>
          </cell>
          <cell r="G145" t="str">
            <v>ASTM F1554 Gr55</v>
          </cell>
          <cell r="H145" t="str">
            <v>set</v>
          </cell>
          <cell r="I145">
            <v>0</v>
          </cell>
          <cell r="J145">
            <v>8</v>
          </cell>
          <cell r="K145">
            <v>0</v>
          </cell>
          <cell r="L145">
            <v>8</v>
          </cell>
          <cell r="M145">
            <v>0</v>
          </cell>
          <cell r="N145">
            <v>8</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8</v>
          </cell>
          <cell r="AQ145">
            <v>0</v>
          </cell>
        </row>
        <row r="146">
          <cell r="A146" t="str">
            <v>B-6</v>
          </cell>
          <cell r="B146" t="str">
            <v>Bu lông neo 2 1/4" ( 1B+3N+2W )</v>
          </cell>
          <cell r="C146" t="str">
            <v>ANCHOR BOLT 2 1/4" DIA x 64 3/4" (1645mm) LG, HOT GAL</v>
          </cell>
          <cell r="D146">
            <v>0</v>
          </cell>
          <cell r="E146">
            <v>0</v>
          </cell>
          <cell r="F146">
            <v>0</v>
          </cell>
          <cell r="G146" t="str">
            <v>ASTM F1554 Gr55</v>
          </cell>
          <cell r="H146" t="str">
            <v>set</v>
          </cell>
          <cell r="I146">
            <v>0</v>
          </cell>
          <cell r="J146">
            <v>8</v>
          </cell>
          <cell r="K146">
            <v>0</v>
          </cell>
          <cell r="L146">
            <v>8</v>
          </cell>
          <cell r="M146">
            <v>0</v>
          </cell>
          <cell r="N146">
            <v>8</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8</v>
          </cell>
          <cell r="AQ146">
            <v>0</v>
          </cell>
        </row>
        <row r="147">
          <cell r="A147" t="str">
            <v>B-7</v>
          </cell>
          <cell r="B147" t="str">
            <v>Bu lông neo 2 1/4" ( 1B+3N+2W )</v>
          </cell>
          <cell r="C147" t="str">
            <v>ANCHOR BOLT 2 1/4" DIA x 64 3/4" (1645mm) LG, HOT GAL</v>
          </cell>
          <cell r="D147">
            <v>0</v>
          </cell>
          <cell r="E147">
            <v>0</v>
          </cell>
          <cell r="F147">
            <v>0</v>
          </cell>
          <cell r="G147" t="str">
            <v>ASTM F1554 Gr55</v>
          </cell>
          <cell r="H147" t="str">
            <v>set</v>
          </cell>
          <cell r="I147">
            <v>0</v>
          </cell>
          <cell r="J147">
            <v>48</v>
          </cell>
          <cell r="K147">
            <v>0</v>
          </cell>
          <cell r="L147">
            <v>48</v>
          </cell>
          <cell r="M147">
            <v>0</v>
          </cell>
          <cell r="N147">
            <v>48</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48</v>
          </cell>
          <cell r="AQ147">
            <v>0</v>
          </cell>
        </row>
        <row r="148">
          <cell r="A148" t="str">
            <v>B-8</v>
          </cell>
          <cell r="B148" t="str">
            <v>Ống bọc bulong neo 1" - 3"x10"</v>
          </cell>
          <cell r="C148" t="str">
            <v>WILSON ANCHOR BOLT SLEEVE FOR 1", 1 1/4 BOLT SIZE - 3"x10" SHELL SIZE</v>
          </cell>
          <cell r="D148">
            <v>0</v>
          </cell>
          <cell r="E148">
            <v>0</v>
          </cell>
          <cell r="F148">
            <v>0</v>
          </cell>
          <cell r="G148" t="str">
            <v>HIGH IMPACT PLASTIC</v>
          </cell>
          <cell r="H148" t="str">
            <v>pcs</v>
          </cell>
          <cell r="I148">
            <v>0</v>
          </cell>
          <cell r="J148">
            <v>40</v>
          </cell>
          <cell r="K148">
            <v>0</v>
          </cell>
          <cell r="L148">
            <v>40</v>
          </cell>
          <cell r="M148">
            <v>0</v>
          </cell>
          <cell r="N148">
            <v>24</v>
          </cell>
          <cell r="O148">
            <v>0</v>
          </cell>
          <cell r="P148">
            <v>0</v>
          </cell>
          <cell r="Q148">
            <v>0</v>
          </cell>
          <cell r="R148">
            <v>16</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40</v>
          </cell>
          <cell r="AQ148">
            <v>0</v>
          </cell>
        </row>
        <row r="149">
          <cell r="A149" t="str">
            <v>B-9</v>
          </cell>
          <cell r="B149" t="str">
            <v>Ống bọc bulong neo 2 1/4" - 4"x18"</v>
          </cell>
          <cell r="C149" t="str">
            <v>WILSON ANCHOR BOLT SLEEVE FOR 2 1/4" BOLT SIZE - 4"x18" SHELL SIZE</v>
          </cell>
          <cell r="D149">
            <v>0</v>
          </cell>
          <cell r="E149">
            <v>0</v>
          </cell>
          <cell r="F149">
            <v>0</v>
          </cell>
          <cell r="G149" t="str">
            <v>HIGH IMPACT PLASTIC</v>
          </cell>
          <cell r="H149" t="str">
            <v>pcs</v>
          </cell>
          <cell r="I149">
            <v>0</v>
          </cell>
          <cell r="J149">
            <v>72</v>
          </cell>
          <cell r="K149">
            <v>0</v>
          </cell>
          <cell r="L149">
            <v>72</v>
          </cell>
          <cell r="M149">
            <v>0</v>
          </cell>
          <cell r="N149">
            <v>72</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72</v>
          </cell>
          <cell r="AQ149">
            <v>0</v>
          </cell>
        </row>
        <row r="150">
          <cell r="A150" t="str">
            <v>B-10</v>
          </cell>
          <cell r="B150" t="str">
            <v>Ống bọc bulong neo 2 3/4" - 4"x18"</v>
          </cell>
          <cell r="C150" t="str">
            <v>WILSON ANCHOR BOLT SLEEVE FOR 2 3/4" BOLT SIZE - 6"x24" SHELL SIZE</v>
          </cell>
          <cell r="D150">
            <v>0</v>
          </cell>
          <cell r="E150">
            <v>0</v>
          </cell>
          <cell r="F150">
            <v>0</v>
          </cell>
          <cell r="G150" t="str">
            <v>HIGH IMPACT PLASTIC</v>
          </cell>
          <cell r="H150" t="str">
            <v>pcs</v>
          </cell>
          <cell r="I150">
            <v>0</v>
          </cell>
          <cell r="J150">
            <v>36</v>
          </cell>
          <cell r="K150">
            <v>0</v>
          </cell>
          <cell r="L150">
            <v>36</v>
          </cell>
          <cell r="M150">
            <v>0</v>
          </cell>
          <cell r="N150">
            <v>0</v>
          </cell>
          <cell r="O150">
            <v>0</v>
          </cell>
          <cell r="P150">
            <v>36</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36</v>
          </cell>
          <cell r="AQ150">
            <v>0</v>
          </cell>
        </row>
        <row r="151">
          <cell r="A151" t="str">
            <v>B-11</v>
          </cell>
          <cell r="B151" t="str">
            <v>Bu lông neo 3" ( 1B+3N+1W )</v>
          </cell>
          <cell r="C151" t="str">
            <v>ANCHOR BOLT 3" DIA x 7'-9" (2362mm) LG, HOT GAL</v>
          </cell>
          <cell r="D151">
            <v>0</v>
          </cell>
          <cell r="E151">
            <v>0</v>
          </cell>
          <cell r="F151">
            <v>0</v>
          </cell>
          <cell r="G151" t="str">
            <v>ASTM F1554 Gr36</v>
          </cell>
          <cell r="H151" t="str">
            <v>set</v>
          </cell>
          <cell r="I151">
            <v>0</v>
          </cell>
          <cell r="J151">
            <v>36</v>
          </cell>
          <cell r="K151">
            <v>0</v>
          </cell>
          <cell r="L151">
            <v>36</v>
          </cell>
          <cell r="M151">
            <v>0</v>
          </cell>
          <cell r="N151">
            <v>0</v>
          </cell>
          <cell r="O151">
            <v>0</v>
          </cell>
          <cell r="P151">
            <v>36</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36</v>
          </cell>
          <cell r="AQ151">
            <v>0</v>
          </cell>
        </row>
        <row r="152">
          <cell r="A152" t="str">
            <v>B-12</v>
          </cell>
          <cell r="B152" t="str">
            <v>Bu lông neo 1 1/4" ( 1B+3N+2W )</v>
          </cell>
          <cell r="C152" t="str">
            <v>ANCHOR BOLT 1 1/4" DIA x32 3/4" (832mm) LG, HOT GAL</v>
          </cell>
          <cell r="D152">
            <v>0</v>
          </cell>
          <cell r="E152">
            <v>0</v>
          </cell>
          <cell r="F152">
            <v>0</v>
          </cell>
          <cell r="G152" t="str">
            <v>ASTM F1554 Gr36</v>
          </cell>
          <cell r="H152" t="str">
            <v>set</v>
          </cell>
          <cell r="I152">
            <v>0</v>
          </cell>
          <cell r="J152">
            <v>16</v>
          </cell>
          <cell r="K152">
            <v>0</v>
          </cell>
          <cell r="L152">
            <v>16</v>
          </cell>
          <cell r="M152">
            <v>0</v>
          </cell>
          <cell r="N152">
            <v>0</v>
          </cell>
          <cell r="O152">
            <v>0</v>
          </cell>
          <cell r="P152">
            <v>0</v>
          </cell>
          <cell r="Q152">
            <v>0</v>
          </cell>
          <cell r="R152">
            <v>16</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16</v>
          </cell>
          <cell r="AQ152">
            <v>0</v>
          </cell>
        </row>
        <row r="153">
          <cell r="A153" t="str">
            <v>B-13</v>
          </cell>
          <cell r="B153" t="str">
            <v>Thép tròn đầu ren dài 50mm</v>
          </cell>
          <cell r="C153" t="str">
            <v>STUD PIN M12x203( 01 PIN SUS304H+02 NUT SUS304H+02 PLATE WASHER SUS304)</v>
          </cell>
          <cell r="D153" t="str">
            <v>STUD PIN M12x203</v>
          </cell>
          <cell r="E153">
            <v>0</v>
          </cell>
          <cell r="F153">
            <v>0</v>
          </cell>
          <cell r="G153" t="str">
            <v>A-479 TP 304H (SUS304H)
Tensile min 490MPa
Yield min 245MPa</v>
          </cell>
          <cell r="H153" t="str">
            <v>set</v>
          </cell>
          <cell r="I153">
            <v>0</v>
          </cell>
          <cell r="J153">
            <v>4617</v>
          </cell>
          <cell r="K153">
            <v>0</v>
          </cell>
          <cell r="L153">
            <v>5552</v>
          </cell>
          <cell r="M153">
            <v>0</v>
          </cell>
          <cell r="N153">
            <v>0</v>
          </cell>
          <cell r="O153">
            <v>0</v>
          </cell>
          <cell r="P153">
            <v>0</v>
          </cell>
          <cell r="Q153">
            <v>0</v>
          </cell>
          <cell r="R153">
            <v>0</v>
          </cell>
          <cell r="S153">
            <v>0</v>
          </cell>
          <cell r="T153">
            <v>11096</v>
          </cell>
          <cell r="U153">
            <v>2445</v>
          </cell>
          <cell r="V153">
            <v>731</v>
          </cell>
          <cell r="W153">
            <v>113.3129700000004</v>
          </cell>
          <cell r="X153">
            <v>0</v>
          </cell>
          <cell r="Y153">
            <v>0</v>
          </cell>
          <cell r="Z153">
            <v>-9143</v>
          </cell>
          <cell r="AA153">
            <v>-2558.31297</v>
          </cell>
          <cell r="AB153">
            <v>0</v>
          </cell>
          <cell r="AC153">
            <v>0</v>
          </cell>
          <cell r="AD153">
            <v>2868</v>
          </cell>
          <cell r="AE153">
            <v>0</v>
          </cell>
          <cell r="AF153">
            <v>0</v>
          </cell>
          <cell r="AG153">
            <v>0</v>
          </cell>
          <cell r="AH153">
            <v>0</v>
          </cell>
          <cell r="AI153">
            <v>0</v>
          </cell>
          <cell r="AJ153">
            <v>0</v>
          </cell>
          <cell r="AK153">
            <v>0</v>
          </cell>
          <cell r="AL153">
            <v>0</v>
          </cell>
          <cell r="AM153">
            <v>0</v>
          </cell>
          <cell r="AN153">
            <v>0</v>
          </cell>
          <cell r="AO153">
            <v>0</v>
          </cell>
          <cell r="AP153">
            <v>5552</v>
          </cell>
          <cell r="AQ153">
            <v>0</v>
          </cell>
        </row>
        <row r="154">
          <cell r="A154" t="str">
            <v>B-14</v>
          </cell>
          <cell r="B154" t="str">
            <v>Bảo ôn</v>
          </cell>
          <cell r="C154" t="str">
            <v>PL50</v>
          </cell>
          <cell r="D154">
            <v>50</v>
          </cell>
          <cell r="E154">
            <v>0</v>
          </cell>
          <cell r="F154">
            <v>0</v>
          </cell>
          <cell r="G154" t="str">
            <v>SUPERWOOD PLUS  (128kg/m3)</v>
          </cell>
          <cell r="H154" t="str">
            <v>m3</v>
          </cell>
          <cell r="I154">
            <v>0</v>
          </cell>
          <cell r="J154">
            <v>113</v>
          </cell>
          <cell r="K154">
            <v>14464</v>
          </cell>
          <cell r="L154">
            <v>135.81780953125002</v>
          </cell>
          <cell r="M154">
            <v>16584.679620000003</v>
          </cell>
          <cell r="N154">
            <v>0</v>
          </cell>
          <cell r="O154">
            <v>0</v>
          </cell>
          <cell r="P154">
            <v>0</v>
          </cell>
          <cell r="Q154">
            <v>0</v>
          </cell>
          <cell r="R154">
            <v>0</v>
          </cell>
          <cell r="S154">
            <v>0</v>
          </cell>
          <cell r="T154">
            <v>86</v>
          </cell>
          <cell r="U154">
            <v>10208</v>
          </cell>
          <cell r="V154">
            <v>4.8178095312500204</v>
          </cell>
          <cell r="W154">
            <v>616.67962000000261</v>
          </cell>
          <cell r="X154">
            <v>0</v>
          </cell>
          <cell r="Y154">
            <v>0</v>
          </cell>
          <cell r="Z154">
            <v>0</v>
          </cell>
          <cell r="AA154">
            <v>0</v>
          </cell>
          <cell r="AB154">
            <v>0</v>
          </cell>
          <cell r="AC154">
            <v>0</v>
          </cell>
          <cell r="AD154">
            <v>0</v>
          </cell>
          <cell r="AE154">
            <v>0</v>
          </cell>
          <cell r="AF154">
            <v>45</v>
          </cell>
          <cell r="AG154">
            <v>5760</v>
          </cell>
          <cell r="AH154">
            <v>0</v>
          </cell>
          <cell r="AI154">
            <v>0</v>
          </cell>
          <cell r="AJ154">
            <v>0</v>
          </cell>
          <cell r="AK154">
            <v>0</v>
          </cell>
          <cell r="AL154">
            <v>0</v>
          </cell>
          <cell r="AM154">
            <v>0</v>
          </cell>
          <cell r="AN154">
            <v>0</v>
          </cell>
          <cell r="AO154">
            <v>0</v>
          </cell>
          <cell r="AP154">
            <v>135.81780953125002</v>
          </cell>
          <cell r="AQ154">
            <v>16584.679620000003</v>
          </cell>
        </row>
        <row r="155">
          <cell r="A155" t="str">
            <v>B-15</v>
          </cell>
          <cell r="B155" t="str">
            <v>Đệm làm kín</v>
          </cell>
          <cell r="C155" t="str">
            <v>PL2</v>
          </cell>
          <cell r="D155">
            <v>2</v>
          </cell>
          <cell r="E155">
            <v>0</v>
          </cell>
          <cell r="F155">
            <v>0</v>
          </cell>
          <cell r="G155" t="str">
            <v>GARLOCK GYLON 3510</v>
          </cell>
          <cell r="H155" t="str">
            <v>pcs</v>
          </cell>
          <cell r="I155">
            <v>0</v>
          </cell>
          <cell r="J155">
            <v>12</v>
          </cell>
          <cell r="K155">
            <v>0</v>
          </cell>
          <cell r="L155">
            <v>10</v>
          </cell>
          <cell r="M155">
            <v>0</v>
          </cell>
          <cell r="N155">
            <v>0</v>
          </cell>
          <cell r="O155">
            <v>0</v>
          </cell>
          <cell r="P155">
            <v>0</v>
          </cell>
          <cell r="Q155">
            <v>0</v>
          </cell>
          <cell r="R155">
            <v>0</v>
          </cell>
          <cell r="S155">
            <v>0</v>
          </cell>
          <cell r="T155">
            <v>0</v>
          </cell>
          <cell r="U155">
            <v>0</v>
          </cell>
          <cell r="V155">
            <v>0</v>
          </cell>
          <cell r="W155">
            <v>0</v>
          </cell>
          <cell r="X155">
            <v>10</v>
          </cell>
          <cell r="Y155">
            <v>7.7759999999999998</v>
          </cell>
          <cell r="Z155">
            <v>2</v>
          </cell>
          <cell r="AA155">
            <v>0</v>
          </cell>
          <cell r="AB155">
            <v>0</v>
          </cell>
          <cell r="AC155">
            <v>0</v>
          </cell>
          <cell r="AD155">
            <v>-2</v>
          </cell>
          <cell r="AE155">
            <v>0</v>
          </cell>
          <cell r="AF155">
            <v>0</v>
          </cell>
          <cell r="AG155">
            <v>0</v>
          </cell>
          <cell r="AH155">
            <v>0</v>
          </cell>
          <cell r="AI155">
            <v>0</v>
          </cell>
          <cell r="AJ155">
            <v>0</v>
          </cell>
          <cell r="AK155">
            <v>0</v>
          </cell>
          <cell r="AL155">
            <v>0</v>
          </cell>
          <cell r="AM155">
            <v>0</v>
          </cell>
          <cell r="AN155">
            <v>0</v>
          </cell>
          <cell r="AO155">
            <v>0</v>
          </cell>
          <cell r="AP155">
            <v>10</v>
          </cell>
          <cell r="AQ155">
            <v>0</v>
          </cell>
        </row>
        <row r="156">
          <cell r="A156" t="str">
            <v>B-16</v>
          </cell>
          <cell r="B156" t="str">
            <v>Bịt đầu ống</v>
          </cell>
          <cell r="C156" t="str">
            <v>2"-3000# THREADED PIPE CAP</v>
          </cell>
          <cell r="D156">
            <v>0</v>
          </cell>
          <cell r="E156">
            <v>0</v>
          </cell>
          <cell r="F156">
            <v>0</v>
          </cell>
          <cell r="G156" t="str">
            <v>A105</v>
          </cell>
          <cell r="H156" t="str">
            <v>pcs</v>
          </cell>
          <cell r="I156">
            <v>0</v>
          </cell>
          <cell r="J156">
            <v>8</v>
          </cell>
          <cell r="K156">
            <v>14</v>
          </cell>
          <cell r="L156">
            <v>8</v>
          </cell>
          <cell r="M156">
            <v>13.92</v>
          </cell>
          <cell r="N156">
            <v>0</v>
          </cell>
          <cell r="O156">
            <v>0</v>
          </cell>
          <cell r="P156">
            <v>0</v>
          </cell>
          <cell r="Q156">
            <v>0</v>
          </cell>
          <cell r="R156">
            <v>0</v>
          </cell>
          <cell r="S156">
            <v>0</v>
          </cell>
          <cell r="T156">
            <v>0</v>
          </cell>
          <cell r="U156">
            <v>0</v>
          </cell>
          <cell r="V156">
            <v>0</v>
          </cell>
          <cell r="W156">
            <v>0</v>
          </cell>
          <cell r="X156">
            <v>0</v>
          </cell>
          <cell r="Y156">
            <v>0</v>
          </cell>
          <cell r="Z156">
            <v>2</v>
          </cell>
          <cell r="AA156">
            <v>3.46</v>
          </cell>
          <cell r="AB156">
            <v>2</v>
          </cell>
          <cell r="AC156">
            <v>3.5</v>
          </cell>
          <cell r="AD156">
            <v>4</v>
          </cell>
          <cell r="AE156">
            <v>6.96</v>
          </cell>
          <cell r="AF156">
            <v>0</v>
          </cell>
          <cell r="AG156">
            <v>0</v>
          </cell>
          <cell r="AH156">
            <v>0</v>
          </cell>
          <cell r="AI156">
            <v>0</v>
          </cell>
          <cell r="AJ156">
            <v>0</v>
          </cell>
          <cell r="AK156">
            <v>0</v>
          </cell>
          <cell r="AL156">
            <v>0</v>
          </cell>
          <cell r="AM156">
            <v>0</v>
          </cell>
          <cell r="AN156">
            <v>0</v>
          </cell>
          <cell r="AO156">
            <v>0</v>
          </cell>
          <cell r="AP156">
            <v>8</v>
          </cell>
          <cell r="AQ156">
            <v>13.92</v>
          </cell>
        </row>
        <row r="157">
          <cell r="A157" t="str">
            <v>B-17</v>
          </cell>
          <cell r="B157" t="str">
            <v>Bịt đầu ống</v>
          </cell>
          <cell r="C157" t="str">
            <v>3"-3000# THREADED PIPE CAP</v>
          </cell>
          <cell r="D157">
            <v>0</v>
          </cell>
          <cell r="E157">
            <v>0</v>
          </cell>
          <cell r="F157">
            <v>0</v>
          </cell>
          <cell r="G157" t="str">
            <v>A105</v>
          </cell>
          <cell r="H157" t="str">
            <v>pcs</v>
          </cell>
          <cell r="I157">
            <v>0</v>
          </cell>
          <cell r="J157">
            <v>2</v>
          </cell>
          <cell r="K157">
            <v>3.94</v>
          </cell>
          <cell r="L157">
            <v>2</v>
          </cell>
          <cell r="M157">
            <v>3.94</v>
          </cell>
          <cell r="N157">
            <v>0</v>
          </cell>
          <cell r="O157">
            <v>0</v>
          </cell>
          <cell r="P157">
            <v>0</v>
          </cell>
          <cell r="Q157">
            <v>0</v>
          </cell>
          <cell r="R157">
            <v>0</v>
          </cell>
          <cell r="S157">
            <v>0</v>
          </cell>
          <cell r="T157">
            <v>0</v>
          </cell>
          <cell r="U157">
            <v>0</v>
          </cell>
          <cell r="V157">
            <v>0</v>
          </cell>
          <cell r="W157">
            <v>0</v>
          </cell>
          <cell r="X157">
            <v>0</v>
          </cell>
          <cell r="Y157">
            <v>0</v>
          </cell>
          <cell r="Z157">
            <v>1</v>
          </cell>
          <cell r="AA157">
            <v>3.94</v>
          </cell>
          <cell r="AB157">
            <v>0</v>
          </cell>
          <cell r="AC157">
            <v>0</v>
          </cell>
          <cell r="AD157">
            <v>1</v>
          </cell>
          <cell r="AE157">
            <v>0</v>
          </cell>
          <cell r="AF157">
            <v>0</v>
          </cell>
          <cell r="AG157">
            <v>0</v>
          </cell>
          <cell r="AH157">
            <v>0</v>
          </cell>
          <cell r="AI157">
            <v>0</v>
          </cell>
          <cell r="AJ157">
            <v>0</v>
          </cell>
          <cell r="AK157">
            <v>0</v>
          </cell>
          <cell r="AL157">
            <v>0</v>
          </cell>
          <cell r="AM157">
            <v>0</v>
          </cell>
          <cell r="AN157">
            <v>0</v>
          </cell>
          <cell r="AO157">
            <v>0</v>
          </cell>
          <cell r="AP157">
            <v>2</v>
          </cell>
          <cell r="AQ157">
            <v>3.94</v>
          </cell>
        </row>
        <row r="158">
          <cell r="A158" t="str">
            <v>B-18</v>
          </cell>
          <cell r="B158" t="str">
            <v>Bích mù</v>
          </cell>
          <cell r="C158" t="str">
            <v>4"_BLIND_FLANGE_#150_RF</v>
          </cell>
          <cell r="D158">
            <v>0</v>
          </cell>
          <cell r="E158">
            <v>0</v>
          </cell>
          <cell r="F158">
            <v>0</v>
          </cell>
          <cell r="G158" t="str">
            <v>A105</v>
          </cell>
          <cell r="H158" t="str">
            <v>pcs</v>
          </cell>
          <cell r="I158">
            <v>0</v>
          </cell>
          <cell r="J158">
            <v>3</v>
          </cell>
          <cell r="K158">
            <v>14.84</v>
          </cell>
          <cell r="L158">
            <v>3</v>
          </cell>
          <cell r="M158">
            <v>14.84</v>
          </cell>
          <cell r="N158">
            <v>0</v>
          </cell>
          <cell r="O158">
            <v>0</v>
          </cell>
          <cell r="P158">
            <v>0</v>
          </cell>
          <cell r="Q158">
            <v>0</v>
          </cell>
          <cell r="R158">
            <v>0</v>
          </cell>
          <cell r="S158">
            <v>0</v>
          </cell>
          <cell r="T158">
            <v>0</v>
          </cell>
          <cell r="U158">
            <v>0</v>
          </cell>
          <cell r="V158">
            <v>0</v>
          </cell>
          <cell r="W158">
            <v>0</v>
          </cell>
          <cell r="X158">
            <v>0</v>
          </cell>
          <cell r="Y158">
            <v>0</v>
          </cell>
          <cell r="Z158">
            <v>1</v>
          </cell>
          <cell r="AA158">
            <v>0.04</v>
          </cell>
          <cell r="AB158">
            <v>2</v>
          </cell>
          <cell r="AC158">
            <v>14.8</v>
          </cell>
          <cell r="AD158">
            <v>0</v>
          </cell>
          <cell r="AE158">
            <v>0</v>
          </cell>
          <cell r="AF158">
            <v>0</v>
          </cell>
          <cell r="AG158">
            <v>0</v>
          </cell>
          <cell r="AH158">
            <v>0</v>
          </cell>
          <cell r="AI158">
            <v>0</v>
          </cell>
          <cell r="AJ158">
            <v>0</v>
          </cell>
          <cell r="AK158">
            <v>0</v>
          </cell>
          <cell r="AL158">
            <v>0</v>
          </cell>
          <cell r="AM158">
            <v>0</v>
          </cell>
          <cell r="AN158">
            <v>0</v>
          </cell>
          <cell r="AO158">
            <v>0</v>
          </cell>
          <cell r="AP158">
            <v>3</v>
          </cell>
          <cell r="AQ158">
            <v>14.84</v>
          </cell>
        </row>
        <row r="159">
          <cell r="A159" t="str">
            <v>B-19</v>
          </cell>
          <cell r="B159" t="str">
            <v>Bích</v>
          </cell>
          <cell r="C159" t="str">
            <v>4"_FLANGE_#150_SORF</v>
          </cell>
          <cell r="D159">
            <v>0</v>
          </cell>
          <cell r="E159">
            <v>0</v>
          </cell>
          <cell r="F159">
            <v>0</v>
          </cell>
          <cell r="G159" t="str">
            <v>A105</v>
          </cell>
          <cell r="H159" t="str">
            <v>pcs</v>
          </cell>
          <cell r="I159">
            <v>0</v>
          </cell>
          <cell r="J159">
            <v>3</v>
          </cell>
          <cell r="K159">
            <v>17.78</v>
          </cell>
          <cell r="L159">
            <v>3</v>
          </cell>
          <cell r="M159">
            <v>17.78</v>
          </cell>
          <cell r="N159">
            <v>0</v>
          </cell>
          <cell r="O159">
            <v>0</v>
          </cell>
          <cell r="P159">
            <v>0</v>
          </cell>
          <cell r="Q159">
            <v>0</v>
          </cell>
          <cell r="R159">
            <v>0</v>
          </cell>
          <cell r="S159">
            <v>0</v>
          </cell>
          <cell r="T159">
            <v>0</v>
          </cell>
          <cell r="U159">
            <v>0</v>
          </cell>
          <cell r="V159">
            <v>0</v>
          </cell>
          <cell r="W159">
            <v>0</v>
          </cell>
          <cell r="X159">
            <v>0</v>
          </cell>
          <cell r="Y159">
            <v>0</v>
          </cell>
          <cell r="Z159">
            <v>1</v>
          </cell>
          <cell r="AA159">
            <v>6.38</v>
          </cell>
          <cell r="AB159">
            <v>2</v>
          </cell>
          <cell r="AC159">
            <v>11.4</v>
          </cell>
          <cell r="AD159">
            <v>0</v>
          </cell>
          <cell r="AE159">
            <v>0</v>
          </cell>
          <cell r="AF159">
            <v>0</v>
          </cell>
          <cell r="AG159">
            <v>0</v>
          </cell>
          <cell r="AH159">
            <v>0</v>
          </cell>
          <cell r="AI159">
            <v>0</v>
          </cell>
          <cell r="AJ159">
            <v>0</v>
          </cell>
          <cell r="AK159">
            <v>0</v>
          </cell>
          <cell r="AL159">
            <v>0</v>
          </cell>
          <cell r="AM159">
            <v>0</v>
          </cell>
          <cell r="AN159">
            <v>0</v>
          </cell>
          <cell r="AO159">
            <v>0</v>
          </cell>
          <cell r="AP159">
            <v>3</v>
          </cell>
          <cell r="AQ159">
            <v>17.78</v>
          </cell>
        </row>
        <row r="160">
          <cell r="A160" t="str">
            <v>B-20</v>
          </cell>
          <cell r="B160" t="str">
            <v>Đệm làm kín</v>
          </cell>
          <cell r="C160" t="str">
            <v>4"_GASKET_#150_SORF</v>
          </cell>
          <cell r="D160">
            <v>0</v>
          </cell>
          <cell r="E160">
            <v>0</v>
          </cell>
          <cell r="F160">
            <v>0</v>
          </cell>
          <cell r="G160" t="str">
            <v>CERAMIC_FIBER</v>
          </cell>
          <cell r="H160" t="str">
            <v>pcs</v>
          </cell>
          <cell r="I160">
            <v>0</v>
          </cell>
          <cell r="J160">
            <v>3</v>
          </cell>
          <cell r="K160">
            <v>0.16</v>
          </cell>
          <cell r="L160">
            <v>3</v>
          </cell>
          <cell r="M160">
            <v>0.16</v>
          </cell>
          <cell r="N160">
            <v>0</v>
          </cell>
          <cell r="O160">
            <v>0</v>
          </cell>
          <cell r="P160">
            <v>0</v>
          </cell>
          <cell r="Q160">
            <v>0</v>
          </cell>
          <cell r="R160">
            <v>0</v>
          </cell>
          <cell r="S160">
            <v>0</v>
          </cell>
          <cell r="T160">
            <v>0</v>
          </cell>
          <cell r="U160">
            <v>0</v>
          </cell>
          <cell r="V160">
            <v>0</v>
          </cell>
          <cell r="W160">
            <v>0</v>
          </cell>
          <cell r="X160">
            <v>0</v>
          </cell>
          <cell r="Y160">
            <v>0</v>
          </cell>
          <cell r="Z160">
            <v>1</v>
          </cell>
          <cell r="AA160">
            <v>0.06</v>
          </cell>
          <cell r="AB160">
            <v>2</v>
          </cell>
          <cell r="AC160">
            <v>0.1</v>
          </cell>
          <cell r="AD160">
            <v>0</v>
          </cell>
          <cell r="AE160">
            <v>0</v>
          </cell>
          <cell r="AF160">
            <v>0</v>
          </cell>
          <cell r="AG160">
            <v>0</v>
          </cell>
          <cell r="AH160">
            <v>0</v>
          </cell>
          <cell r="AI160">
            <v>0</v>
          </cell>
          <cell r="AJ160">
            <v>0</v>
          </cell>
          <cell r="AK160">
            <v>0</v>
          </cell>
          <cell r="AL160">
            <v>0</v>
          </cell>
          <cell r="AM160">
            <v>0</v>
          </cell>
          <cell r="AN160">
            <v>0</v>
          </cell>
          <cell r="AO160">
            <v>0</v>
          </cell>
          <cell r="AP160">
            <v>3</v>
          </cell>
          <cell r="AQ160">
            <v>0.16</v>
          </cell>
        </row>
        <row r="161">
          <cell r="A161" t="str">
            <v>B-21</v>
          </cell>
          <cell r="B161" t="str">
            <v>Gioăng chịu nhiệt (-40°F đén 2300°F)</v>
          </cell>
          <cell r="C161" t="str">
            <v>GASKET TADPOLE MC MASTER-CARR PART 8853K26-3/4" BULB DIA X 1/2 WIDE</v>
          </cell>
          <cell r="D161">
            <v>0</v>
          </cell>
          <cell r="E161">
            <v>0</v>
          </cell>
          <cell r="F161">
            <v>0</v>
          </cell>
          <cell r="G161" t="str">
            <v>FIBER GLASS</v>
          </cell>
          <cell r="H161" t="str">
            <v>m</v>
          </cell>
          <cell r="I161">
            <v>0</v>
          </cell>
          <cell r="J161">
            <v>26</v>
          </cell>
          <cell r="K161">
            <v>0</v>
          </cell>
          <cell r="L161">
            <v>30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10</v>
          </cell>
          <cell r="AA161">
            <v>0</v>
          </cell>
          <cell r="AB161">
            <v>10</v>
          </cell>
          <cell r="AC161">
            <v>0</v>
          </cell>
          <cell r="AD161">
            <v>10</v>
          </cell>
          <cell r="AE161">
            <v>0</v>
          </cell>
          <cell r="AF161">
            <v>0</v>
          </cell>
          <cell r="AG161">
            <v>0</v>
          </cell>
          <cell r="AH161">
            <v>0</v>
          </cell>
          <cell r="AI161">
            <v>0</v>
          </cell>
          <cell r="AJ161">
            <v>0</v>
          </cell>
          <cell r="AK161">
            <v>0</v>
          </cell>
          <cell r="AL161">
            <v>0</v>
          </cell>
          <cell r="AM161">
            <v>0</v>
          </cell>
          <cell r="AN161">
            <v>0</v>
          </cell>
          <cell r="AO161">
            <v>0</v>
          </cell>
          <cell r="AP161">
            <v>30</v>
          </cell>
          <cell r="AQ161">
            <v>0</v>
          </cell>
        </row>
        <row r="162">
          <cell r="A162" t="str">
            <v>B-22</v>
          </cell>
          <cell r="B162" t="str">
            <v>Keo chịu nhiệt (-40°F đén 2300°F)</v>
          </cell>
          <cell r="C162" t="str">
            <v>HIGH TEMPERATURE ADHESIVE</v>
          </cell>
          <cell r="D162">
            <v>0</v>
          </cell>
          <cell r="E162">
            <v>0</v>
          </cell>
          <cell r="F162">
            <v>0</v>
          </cell>
          <cell r="G162" t="str">
            <v>SILICA W/ INCONEL</v>
          </cell>
          <cell r="H162" t="str">
            <v>LIT</v>
          </cell>
          <cell r="I162">
            <v>0</v>
          </cell>
          <cell r="J162">
            <v>0.1</v>
          </cell>
          <cell r="K162">
            <v>1.1099999999999999</v>
          </cell>
          <cell r="L162">
            <v>0.1</v>
          </cell>
          <cell r="M162">
            <v>1.1099999999999999</v>
          </cell>
          <cell r="N162">
            <v>0</v>
          </cell>
          <cell r="O162">
            <v>0</v>
          </cell>
          <cell r="P162">
            <v>0</v>
          </cell>
          <cell r="Q162">
            <v>0</v>
          </cell>
          <cell r="R162">
            <v>0</v>
          </cell>
          <cell r="S162">
            <v>0</v>
          </cell>
          <cell r="T162">
            <v>0</v>
          </cell>
          <cell r="U162">
            <v>0</v>
          </cell>
          <cell r="V162">
            <v>0</v>
          </cell>
          <cell r="W162">
            <v>0</v>
          </cell>
          <cell r="X162">
            <v>0</v>
          </cell>
          <cell r="Y162">
            <v>0</v>
          </cell>
          <cell r="Z162">
            <v>100</v>
          </cell>
          <cell r="AA162">
            <v>1.1099999999999999</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0.1</v>
          </cell>
          <cell r="AQ162">
            <v>1.1099999999999999</v>
          </cell>
        </row>
        <row r="163">
          <cell r="A163" t="str">
            <v>B-23</v>
          </cell>
          <cell r="B163" t="str">
            <v>Ốc</v>
          </cell>
          <cell r="C163" t="str">
            <v>NUT_M14</v>
          </cell>
          <cell r="D163">
            <v>0</v>
          </cell>
          <cell r="E163">
            <v>0</v>
          </cell>
          <cell r="F163">
            <v>0</v>
          </cell>
          <cell r="G163" t="str">
            <v>SS400</v>
          </cell>
          <cell r="H163" t="str">
            <v>pcs</v>
          </cell>
          <cell r="I163">
            <v>0</v>
          </cell>
          <cell r="J163">
            <v>2</v>
          </cell>
          <cell r="K163">
            <v>0.04</v>
          </cell>
          <cell r="L163">
            <v>0</v>
          </cell>
          <cell r="M163">
            <v>4.24E-2</v>
          </cell>
          <cell r="N163">
            <v>0</v>
          </cell>
          <cell r="O163">
            <v>0</v>
          </cell>
          <cell r="P163">
            <v>0</v>
          </cell>
          <cell r="Q163">
            <v>0</v>
          </cell>
          <cell r="R163">
            <v>0</v>
          </cell>
          <cell r="S163">
            <v>0</v>
          </cell>
          <cell r="T163">
            <v>0</v>
          </cell>
          <cell r="U163">
            <v>0</v>
          </cell>
          <cell r="V163">
            <v>0</v>
          </cell>
          <cell r="W163">
            <v>0</v>
          </cell>
          <cell r="X163">
            <v>0</v>
          </cell>
          <cell r="Y163">
            <v>0</v>
          </cell>
          <cell r="Z163">
            <v>3</v>
          </cell>
          <cell r="AA163">
            <v>4.24E-2</v>
          </cell>
          <cell r="AB163">
            <v>0</v>
          </cell>
          <cell r="AC163">
            <v>0</v>
          </cell>
          <cell r="AD163">
            <v>0</v>
          </cell>
          <cell r="AE163">
            <v>0</v>
          </cell>
          <cell r="AF163">
            <v>3</v>
          </cell>
          <cell r="AG163">
            <v>0</v>
          </cell>
          <cell r="AH163">
            <v>-6</v>
          </cell>
          <cell r="AI163">
            <v>0</v>
          </cell>
          <cell r="AJ163">
            <v>0</v>
          </cell>
          <cell r="AK163">
            <v>0</v>
          </cell>
          <cell r="AL163">
            <v>0</v>
          </cell>
          <cell r="AM163">
            <v>0</v>
          </cell>
          <cell r="AN163">
            <v>0</v>
          </cell>
          <cell r="AO163">
            <v>0</v>
          </cell>
          <cell r="AP163">
            <v>0</v>
          </cell>
          <cell r="AQ163">
            <v>4.24E-2</v>
          </cell>
        </row>
        <row r="164">
          <cell r="A164" t="str">
            <v>B-24</v>
          </cell>
          <cell r="B164" t="str">
            <v>Ốc</v>
          </cell>
          <cell r="C164" t="str">
            <v>NUT_M16</v>
          </cell>
          <cell r="D164">
            <v>0</v>
          </cell>
          <cell r="E164">
            <v>0</v>
          </cell>
          <cell r="F164">
            <v>0</v>
          </cell>
          <cell r="G164">
            <v>4.5999999999999996</v>
          </cell>
          <cell r="H164" t="str">
            <v>pcs</v>
          </cell>
          <cell r="I164">
            <v>0</v>
          </cell>
          <cell r="J164">
            <v>8</v>
          </cell>
          <cell r="K164">
            <v>0.43</v>
          </cell>
          <cell r="L164">
            <v>20</v>
          </cell>
          <cell r="M164">
            <v>0.85580000000000012</v>
          </cell>
          <cell r="N164">
            <v>0</v>
          </cell>
          <cell r="O164">
            <v>0</v>
          </cell>
          <cell r="P164">
            <v>0</v>
          </cell>
          <cell r="Q164">
            <v>0</v>
          </cell>
          <cell r="R164">
            <v>0</v>
          </cell>
          <cell r="S164">
            <v>0</v>
          </cell>
          <cell r="T164">
            <v>0</v>
          </cell>
          <cell r="U164">
            <v>0</v>
          </cell>
          <cell r="V164">
            <v>0</v>
          </cell>
          <cell r="W164">
            <v>0</v>
          </cell>
          <cell r="X164">
            <v>0</v>
          </cell>
          <cell r="Y164">
            <v>0</v>
          </cell>
          <cell r="Z164">
            <v>9</v>
          </cell>
          <cell r="AA164">
            <v>0.45580000000000004</v>
          </cell>
          <cell r="AB164">
            <v>8</v>
          </cell>
          <cell r="AC164">
            <v>0.4</v>
          </cell>
          <cell r="AD164">
            <v>16</v>
          </cell>
          <cell r="AE164">
            <v>0</v>
          </cell>
          <cell r="AF164">
            <v>4</v>
          </cell>
          <cell r="AG164">
            <v>0</v>
          </cell>
          <cell r="AH164">
            <v>-17</v>
          </cell>
          <cell r="AI164">
            <v>0</v>
          </cell>
          <cell r="AJ164">
            <v>0</v>
          </cell>
          <cell r="AK164">
            <v>0</v>
          </cell>
          <cell r="AL164">
            <v>0</v>
          </cell>
          <cell r="AM164">
            <v>0</v>
          </cell>
          <cell r="AN164">
            <v>0</v>
          </cell>
          <cell r="AO164">
            <v>0</v>
          </cell>
          <cell r="AP164">
            <v>20</v>
          </cell>
          <cell r="AQ164">
            <v>0.85580000000000012</v>
          </cell>
        </row>
        <row r="165">
          <cell r="A165" t="str">
            <v>B-25</v>
          </cell>
          <cell r="B165" t="str">
            <v>Ốc</v>
          </cell>
          <cell r="C165" t="str">
            <v>NUT_M20</v>
          </cell>
          <cell r="D165">
            <v>0</v>
          </cell>
          <cell r="E165">
            <v>0</v>
          </cell>
          <cell r="F165">
            <v>0</v>
          </cell>
          <cell r="G165" t="str">
            <v>A-563 HEX NUT</v>
          </cell>
          <cell r="H165" t="str">
            <v>pcs</v>
          </cell>
          <cell r="I165">
            <v>0</v>
          </cell>
          <cell r="J165">
            <v>88</v>
          </cell>
          <cell r="K165">
            <v>10.76</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94</v>
          </cell>
          <cell r="AA165">
            <v>11.4056</v>
          </cell>
          <cell r="AB165">
            <v>0</v>
          </cell>
          <cell r="AC165">
            <v>0</v>
          </cell>
          <cell r="AD165">
            <v>60</v>
          </cell>
          <cell r="AE165">
            <v>0</v>
          </cell>
          <cell r="AF165">
            <v>100</v>
          </cell>
          <cell r="AG165">
            <v>0</v>
          </cell>
          <cell r="AH165">
            <v>-254</v>
          </cell>
          <cell r="AI165">
            <v>-11.41</v>
          </cell>
          <cell r="AJ165">
            <v>0</v>
          </cell>
          <cell r="AK165">
            <v>0</v>
          </cell>
          <cell r="AL165">
            <v>0</v>
          </cell>
          <cell r="AM165">
            <v>0</v>
          </cell>
          <cell r="AN165">
            <v>0</v>
          </cell>
          <cell r="AO165">
            <v>0</v>
          </cell>
          <cell r="AP165">
            <v>0</v>
          </cell>
          <cell r="AQ165">
            <v>0</v>
          </cell>
        </row>
        <row r="166">
          <cell r="A166" t="str">
            <v>B-26</v>
          </cell>
          <cell r="B166" t="str">
            <v>Chốt-mạ kẽm</v>
          </cell>
          <cell r="C166" t="str">
            <v>CLEVIS PIN Ø12x52-DIN 1444-MẠ ĐIỆN PHÂN</v>
          </cell>
          <cell r="D166">
            <v>0</v>
          </cell>
          <cell r="E166">
            <v>0</v>
          </cell>
          <cell r="F166">
            <v>0</v>
          </cell>
          <cell r="G166" t="str">
            <v>SS400-MẠ KẼM</v>
          </cell>
          <cell r="H166" t="str">
            <v>pcs</v>
          </cell>
          <cell r="I166">
            <v>0</v>
          </cell>
          <cell r="J166">
            <v>16</v>
          </cell>
          <cell r="K166">
            <v>0.96</v>
          </cell>
          <cell r="L166">
            <v>34</v>
          </cell>
          <cell r="M166">
            <v>1.0176000000000001</v>
          </cell>
          <cell r="N166">
            <v>0</v>
          </cell>
          <cell r="O166">
            <v>0</v>
          </cell>
          <cell r="P166">
            <v>0</v>
          </cell>
          <cell r="Q166">
            <v>0</v>
          </cell>
          <cell r="R166">
            <v>0</v>
          </cell>
          <cell r="S166">
            <v>0</v>
          </cell>
          <cell r="T166">
            <v>0</v>
          </cell>
          <cell r="U166">
            <v>0</v>
          </cell>
          <cell r="V166">
            <v>0</v>
          </cell>
          <cell r="W166">
            <v>0</v>
          </cell>
          <cell r="X166">
            <v>0</v>
          </cell>
          <cell r="Y166">
            <v>0</v>
          </cell>
          <cell r="Z166">
            <v>9</v>
          </cell>
          <cell r="AA166">
            <v>0.50880000000000003</v>
          </cell>
          <cell r="AB166">
            <v>9</v>
          </cell>
          <cell r="AC166">
            <v>0.50880000000000003</v>
          </cell>
          <cell r="AD166">
            <v>16</v>
          </cell>
          <cell r="AE166">
            <v>0</v>
          </cell>
          <cell r="AF166">
            <v>0</v>
          </cell>
          <cell r="AG166">
            <v>0</v>
          </cell>
          <cell r="AH166">
            <v>0</v>
          </cell>
          <cell r="AI166">
            <v>0</v>
          </cell>
          <cell r="AJ166">
            <v>0</v>
          </cell>
          <cell r="AK166">
            <v>0</v>
          </cell>
          <cell r="AL166">
            <v>0</v>
          </cell>
          <cell r="AM166">
            <v>0</v>
          </cell>
          <cell r="AN166">
            <v>0</v>
          </cell>
          <cell r="AO166">
            <v>0</v>
          </cell>
          <cell r="AP166">
            <v>34</v>
          </cell>
          <cell r="AQ166">
            <v>1.0176000000000001</v>
          </cell>
        </row>
        <row r="167">
          <cell r="A167" t="str">
            <v>B-27</v>
          </cell>
          <cell r="B167" t="str">
            <v>Chốt chẻ</v>
          </cell>
          <cell r="C167" t="str">
            <v>COTTER PIN Ø3.2x25L-DIN 94- MẠ ĐIỆN PHÂN</v>
          </cell>
          <cell r="D167">
            <v>0</v>
          </cell>
          <cell r="E167">
            <v>0</v>
          </cell>
          <cell r="F167">
            <v>0</v>
          </cell>
          <cell r="G167" t="str">
            <v>SS400-MẠ KẼM</v>
          </cell>
          <cell r="H167" t="str">
            <v>pcs</v>
          </cell>
          <cell r="I167">
            <v>0</v>
          </cell>
          <cell r="J167">
            <v>16</v>
          </cell>
          <cell r="K167">
            <v>0.08</v>
          </cell>
          <cell r="L167">
            <v>34</v>
          </cell>
          <cell r="M167">
            <v>8.48E-2</v>
          </cell>
          <cell r="N167">
            <v>0</v>
          </cell>
          <cell r="O167">
            <v>0</v>
          </cell>
          <cell r="P167">
            <v>0</v>
          </cell>
          <cell r="Q167">
            <v>0</v>
          </cell>
          <cell r="R167">
            <v>0</v>
          </cell>
          <cell r="S167">
            <v>0</v>
          </cell>
          <cell r="T167">
            <v>0</v>
          </cell>
          <cell r="U167">
            <v>0</v>
          </cell>
          <cell r="V167">
            <v>0</v>
          </cell>
          <cell r="W167">
            <v>0</v>
          </cell>
          <cell r="X167">
            <v>0</v>
          </cell>
          <cell r="Y167">
            <v>0</v>
          </cell>
          <cell r="Z167">
            <v>9</v>
          </cell>
          <cell r="AA167">
            <v>4.24E-2</v>
          </cell>
          <cell r="AB167">
            <v>9</v>
          </cell>
          <cell r="AC167">
            <v>4.24E-2</v>
          </cell>
          <cell r="AD167">
            <v>16</v>
          </cell>
          <cell r="AE167">
            <v>0</v>
          </cell>
          <cell r="AF167">
            <v>0</v>
          </cell>
          <cell r="AG167">
            <v>0</v>
          </cell>
          <cell r="AH167">
            <v>0</v>
          </cell>
          <cell r="AI167">
            <v>0</v>
          </cell>
          <cell r="AJ167">
            <v>0</v>
          </cell>
          <cell r="AK167">
            <v>0</v>
          </cell>
          <cell r="AL167">
            <v>0</v>
          </cell>
          <cell r="AM167">
            <v>0</v>
          </cell>
          <cell r="AN167">
            <v>0</v>
          </cell>
          <cell r="AO167">
            <v>0</v>
          </cell>
          <cell r="AP167">
            <v>34</v>
          </cell>
          <cell r="AQ167">
            <v>8.48E-2</v>
          </cell>
        </row>
        <row r="168">
          <cell r="A168" t="str">
            <v>B-28</v>
          </cell>
          <cell r="B168" t="str">
            <v>Đệm phẳng-Mạ kẽm</v>
          </cell>
          <cell r="C168" t="str">
            <v>FLAT WASHER,ZINC PLATE,1/2"DIA- MẠ ĐIỆN PHÂN</v>
          </cell>
          <cell r="D168">
            <v>0</v>
          </cell>
          <cell r="E168">
            <v>0</v>
          </cell>
          <cell r="F168">
            <v>0</v>
          </cell>
          <cell r="G168" t="str">
            <v>ZINC</v>
          </cell>
          <cell r="H168" t="str">
            <v>pcs</v>
          </cell>
          <cell r="I168">
            <v>0</v>
          </cell>
          <cell r="J168">
            <v>24</v>
          </cell>
          <cell r="K168">
            <v>0.05</v>
          </cell>
          <cell r="L168">
            <v>33</v>
          </cell>
          <cell r="M168">
            <v>5.3000000000000005E-2</v>
          </cell>
          <cell r="N168">
            <v>0</v>
          </cell>
          <cell r="O168">
            <v>0</v>
          </cell>
          <cell r="P168">
            <v>0</v>
          </cell>
          <cell r="Q168">
            <v>0</v>
          </cell>
          <cell r="R168">
            <v>0</v>
          </cell>
          <cell r="S168">
            <v>0</v>
          </cell>
          <cell r="T168">
            <v>0</v>
          </cell>
          <cell r="U168">
            <v>0</v>
          </cell>
          <cell r="V168">
            <v>0</v>
          </cell>
          <cell r="W168">
            <v>0</v>
          </cell>
          <cell r="X168">
            <v>0</v>
          </cell>
          <cell r="Y168">
            <v>0</v>
          </cell>
          <cell r="Z168">
            <v>9</v>
          </cell>
          <cell r="AA168">
            <v>5.3000000000000005E-2</v>
          </cell>
          <cell r="AB168">
            <v>0</v>
          </cell>
          <cell r="AC168">
            <v>0</v>
          </cell>
          <cell r="AD168">
            <v>16</v>
          </cell>
          <cell r="AE168">
            <v>0</v>
          </cell>
          <cell r="AF168">
            <v>8</v>
          </cell>
          <cell r="AG168">
            <v>0</v>
          </cell>
          <cell r="AH168">
            <v>0</v>
          </cell>
          <cell r="AI168">
            <v>0</v>
          </cell>
          <cell r="AJ168">
            <v>0</v>
          </cell>
          <cell r="AK168">
            <v>0</v>
          </cell>
          <cell r="AL168">
            <v>0</v>
          </cell>
          <cell r="AM168">
            <v>0</v>
          </cell>
          <cell r="AN168">
            <v>0</v>
          </cell>
          <cell r="AO168">
            <v>0</v>
          </cell>
          <cell r="AP168">
            <v>33</v>
          </cell>
          <cell r="AQ168">
            <v>5.3000000000000005E-2</v>
          </cell>
        </row>
        <row r="169">
          <cell r="A169" t="str">
            <v>B-29</v>
          </cell>
          <cell r="B169" t="str">
            <v>Đệm phẳng-Mạ kẽm</v>
          </cell>
          <cell r="C169" t="str">
            <v>FLAT WASHER,ZINC PLATE,5/8"DIA- MẠ ĐIỆN PHÂN</v>
          </cell>
          <cell r="D169">
            <v>0</v>
          </cell>
          <cell r="E169">
            <v>0</v>
          </cell>
          <cell r="F169">
            <v>0</v>
          </cell>
          <cell r="G169" t="str">
            <v>ZINC</v>
          </cell>
          <cell r="H169" t="str">
            <v>pcs</v>
          </cell>
          <cell r="I169">
            <v>0</v>
          </cell>
          <cell r="J169">
            <v>24</v>
          </cell>
          <cell r="K169">
            <v>7.0000000000000007E-2</v>
          </cell>
          <cell r="L169">
            <v>33</v>
          </cell>
          <cell r="M169">
            <v>7.4200000000000016E-2</v>
          </cell>
          <cell r="N169">
            <v>0</v>
          </cell>
          <cell r="O169">
            <v>0</v>
          </cell>
          <cell r="P169">
            <v>0</v>
          </cell>
          <cell r="Q169">
            <v>0</v>
          </cell>
          <cell r="R169">
            <v>0</v>
          </cell>
          <cell r="S169">
            <v>0</v>
          </cell>
          <cell r="T169">
            <v>0</v>
          </cell>
          <cell r="U169">
            <v>0</v>
          </cell>
          <cell r="V169">
            <v>0</v>
          </cell>
          <cell r="W169">
            <v>0</v>
          </cell>
          <cell r="X169">
            <v>0</v>
          </cell>
          <cell r="Y169">
            <v>0</v>
          </cell>
          <cell r="Z169">
            <v>9</v>
          </cell>
          <cell r="AA169">
            <v>7.4200000000000016E-2</v>
          </cell>
          <cell r="AB169">
            <v>0</v>
          </cell>
          <cell r="AC169">
            <v>0</v>
          </cell>
          <cell r="AD169">
            <v>16</v>
          </cell>
          <cell r="AE169">
            <v>0</v>
          </cell>
          <cell r="AF169">
            <v>8</v>
          </cell>
          <cell r="AG169">
            <v>0</v>
          </cell>
          <cell r="AH169">
            <v>0</v>
          </cell>
          <cell r="AI169">
            <v>0</v>
          </cell>
          <cell r="AJ169">
            <v>0</v>
          </cell>
          <cell r="AK169">
            <v>0</v>
          </cell>
          <cell r="AL169">
            <v>0</v>
          </cell>
          <cell r="AM169">
            <v>0</v>
          </cell>
          <cell r="AN169">
            <v>0</v>
          </cell>
          <cell r="AO169">
            <v>0</v>
          </cell>
          <cell r="AP169">
            <v>33</v>
          </cell>
          <cell r="AQ169">
            <v>7.4200000000000016E-2</v>
          </cell>
        </row>
        <row r="170">
          <cell r="A170" t="str">
            <v>B-30</v>
          </cell>
          <cell r="B170" t="str">
            <v>EYE BOLT-mạ kẽm</v>
          </cell>
          <cell r="C170" t="str">
            <v>EYE BOLT M14+NUT-MẠ ĐIỆN PHÂN</v>
          </cell>
          <cell r="D170">
            <v>0</v>
          </cell>
          <cell r="E170">
            <v>0</v>
          </cell>
          <cell r="F170">
            <v>0</v>
          </cell>
          <cell r="G170" t="str">
            <v>SS400-HDG</v>
          </cell>
          <cell r="H170" t="str">
            <v>pcs</v>
          </cell>
          <cell r="I170">
            <v>0</v>
          </cell>
          <cell r="J170">
            <v>5</v>
          </cell>
          <cell r="K170">
            <v>0.23</v>
          </cell>
          <cell r="L170">
            <v>5</v>
          </cell>
          <cell r="M170">
            <v>0.44380000000000003</v>
          </cell>
          <cell r="N170">
            <v>0</v>
          </cell>
          <cell r="O170">
            <v>0</v>
          </cell>
          <cell r="P170">
            <v>0</v>
          </cell>
          <cell r="Q170">
            <v>0</v>
          </cell>
          <cell r="R170">
            <v>0</v>
          </cell>
          <cell r="S170">
            <v>0</v>
          </cell>
          <cell r="T170">
            <v>0</v>
          </cell>
          <cell r="U170">
            <v>0</v>
          </cell>
          <cell r="V170">
            <v>0</v>
          </cell>
          <cell r="W170">
            <v>0</v>
          </cell>
          <cell r="X170">
            <v>0</v>
          </cell>
          <cell r="Y170">
            <v>0</v>
          </cell>
          <cell r="Z170">
            <v>2</v>
          </cell>
          <cell r="AA170">
            <v>0.24380000000000002</v>
          </cell>
          <cell r="AB170">
            <v>1</v>
          </cell>
          <cell r="AC170">
            <v>0.2</v>
          </cell>
          <cell r="AD170">
            <v>2</v>
          </cell>
          <cell r="AE170">
            <v>0</v>
          </cell>
          <cell r="AF170">
            <v>0</v>
          </cell>
          <cell r="AG170">
            <v>0</v>
          </cell>
          <cell r="AH170">
            <v>0</v>
          </cell>
          <cell r="AI170">
            <v>0</v>
          </cell>
          <cell r="AJ170">
            <v>0</v>
          </cell>
          <cell r="AK170">
            <v>0</v>
          </cell>
          <cell r="AL170">
            <v>0</v>
          </cell>
          <cell r="AM170">
            <v>0</v>
          </cell>
          <cell r="AN170">
            <v>0</v>
          </cell>
          <cell r="AO170">
            <v>0</v>
          </cell>
          <cell r="AP170">
            <v>5</v>
          </cell>
          <cell r="AQ170">
            <v>0.44380000000000003</v>
          </cell>
        </row>
        <row r="171">
          <cell r="A171" t="str">
            <v>B-31</v>
          </cell>
          <cell r="B171" t="str">
            <v>Nối ống</v>
          </cell>
          <cell r="C171" t="str">
            <v>2"-3000# THREADED COUPING</v>
          </cell>
          <cell r="D171">
            <v>0</v>
          </cell>
          <cell r="E171">
            <v>0</v>
          </cell>
          <cell r="F171">
            <v>0</v>
          </cell>
          <cell r="G171" t="str">
            <v>A182-F304</v>
          </cell>
          <cell r="H171" t="str">
            <v>pcs</v>
          </cell>
          <cell r="I171">
            <v>0</v>
          </cell>
          <cell r="J171">
            <v>6</v>
          </cell>
          <cell r="K171">
            <v>18.18</v>
          </cell>
          <cell r="L171">
            <v>2</v>
          </cell>
          <cell r="M171">
            <v>22.58</v>
          </cell>
          <cell r="N171">
            <v>0</v>
          </cell>
          <cell r="O171">
            <v>0</v>
          </cell>
          <cell r="P171">
            <v>0</v>
          </cell>
          <cell r="Q171">
            <v>0</v>
          </cell>
          <cell r="R171">
            <v>0</v>
          </cell>
          <cell r="S171">
            <v>0</v>
          </cell>
          <cell r="T171">
            <v>0</v>
          </cell>
          <cell r="U171">
            <v>0</v>
          </cell>
          <cell r="V171">
            <v>0</v>
          </cell>
          <cell r="W171">
            <v>0</v>
          </cell>
          <cell r="X171">
            <v>0</v>
          </cell>
          <cell r="Y171">
            <v>0</v>
          </cell>
          <cell r="Z171">
            <v>6</v>
          </cell>
          <cell r="AA171">
            <v>18.18</v>
          </cell>
          <cell r="AB171">
            <v>4</v>
          </cell>
          <cell r="AC171">
            <v>4.4000000000000004</v>
          </cell>
          <cell r="AD171">
            <v>0</v>
          </cell>
          <cell r="AE171">
            <v>0</v>
          </cell>
          <cell r="AF171">
            <v>-4</v>
          </cell>
          <cell r="AG171">
            <v>0</v>
          </cell>
          <cell r="AH171">
            <v>0</v>
          </cell>
          <cell r="AI171">
            <v>0</v>
          </cell>
          <cell r="AJ171">
            <v>0</v>
          </cell>
          <cell r="AK171">
            <v>0</v>
          </cell>
          <cell r="AL171">
            <v>0</v>
          </cell>
          <cell r="AM171">
            <v>0</v>
          </cell>
          <cell r="AN171">
            <v>0</v>
          </cell>
          <cell r="AO171">
            <v>0</v>
          </cell>
          <cell r="AP171">
            <v>2</v>
          </cell>
          <cell r="AQ171">
            <v>22.58</v>
          </cell>
        </row>
        <row r="172">
          <cell r="A172" t="str">
            <v>B-32</v>
          </cell>
          <cell r="B172" t="str">
            <v>Côn thu</v>
          </cell>
          <cell r="C172" t="str">
            <v>3/4"X1/2"-3000#REDUCING COUPING</v>
          </cell>
          <cell r="D172">
            <v>0</v>
          </cell>
          <cell r="E172">
            <v>0</v>
          </cell>
          <cell r="F172">
            <v>0</v>
          </cell>
          <cell r="G172" t="str">
            <v>A182-F304</v>
          </cell>
          <cell r="H172" t="str">
            <v>pcs</v>
          </cell>
          <cell r="I172">
            <v>0</v>
          </cell>
          <cell r="J172">
            <v>8</v>
          </cell>
          <cell r="K172">
            <v>2.9</v>
          </cell>
          <cell r="L172">
            <v>8</v>
          </cell>
          <cell r="M172">
            <v>2.9</v>
          </cell>
          <cell r="N172">
            <v>0</v>
          </cell>
          <cell r="O172">
            <v>0</v>
          </cell>
          <cell r="P172">
            <v>0</v>
          </cell>
          <cell r="Q172">
            <v>0</v>
          </cell>
          <cell r="R172">
            <v>0</v>
          </cell>
          <cell r="S172">
            <v>0</v>
          </cell>
          <cell r="T172">
            <v>0</v>
          </cell>
          <cell r="U172">
            <v>0</v>
          </cell>
          <cell r="V172">
            <v>0</v>
          </cell>
          <cell r="W172">
            <v>0</v>
          </cell>
          <cell r="X172">
            <v>0</v>
          </cell>
          <cell r="Y172">
            <v>0</v>
          </cell>
          <cell r="Z172">
            <v>8</v>
          </cell>
          <cell r="AA172">
            <v>2.9</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8</v>
          </cell>
          <cell r="AQ172">
            <v>2.9</v>
          </cell>
        </row>
        <row r="173">
          <cell r="A173" t="str">
            <v>B-33</v>
          </cell>
          <cell r="B173" t="str">
            <v>Bịt đầu ống</v>
          </cell>
          <cell r="C173" t="str">
            <v>SQUARE HEAD PLUG 2"-3000#</v>
          </cell>
          <cell r="D173">
            <v>0</v>
          </cell>
          <cell r="E173">
            <v>0</v>
          </cell>
          <cell r="F173">
            <v>0</v>
          </cell>
          <cell r="G173" t="str">
            <v>A182-F304</v>
          </cell>
          <cell r="H173" t="str">
            <v>pcs</v>
          </cell>
          <cell r="I173">
            <v>0</v>
          </cell>
          <cell r="J173">
            <v>6</v>
          </cell>
          <cell r="K173">
            <v>0.8</v>
          </cell>
          <cell r="L173">
            <v>6</v>
          </cell>
          <cell r="M173">
            <v>0.8</v>
          </cell>
          <cell r="N173">
            <v>0</v>
          </cell>
          <cell r="O173">
            <v>0</v>
          </cell>
          <cell r="P173">
            <v>0</v>
          </cell>
          <cell r="Q173">
            <v>0</v>
          </cell>
          <cell r="R173">
            <v>0</v>
          </cell>
          <cell r="S173">
            <v>0</v>
          </cell>
          <cell r="T173">
            <v>0</v>
          </cell>
          <cell r="U173">
            <v>0</v>
          </cell>
          <cell r="V173">
            <v>0</v>
          </cell>
          <cell r="W173">
            <v>0</v>
          </cell>
          <cell r="X173">
            <v>0</v>
          </cell>
          <cell r="Y173">
            <v>0</v>
          </cell>
          <cell r="Z173">
            <v>6</v>
          </cell>
          <cell r="AA173">
            <v>0.8</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6</v>
          </cell>
          <cell r="AQ173">
            <v>0.8</v>
          </cell>
        </row>
        <row r="174">
          <cell r="A174" t="str">
            <v>B-34</v>
          </cell>
          <cell r="B174" t="str">
            <v>Ốc</v>
          </cell>
          <cell r="C174" t="str">
            <v>M10_NUT</v>
          </cell>
          <cell r="D174">
            <v>0</v>
          </cell>
          <cell r="E174">
            <v>0</v>
          </cell>
          <cell r="F174">
            <v>0</v>
          </cell>
          <cell r="G174" t="str">
            <v>SUS304H</v>
          </cell>
          <cell r="H174" t="str">
            <v>pcs</v>
          </cell>
          <cell r="I174">
            <v>0</v>
          </cell>
          <cell r="J174">
            <v>2</v>
          </cell>
          <cell r="K174">
            <v>0.01</v>
          </cell>
          <cell r="L174">
            <v>0</v>
          </cell>
          <cell r="M174">
            <v>1.06E-2</v>
          </cell>
          <cell r="N174">
            <v>0</v>
          </cell>
          <cell r="O174">
            <v>0</v>
          </cell>
          <cell r="P174">
            <v>0</v>
          </cell>
          <cell r="Q174">
            <v>0</v>
          </cell>
          <cell r="R174">
            <v>0</v>
          </cell>
          <cell r="S174">
            <v>0</v>
          </cell>
          <cell r="T174">
            <v>0</v>
          </cell>
          <cell r="U174">
            <v>0</v>
          </cell>
          <cell r="V174">
            <v>0</v>
          </cell>
          <cell r="W174">
            <v>0</v>
          </cell>
          <cell r="X174">
            <v>0</v>
          </cell>
          <cell r="Y174">
            <v>0</v>
          </cell>
          <cell r="Z174">
            <v>3</v>
          </cell>
          <cell r="AA174">
            <v>1.06E-2</v>
          </cell>
          <cell r="AB174">
            <v>0</v>
          </cell>
          <cell r="AC174">
            <v>0</v>
          </cell>
          <cell r="AD174">
            <v>0</v>
          </cell>
          <cell r="AE174">
            <v>0</v>
          </cell>
          <cell r="AF174">
            <v>3</v>
          </cell>
          <cell r="AG174">
            <v>0</v>
          </cell>
          <cell r="AH174">
            <v>-6</v>
          </cell>
          <cell r="AI174">
            <v>0</v>
          </cell>
          <cell r="AJ174">
            <v>0</v>
          </cell>
          <cell r="AK174">
            <v>0</v>
          </cell>
          <cell r="AL174">
            <v>0</v>
          </cell>
          <cell r="AM174">
            <v>0</v>
          </cell>
          <cell r="AN174">
            <v>0</v>
          </cell>
          <cell r="AO174">
            <v>0</v>
          </cell>
          <cell r="AP174">
            <v>0</v>
          </cell>
          <cell r="AQ174">
            <v>1.06E-2</v>
          </cell>
        </row>
        <row r="175">
          <cell r="A175" t="str">
            <v>B-35</v>
          </cell>
          <cell r="B175" t="str">
            <v>Ốc</v>
          </cell>
          <cell r="C175" t="str">
            <v>NUT_M10</v>
          </cell>
          <cell r="D175">
            <v>0</v>
          </cell>
          <cell r="E175">
            <v>0</v>
          </cell>
          <cell r="F175">
            <v>0</v>
          </cell>
          <cell r="G175" t="str">
            <v>SUS304H</v>
          </cell>
          <cell r="H175" t="str">
            <v>pcs</v>
          </cell>
          <cell r="I175">
            <v>0</v>
          </cell>
          <cell r="J175">
            <v>12</v>
          </cell>
          <cell r="K175">
            <v>0.12000000000000001</v>
          </cell>
          <cell r="L175">
            <v>0</v>
          </cell>
          <cell r="M175">
            <v>0.12720000000000001</v>
          </cell>
          <cell r="N175">
            <v>0</v>
          </cell>
          <cell r="O175">
            <v>0</v>
          </cell>
          <cell r="P175">
            <v>0</v>
          </cell>
          <cell r="Q175">
            <v>0</v>
          </cell>
          <cell r="R175">
            <v>0</v>
          </cell>
          <cell r="S175">
            <v>0</v>
          </cell>
          <cell r="T175">
            <v>0</v>
          </cell>
          <cell r="U175">
            <v>0</v>
          </cell>
          <cell r="V175">
            <v>0</v>
          </cell>
          <cell r="W175">
            <v>0</v>
          </cell>
          <cell r="X175">
            <v>0</v>
          </cell>
          <cell r="Y175">
            <v>0</v>
          </cell>
          <cell r="Z175">
            <v>13</v>
          </cell>
          <cell r="AA175">
            <v>0.12720000000000001</v>
          </cell>
          <cell r="AB175">
            <v>5</v>
          </cell>
          <cell r="AC175">
            <v>0</v>
          </cell>
          <cell r="AD175">
            <v>0</v>
          </cell>
          <cell r="AE175">
            <v>0</v>
          </cell>
          <cell r="AF175">
            <v>2</v>
          </cell>
          <cell r="AG175">
            <v>0</v>
          </cell>
          <cell r="AH175">
            <v>-20</v>
          </cell>
          <cell r="AI175">
            <v>0</v>
          </cell>
          <cell r="AJ175">
            <v>0</v>
          </cell>
          <cell r="AK175">
            <v>0</v>
          </cell>
          <cell r="AL175">
            <v>0</v>
          </cell>
          <cell r="AM175">
            <v>0</v>
          </cell>
          <cell r="AN175">
            <v>0</v>
          </cell>
          <cell r="AO175">
            <v>0</v>
          </cell>
          <cell r="AP175">
            <v>0</v>
          </cell>
          <cell r="AQ175">
            <v>0.12720000000000001</v>
          </cell>
        </row>
        <row r="176">
          <cell r="A176" t="str">
            <v>B-36</v>
          </cell>
          <cell r="B176" t="str">
            <v>Ốc (dung cho thanh ren M12x203)</v>
          </cell>
          <cell r="C176" t="str">
            <v>NUT_M12 (FOR STUD M12x203)</v>
          </cell>
          <cell r="D176">
            <v>0</v>
          </cell>
          <cell r="E176">
            <v>0</v>
          </cell>
          <cell r="F176">
            <v>0</v>
          </cell>
          <cell r="G176" t="str">
            <v>SUS304H</v>
          </cell>
          <cell r="H176" t="str">
            <v>pcs</v>
          </cell>
          <cell r="I176">
            <v>0</v>
          </cell>
          <cell r="J176">
            <v>5210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5523</v>
          </cell>
          <cell r="AA176">
            <v>98.315000000000012</v>
          </cell>
          <cell r="AB176">
            <v>-5523</v>
          </cell>
          <cell r="AC176">
            <v>-98.315000000000012</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row>
        <row r="177">
          <cell r="A177" t="str">
            <v>B-37</v>
          </cell>
          <cell r="B177" t="str">
            <v>Thép tròn đầu ren dài 50mm</v>
          </cell>
          <cell r="C177" t="str">
            <v>STUD PIN M10X133( 01 PIN-SUS304H+02 NUT-SUS304H+02  PLATE WAHER-SUS304)</v>
          </cell>
          <cell r="D177">
            <v>0</v>
          </cell>
          <cell r="E177">
            <v>0</v>
          </cell>
          <cell r="F177">
            <v>0</v>
          </cell>
          <cell r="G177" t="str">
            <v>SUS304H</v>
          </cell>
          <cell r="H177" t="str">
            <v>pcs</v>
          </cell>
          <cell r="I177">
            <v>0</v>
          </cell>
          <cell r="J177">
            <v>6</v>
          </cell>
          <cell r="K177">
            <v>0.42</v>
          </cell>
          <cell r="L177">
            <v>12</v>
          </cell>
          <cell r="M177">
            <v>0.6452</v>
          </cell>
          <cell r="N177">
            <v>0</v>
          </cell>
          <cell r="O177">
            <v>0</v>
          </cell>
          <cell r="P177">
            <v>0</v>
          </cell>
          <cell r="Q177">
            <v>0</v>
          </cell>
          <cell r="R177">
            <v>0</v>
          </cell>
          <cell r="S177">
            <v>0</v>
          </cell>
          <cell r="T177">
            <v>0</v>
          </cell>
          <cell r="U177">
            <v>0</v>
          </cell>
          <cell r="V177">
            <v>0</v>
          </cell>
          <cell r="W177">
            <v>0</v>
          </cell>
          <cell r="X177">
            <v>0</v>
          </cell>
          <cell r="Y177">
            <v>0</v>
          </cell>
          <cell r="Z177">
            <v>7</v>
          </cell>
          <cell r="AA177">
            <v>0.44519999999999998</v>
          </cell>
          <cell r="AB177">
            <v>5</v>
          </cell>
          <cell r="AC177">
            <v>0.2</v>
          </cell>
          <cell r="AD177">
            <v>0</v>
          </cell>
          <cell r="AE177">
            <v>0</v>
          </cell>
          <cell r="AF177">
            <v>0</v>
          </cell>
          <cell r="AG177">
            <v>0</v>
          </cell>
          <cell r="AH177">
            <v>0</v>
          </cell>
          <cell r="AI177">
            <v>0</v>
          </cell>
          <cell r="AJ177">
            <v>0</v>
          </cell>
          <cell r="AK177">
            <v>0</v>
          </cell>
          <cell r="AL177">
            <v>0</v>
          </cell>
          <cell r="AM177">
            <v>0</v>
          </cell>
          <cell r="AN177">
            <v>0</v>
          </cell>
          <cell r="AO177">
            <v>0</v>
          </cell>
          <cell r="AP177">
            <v>12</v>
          </cell>
          <cell r="AQ177">
            <v>0.6452</v>
          </cell>
        </row>
        <row r="178">
          <cell r="A178" t="str">
            <v>B-38</v>
          </cell>
          <cell r="B178" t="str">
            <v>Vít</v>
          </cell>
          <cell r="C178" t="str">
            <v>SCREW M5x10</v>
          </cell>
          <cell r="D178">
            <v>0</v>
          </cell>
          <cell r="E178">
            <v>0</v>
          </cell>
          <cell r="F178">
            <v>0</v>
          </cell>
          <cell r="G178" t="str">
            <v>SUS304</v>
          </cell>
          <cell r="H178" t="str">
            <v>pcs</v>
          </cell>
          <cell r="I178">
            <v>0</v>
          </cell>
          <cell r="J178">
            <v>60</v>
          </cell>
          <cell r="K178">
            <v>0</v>
          </cell>
          <cell r="L178">
            <v>64</v>
          </cell>
          <cell r="M178">
            <v>0</v>
          </cell>
          <cell r="N178">
            <v>0</v>
          </cell>
          <cell r="O178">
            <v>0</v>
          </cell>
          <cell r="P178">
            <v>0</v>
          </cell>
          <cell r="Q178">
            <v>0</v>
          </cell>
          <cell r="R178">
            <v>0</v>
          </cell>
          <cell r="S178">
            <v>0</v>
          </cell>
          <cell r="T178">
            <v>0</v>
          </cell>
          <cell r="U178">
            <v>0</v>
          </cell>
          <cell r="V178">
            <v>0</v>
          </cell>
          <cell r="W178">
            <v>0</v>
          </cell>
          <cell r="X178">
            <v>0</v>
          </cell>
          <cell r="Y178">
            <v>0</v>
          </cell>
          <cell r="Z178">
            <v>64</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64</v>
          </cell>
          <cell r="AQ178">
            <v>0</v>
          </cell>
        </row>
        <row r="179">
          <cell r="A179" t="str">
            <v>B-39</v>
          </cell>
          <cell r="B179" t="str">
            <v>Bu lông liên kết (1B+1N)-ĐEN</v>
          </cell>
          <cell r="C179" t="str">
            <v>BOLT 5/8"DIA x 3"L</v>
          </cell>
          <cell r="D179">
            <v>0</v>
          </cell>
          <cell r="E179">
            <v>0</v>
          </cell>
          <cell r="F179">
            <v>0</v>
          </cell>
          <cell r="G179" t="str">
            <v>A490</v>
          </cell>
          <cell r="H179" t="str">
            <v>set</v>
          </cell>
          <cell r="I179">
            <v>0</v>
          </cell>
          <cell r="J179">
            <v>8</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9</v>
          </cell>
          <cell r="AA179">
            <v>0</v>
          </cell>
          <cell r="AB179">
            <v>0</v>
          </cell>
          <cell r="AC179">
            <v>0</v>
          </cell>
          <cell r="AD179">
            <v>0</v>
          </cell>
          <cell r="AE179">
            <v>0</v>
          </cell>
          <cell r="AF179">
            <v>1</v>
          </cell>
          <cell r="AG179">
            <v>0</v>
          </cell>
          <cell r="AH179">
            <v>-10</v>
          </cell>
          <cell r="AI179">
            <v>0</v>
          </cell>
          <cell r="AJ179">
            <v>0</v>
          </cell>
          <cell r="AK179">
            <v>0</v>
          </cell>
          <cell r="AL179">
            <v>0</v>
          </cell>
          <cell r="AM179">
            <v>0</v>
          </cell>
          <cell r="AN179">
            <v>0</v>
          </cell>
          <cell r="AO179">
            <v>0</v>
          </cell>
          <cell r="AP179">
            <v>0</v>
          </cell>
          <cell r="AQ179">
            <v>0</v>
          </cell>
        </row>
        <row r="180">
          <cell r="A180" t="str">
            <v>B-40</v>
          </cell>
          <cell r="B180" t="str">
            <v>Bu lông liên kết (1B+1N)-ĐEN</v>
          </cell>
          <cell r="C180" t="str">
            <v>BOLT 3/4"DIAx 1"3/4L-A307(1B+1N)</v>
          </cell>
          <cell r="D180">
            <v>0</v>
          </cell>
          <cell r="E180">
            <v>0</v>
          </cell>
          <cell r="F180">
            <v>0</v>
          </cell>
          <cell r="G180" t="str">
            <v>A307</v>
          </cell>
          <cell r="H180" t="str">
            <v>set</v>
          </cell>
          <cell r="I180">
            <v>0</v>
          </cell>
          <cell r="J180">
            <v>364</v>
          </cell>
          <cell r="K180">
            <v>0</v>
          </cell>
          <cell r="L180">
            <v>402</v>
          </cell>
          <cell r="M180">
            <v>0</v>
          </cell>
          <cell r="N180">
            <v>0</v>
          </cell>
          <cell r="O180">
            <v>0</v>
          </cell>
          <cell r="P180">
            <v>0</v>
          </cell>
          <cell r="Q180">
            <v>0</v>
          </cell>
          <cell r="R180">
            <v>0</v>
          </cell>
          <cell r="S180">
            <v>0</v>
          </cell>
          <cell r="T180">
            <v>0</v>
          </cell>
          <cell r="U180">
            <v>0</v>
          </cell>
          <cell r="V180">
            <v>0</v>
          </cell>
          <cell r="W180">
            <v>0</v>
          </cell>
          <cell r="X180">
            <v>0</v>
          </cell>
          <cell r="Y180">
            <v>0</v>
          </cell>
          <cell r="Z180">
            <v>9</v>
          </cell>
          <cell r="AA180">
            <v>0</v>
          </cell>
          <cell r="AB180">
            <v>0</v>
          </cell>
          <cell r="AC180">
            <v>0</v>
          </cell>
          <cell r="AD180">
            <v>14</v>
          </cell>
          <cell r="AE180">
            <v>0</v>
          </cell>
          <cell r="AF180">
            <v>65</v>
          </cell>
          <cell r="AG180">
            <v>0</v>
          </cell>
          <cell r="AH180">
            <v>314</v>
          </cell>
          <cell r="AI180">
            <v>0</v>
          </cell>
          <cell r="AJ180">
            <v>0</v>
          </cell>
          <cell r="AK180">
            <v>0</v>
          </cell>
          <cell r="AL180">
            <v>0</v>
          </cell>
          <cell r="AM180">
            <v>0</v>
          </cell>
          <cell r="AN180">
            <v>0</v>
          </cell>
          <cell r="AO180">
            <v>0</v>
          </cell>
          <cell r="AP180">
            <v>402</v>
          </cell>
          <cell r="AQ180">
            <v>0</v>
          </cell>
        </row>
        <row r="181">
          <cell r="A181" t="str">
            <v>B-41</v>
          </cell>
          <cell r="B181" t="str">
            <v>Bu lông liên kết (1B+1N)-ĐEN</v>
          </cell>
          <cell r="C181" t="str">
            <v xml:space="preserve">BOLT 3/4"DIA x 2"L </v>
          </cell>
          <cell r="D181">
            <v>0</v>
          </cell>
          <cell r="E181">
            <v>0</v>
          </cell>
          <cell r="F181">
            <v>0</v>
          </cell>
          <cell r="G181" t="str">
            <v>A307</v>
          </cell>
          <cell r="H181" t="str">
            <v>set</v>
          </cell>
          <cell r="I181">
            <v>0</v>
          </cell>
          <cell r="J181">
            <v>144</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153</v>
          </cell>
          <cell r="AA181">
            <v>0</v>
          </cell>
          <cell r="AB181">
            <v>0</v>
          </cell>
          <cell r="AC181">
            <v>0</v>
          </cell>
          <cell r="AD181">
            <v>54</v>
          </cell>
          <cell r="AE181">
            <v>0</v>
          </cell>
          <cell r="AF181">
            <v>21</v>
          </cell>
          <cell r="AG181">
            <v>0</v>
          </cell>
          <cell r="AH181">
            <v>-228</v>
          </cell>
          <cell r="AI181">
            <v>0</v>
          </cell>
          <cell r="AJ181">
            <v>0</v>
          </cell>
          <cell r="AK181">
            <v>0</v>
          </cell>
          <cell r="AL181">
            <v>0</v>
          </cell>
          <cell r="AM181">
            <v>0</v>
          </cell>
          <cell r="AN181">
            <v>0</v>
          </cell>
          <cell r="AO181">
            <v>0</v>
          </cell>
          <cell r="AP181">
            <v>0</v>
          </cell>
          <cell r="AQ181">
            <v>0</v>
          </cell>
        </row>
        <row r="182">
          <cell r="A182" t="str">
            <v>B-42</v>
          </cell>
          <cell r="B182" t="str">
            <v>Bu lông liên kết (1B+1N+2W)-ĐEN</v>
          </cell>
          <cell r="C182" t="str">
            <v>BOLT 1"1/2DIAx4"1/2-A490(1B+1N+2W)</v>
          </cell>
          <cell r="D182">
            <v>0</v>
          </cell>
          <cell r="E182">
            <v>0</v>
          </cell>
          <cell r="F182">
            <v>0</v>
          </cell>
          <cell r="G182" t="str">
            <v>A490</v>
          </cell>
          <cell r="H182" t="str">
            <v>set</v>
          </cell>
          <cell r="I182">
            <v>0</v>
          </cell>
          <cell r="J182">
            <v>96</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102</v>
          </cell>
          <cell r="AA182">
            <v>0</v>
          </cell>
          <cell r="AB182">
            <v>0</v>
          </cell>
          <cell r="AC182">
            <v>0</v>
          </cell>
          <cell r="AD182">
            <v>0</v>
          </cell>
          <cell r="AE182">
            <v>0</v>
          </cell>
          <cell r="AF182">
            <v>11</v>
          </cell>
          <cell r="AG182">
            <v>0</v>
          </cell>
          <cell r="AH182">
            <v>-7</v>
          </cell>
          <cell r="AI182">
            <v>0</v>
          </cell>
          <cell r="AJ182">
            <v>0</v>
          </cell>
          <cell r="AK182">
            <v>0</v>
          </cell>
          <cell r="AL182">
            <v>-106</v>
          </cell>
          <cell r="AM182">
            <v>0</v>
          </cell>
          <cell r="AN182">
            <v>0</v>
          </cell>
          <cell r="AO182">
            <v>0</v>
          </cell>
          <cell r="AP182">
            <v>0</v>
          </cell>
          <cell r="AQ182">
            <v>0</v>
          </cell>
        </row>
        <row r="183">
          <cell r="A183" t="str">
            <v>B-43</v>
          </cell>
          <cell r="B183" t="str">
            <v>Gỗ Đóng Kiện có đóng dấu khử trùng</v>
          </cell>
          <cell r="C183" t="str">
            <v>WOODEN (SEE ATTACHED LIST )-ISPM15</v>
          </cell>
          <cell r="D183">
            <v>0</v>
          </cell>
          <cell r="E183">
            <v>0</v>
          </cell>
          <cell r="F183">
            <v>0</v>
          </cell>
          <cell r="G183" t="str">
            <v>WOODEN</v>
          </cell>
          <cell r="H183" t="str">
            <v>-</v>
          </cell>
          <cell r="I183">
            <v>0</v>
          </cell>
          <cell r="J183">
            <v>0</v>
          </cell>
          <cell r="K183">
            <v>200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188</v>
          </cell>
          <cell r="AB183">
            <v>0</v>
          </cell>
          <cell r="AC183">
            <v>-188</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row>
        <row r="184">
          <cell r="A184" t="str">
            <v>B-44</v>
          </cell>
          <cell r="B184" t="str">
            <v>Bu lông liên kết (1B+1N)-ĐEN</v>
          </cell>
          <cell r="C184" t="str">
            <v>BOLT 3/4"DIAx3"1/2L-A193 B7(1B+1N)</v>
          </cell>
          <cell r="D184">
            <v>0</v>
          </cell>
          <cell r="E184">
            <v>0</v>
          </cell>
          <cell r="F184">
            <v>0</v>
          </cell>
          <cell r="G184" t="str">
            <v>A-193 B7</v>
          </cell>
          <cell r="H184" t="str">
            <v>set</v>
          </cell>
          <cell r="I184">
            <v>0</v>
          </cell>
          <cell r="J184">
            <v>80</v>
          </cell>
          <cell r="K184">
            <v>0</v>
          </cell>
          <cell r="L184">
            <v>110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88</v>
          </cell>
          <cell r="AC184">
            <v>0</v>
          </cell>
          <cell r="AD184">
            <v>27</v>
          </cell>
          <cell r="AE184">
            <v>0</v>
          </cell>
          <cell r="AF184">
            <v>11</v>
          </cell>
          <cell r="AG184">
            <v>0</v>
          </cell>
          <cell r="AH184">
            <v>-8</v>
          </cell>
          <cell r="AI184">
            <v>0</v>
          </cell>
          <cell r="AJ184">
            <v>0</v>
          </cell>
          <cell r="AK184">
            <v>0</v>
          </cell>
          <cell r="AL184">
            <v>0</v>
          </cell>
          <cell r="AM184">
            <v>0</v>
          </cell>
          <cell r="AN184">
            <v>0</v>
          </cell>
          <cell r="AO184">
            <v>0</v>
          </cell>
          <cell r="AP184">
            <v>110</v>
          </cell>
          <cell r="AQ184">
            <v>0</v>
          </cell>
        </row>
        <row r="185">
          <cell r="A185" t="str">
            <v>B-45</v>
          </cell>
          <cell r="B185" t="str">
            <v>Bu lông liên kết (1B+1N)-ĐEN</v>
          </cell>
          <cell r="C185" t="str">
            <v>BOLT 5/8"DIA x3"L-A193 B7(1B+1N)</v>
          </cell>
          <cell r="D185">
            <v>0</v>
          </cell>
          <cell r="E185">
            <v>0</v>
          </cell>
          <cell r="F185">
            <v>0</v>
          </cell>
          <cell r="G185" t="str">
            <v>A-193 B7</v>
          </cell>
          <cell r="H185" t="str">
            <v>set</v>
          </cell>
          <cell r="I185">
            <v>0</v>
          </cell>
          <cell r="J185">
            <v>24</v>
          </cell>
          <cell r="K185">
            <v>0</v>
          </cell>
          <cell r="L185">
            <v>26</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18</v>
          </cell>
          <cell r="AC185">
            <v>0</v>
          </cell>
          <cell r="AD185">
            <v>0</v>
          </cell>
          <cell r="AE185">
            <v>0</v>
          </cell>
          <cell r="AF185">
            <v>2</v>
          </cell>
          <cell r="AG185">
            <v>0</v>
          </cell>
          <cell r="AH185">
            <v>8</v>
          </cell>
          <cell r="AI185">
            <v>0</v>
          </cell>
          <cell r="AJ185">
            <v>0</v>
          </cell>
          <cell r="AK185">
            <v>0</v>
          </cell>
          <cell r="AL185">
            <v>0</v>
          </cell>
          <cell r="AM185">
            <v>0</v>
          </cell>
          <cell r="AN185">
            <v>0</v>
          </cell>
          <cell r="AO185">
            <v>0</v>
          </cell>
          <cell r="AP185">
            <v>26</v>
          </cell>
          <cell r="AQ185">
            <v>0</v>
          </cell>
        </row>
        <row r="186">
          <cell r="A186" t="str">
            <v>B-46</v>
          </cell>
          <cell r="B186" t="str">
            <v>Bu lông liên kết (1B+1N)-ĐEN</v>
          </cell>
          <cell r="C186" t="str">
            <v>BOLT 3/4"X4"(B/N)</v>
          </cell>
          <cell r="D186">
            <v>0</v>
          </cell>
          <cell r="E186">
            <v>0</v>
          </cell>
          <cell r="F186">
            <v>0</v>
          </cell>
          <cell r="G186" t="str">
            <v>A307</v>
          </cell>
          <cell r="H186" t="str">
            <v>set</v>
          </cell>
          <cell r="I186">
            <v>0</v>
          </cell>
          <cell r="J186">
            <v>2</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3</v>
          </cell>
          <cell r="AC186">
            <v>0</v>
          </cell>
          <cell r="AD186">
            <v>0</v>
          </cell>
          <cell r="AE186">
            <v>0</v>
          </cell>
          <cell r="AF186">
            <v>1</v>
          </cell>
          <cell r="AG186">
            <v>0</v>
          </cell>
          <cell r="AH186">
            <v>-3</v>
          </cell>
          <cell r="AI186">
            <v>0</v>
          </cell>
          <cell r="AJ186">
            <v>0</v>
          </cell>
          <cell r="AK186">
            <v>0</v>
          </cell>
          <cell r="AL186">
            <v>0</v>
          </cell>
          <cell r="AM186">
            <v>0</v>
          </cell>
          <cell r="AN186">
            <v>0</v>
          </cell>
          <cell r="AO186">
            <v>0</v>
          </cell>
          <cell r="AP186">
            <v>0</v>
          </cell>
          <cell r="AQ186">
            <v>0</v>
          </cell>
        </row>
        <row r="187">
          <cell r="A187" t="str">
            <v>B-47</v>
          </cell>
          <cell r="B187" t="str">
            <v>Bu lông liên kết (1B+1N)-ĐEN</v>
          </cell>
          <cell r="C187" t="str">
            <v>BOLT 3/4"X2"(B/N)</v>
          </cell>
          <cell r="D187">
            <v>0</v>
          </cell>
          <cell r="E187">
            <v>0</v>
          </cell>
          <cell r="F187">
            <v>0</v>
          </cell>
          <cell r="G187" t="str">
            <v>A307</v>
          </cell>
          <cell r="H187" t="str">
            <v>set</v>
          </cell>
          <cell r="I187">
            <v>0</v>
          </cell>
          <cell r="J187">
            <v>43</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48</v>
          </cell>
          <cell r="AC187">
            <v>0</v>
          </cell>
          <cell r="AD187">
            <v>0</v>
          </cell>
          <cell r="AE187">
            <v>0</v>
          </cell>
          <cell r="AF187">
            <v>5</v>
          </cell>
          <cell r="AG187">
            <v>0</v>
          </cell>
          <cell r="AH187">
            <v>-48</v>
          </cell>
          <cell r="AI187">
            <v>0</v>
          </cell>
          <cell r="AJ187">
            <v>0</v>
          </cell>
          <cell r="AK187">
            <v>0</v>
          </cell>
          <cell r="AL187">
            <v>0</v>
          </cell>
          <cell r="AM187">
            <v>0</v>
          </cell>
          <cell r="AN187">
            <v>0</v>
          </cell>
          <cell r="AO187">
            <v>0</v>
          </cell>
          <cell r="AP187">
            <v>0</v>
          </cell>
          <cell r="AQ187">
            <v>0</v>
          </cell>
        </row>
        <row r="188">
          <cell r="A188" t="str">
            <v>B-48</v>
          </cell>
          <cell r="B188" t="str">
            <v>vít tự khoan</v>
          </cell>
          <cell r="C188" t="str">
            <v>HEAD SCREWS SELF DRILLING M6x40</v>
          </cell>
          <cell r="D188">
            <v>0</v>
          </cell>
          <cell r="E188">
            <v>0</v>
          </cell>
          <cell r="F188">
            <v>0</v>
          </cell>
          <cell r="G188" t="str">
            <v>Stee-galvanize</v>
          </cell>
          <cell r="H188" t="str">
            <v>pcs</v>
          </cell>
          <cell r="I188">
            <v>0</v>
          </cell>
          <cell r="J188">
            <v>152</v>
          </cell>
          <cell r="K188">
            <v>0</v>
          </cell>
          <cell r="L188">
            <v>290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170</v>
          </cell>
          <cell r="AC188">
            <v>0</v>
          </cell>
          <cell r="AD188">
            <v>0</v>
          </cell>
          <cell r="AE188">
            <v>0</v>
          </cell>
          <cell r="AF188">
            <v>0</v>
          </cell>
          <cell r="AG188">
            <v>0</v>
          </cell>
          <cell r="AH188">
            <v>138</v>
          </cell>
          <cell r="AI188">
            <v>0</v>
          </cell>
          <cell r="AJ188">
            <v>0</v>
          </cell>
          <cell r="AK188">
            <v>0</v>
          </cell>
          <cell r="AL188">
            <v>0</v>
          </cell>
          <cell r="AM188">
            <v>0</v>
          </cell>
          <cell r="AN188">
            <v>0</v>
          </cell>
          <cell r="AO188">
            <v>0</v>
          </cell>
          <cell r="AP188">
            <v>290</v>
          </cell>
          <cell r="AQ188">
            <v>0</v>
          </cell>
        </row>
        <row r="189">
          <cell r="A189" t="str">
            <v>B-49</v>
          </cell>
          <cell r="B189" t="str">
            <v>GIOĂNG CAO SU</v>
          </cell>
          <cell r="C189" t="str">
            <v>mcmaster-carr part no. 24175K46 style 2</v>
          </cell>
          <cell r="D189">
            <v>0</v>
          </cell>
          <cell r="E189">
            <v>0</v>
          </cell>
          <cell r="F189">
            <v>0</v>
          </cell>
          <cell r="G189" t="str">
            <v>EPDM</v>
          </cell>
          <cell r="H189" t="str">
            <v>m</v>
          </cell>
          <cell r="I189">
            <v>0</v>
          </cell>
          <cell r="J189">
            <v>25.5</v>
          </cell>
          <cell r="K189">
            <v>0</v>
          </cell>
          <cell r="L189">
            <v>30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30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30</v>
          </cell>
          <cell r="AQ189">
            <v>0</v>
          </cell>
        </row>
        <row r="190">
          <cell r="A190" t="str">
            <v>B-50</v>
          </cell>
          <cell r="B190" t="str">
            <v>Bu lông liên kết (1B+1N)-ĐEN</v>
          </cell>
          <cell r="C190" t="str">
            <v>BOLT 3/4"DIAx1"1/2 L</v>
          </cell>
          <cell r="D190">
            <v>0</v>
          </cell>
          <cell r="E190">
            <v>0</v>
          </cell>
          <cell r="F190">
            <v>0</v>
          </cell>
          <cell r="G190" t="str">
            <v>A325</v>
          </cell>
          <cell r="H190" t="str">
            <v>set</v>
          </cell>
          <cell r="I190">
            <v>0</v>
          </cell>
          <cell r="J190">
            <v>80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88</v>
          </cell>
          <cell r="AE190">
            <v>0</v>
          </cell>
          <cell r="AF190">
            <v>9</v>
          </cell>
          <cell r="AG190">
            <v>0</v>
          </cell>
          <cell r="AH190">
            <v>-97</v>
          </cell>
          <cell r="AI190">
            <v>0</v>
          </cell>
          <cell r="AJ190">
            <v>0</v>
          </cell>
          <cell r="AK190">
            <v>0</v>
          </cell>
          <cell r="AL190">
            <v>0</v>
          </cell>
          <cell r="AM190">
            <v>0</v>
          </cell>
          <cell r="AN190">
            <v>0</v>
          </cell>
          <cell r="AO190">
            <v>0</v>
          </cell>
          <cell r="AP190">
            <v>0</v>
          </cell>
          <cell r="AQ190">
            <v>0</v>
          </cell>
        </row>
        <row r="191">
          <cell r="A191" t="str">
            <v>B-51</v>
          </cell>
          <cell r="B191" t="str">
            <v>Bu lông liên kết (1B+1N)-ĐEN</v>
          </cell>
          <cell r="C191" t="str">
            <v>BOLT 3/4"DIAx1"3/4L-A325(1B+1N)</v>
          </cell>
          <cell r="D191">
            <v>0</v>
          </cell>
          <cell r="E191">
            <v>0</v>
          </cell>
          <cell r="F191">
            <v>0</v>
          </cell>
          <cell r="G191" t="str">
            <v>A325</v>
          </cell>
          <cell r="H191" t="str">
            <v>set</v>
          </cell>
          <cell r="I191">
            <v>0</v>
          </cell>
          <cell r="J191">
            <v>28</v>
          </cell>
          <cell r="K191">
            <v>0</v>
          </cell>
          <cell r="L191">
            <v>31</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9</v>
          </cell>
          <cell r="AE191">
            <v>0</v>
          </cell>
          <cell r="AF191">
            <v>1</v>
          </cell>
          <cell r="AG191">
            <v>0</v>
          </cell>
          <cell r="AH191">
            <v>21</v>
          </cell>
          <cell r="AI191">
            <v>0</v>
          </cell>
          <cell r="AJ191">
            <v>0</v>
          </cell>
          <cell r="AK191">
            <v>0</v>
          </cell>
          <cell r="AL191">
            <v>0</v>
          </cell>
          <cell r="AM191">
            <v>0</v>
          </cell>
          <cell r="AN191">
            <v>0</v>
          </cell>
          <cell r="AO191">
            <v>0</v>
          </cell>
          <cell r="AP191">
            <v>31</v>
          </cell>
          <cell r="AQ191">
            <v>0</v>
          </cell>
        </row>
        <row r="192">
          <cell r="A192" t="str">
            <v>B-52</v>
          </cell>
          <cell r="B192" t="str">
            <v>Bu lông liên kết (1B+1N)-ĐEN</v>
          </cell>
          <cell r="C192" t="str">
            <v>BOLT 7/8"DIA x2"1/4 L-A325(1B+1N)</v>
          </cell>
          <cell r="D192">
            <v>0</v>
          </cell>
          <cell r="E192">
            <v>0</v>
          </cell>
          <cell r="F192">
            <v>0</v>
          </cell>
          <cell r="G192" t="str">
            <v>A325</v>
          </cell>
          <cell r="H192" t="str">
            <v>set</v>
          </cell>
          <cell r="I192">
            <v>0</v>
          </cell>
          <cell r="J192">
            <v>8</v>
          </cell>
          <cell r="K192">
            <v>0</v>
          </cell>
          <cell r="L192">
            <v>9</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9</v>
          </cell>
          <cell r="AE192">
            <v>0</v>
          </cell>
          <cell r="AF192">
            <v>1</v>
          </cell>
          <cell r="AG192">
            <v>0</v>
          </cell>
          <cell r="AH192">
            <v>-1</v>
          </cell>
          <cell r="AI192">
            <v>0</v>
          </cell>
          <cell r="AJ192">
            <v>0</v>
          </cell>
          <cell r="AK192">
            <v>0</v>
          </cell>
          <cell r="AL192">
            <v>0</v>
          </cell>
          <cell r="AM192">
            <v>0</v>
          </cell>
          <cell r="AN192">
            <v>0</v>
          </cell>
          <cell r="AO192">
            <v>0</v>
          </cell>
          <cell r="AP192">
            <v>9</v>
          </cell>
          <cell r="AQ192">
            <v>0</v>
          </cell>
        </row>
        <row r="193">
          <cell r="A193" t="str">
            <v>B-53</v>
          </cell>
          <cell r="B193" t="str">
            <v>Bu lông liên kết (1B+1N+2W)-ĐEN</v>
          </cell>
          <cell r="C193" t="str">
            <v>BOLT 7/8"DIAx3"1/2-A490(1B+1N+2W)</v>
          </cell>
          <cell r="D193">
            <v>0</v>
          </cell>
          <cell r="E193">
            <v>0</v>
          </cell>
          <cell r="F193">
            <v>0</v>
          </cell>
          <cell r="G193" t="str">
            <v xml:space="preserve">A490 </v>
          </cell>
          <cell r="H193" t="str">
            <v>set</v>
          </cell>
          <cell r="I193">
            <v>0</v>
          </cell>
          <cell r="J193">
            <v>96</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106</v>
          </cell>
          <cell r="AE193">
            <v>0</v>
          </cell>
          <cell r="AF193">
            <v>11</v>
          </cell>
          <cell r="AG193">
            <v>0</v>
          </cell>
          <cell r="AH193">
            <v>-11</v>
          </cell>
          <cell r="AI193">
            <v>0</v>
          </cell>
          <cell r="AJ193">
            <v>0</v>
          </cell>
          <cell r="AK193">
            <v>0</v>
          </cell>
          <cell r="AL193">
            <v>-106</v>
          </cell>
          <cell r="AM193">
            <v>0</v>
          </cell>
          <cell r="AN193">
            <v>0</v>
          </cell>
          <cell r="AO193">
            <v>0</v>
          </cell>
          <cell r="AP193">
            <v>0</v>
          </cell>
          <cell r="AQ193">
            <v>0</v>
          </cell>
        </row>
        <row r="194">
          <cell r="A194" t="str">
            <v>B-54</v>
          </cell>
          <cell r="B194" t="str">
            <v>Vít</v>
          </cell>
          <cell r="C194" t="str">
            <v>SCREW M5x10</v>
          </cell>
          <cell r="D194">
            <v>0</v>
          </cell>
          <cell r="E194">
            <v>0</v>
          </cell>
          <cell r="F194">
            <v>0</v>
          </cell>
          <cell r="G194" t="str">
            <v>SUS304</v>
          </cell>
          <cell r="H194" t="str">
            <v>pcs</v>
          </cell>
          <cell r="I194">
            <v>0</v>
          </cell>
          <cell r="J194">
            <v>28</v>
          </cell>
          <cell r="K194">
            <v>0</v>
          </cell>
          <cell r="L194">
            <v>32</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32</v>
          </cell>
          <cell r="AE194">
            <v>0</v>
          </cell>
          <cell r="AF194">
            <v>0</v>
          </cell>
          <cell r="AG194">
            <v>0</v>
          </cell>
          <cell r="AH194">
            <v>0</v>
          </cell>
          <cell r="AI194">
            <v>0</v>
          </cell>
          <cell r="AJ194">
            <v>0</v>
          </cell>
          <cell r="AK194">
            <v>0</v>
          </cell>
          <cell r="AL194">
            <v>0</v>
          </cell>
          <cell r="AM194">
            <v>0</v>
          </cell>
          <cell r="AN194">
            <v>0</v>
          </cell>
          <cell r="AO194">
            <v>0</v>
          </cell>
          <cell r="AP194">
            <v>32</v>
          </cell>
          <cell r="AQ194">
            <v>0</v>
          </cell>
        </row>
        <row r="195">
          <cell r="A195" t="str">
            <v>B-55</v>
          </cell>
          <cell r="B195" t="str">
            <v>Vít</v>
          </cell>
          <cell r="C195" t="str">
            <v>SCREW M5x10</v>
          </cell>
          <cell r="D195">
            <v>0</v>
          </cell>
          <cell r="E195">
            <v>0</v>
          </cell>
          <cell r="F195">
            <v>0</v>
          </cell>
          <cell r="G195" t="str">
            <v>SUS304</v>
          </cell>
          <cell r="H195" t="str">
            <v>pcs</v>
          </cell>
          <cell r="I195">
            <v>0</v>
          </cell>
          <cell r="J195">
            <v>56</v>
          </cell>
          <cell r="K195">
            <v>0</v>
          </cell>
          <cell r="L195">
            <v>62</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62</v>
          </cell>
          <cell r="AE195">
            <v>0</v>
          </cell>
          <cell r="AF195">
            <v>0</v>
          </cell>
          <cell r="AG195">
            <v>0</v>
          </cell>
          <cell r="AH195">
            <v>0</v>
          </cell>
          <cell r="AI195">
            <v>0</v>
          </cell>
          <cell r="AJ195">
            <v>0</v>
          </cell>
          <cell r="AK195">
            <v>0</v>
          </cell>
          <cell r="AL195">
            <v>0</v>
          </cell>
          <cell r="AM195">
            <v>0</v>
          </cell>
          <cell r="AN195">
            <v>0</v>
          </cell>
          <cell r="AO195">
            <v>0</v>
          </cell>
          <cell r="AP195">
            <v>62</v>
          </cell>
          <cell r="AQ195">
            <v>0</v>
          </cell>
        </row>
        <row r="196">
          <cell r="A196" t="str">
            <v>B-56</v>
          </cell>
          <cell r="B196" t="str">
            <v>BOLT-ĐEN</v>
          </cell>
          <cell r="C196" t="str">
            <v>HEAVY HEX HEAD BOLT, 7/8" DIA. X 3 3/4" [95] LG</v>
          </cell>
          <cell r="D196">
            <v>0</v>
          </cell>
          <cell r="E196">
            <v>0</v>
          </cell>
          <cell r="F196">
            <v>0</v>
          </cell>
          <cell r="G196" t="str">
            <v>A325N</v>
          </cell>
          <cell r="H196" t="str">
            <v>pcs</v>
          </cell>
          <cell r="I196">
            <v>0</v>
          </cell>
          <cell r="J196">
            <v>18</v>
          </cell>
          <cell r="K196">
            <v>0</v>
          </cell>
          <cell r="L196">
            <v>18</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18</v>
          </cell>
          <cell r="AG196">
            <v>0</v>
          </cell>
          <cell r="AH196">
            <v>0</v>
          </cell>
          <cell r="AI196">
            <v>0</v>
          </cell>
          <cell r="AJ196">
            <v>0</v>
          </cell>
          <cell r="AK196">
            <v>0</v>
          </cell>
          <cell r="AL196">
            <v>0</v>
          </cell>
          <cell r="AM196">
            <v>0</v>
          </cell>
          <cell r="AN196">
            <v>0</v>
          </cell>
          <cell r="AO196">
            <v>0</v>
          </cell>
          <cell r="AP196">
            <v>18</v>
          </cell>
          <cell r="AQ196">
            <v>0</v>
          </cell>
        </row>
        <row r="197">
          <cell r="A197" t="str">
            <v>B-57</v>
          </cell>
          <cell r="B197" t="str">
            <v>NUT-ĐEN</v>
          </cell>
          <cell r="C197" t="str">
            <v>HEAVY HEX NUT: 7/8" DIA</v>
          </cell>
          <cell r="D197">
            <v>0</v>
          </cell>
          <cell r="E197">
            <v>0</v>
          </cell>
          <cell r="F197">
            <v>0</v>
          </cell>
          <cell r="G197" t="str">
            <v>A563 GR. DH</v>
          </cell>
          <cell r="H197" t="str">
            <v>pcs</v>
          </cell>
          <cell r="I197">
            <v>0</v>
          </cell>
          <cell r="J197">
            <v>18</v>
          </cell>
          <cell r="K197">
            <v>0</v>
          </cell>
          <cell r="L197">
            <v>18</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18</v>
          </cell>
          <cell r="AG197">
            <v>0</v>
          </cell>
          <cell r="AH197">
            <v>0</v>
          </cell>
          <cell r="AI197">
            <v>0</v>
          </cell>
          <cell r="AJ197">
            <v>0</v>
          </cell>
          <cell r="AK197">
            <v>0</v>
          </cell>
          <cell r="AL197">
            <v>0</v>
          </cell>
          <cell r="AM197">
            <v>0</v>
          </cell>
          <cell r="AN197">
            <v>0</v>
          </cell>
          <cell r="AO197">
            <v>0</v>
          </cell>
          <cell r="AP197">
            <v>18</v>
          </cell>
          <cell r="AQ197">
            <v>0</v>
          </cell>
        </row>
        <row r="198">
          <cell r="A198" t="str">
            <v>B-58</v>
          </cell>
          <cell r="B198" t="str">
            <v>WASHER-ĐEN</v>
          </cell>
          <cell r="C198" t="str">
            <v>FLAT WASHER: 7/8" DIA</v>
          </cell>
          <cell r="D198">
            <v>0</v>
          </cell>
          <cell r="E198">
            <v>0</v>
          </cell>
          <cell r="F198">
            <v>0</v>
          </cell>
          <cell r="G198" t="str">
            <v>F436</v>
          </cell>
          <cell r="H198" t="str">
            <v>pcs</v>
          </cell>
          <cell r="I198">
            <v>0</v>
          </cell>
          <cell r="J198">
            <v>36</v>
          </cell>
          <cell r="K198">
            <v>0</v>
          </cell>
          <cell r="L198">
            <v>36</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36</v>
          </cell>
          <cell r="AG198">
            <v>0</v>
          </cell>
          <cell r="AH198">
            <v>0</v>
          </cell>
          <cell r="AI198">
            <v>0</v>
          </cell>
          <cell r="AJ198">
            <v>0</v>
          </cell>
          <cell r="AK198">
            <v>0</v>
          </cell>
          <cell r="AL198">
            <v>0</v>
          </cell>
          <cell r="AM198">
            <v>0</v>
          </cell>
          <cell r="AN198">
            <v>0</v>
          </cell>
          <cell r="AO198">
            <v>0</v>
          </cell>
          <cell r="AP198">
            <v>36</v>
          </cell>
          <cell r="AQ198">
            <v>0</v>
          </cell>
        </row>
        <row r="199">
          <cell r="A199" t="str">
            <v>B-59</v>
          </cell>
          <cell r="B199" t="str">
            <v>BOLT-ĐEN</v>
          </cell>
          <cell r="C199" t="str">
            <v>HEAVY HEX HEAD BOLT, 3/4" DIA. X 3 1/2" [89] LG</v>
          </cell>
          <cell r="D199">
            <v>0</v>
          </cell>
          <cell r="E199">
            <v>0</v>
          </cell>
          <cell r="F199">
            <v>0</v>
          </cell>
          <cell r="G199" t="str">
            <v>A325N</v>
          </cell>
          <cell r="H199" t="str">
            <v>pcs</v>
          </cell>
          <cell r="I199">
            <v>0</v>
          </cell>
          <cell r="J199">
            <v>18</v>
          </cell>
          <cell r="K199">
            <v>0</v>
          </cell>
          <cell r="L199">
            <v>18</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18</v>
          </cell>
          <cell r="AG199">
            <v>0</v>
          </cell>
          <cell r="AH199">
            <v>0</v>
          </cell>
          <cell r="AI199">
            <v>0</v>
          </cell>
          <cell r="AJ199">
            <v>0</v>
          </cell>
          <cell r="AK199">
            <v>0</v>
          </cell>
          <cell r="AL199">
            <v>0</v>
          </cell>
          <cell r="AM199">
            <v>0</v>
          </cell>
          <cell r="AN199">
            <v>0</v>
          </cell>
          <cell r="AO199">
            <v>0</v>
          </cell>
          <cell r="AP199">
            <v>18</v>
          </cell>
          <cell r="AQ199">
            <v>0</v>
          </cell>
        </row>
        <row r="200">
          <cell r="A200" t="str">
            <v>B-60</v>
          </cell>
          <cell r="B200" t="str">
            <v>NUT-ĐEN</v>
          </cell>
          <cell r="C200" t="str">
            <v>HEAVY HEX NUT: 3/4" DIA</v>
          </cell>
          <cell r="D200">
            <v>0</v>
          </cell>
          <cell r="E200">
            <v>0</v>
          </cell>
          <cell r="F200">
            <v>0</v>
          </cell>
          <cell r="G200" t="str">
            <v>A563 GR. DH</v>
          </cell>
          <cell r="H200" t="str">
            <v>pcs</v>
          </cell>
          <cell r="I200">
            <v>0</v>
          </cell>
          <cell r="J200">
            <v>18</v>
          </cell>
          <cell r="K200">
            <v>0</v>
          </cell>
          <cell r="L200">
            <v>18</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18</v>
          </cell>
          <cell r="AG200">
            <v>0</v>
          </cell>
          <cell r="AH200">
            <v>0</v>
          </cell>
          <cell r="AI200">
            <v>0</v>
          </cell>
          <cell r="AJ200">
            <v>0</v>
          </cell>
          <cell r="AK200">
            <v>0</v>
          </cell>
          <cell r="AL200">
            <v>0</v>
          </cell>
          <cell r="AM200">
            <v>0</v>
          </cell>
          <cell r="AN200">
            <v>0</v>
          </cell>
          <cell r="AO200">
            <v>0</v>
          </cell>
          <cell r="AP200">
            <v>18</v>
          </cell>
          <cell r="AQ200">
            <v>0</v>
          </cell>
        </row>
        <row r="201">
          <cell r="A201" t="str">
            <v>B-61</v>
          </cell>
          <cell r="B201" t="str">
            <v>WASHER-ĐEN</v>
          </cell>
          <cell r="C201" t="str">
            <v>FLAT WASHER: 3/4" DIA</v>
          </cell>
          <cell r="D201">
            <v>0</v>
          </cell>
          <cell r="E201">
            <v>0</v>
          </cell>
          <cell r="F201">
            <v>0</v>
          </cell>
          <cell r="G201" t="str">
            <v>F436</v>
          </cell>
          <cell r="H201" t="str">
            <v>pcs</v>
          </cell>
          <cell r="I201">
            <v>0</v>
          </cell>
          <cell r="J201">
            <v>36</v>
          </cell>
          <cell r="K201">
            <v>0</v>
          </cell>
          <cell r="L201">
            <v>36</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36</v>
          </cell>
          <cell r="AG201">
            <v>0</v>
          </cell>
          <cell r="AH201">
            <v>0</v>
          </cell>
          <cell r="AI201">
            <v>0</v>
          </cell>
          <cell r="AJ201">
            <v>0</v>
          </cell>
          <cell r="AK201">
            <v>0</v>
          </cell>
          <cell r="AL201">
            <v>0</v>
          </cell>
          <cell r="AM201">
            <v>0</v>
          </cell>
          <cell r="AN201">
            <v>0</v>
          </cell>
          <cell r="AO201">
            <v>0</v>
          </cell>
          <cell r="AP201">
            <v>36</v>
          </cell>
          <cell r="AQ201">
            <v>0</v>
          </cell>
        </row>
        <row r="202">
          <cell r="A202" t="str">
            <v>B-62</v>
          </cell>
          <cell r="B202" t="str">
            <v>BOLT-ĐEN</v>
          </cell>
          <cell r="C202" t="str">
            <v>HEX HEAD BOLT, 5/8" DIA. X 3" LG</v>
          </cell>
          <cell r="D202">
            <v>0</v>
          </cell>
          <cell r="E202">
            <v>0</v>
          </cell>
          <cell r="F202">
            <v>0</v>
          </cell>
          <cell r="G202" t="str">
            <v>A325</v>
          </cell>
          <cell r="H202" t="str">
            <v>pcs</v>
          </cell>
          <cell r="I202">
            <v>0</v>
          </cell>
          <cell r="J202">
            <v>13</v>
          </cell>
          <cell r="K202">
            <v>0</v>
          </cell>
          <cell r="L202">
            <v>13</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13</v>
          </cell>
          <cell r="AG202">
            <v>0</v>
          </cell>
          <cell r="AH202">
            <v>0</v>
          </cell>
          <cell r="AI202">
            <v>0</v>
          </cell>
          <cell r="AJ202">
            <v>0</v>
          </cell>
          <cell r="AK202">
            <v>0</v>
          </cell>
          <cell r="AL202">
            <v>0</v>
          </cell>
          <cell r="AM202">
            <v>0</v>
          </cell>
          <cell r="AN202">
            <v>0</v>
          </cell>
          <cell r="AO202">
            <v>0</v>
          </cell>
          <cell r="AP202">
            <v>13</v>
          </cell>
          <cell r="AQ202">
            <v>0</v>
          </cell>
        </row>
        <row r="203">
          <cell r="A203" t="str">
            <v>B-63</v>
          </cell>
          <cell r="B203" t="str">
            <v>NUT-ĐEN</v>
          </cell>
          <cell r="C203" t="str">
            <v>HEX NUT: 5/8", GALV</v>
          </cell>
          <cell r="D203">
            <v>0</v>
          </cell>
          <cell r="E203">
            <v>0</v>
          </cell>
          <cell r="F203">
            <v>0</v>
          </cell>
          <cell r="G203" t="str">
            <v>A563 GR. DH</v>
          </cell>
          <cell r="H203" t="str">
            <v>pcs</v>
          </cell>
          <cell r="I203">
            <v>0</v>
          </cell>
          <cell r="J203">
            <v>13</v>
          </cell>
          <cell r="K203">
            <v>0</v>
          </cell>
          <cell r="L203">
            <v>13</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13</v>
          </cell>
          <cell r="AG203">
            <v>0</v>
          </cell>
          <cell r="AH203">
            <v>0</v>
          </cell>
          <cell r="AI203">
            <v>0</v>
          </cell>
          <cell r="AJ203">
            <v>0</v>
          </cell>
          <cell r="AK203">
            <v>0</v>
          </cell>
          <cell r="AL203">
            <v>0</v>
          </cell>
          <cell r="AM203">
            <v>0</v>
          </cell>
          <cell r="AN203">
            <v>0</v>
          </cell>
          <cell r="AO203">
            <v>0</v>
          </cell>
          <cell r="AP203">
            <v>13</v>
          </cell>
          <cell r="AQ203">
            <v>0</v>
          </cell>
        </row>
        <row r="204">
          <cell r="A204" t="str">
            <v>B-64</v>
          </cell>
          <cell r="B204" t="str">
            <v>WASHER-ĐEN</v>
          </cell>
          <cell r="C204" t="str">
            <v>HARDENED WASHER: 5/8"</v>
          </cell>
          <cell r="D204">
            <v>0</v>
          </cell>
          <cell r="E204">
            <v>0</v>
          </cell>
          <cell r="F204">
            <v>0</v>
          </cell>
          <cell r="G204" t="str">
            <v>F436</v>
          </cell>
          <cell r="H204" t="str">
            <v>pcs</v>
          </cell>
          <cell r="I204">
            <v>0</v>
          </cell>
          <cell r="J204">
            <v>13</v>
          </cell>
          <cell r="K204">
            <v>0</v>
          </cell>
          <cell r="L204">
            <v>13</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13</v>
          </cell>
          <cell r="AG204">
            <v>0</v>
          </cell>
          <cell r="AH204">
            <v>0</v>
          </cell>
          <cell r="AI204">
            <v>0</v>
          </cell>
          <cell r="AJ204">
            <v>0</v>
          </cell>
          <cell r="AK204">
            <v>0</v>
          </cell>
          <cell r="AL204">
            <v>0</v>
          </cell>
          <cell r="AM204">
            <v>0</v>
          </cell>
          <cell r="AN204">
            <v>0</v>
          </cell>
          <cell r="AO204">
            <v>0</v>
          </cell>
          <cell r="AP204">
            <v>13</v>
          </cell>
          <cell r="AQ204">
            <v>0</v>
          </cell>
        </row>
        <row r="205">
          <cell r="A205" t="str">
            <v>B-65</v>
          </cell>
          <cell r="B205" t="str">
            <v>Bảo ôn</v>
          </cell>
          <cell r="C205" t="str">
            <v>PL25</v>
          </cell>
          <cell r="D205">
            <v>50</v>
          </cell>
          <cell r="E205">
            <v>0</v>
          </cell>
          <cell r="F205">
            <v>0</v>
          </cell>
          <cell r="G205" t="str">
            <v>SUPERWOOD PLUS (128kg/m3)</v>
          </cell>
          <cell r="H205" t="str">
            <v>m3</v>
          </cell>
          <cell r="I205">
            <v>0</v>
          </cell>
          <cell r="J205">
            <v>6</v>
          </cell>
          <cell r="K205">
            <v>768</v>
          </cell>
          <cell r="L205">
            <v>8</v>
          </cell>
          <cell r="M205">
            <v>1024</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8</v>
          </cell>
          <cell r="AG205">
            <v>1024</v>
          </cell>
          <cell r="AH205">
            <v>0</v>
          </cell>
          <cell r="AI205">
            <v>0</v>
          </cell>
          <cell r="AJ205">
            <v>0</v>
          </cell>
          <cell r="AK205">
            <v>0</v>
          </cell>
          <cell r="AL205">
            <v>0</v>
          </cell>
          <cell r="AM205">
            <v>0</v>
          </cell>
          <cell r="AN205">
            <v>0</v>
          </cell>
          <cell r="AO205">
            <v>0</v>
          </cell>
          <cell r="AP205">
            <v>8</v>
          </cell>
          <cell r="AQ205">
            <v>1024</v>
          </cell>
        </row>
        <row r="206">
          <cell r="A206" t="str">
            <v>B-66</v>
          </cell>
          <cell r="B206" t="str">
            <v>Bảo ôn</v>
          </cell>
          <cell r="C206" t="str">
            <v>PL3-Superwool Plus Paper</v>
          </cell>
          <cell r="D206">
            <v>50</v>
          </cell>
          <cell r="E206">
            <v>0</v>
          </cell>
          <cell r="F206">
            <v>0</v>
          </cell>
          <cell r="G206" t="str">
            <v>SUPERWOOD PLUS PAPER (128kg/m3)</v>
          </cell>
          <cell r="H206" t="str">
            <v>m2</v>
          </cell>
          <cell r="I206">
            <v>0</v>
          </cell>
          <cell r="J206">
            <v>3.3</v>
          </cell>
          <cell r="K206">
            <v>12.671999999999999</v>
          </cell>
          <cell r="L206">
            <v>3.3</v>
          </cell>
          <cell r="M206">
            <v>25.343999999999998</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3.3</v>
          </cell>
          <cell r="AI206">
            <v>0</v>
          </cell>
          <cell r="AJ206">
            <v>0</v>
          </cell>
          <cell r="AK206">
            <v>0</v>
          </cell>
          <cell r="AL206">
            <v>0</v>
          </cell>
          <cell r="AM206">
            <v>0</v>
          </cell>
          <cell r="AN206">
            <v>0</v>
          </cell>
          <cell r="AO206">
            <v>0</v>
          </cell>
          <cell r="AP206">
            <v>3.3</v>
          </cell>
          <cell r="AQ206">
            <v>25.343999999999998</v>
          </cell>
        </row>
        <row r="207">
          <cell r="A207" t="str">
            <v>B-67</v>
          </cell>
          <cell r="B207" t="str">
            <v>HEX BOLT</v>
          </cell>
          <cell r="C207" t="str">
            <v>HEAVY HEX HEAD BOLT, 3/4" DIA. X 1 3/4" LG., A307</v>
          </cell>
          <cell r="D207">
            <v>0</v>
          </cell>
          <cell r="E207">
            <v>0</v>
          </cell>
          <cell r="F207">
            <v>0</v>
          </cell>
          <cell r="G207" t="str">
            <v>A307</v>
          </cell>
          <cell r="H207" t="str">
            <v>pcs</v>
          </cell>
          <cell r="I207">
            <v>0</v>
          </cell>
          <cell r="J207">
            <v>62</v>
          </cell>
          <cell r="K207">
            <v>0</v>
          </cell>
          <cell r="L207">
            <v>62</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62</v>
          </cell>
          <cell r="AK207">
            <v>0</v>
          </cell>
          <cell r="AL207">
            <v>0</v>
          </cell>
          <cell r="AM207">
            <v>0</v>
          </cell>
          <cell r="AN207">
            <v>0</v>
          </cell>
          <cell r="AO207">
            <v>0</v>
          </cell>
          <cell r="AP207">
            <v>62</v>
          </cell>
          <cell r="AQ207">
            <v>0</v>
          </cell>
        </row>
        <row r="208">
          <cell r="A208" t="str">
            <v>B-68</v>
          </cell>
          <cell r="B208" t="str">
            <v>HEX NUT</v>
          </cell>
          <cell r="C208" t="str">
            <v>HEAVY HEX NUT: 3/4" DIA., A563 GR. A</v>
          </cell>
          <cell r="D208">
            <v>0</v>
          </cell>
          <cell r="E208">
            <v>0</v>
          </cell>
          <cell r="F208">
            <v>0</v>
          </cell>
          <cell r="G208" t="str">
            <v>A563 GR. A</v>
          </cell>
          <cell r="H208" t="str">
            <v>pcs</v>
          </cell>
          <cell r="I208">
            <v>0</v>
          </cell>
          <cell r="J208">
            <v>62</v>
          </cell>
          <cell r="K208">
            <v>0</v>
          </cell>
          <cell r="L208">
            <v>62</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62</v>
          </cell>
          <cell r="AK208">
            <v>0</v>
          </cell>
          <cell r="AL208">
            <v>0</v>
          </cell>
          <cell r="AM208">
            <v>0</v>
          </cell>
          <cell r="AN208">
            <v>0</v>
          </cell>
          <cell r="AO208">
            <v>0</v>
          </cell>
          <cell r="AP208">
            <v>62</v>
          </cell>
          <cell r="AQ208">
            <v>0</v>
          </cell>
        </row>
        <row r="209">
          <cell r="A209" t="str">
            <v>B-69</v>
          </cell>
          <cell r="B209" t="str">
            <v>Bolt+nut+washer-mạ kẽm</v>
          </cell>
          <cell r="C209" t="str">
            <v>3/8"-16UNC x 1" LG. MACH BOLT W/NUT WASHER( 1B+1n+1w)</v>
          </cell>
          <cell r="D209">
            <v>0</v>
          </cell>
          <cell r="E209">
            <v>0</v>
          </cell>
          <cell r="F209">
            <v>0</v>
          </cell>
          <cell r="G209" t="str">
            <v>ZINC PLT'D</v>
          </cell>
          <cell r="H209" t="str">
            <v>set</v>
          </cell>
          <cell r="I209">
            <v>0</v>
          </cell>
          <cell r="J209">
            <v>8</v>
          </cell>
          <cell r="K209">
            <v>0</v>
          </cell>
          <cell r="L209">
            <v>9</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9</v>
          </cell>
          <cell r="AK209">
            <v>0</v>
          </cell>
          <cell r="AL209">
            <v>0</v>
          </cell>
          <cell r="AM209">
            <v>0</v>
          </cell>
          <cell r="AN209">
            <v>0</v>
          </cell>
          <cell r="AO209">
            <v>0</v>
          </cell>
          <cell r="AP209">
            <v>9</v>
          </cell>
          <cell r="AQ209">
            <v>0</v>
          </cell>
        </row>
        <row r="210">
          <cell r="A210" t="str">
            <v>B-70</v>
          </cell>
          <cell r="B210" t="str">
            <v>SET BOLT+NUT+WASHER MẠ KẼM NHÚNG NÓNG</v>
          </cell>
          <cell r="C210" t="str">
            <v>BOLT 3/4"DIAx3"1/2L(1B+1N+1W)</v>
          </cell>
          <cell r="D210">
            <v>0</v>
          </cell>
          <cell r="E210">
            <v>0</v>
          </cell>
          <cell r="F210">
            <v>0</v>
          </cell>
          <cell r="G210" t="str">
            <v>A325N</v>
          </cell>
          <cell r="H210" t="str">
            <v>SET</v>
          </cell>
          <cell r="I210">
            <v>0</v>
          </cell>
          <cell r="J210">
            <v>28</v>
          </cell>
          <cell r="K210">
            <v>0</v>
          </cell>
          <cell r="L210">
            <v>30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30</v>
          </cell>
          <cell r="AK210">
            <v>0</v>
          </cell>
          <cell r="AL210">
            <v>0</v>
          </cell>
          <cell r="AM210">
            <v>0</v>
          </cell>
          <cell r="AN210">
            <v>0</v>
          </cell>
          <cell r="AO210">
            <v>0</v>
          </cell>
          <cell r="AP210">
            <v>30</v>
          </cell>
          <cell r="AQ210">
            <v>0</v>
          </cell>
        </row>
        <row r="211">
          <cell r="A211" t="str">
            <v>B-71</v>
          </cell>
          <cell r="B211" t="str">
            <v>SET BOLT+NUT+WASHER MẠ KẼM NHÚNG NÓNG</v>
          </cell>
          <cell r="C211" t="str">
            <v>BOLT 3/8"DIAx1"1/2L(1B+1N+1W)</v>
          </cell>
          <cell r="D211">
            <v>0</v>
          </cell>
          <cell r="E211">
            <v>0</v>
          </cell>
          <cell r="F211">
            <v>0</v>
          </cell>
          <cell r="G211" t="str">
            <v>A307</v>
          </cell>
          <cell r="H211" t="str">
            <v>SET</v>
          </cell>
          <cell r="I211">
            <v>0</v>
          </cell>
          <cell r="J211">
            <v>520</v>
          </cell>
          <cell r="K211">
            <v>0</v>
          </cell>
          <cell r="L211">
            <v>546</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546</v>
          </cell>
          <cell r="AK211">
            <v>0</v>
          </cell>
          <cell r="AL211">
            <v>0</v>
          </cell>
          <cell r="AM211">
            <v>0</v>
          </cell>
          <cell r="AN211">
            <v>0</v>
          </cell>
          <cell r="AO211">
            <v>0</v>
          </cell>
          <cell r="AP211">
            <v>546</v>
          </cell>
          <cell r="AQ211">
            <v>0</v>
          </cell>
        </row>
        <row r="212">
          <cell r="A212" t="str">
            <v>B-72</v>
          </cell>
          <cell r="B212" t="str">
            <v>SET BOLT+NUT+WASHER MẠ KẼM NHÚNG NÓNG</v>
          </cell>
          <cell r="C212" t="str">
            <v>BOLT 5/8"DIAx1"3/4L(1B+1N+2W)</v>
          </cell>
          <cell r="D212">
            <v>0</v>
          </cell>
          <cell r="E212">
            <v>0</v>
          </cell>
          <cell r="F212">
            <v>0</v>
          </cell>
          <cell r="G212" t="str">
            <v>A325N</v>
          </cell>
          <cell r="H212" t="str">
            <v>SET</v>
          </cell>
          <cell r="I212">
            <v>0</v>
          </cell>
          <cell r="J212">
            <v>10</v>
          </cell>
          <cell r="K212">
            <v>0</v>
          </cell>
          <cell r="L212">
            <v>11</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11</v>
          </cell>
          <cell r="AK212">
            <v>0</v>
          </cell>
          <cell r="AL212">
            <v>0</v>
          </cell>
          <cell r="AM212">
            <v>0</v>
          </cell>
          <cell r="AN212">
            <v>0</v>
          </cell>
          <cell r="AO212">
            <v>0</v>
          </cell>
          <cell r="AP212">
            <v>11</v>
          </cell>
          <cell r="AQ212">
            <v>0</v>
          </cell>
        </row>
        <row r="213">
          <cell r="A213" t="str">
            <v>B-73</v>
          </cell>
          <cell r="B213" t="str">
            <v>SET BOLT+NUT+WASHER MẠ KẼM NHÚNG NÓNG</v>
          </cell>
          <cell r="C213" t="str">
            <v>BOLT 5/8"DIAx2"L(1B+1N+2W)</v>
          </cell>
          <cell r="D213">
            <v>0</v>
          </cell>
          <cell r="E213">
            <v>0</v>
          </cell>
          <cell r="F213">
            <v>0</v>
          </cell>
          <cell r="G213" t="str">
            <v>A325N</v>
          </cell>
          <cell r="H213" t="str">
            <v>SET</v>
          </cell>
          <cell r="I213">
            <v>0</v>
          </cell>
          <cell r="J213">
            <v>635</v>
          </cell>
          <cell r="K213">
            <v>0</v>
          </cell>
          <cell r="L213">
            <v>699</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699</v>
          </cell>
          <cell r="AK213">
            <v>0</v>
          </cell>
          <cell r="AL213">
            <v>0</v>
          </cell>
          <cell r="AM213">
            <v>0</v>
          </cell>
          <cell r="AN213">
            <v>0</v>
          </cell>
          <cell r="AO213">
            <v>0</v>
          </cell>
          <cell r="AP213">
            <v>699</v>
          </cell>
          <cell r="AQ213">
            <v>0</v>
          </cell>
        </row>
        <row r="214">
          <cell r="A214" t="str">
            <v>B-74</v>
          </cell>
          <cell r="B214" t="str">
            <v>SET BOLT+NUT+WASHER MẠ KẼM NHÚNG NÓNG</v>
          </cell>
          <cell r="C214" t="str">
            <v>BOLT 5/8"DIAx2"1/4L(1B+1N+2W)</v>
          </cell>
          <cell r="D214">
            <v>0</v>
          </cell>
          <cell r="E214">
            <v>0</v>
          </cell>
          <cell r="F214">
            <v>0</v>
          </cell>
          <cell r="G214" t="str">
            <v>A325N</v>
          </cell>
          <cell r="H214" t="str">
            <v>SET</v>
          </cell>
          <cell r="I214">
            <v>0</v>
          </cell>
          <cell r="J214">
            <v>24</v>
          </cell>
          <cell r="K214">
            <v>0</v>
          </cell>
          <cell r="L214">
            <v>27</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27</v>
          </cell>
          <cell r="AK214">
            <v>0</v>
          </cell>
          <cell r="AL214">
            <v>0</v>
          </cell>
          <cell r="AM214">
            <v>0</v>
          </cell>
          <cell r="AN214">
            <v>0</v>
          </cell>
          <cell r="AO214">
            <v>0</v>
          </cell>
          <cell r="AP214">
            <v>27</v>
          </cell>
          <cell r="AQ214">
            <v>0</v>
          </cell>
        </row>
        <row r="215">
          <cell r="A215" t="str">
            <v>B-75</v>
          </cell>
          <cell r="B215" t="str">
            <v>SET BOLT+NUT+WASHER MẠ KẼM NHÚNG NÓNG-(FW ĐỆM PHẲNG,TW LÀ ĐỆM VÁT)</v>
          </cell>
          <cell r="C215" t="str">
            <v>BOLT 5/8"DIAx2"1/4L(1B+1N+1FW+1TW)</v>
          </cell>
          <cell r="D215">
            <v>0</v>
          </cell>
          <cell r="E215">
            <v>0</v>
          </cell>
          <cell r="F215">
            <v>0</v>
          </cell>
          <cell r="G215" t="str">
            <v>A325N</v>
          </cell>
          <cell r="H215" t="str">
            <v>SET</v>
          </cell>
          <cell r="I215">
            <v>0</v>
          </cell>
          <cell r="J215">
            <v>166</v>
          </cell>
          <cell r="K215">
            <v>0</v>
          </cell>
          <cell r="L215">
            <v>183</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183</v>
          </cell>
          <cell r="AK215">
            <v>0</v>
          </cell>
          <cell r="AL215">
            <v>0</v>
          </cell>
          <cell r="AM215">
            <v>0</v>
          </cell>
          <cell r="AN215">
            <v>0</v>
          </cell>
          <cell r="AO215">
            <v>0</v>
          </cell>
          <cell r="AP215">
            <v>183</v>
          </cell>
          <cell r="AQ215">
            <v>0</v>
          </cell>
        </row>
        <row r="216">
          <cell r="A216" t="str">
            <v>B-76</v>
          </cell>
          <cell r="B216" t="str">
            <v>SET BOLT+NUT+WASHER MẠ KẼM NHÚNG NÓNG</v>
          </cell>
          <cell r="C216" t="str">
            <v>BOLT 5/8"DIAx3"3/4L(1B+1N+2W)</v>
          </cell>
          <cell r="D216">
            <v>0</v>
          </cell>
          <cell r="E216">
            <v>0</v>
          </cell>
          <cell r="F216">
            <v>0</v>
          </cell>
          <cell r="G216" t="str">
            <v>A325N</v>
          </cell>
          <cell r="H216" t="str">
            <v>SET</v>
          </cell>
          <cell r="I216">
            <v>0</v>
          </cell>
          <cell r="J216">
            <v>60</v>
          </cell>
          <cell r="K216">
            <v>0</v>
          </cell>
          <cell r="L216">
            <v>63</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63</v>
          </cell>
          <cell r="AK216">
            <v>0</v>
          </cell>
          <cell r="AL216">
            <v>0</v>
          </cell>
          <cell r="AM216">
            <v>0</v>
          </cell>
          <cell r="AN216">
            <v>0</v>
          </cell>
          <cell r="AO216">
            <v>0</v>
          </cell>
          <cell r="AP216">
            <v>63</v>
          </cell>
          <cell r="AQ216">
            <v>0</v>
          </cell>
        </row>
        <row r="217">
          <cell r="A217" t="str">
            <v>B-77</v>
          </cell>
          <cell r="B217" t="str">
            <v>SET BOLT+NUT+WASHER MẠ KẼM NHÚNG NÓNG</v>
          </cell>
          <cell r="C217" t="str">
            <v>BOLT 5/8"DIAx1"1/2L(1B+1N+1W)</v>
          </cell>
          <cell r="D217">
            <v>0</v>
          </cell>
          <cell r="E217">
            <v>0</v>
          </cell>
          <cell r="F217">
            <v>0</v>
          </cell>
          <cell r="G217" t="str">
            <v>A325N</v>
          </cell>
          <cell r="H217" t="str">
            <v>SET</v>
          </cell>
          <cell r="I217">
            <v>0</v>
          </cell>
          <cell r="J217">
            <v>2</v>
          </cell>
          <cell r="K217">
            <v>0</v>
          </cell>
          <cell r="L217">
            <v>3</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3</v>
          </cell>
          <cell r="AK217">
            <v>0</v>
          </cell>
          <cell r="AL217">
            <v>0</v>
          </cell>
          <cell r="AM217">
            <v>0</v>
          </cell>
          <cell r="AN217">
            <v>0</v>
          </cell>
          <cell r="AO217">
            <v>0</v>
          </cell>
          <cell r="AP217">
            <v>3</v>
          </cell>
          <cell r="AQ217">
            <v>0</v>
          </cell>
        </row>
        <row r="218">
          <cell r="A218" t="str">
            <v>B-78</v>
          </cell>
          <cell r="B218" t="str">
            <v>SET BOLT+NUT+WASHER MẠ KẼM NHÚNG NÓNG</v>
          </cell>
          <cell r="C218" t="str">
            <v>BOLT 5/8"DIAx1"3/4L(1B+1N+1W)</v>
          </cell>
          <cell r="D218">
            <v>0</v>
          </cell>
          <cell r="E218">
            <v>0</v>
          </cell>
          <cell r="F218">
            <v>0</v>
          </cell>
          <cell r="G218" t="str">
            <v>A325N</v>
          </cell>
          <cell r="H218" t="str">
            <v>SET</v>
          </cell>
          <cell r="I218">
            <v>0</v>
          </cell>
          <cell r="J218">
            <v>46</v>
          </cell>
          <cell r="K218">
            <v>0</v>
          </cell>
          <cell r="L218">
            <v>51</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51</v>
          </cell>
          <cell r="AK218">
            <v>0</v>
          </cell>
          <cell r="AL218">
            <v>0</v>
          </cell>
          <cell r="AM218">
            <v>0</v>
          </cell>
          <cell r="AN218">
            <v>0</v>
          </cell>
          <cell r="AO218">
            <v>0</v>
          </cell>
          <cell r="AP218">
            <v>51</v>
          </cell>
          <cell r="AQ218">
            <v>0</v>
          </cell>
        </row>
        <row r="219">
          <cell r="A219" t="str">
            <v>B-79</v>
          </cell>
          <cell r="B219" t="str">
            <v>SET BOLT+NUT+WASHER MẠ KẼM NHÚNG NÓNG</v>
          </cell>
          <cell r="C219" t="str">
            <v>BOLT 5/8"DIAx2"L(1B+1N+1W)</v>
          </cell>
          <cell r="D219">
            <v>0</v>
          </cell>
          <cell r="E219">
            <v>0</v>
          </cell>
          <cell r="F219">
            <v>0</v>
          </cell>
          <cell r="G219" t="str">
            <v>A325N</v>
          </cell>
          <cell r="H219" t="str">
            <v>SET</v>
          </cell>
          <cell r="I219">
            <v>0</v>
          </cell>
          <cell r="J219">
            <v>72</v>
          </cell>
          <cell r="K219">
            <v>0</v>
          </cell>
          <cell r="L219">
            <v>77</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77</v>
          </cell>
          <cell r="AK219">
            <v>0</v>
          </cell>
          <cell r="AL219">
            <v>0</v>
          </cell>
          <cell r="AM219">
            <v>0</v>
          </cell>
          <cell r="AN219">
            <v>0</v>
          </cell>
          <cell r="AO219">
            <v>0</v>
          </cell>
          <cell r="AP219">
            <v>77</v>
          </cell>
          <cell r="AQ219">
            <v>0</v>
          </cell>
        </row>
        <row r="220">
          <cell r="A220" t="str">
            <v>B-80</v>
          </cell>
          <cell r="B220" t="str">
            <v>SET BOLT+NUT+WASHER MẠ KẼM NHÚNG NÓNG</v>
          </cell>
          <cell r="C220" t="str">
            <v>BOLT 5/8"DIAx3"1/2L(1B+1N+1W)</v>
          </cell>
          <cell r="D220">
            <v>0</v>
          </cell>
          <cell r="E220">
            <v>0</v>
          </cell>
          <cell r="F220">
            <v>0</v>
          </cell>
          <cell r="G220" t="str">
            <v>A325N</v>
          </cell>
          <cell r="H220" t="str">
            <v>SET</v>
          </cell>
          <cell r="I220">
            <v>0</v>
          </cell>
          <cell r="J220">
            <v>28</v>
          </cell>
          <cell r="K220">
            <v>0</v>
          </cell>
          <cell r="L220">
            <v>31</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31</v>
          </cell>
          <cell r="AK220">
            <v>0</v>
          </cell>
          <cell r="AL220">
            <v>0</v>
          </cell>
          <cell r="AM220">
            <v>0</v>
          </cell>
          <cell r="AN220">
            <v>0</v>
          </cell>
          <cell r="AO220">
            <v>0</v>
          </cell>
          <cell r="AP220">
            <v>31</v>
          </cell>
          <cell r="AQ220">
            <v>0</v>
          </cell>
        </row>
        <row r="221">
          <cell r="A221" t="str">
            <v>B-81</v>
          </cell>
          <cell r="B221" t="str">
            <v>SET BOLT+NUT+WASHER MẠ KẼM NHÚNG NÓNG</v>
          </cell>
          <cell r="C221" t="str">
            <v>BOLT 5/8"DIAx3"1/4L(1B+1N+1W)</v>
          </cell>
          <cell r="D221">
            <v>0</v>
          </cell>
          <cell r="E221">
            <v>0</v>
          </cell>
          <cell r="F221">
            <v>0</v>
          </cell>
          <cell r="G221" t="str">
            <v>A325N</v>
          </cell>
          <cell r="H221" t="str">
            <v>SET</v>
          </cell>
          <cell r="I221">
            <v>0</v>
          </cell>
          <cell r="J221">
            <v>32</v>
          </cell>
          <cell r="K221">
            <v>0</v>
          </cell>
          <cell r="L221">
            <v>36</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36</v>
          </cell>
          <cell r="AK221">
            <v>0</v>
          </cell>
          <cell r="AL221">
            <v>0</v>
          </cell>
          <cell r="AM221">
            <v>0</v>
          </cell>
          <cell r="AN221">
            <v>0</v>
          </cell>
          <cell r="AO221">
            <v>0</v>
          </cell>
          <cell r="AP221">
            <v>36</v>
          </cell>
          <cell r="AQ221">
            <v>0</v>
          </cell>
        </row>
        <row r="222">
          <cell r="A222" t="str">
            <v>B-82</v>
          </cell>
          <cell r="B222" t="str">
            <v>SET BOLT+NUT+WASHER MẠ KẼM NHÚNG NÓNG</v>
          </cell>
          <cell r="C222" t="str">
            <v>BOLT 7/8"DIAx2"L(1B+1N+2W)</v>
          </cell>
          <cell r="D222">
            <v>0</v>
          </cell>
          <cell r="E222">
            <v>0</v>
          </cell>
          <cell r="F222">
            <v>0</v>
          </cell>
          <cell r="G222" t="str">
            <v>A325N</v>
          </cell>
          <cell r="H222" t="str">
            <v>SET</v>
          </cell>
          <cell r="I222">
            <v>0</v>
          </cell>
          <cell r="J222">
            <v>20</v>
          </cell>
          <cell r="K222">
            <v>0</v>
          </cell>
          <cell r="L222">
            <v>22</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22</v>
          </cell>
          <cell r="AK222">
            <v>0</v>
          </cell>
          <cell r="AL222">
            <v>0</v>
          </cell>
          <cell r="AM222">
            <v>0</v>
          </cell>
          <cell r="AN222">
            <v>0</v>
          </cell>
          <cell r="AO222">
            <v>0</v>
          </cell>
          <cell r="AP222">
            <v>22</v>
          </cell>
          <cell r="AQ222">
            <v>0</v>
          </cell>
        </row>
        <row r="223">
          <cell r="A223" t="str">
            <v>B-83</v>
          </cell>
          <cell r="B223" t="str">
            <v>SET BOLT+NUT+WASHER MẠ KẼM NHÚNG NÓNG</v>
          </cell>
          <cell r="C223" t="str">
            <v>BOLT 7/8"DIAx2"1/2L(1B+1N+2W)</v>
          </cell>
          <cell r="D223">
            <v>0</v>
          </cell>
          <cell r="E223">
            <v>0</v>
          </cell>
          <cell r="F223">
            <v>0</v>
          </cell>
          <cell r="G223" t="str">
            <v>A325N</v>
          </cell>
          <cell r="H223" t="str">
            <v>SET</v>
          </cell>
          <cell r="I223">
            <v>0</v>
          </cell>
          <cell r="J223">
            <v>255</v>
          </cell>
          <cell r="K223">
            <v>0</v>
          </cell>
          <cell r="L223">
            <v>281</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281</v>
          </cell>
          <cell r="AK223">
            <v>0</v>
          </cell>
          <cell r="AL223">
            <v>0</v>
          </cell>
          <cell r="AM223">
            <v>0</v>
          </cell>
          <cell r="AN223">
            <v>0</v>
          </cell>
          <cell r="AO223">
            <v>0</v>
          </cell>
          <cell r="AP223">
            <v>281</v>
          </cell>
          <cell r="AQ223">
            <v>0</v>
          </cell>
        </row>
        <row r="224">
          <cell r="A224" t="str">
            <v>B-84</v>
          </cell>
          <cell r="B224" t="str">
            <v>SET BOLT+NUT+WASHER MẠ KẼM NHÚNG NÓNG-(FW ĐỆM PHẲNG,TW LÀ ĐỆM VÁT)</v>
          </cell>
          <cell r="C224" t="str">
            <v>BOLT 7/8"DIAx2"1/2L(1B+1N+1FW+1TW)</v>
          </cell>
          <cell r="D224">
            <v>0</v>
          </cell>
          <cell r="E224">
            <v>0</v>
          </cell>
          <cell r="F224">
            <v>0</v>
          </cell>
          <cell r="G224" t="str">
            <v>A325N</v>
          </cell>
          <cell r="H224" t="str">
            <v>SET</v>
          </cell>
          <cell r="I224">
            <v>0</v>
          </cell>
          <cell r="J224">
            <v>109</v>
          </cell>
          <cell r="K224">
            <v>0</v>
          </cell>
          <cell r="L224">
            <v>120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120</v>
          </cell>
          <cell r="AK224">
            <v>0</v>
          </cell>
          <cell r="AL224">
            <v>0</v>
          </cell>
          <cell r="AM224">
            <v>0</v>
          </cell>
          <cell r="AN224">
            <v>0</v>
          </cell>
          <cell r="AO224">
            <v>0</v>
          </cell>
          <cell r="AP224">
            <v>120</v>
          </cell>
          <cell r="AQ224">
            <v>0</v>
          </cell>
        </row>
        <row r="225">
          <cell r="A225" t="str">
            <v>B-85</v>
          </cell>
          <cell r="B225" t="str">
            <v>SET BOLT+NUT+WASHER MẠ KẼM NHÚNG NÓNG</v>
          </cell>
          <cell r="C225" t="str">
            <v>BOLT 7/8"DIAx2"1/4L(1B+1N+2W)</v>
          </cell>
          <cell r="D225">
            <v>0</v>
          </cell>
          <cell r="E225">
            <v>0</v>
          </cell>
          <cell r="F225">
            <v>0</v>
          </cell>
          <cell r="G225" t="str">
            <v>A325N</v>
          </cell>
          <cell r="H225" t="str">
            <v>SET</v>
          </cell>
          <cell r="I225">
            <v>0</v>
          </cell>
          <cell r="J225">
            <v>196</v>
          </cell>
          <cell r="K225">
            <v>0</v>
          </cell>
          <cell r="L225">
            <v>216</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216</v>
          </cell>
          <cell r="AK225">
            <v>0</v>
          </cell>
          <cell r="AL225">
            <v>0</v>
          </cell>
          <cell r="AM225">
            <v>0</v>
          </cell>
          <cell r="AN225">
            <v>0</v>
          </cell>
          <cell r="AO225">
            <v>0</v>
          </cell>
          <cell r="AP225">
            <v>216</v>
          </cell>
          <cell r="AQ225">
            <v>0</v>
          </cell>
        </row>
        <row r="226">
          <cell r="A226" t="str">
            <v>B-86</v>
          </cell>
          <cell r="B226" t="str">
            <v>SET BOLT+NUT+WASHER MẠ KẼM NHÚNG NÓNG-(FW ĐỆM PHẲNG,TW LÀ ĐỆM VÁT)</v>
          </cell>
          <cell r="C226" t="str">
            <v>BOLT 7/8"DIAx2"1/4L(1B+1N+1FW+1TW)</v>
          </cell>
          <cell r="D226">
            <v>0</v>
          </cell>
          <cell r="E226">
            <v>0</v>
          </cell>
          <cell r="F226">
            <v>0</v>
          </cell>
          <cell r="G226" t="str">
            <v>A325N</v>
          </cell>
          <cell r="H226" t="str">
            <v>SET</v>
          </cell>
          <cell r="I226">
            <v>0</v>
          </cell>
          <cell r="J226">
            <v>2</v>
          </cell>
          <cell r="K226">
            <v>0</v>
          </cell>
          <cell r="L226">
            <v>3</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3</v>
          </cell>
          <cell r="AK226">
            <v>0</v>
          </cell>
          <cell r="AL226">
            <v>0</v>
          </cell>
          <cell r="AM226">
            <v>0</v>
          </cell>
          <cell r="AN226">
            <v>0</v>
          </cell>
          <cell r="AO226">
            <v>0</v>
          </cell>
          <cell r="AP226">
            <v>3</v>
          </cell>
          <cell r="AQ226">
            <v>0</v>
          </cell>
        </row>
        <row r="227">
          <cell r="A227" t="str">
            <v>B-87</v>
          </cell>
          <cell r="B227" t="str">
            <v>SET BOLT+NUT+WASHER MẠ KẼM NHÚNG NÓNG</v>
          </cell>
          <cell r="C227" t="str">
            <v>BOLT 7/8"DIAx2"3/4L(1B+1N+2W)</v>
          </cell>
          <cell r="D227">
            <v>0</v>
          </cell>
          <cell r="E227">
            <v>0</v>
          </cell>
          <cell r="F227">
            <v>0</v>
          </cell>
          <cell r="G227" t="str">
            <v>A325N</v>
          </cell>
          <cell r="H227" t="str">
            <v>SET</v>
          </cell>
          <cell r="I227">
            <v>0</v>
          </cell>
          <cell r="J227">
            <v>80</v>
          </cell>
          <cell r="K227">
            <v>0</v>
          </cell>
          <cell r="L227">
            <v>88</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88</v>
          </cell>
          <cell r="AK227">
            <v>0</v>
          </cell>
          <cell r="AL227">
            <v>0</v>
          </cell>
          <cell r="AM227">
            <v>0</v>
          </cell>
          <cell r="AN227">
            <v>0</v>
          </cell>
          <cell r="AO227">
            <v>0</v>
          </cell>
          <cell r="AP227">
            <v>88</v>
          </cell>
          <cell r="AQ227">
            <v>0</v>
          </cell>
        </row>
        <row r="228">
          <cell r="A228" t="str">
            <v>B-88</v>
          </cell>
          <cell r="B228" t="str">
            <v>SET BOLT+NUT+WASHER MẠ KẼM NHÚNG NÓNG-(FW ĐỆM PHẲNG,TW LÀ ĐỆM VÁT)</v>
          </cell>
          <cell r="C228" t="str">
            <v>BOLT 7/8"DIAx2"3/4L(1B+1N+1FW+1TW)</v>
          </cell>
          <cell r="D228">
            <v>0</v>
          </cell>
          <cell r="E228">
            <v>0</v>
          </cell>
          <cell r="F228">
            <v>0</v>
          </cell>
          <cell r="G228" t="str">
            <v>A325N</v>
          </cell>
          <cell r="H228" t="str">
            <v>SET</v>
          </cell>
          <cell r="I228">
            <v>0</v>
          </cell>
          <cell r="J228">
            <v>48</v>
          </cell>
          <cell r="K228">
            <v>0</v>
          </cell>
          <cell r="L228">
            <v>53</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53</v>
          </cell>
          <cell r="AK228">
            <v>0</v>
          </cell>
          <cell r="AL228">
            <v>0</v>
          </cell>
          <cell r="AM228">
            <v>0</v>
          </cell>
          <cell r="AN228">
            <v>0</v>
          </cell>
          <cell r="AO228">
            <v>0</v>
          </cell>
          <cell r="AP228">
            <v>53</v>
          </cell>
          <cell r="AQ228">
            <v>0</v>
          </cell>
        </row>
        <row r="229">
          <cell r="A229" t="str">
            <v>B-89</v>
          </cell>
          <cell r="B229" t="str">
            <v>SET BOLT+NUT+WASHER MẠ KẼM NHÚNG NÓNG</v>
          </cell>
          <cell r="C229" t="str">
            <v>BOLT 7/8"DIAx3"L(1B+1N+2W)</v>
          </cell>
          <cell r="D229">
            <v>0</v>
          </cell>
          <cell r="E229">
            <v>0</v>
          </cell>
          <cell r="F229">
            <v>0</v>
          </cell>
          <cell r="G229" t="str">
            <v>A325N</v>
          </cell>
          <cell r="H229" t="str">
            <v>SET</v>
          </cell>
          <cell r="I229">
            <v>0</v>
          </cell>
          <cell r="J229">
            <v>132</v>
          </cell>
          <cell r="K229">
            <v>0</v>
          </cell>
          <cell r="L229">
            <v>146</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146</v>
          </cell>
          <cell r="AK229">
            <v>0</v>
          </cell>
          <cell r="AL229">
            <v>0</v>
          </cell>
          <cell r="AM229">
            <v>0</v>
          </cell>
          <cell r="AN229">
            <v>0</v>
          </cell>
          <cell r="AO229">
            <v>0</v>
          </cell>
          <cell r="AP229">
            <v>146</v>
          </cell>
          <cell r="AQ229">
            <v>0</v>
          </cell>
        </row>
        <row r="230">
          <cell r="A230" t="str">
            <v>B-90</v>
          </cell>
          <cell r="B230" t="str">
            <v>SET BOLT+NUT+WASHER MẠ KẼM NHÚNG NÓNG-(FW ĐỆM PHẲNG,TW LÀ ĐỆM VÁT)</v>
          </cell>
          <cell r="C230" t="str">
            <v>BOLT 7/8"DIAx3"L(1B+1N+1FW+1TW)</v>
          </cell>
          <cell r="D230">
            <v>0</v>
          </cell>
          <cell r="E230">
            <v>0</v>
          </cell>
          <cell r="F230">
            <v>0</v>
          </cell>
          <cell r="G230" t="str">
            <v>A325N</v>
          </cell>
          <cell r="H230" t="str">
            <v>SET</v>
          </cell>
          <cell r="I230">
            <v>0</v>
          </cell>
          <cell r="J230">
            <v>8</v>
          </cell>
          <cell r="K230">
            <v>0</v>
          </cell>
          <cell r="L230">
            <v>9</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9</v>
          </cell>
          <cell r="AK230">
            <v>0</v>
          </cell>
          <cell r="AL230">
            <v>0</v>
          </cell>
          <cell r="AM230">
            <v>0</v>
          </cell>
          <cell r="AN230">
            <v>0</v>
          </cell>
          <cell r="AO230">
            <v>0</v>
          </cell>
          <cell r="AP230">
            <v>9</v>
          </cell>
          <cell r="AQ230">
            <v>0</v>
          </cell>
        </row>
        <row r="231">
          <cell r="A231" t="str">
            <v>B-91</v>
          </cell>
          <cell r="B231" t="str">
            <v>SET BOLT+NUT+WASHER MẠ KẼM NHÚNG NÓNG</v>
          </cell>
          <cell r="C231" t="str">
            <v>BOLT 7/8"DIAx3"1/4L(1B+1N+2W)</v>
          </cell>
          <cell r="D231">
            <v>0</v>
          </cell>
          <cell r="E231">
            <v>0</v>
          </cell>
          <cell r="F231">
            <v>0</v>
          </cell>
          <cell r="G231" t="str">
            <v>A325N</v>
          </cell>
          <cell r="H231" t="str">
            <v>SET</v>
          </cell>
          <cell r="I231">
            <v>0</v>
          </cell>
          <cell r="J231">
            <v>6</v>
          </cell>
          <cell r="K231">
            <v>0</v>
          </cell>
          <cell r="L231">
            <v>7</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7</v>
          </cell>
          <cell r="AK231">
            <v>0</v>
          </cell>
          <cell r="AL231">
            <v>0</v>
          </cell>
          <cell r="AM231">
            <v>0</v>
          </cell>
          <cell r="AN231">
            <v>0</v>
          </cell>
          <cell r="AO231">
            <v>0</v>
          </cell>
          <cell r="AP231">
            <v>7</v>
          </cell>
          <cell r="AQ231">
            <v>0</v>
          </cell>
        </row>
        <row r="232">
          <cell r="A232" t="str">
            <v>B-92</v>
          </cell>
          <cell r="B232" t="str">
            <v>SET BOLT+NUT+WASHER MẠ KẼM NHÚNG NÓNG(FW ĐỆM PHẲNG, LW ĐỆM RĂNG CƯA)</v>
          </cell>
          <cell r="C232" t="str">
            <v>BOLT 1/2"DIAx2"L-A325-H.D.Galv(1B+1N+1FW+1LW)</v>
          </cell>
          <cell r="D232">
            <v>0</v>
          </cell>
          <cell r="E232">
            <v>0</v>
          </cell>
          <cell r="F232">
            <v>0</v>
          </cell>
          <cell r="G232" t="str">
            <v>A325N</v>
          </cell>
          <cell r="H232" t="str">
            <v>SET</v>
          </cell>
          <cell r="I232">
            <v>0</v>
          </cell>
          <cell r="J232">
            <v>51</v>
          </cell>
          <cell r="K232">
            <v>0</v>
          </cell>
          <cell r="L232">
            <v>57</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57</v>
          </cell>
          <cell r="AM232">
            <v>0</v>
          </cell>
          <cell r="AN232">
            <v>0</v>
          </cell>
          <cell r="AO232">
            <v>0</v>
          </cell>
          <cell r="AP232">
            <v>57</v>
          </cell>
          <cell r="AQ232">
            <v>0</v>
          </cell>
        </row>
        <row r="233">
          <cell r="A233" t="str">
            <v>C.</v>
          </cell>
          <cell r="B233" t="str">
            <v>PACKAGE/ ĐÓNG KIỆN</v>
          </cell>
          <cell r="C233">
            <v>0</v>
          </cell>
          <cell r="D233">
            <v>0</v>
          </cell>
          <cell r="E233">
            <v>0</v>
          </cell>
          <cell r="F233">
            <v>0</v>
          </cell>
          <cell r="G233">
            <v>0</v>
          </cell>
          <cell r="H233">
            <v>0</v>
          </cell>
          <cell r="I233">
            <v>0</v>
          </cell>
          <cell r="J233">
            <v>0</v>
          </cell>
          <cell r="K233">
            <v>29703.494699140399</v>
          </cell>
          <cell r="L233">
            <v>0</v>
          </cell>
          <cell r="M233">
            <v>335.93580134357001</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25667.876934097425</v>
          </cell>
          <cell r="AN233">
            <v>0</v>
          </cell>
          <cell r="AO233">
            <v>0</v>
          </cell>
          <cell r="AP233">
            <v>0</v>
          </cell>
          <cell r="AQ233">
            <v>31609.217491887983</v>
          </cell>
        </row>
        <row r="234">
          <cell r="A234" t="str">
            <v>C-1</v>
          </cell>
          <cell r="B234" t="str">
            <v>Thép hình</v>
          </cell>
          <cell r="C234" t="str">
            <v>C120*50*5</v>
          </cell>
          <cell r="D234">
            <v>0</v>
          </cell>
          <cell r="E234">
            <v>0</v>
          </cell>
          <cell r="F234">
            <v>0</v>
          </cell>
          <cell r="G234" t="str">
            <v>SS400</v>
          </cell>
          <cell r="H234" t="str">
            <v>m</v>
          </cell>
          <cell r="I234">
            <v>8.1190019193857967</v>
          </cell>
          <cell r="J234">
            <v>26.05</v>
          </cell>
          <cell r="K234">
            <v>211.5</v>
          </cell>
          <cell r="L234">
            <v>27.792000000000002</v>
          </cell>
          <cell r="M234">
            <v>225.64330134357007</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27.792000000000002</v>
          </cell>
          <cell r="AC234">
            <v>225.64330134357007</v>
          </cell>
          <cell r="AD234">
            <v>0</v>
          </cell>
          <cell r="AE234">
            <v>0</v>
          </cell>
          <cell r="AF234">
            <v>0</v>
          </cell>
          <cell r="AG234">
            <v>0</v>
          </cell>
          <cell r="AH234">
            <v>0</v>
          </cell>
          <cell r="AI234">
            <v>0</v>
          </cell>
          <cell r="AJ234">
            <v>0</v>
          </cell>
          <cell r="AK234">
            <v>0</v>
          </cell>
          <cell r="AL234">
            <v>0</v>
          </cell>
          <cell r="AM234">
            <v>0</v>
          </cell>
          <cell r="AN234">
            <v>0</v>
          </cell>
          <cell r="AO234">
            <v>0</v>
          </cell>
          <cell r="AP234">
            <v>27.792000000000002</v>
          </cell>
          <cell r="AQ234">
            <v>225.64330134357007</v>
          </cell>
        </row>
        <row r="235">
          <cell r="A235" t="str">
            <v>C-2</v>
          </cell>
          <cell r="B235" t="str">
            <v>Tôn tấm</v>
          </cell>
          <cell r="C235" t="str">
            <v>PL3</v>
          </cell>
          <cell r="D235">
            <v>0</v>
          </cell>
          <cell r="E235">
            <v>0</v>
          </cell>
          <cell r="F235">
            <v>0</v>
          </cell>
          <cell r="G235" t="str">
            <v>SS400</v>
          </cell>
          <cell r="H235" t="str">
            <v>m2</v>
          </cell>
          <cell r="I235">
            <v>23.549999999999997</v>
          </cell>
          <cell r="J235">
            <v>2.4968152866242042</v>
          </cell>
          <cell r="K235">
            <v>58.8</v>
          </cell>
          <cell r="L235">
            <v>3.3499999999999996</v>
          </cell>
          <cell r="M235">
            <v>78.892499999999984</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2.8499999999999996</v>
          </cell>
          <cell r="AC235">
            <v>67.117499999999978</v>
          </cell>
          <cell r="AD235">
            <v>0.5</v>
          </cell>
          <cell r="AE235">
            <v>11.774999999999999</v>
          </cell>
          <cell r="AF235">
            <v>0</v>
          </cell>
          <cell r="AG235">
            <v>0</v>
          </cell>
          <cell r="AH235">
            <v>0</v>
          </cell>
          <cell r="AI235">
            <v>0</v>
          </cell>
          <cell r="AJ235">
            <v>0</v>
          </cell>
          <cell r="AK235">
            <v>0</v>
          </cell>
          <cell r="AL235">
            <v>0</v>
          </cell>
          <cell r="AM235">
            <v>0</v>
          </cell>
          <cell r="AN235">
            <v>0</v>
          </cell>
          <cell r="AO235">
            <v>0</v>
          </cell>
          <cell r="AP235">
            <v>3.3499999999999996</v>
          </cell>
          <cell r="AQ235">
            <v>78.892499999999984</v>
          </cell>
        </row>
        <row r="236">
          <cell r="A236" t="str">
            <v>C-3</v>
          </cell>
          <cell r="B236" t="str">
            <v>Tôn tấm</v>
          </cell>
          <cell r="C236" t="str">
            <v>PL6</v>
          </cell>
          <cell r="D236">
            <v>0</v>
          </cell>
          <cell r="E236">
            <v>0</v>
          </cell>
          <cell r="F236">
            <v>0</v>
          </cell>
          <cell r="G236" t="str">
            <v>SS400</v>
          </cell>
          <cell r="H236" t="str">
            <v>m2</v>
          </cell>
          <cell r="I236">
            <v>47.099999999999994</v>
          </cell>
          <cell r="J236">
            <v>0.23354564755838644</v>
          </cell>
          <cell r="K236">
            <v>11</v>
          </cell>
          <cell r="L236">
            <v>0.25</v>
          </cell>
          <cell r="M236">
            <v>11.774999999999999</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0.25</v>
          </cell>
          <cell r="AC236">
            <v>11.774999999999999</v>
          </cell>
          <cell r="AD236">
            <v>0</v>
          </cell>
          <cell r="AE236">
            <v>0</v>
          </cell>
          <cell r="AF236">
            <v>0</v>
          </cell>
          <cell r="AG236">
            <v>0</v>
          </cell>
          <cell r="AH236">
            <v>0</v>
          </cell>
          <cell r="AI236">
            <v>0</v>
          </cell>
          <cell r="AJ236">
            <v>0</v>
          </cell>
          <cell r="AK236">
            <v>0</v>
          </cell>
          <cell r="AL236">
            <v>0</v>
          </cell>
          <cell r="AM236">
            <v>0</v>
          </cell>
          <cell r="AN236">
            <v>10</v>
          </cell>
          <cell r="AO236">
            <v>470.99999999999994</v>
          </cell>
          <cell r="AP236">
            <v>10.25</v>
          </cell>
          <cell r="AQ236">
            <v>482.77499999999992</v>
          </cell>
        </row>
        <row r="237">
          <cell r="A237" t="str">
            <v>C-4</v>
          </cell>
          <cell r="B237" t="str">
            <v>Tôn tấm</v>
          </cell>
          <cell r="C237" t="str">
            <v>PL20</v>
          </cell>
          <cell r="D237">
            <v>0</v>
          </cell>
          <cell r="E237">
            <v>0</v>
          </cell>
          <cell r="F237">
            <v>0</v>
          </cell>
          <cell r="G237" t="str">
            <v>SS400</v>
          </cell>
          <cell r="H237" t="str">
            <v>m2</v>
          </cell>
          <cell r="I237">
            <v>157</v>
          </cell>
          <cell r="J237">
            <v>4.2038216560509552E-2</v>
          </cell>
          <cell r="K237">
            <v>6.6</v>
          </cell>
          <cell r="L237">
            <v>0.125</v>
          </cell>
          <cell r="M237">
            <v>19.625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0.125</v>
          </cell>
          <cell r="AC237">
            <v>19.625</v>
          </cell>
          <cell r="AD237">
            <v>0</v>
          </cell>
          <cell r="AE237">
            <v>0</v>
          </cell>
          <cell r="AF237">
            <v>0</v>
          </cell>
          <cell r="AG237">
            <v>0</v>
          </cell>
          <cell r="AH237">
            <v>0</v>
          </cell>
          <cell r="AI237">
            <v>0</v>
          </cell>
          <cell r="AJ237">
            <v>0</v>
          </cell>
          <cell r="AK237">
            <v>0</v>
          </cell>
          <cell r="AL237">
            <v>0</v>
          </cell>
          <cell r="AM237">
            <v>0</v>
          </cell>
          <cell r="AN237">
            <v>0</v>
          </cell>
          <cell r="AO237">
            <v>0</v>
          </cell>
          <cell r="AP237">
            <v>0.125</v>
          </cell>
          <cell r="AQ237">
            <v>19.625</v>
          </cell>
        </row>
        <row r="238">
          <cell r="A238" t="str">
            <v>C-5</v>
          </cell>
          <cell r="B238" t="str">
            <v>THÉP TRÒN</v>
          </cell>
          <cell r="C238" t="str">
            <v>RB10*6000</v>
          </cell>
          <cell r="D238">
            <v>0</v>
          </cell>
          <cell r="E238">
            <v>0</v>
          </cell>
          <cell r="F238">
            <v>0</v>
          </cell>
          <cell r="G238" t="str">
            <v>SS400</v>
          </cell>
          <cell r="H238" t="str">
            <v>m</v>
          </cell>
          <cell r="I238">
            <v>0.61599999999999999</v>
          </cell>
          <cell r="J238">
            <v>150</v>
          </cell>
          <cell r="K238">
            <v>92.4</v>
          </cell>
          <cell r="L238">
            <v>150</v>
          </cell>
          <cell r="M238">
            <v>92.4</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150</v>
          </cell>
          <cell r="AM238">
            <v>92.4</v>
          </cell>
          <cell r="AN238">
            <v>0</v>
          </cell>
          <cell r="AO238">
            <v>0</v>
          </cell>
          <cell r="AP238">
            <v>150</v>
          </cell>
          <cell r="AQ238">
            <v>92.4</v>
          </cell>
        </row>
        <row r="239">
          <cell r="A239" t="str">
            <v>C-6</v>
          </cell>
          <cell r="B239" t="str">
            <v>Thép hình H</v>
          </cell>
          <cell r="C239" t="str">
            <v>H150X150X7X10*12000</v>
          </cell>
          <cell r="D239">
            <v>0</v>
          </cell>
          <cell r="E239">
            <v>0</v>
          </cell>
          <cell r="F239">
            <v>0</v>
          </cell>
          <cell r="G239" t="str">
            <v>SS400</v>
          </cell>
          <cell r="H239" t="str">
            <v>m</v>
          </cell>
          <cell r="I239">
            <v>30.644699140401148</v>
          </cell>
          <cell r="J239">
            <v>350</v>
          </cell>
          <cell r="K239">
            <v>10725.644699140401</v>
          </cell>
          <cell r="L239">
            <v>732.9</v>
          </cell>
          <cell r="M239">
            <v>22459.5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367.5</v>
          </cell>
          <cell r="AM239">
            <v>11261.926934097422</v>
          </cell>
          <cell r="AN239">
            <v>-372.9</v>
          </cell>
          <cell r="AO239">
            <v>-11427.408309455588</v>
          </cell>
          <cell r="AP239">
            <v>360</v>
          </cell>
          <cell r="AQ239">
            <v>11032.091690544412</v>
          </cell>
        </row>
        <row r="240">
          <cell r="A240" t="str">
            <v>C-7</v>
          </cell>
          <cell r="B240" t="str">
            <v>THÉP C SẤN</v>
          </cell>
          <cell r="C240" t="str">
            <v>C120X50X5</v>
          </cell>
          <cell r="D240">
            <v>0</v>
          </cell>
          <cell r="E240">
            <v>0</v>
          </cell>
          <cell r="F240">
            <v>0</v>
          </cell>
          <cell r="G240" t="str">
            <v>SS400</v>
          </cell>
          <cell r="H240" t="str">
            <v>m</v>
          </cell>
          <cell r="I240">
            <v>8.24</v>
          </cell>
          <cell r="J240">
            <v>1419.9029126213593</v>
          </cell>
          <cell r="K240">
            <v>11700</v>
          </cell>
          <cell r="L240">
            <v>1520</v>
          </cell>
          <cell r="M240">
            <v>12524.800000000001</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1520</v>
          </cell>
          <cell r="AM240">
            <v>12524.800000000001</v>
          </cell>
          <cell r="AN240">
            <v>0</v>
          </cell>
          <cell r="AO240">
            <v>0</v>
          </cell>
          <cell r="AP240">
            <v>1520</v>
          </cell>
          <cell r="AQ240">
            <v>12524.800000000001</v>
          </cell>
        </row>
        <row r="241">
          <cell r="A241" t="str">
            <v>C-8</v>
          </cell>
          <cell r="B241" t="str">
            <v>tôn tấm</v>
          </cell>
          <cell r="C241" t="str">
            <v>PL12</v>
          </cell>
          <cell r="D241">
            <v>0</v>
          </cell>
          <cell r="E241">
            <v>0</v>
          </cell>
          <cell r="F241">
            <v>0</v>
          </cell>
          <cell r="G241" t="str">
            <v>SS400</v>
          </cell>
          <cell r="H241" t="str">
            <v>m2</v>
          </cell>
          <cell r="I241">
            <v>94.199999999999989</v>
          </cell>
          <cell r="J241">
            <v>10.615711252653929</v>
          </cell>
          <cell r="K241">
            <v>1000</v>
          </cell>
          <cell r="L241">
            <v>10.615711252653929</v>
          </cell>
          <cell r="M241">
            <v>1000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10.615711252653929</v>
          </cell>
          <cell r="AM241">
            <v>1000</v>
          </cell>
          <cell r="AN241">
            <v>0</v>
          </cell>
          <cell r="AO241">
            <v>0</v>
          </cell>
          <cell r="AP241">
            <v>10.615711252653929</v>
          </cell>
          <cell r="AQ241">
            <v>1000</v>
          </cell>
        </row>
        <row r="242">
          <cell r="A242" t="str">
            <v>C-9</v>
          </cell>
          <cell r="B242" t="str">
            <v>tôn tấm</v>
          </cell>
          <cell r="C242" t="str">
            <v>PL25</v>
          </cell>
          <cell r="D242">
            <v>0</v>
          </cell>
          <cell r="E242">
            <v>0</v>
          </cell>
          <cell r="F242">
            <v>0</v>
          </cell>
          <cell r="G242" t="str">
            <v>SS400</v>
          </cell>
          <cell r="H242" t="str">
            <v>m2</v>
          </cell>
          <cell r="I242">
            <v>196.25</v>
          </cell>
          <cell r="J242">
            <v>1.0191082802547771</v>
          </cell>
          <cell r="K242">
            <v>200</v>
          </cell>
          <cell r="L242">
            <v>1.0191082802547771</v>
          </cell>
          <cell r="M242">
            <v>200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1.0191082802547771</v>
          </cell>
          <cell r="AM242">
            <v>200</v>
          </cell>
          <cell r="AN242">
            <v>0</v>
          </cell>
          <cell r="AO242">
            <v>0</v>
          </cell>
          <cell r="AP242">
            <v>1.0191082802547771</v>
          </cell>
          <cell r="AQ242">
            <v>200</v>
          </cell>
        </row>
        <row r="243">
          <cell r="A243" t="str">
            <v>C-10</v>
          </cell>
          <cell r="B243" t="str">
            <v>tôn tấm</v>
          </cell>
          <cell r="C243" t="str">
            <v>PL1.5x1250x2440</v>
          </cell>
          <cell r="D243">
            <v>0</v>
          </cell>
          <cell r="E243">
            <v>0</v>
          </cell>
          <cell r="F243">
            <v>0</v>
          </cell>
          <cell r="G243" t="str">
            <v>SS400</v>
          </cell>
          <cell r="H243" t="str">
            <v>m2</v>
          </cell>
          <cell r="I243">
            <v>11.774999999999999</v>
          </cell>
          <cell r="J243">
            <v>50</v>
          </cell>
          <cell r="K243">
            <v>588.74999999999989</v>
          </cell>
          <cell r="L243">
            <v>50</v>
          </cell>
          <cell r="M243">
            <v>588.74999999999989</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50</v>
          </cell>
          <cell r="AM243">
            <v>588.74999999999989</v>
          </cell>
          <cell r="AN243">
            <v>0</v>
          </cell>
          <cell r="AO243">
            <v>0</v>
          </cell>
          <cell r="AP243">
            <v>50</v>
          </cell>
          <cell r="AQ243">
            <v>588.74999999999989</v>
          </cell>
        </row>
        <row r="244">
          <cell r="A244" t="str">
            <v>C-11</v>
          </cell>
          <cell r="B244" t="str">
            <v>đai chằng</v>
          </cell>
          <cell r="C244" t="str">
            <v>dây Polyme belt 32</v>
          </cell>
          <cell r="D244">
            <v>0</v>
          </cell>
          <cell r="E244">
            <v>0</v>
          </cell>
          <cell r="F244">
            <v>0</v>
          </cell>
          <cell r="G244" t="str">
            <v>Polyme belt 32</v>
          </cell>
          <cell r="H244" t="str">
            <v>m</v>
          </cell>
          <cell r="I244">
            <v>0</v>
          </cell>
          <cell r="J244">
            <v>1600</v>
          </cell>
          <cell r="K244">
            <v>0</v>
          </cell>
          <cell r="L244">
            <v>1800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1800</v>
          </cell>
          <cell r="AM244">
            <v>0</v>
          </cell>
          <cell r="AN244">
            <v>0</v>
          </cell>
          <cell r="AO244">
            <v>0</v>
          </cell>
          <cell r="AP244">
            <v>1800</v>
          </cell>
          <cell r="AQ244">
            <v>0</v>
          </cell>
        </row>
        <row r="245">
          <cell r="A245" t="str">
            <v>C-12</v>
          </cell>
          <cell r="B245" t="str">
            <v>khóa đai</v>
          </cell>
          <cell r="C245" t="str">
            <v>Khóa cho dây Polyme belt 32</v>
          </cell>
          <cell r="D245">
            <v>0</v>
          </cell>
          <cell r="E245">
            <v>0</v>
          </cell>
          <cell r="F245">
            <v>0</v>
          </cell>
          <cell r="G245" t="str">
            <v>Thép</v>
          </cell>
          <cell r="H245" t="str">
            <v>cái</v>
          </cell>
          <cell r="I245">
            <v>0</v>
          </cell>
          <cell r="J245">
            <v>400</v>
          </cell>
          <cell r="K245">
            <v>0</v>
          </cell>
          <cell r="L245">
            <v>400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400</v>
          </cell>
          <cell r="AM245">
            <v>0</v>
          </cell>
          <cell r="AN245">
            <v>0</v>
          </cell>
          <cell r="AO245">
            <v>0</v>
          </cell>
          <cell r="AP245">
            <v>400</v>
          </cell>
          <cell r="AQ245">
            <v>0</v>
          </cell>
        </row>
        <row r="246">
          <cell r="A246" t="str">
            <v>C-13</v>
          </cell>
          <cell r="B246" t="str">
            <v>đai chằng</v>
          </cell>
          <cell r="C246" t="str">
            <v>dây cáp vải  rộng 50</v>
          </cell>
          <cell r="D246">
            <v>0</v>
          </cell>
          <cell r="E246">
            <v>0</v>
          </cell>
          <cell r="F246">
            <v>0</v>
          </cell>
          <cell r="G246" t="str">
            <v>cáp vải rộng 50</v>
          </cell>
          <cell r="H246" t="str">
            <v>m</v>
          </cell>
          <cell r="I246">
            <v>0</v>
          </cell>
          <cell r="J246">
            <v>3000</v>
          </cell>
          <cell r="K246">
            <v>0</v>
          </cell>
          <cell r="L246">
            <v>3200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3200</v>
          </cell>
          <cell r="AM246">
            <v>0</v>
          </cell>
          <cell r="AN246">
            <v>0</v>
          </cell>
          <cell r="AO246">
            <v>0</v>
          </cell>
          <cell r="AP246">
            <v>3200</v>
          </cell>
          <cell r="AQ246">
            <v>0</v>
          </cell>
        </row>
        <row r="247">
          <cell r="A247" t="str">
            <v>C-14</v>
          </cell>
          <cell r="B247" t="str">
            <v>khóa đai</v>
          </cell>
          <cell r="C247" t="str">
            <v>Khóa cho dây cáp vải 50</v>
          </cell>
          <cell r="D247">
            <v>0</v>
          </cell>
          <cell r="E247">
            <v>0</v>
          </cell>
          <cell r="F247">
            <v>0</v>
          </cell>
          <cell r="G247" t="str">
            <v>Thép</v>
          </cell>
          <cell r="H247" t="str">
            <v>cái</v>
          </cell>
          <cell r="I247">
            <v>0</v>
          </cell>
          <cell r="J247">
            <v>600</v>
          </cell>
          <cell r="K247">
            <v>0</v>
          </cell>
          <cell r="L247">
            <v>800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800</v>
          </cell>
          <cell r="AM247">
            <v>0</v>
          </cell>
          <cell r="AN247">
            <v>0</v>
          </cell>
          <cell r="AO247">
            <v>0</v>
          </cell>
          <cell r="AP247">
            <v>800</v>
          </cell>
          <cell r="AQ247">
            <v>0</v>
          </cell>
        </row>
        <row r="248">
          <cell r="A248" t="str">
            <v>C-15</v>
          </cell>
          <cell r="B248" t="str">
            <v>bạt nilong chống nước</v>
          </cell>
          <cell r="C248" t="str">
            <v>bạt nilong 2 lớp chống nước</v>
          </cell>
          <cell r="D248">
            <v>0</v>
          </cell>
          <cell r="E248">
            <v>0</v>
          </cell>
          <cell r="F248">
            <v>0</v>
          </cell>
          <cell r="G248" t="str">
            <v>PVC-nhựa</v>
          </cell>
          <cell r="H248" t="str">
            <v>m2</v>
          </cell>
          <cell r="I248">
            <v>0</v>
          </cell>
          <cell r="J248">
            <v>1700</v>
          </cell>
          <cell r="K248">
            <v>0</v>
          </cell>
          <cell r="L248">
            <v>1700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1700</v>
          </cell>
          <cell r="AM248">
            <v>0</v>
          </cell>
          <cell r="AN248">
            <v>0</v>
          </cell>
          <cell r="AO248">
            <v>0</v>
          </cell>
          <cell r="AP248">
            <v>1700</v>
          </cell>
          <cell r="AQ248">
            <v>0</v>
          </cell>
        </row>
        <row r="249">
          <cell r="A249" t="str">
            <v>C-16</v>
          </cell>
          <cell r="B249" t="str">
            <v>dây thừng D6-8</v>
          </cell>
          <cell r="C249" t="str">
            <v>dây thừng D6-8</v>
          </cell>
          <cell r="D249">
            <v>0</v>
          </cell>
          <cell r="E249">
            <v>0</v>
          </cell>
          <cell r="F249">
            <v>0</v>
          </cell>
          <cell r="G249" t="str">
            <v>PVC-nhựa</v>
          </cell>
          <cell r="H249" t="str">
            <v>m</v>
          </cell>
          <cell r="I249">
            <v>0</v>
          </cell>
          <cell r="J249">
            <v>3000</v>
          </cell>
          <cell r="K249">
            <v>0</v>
          </cell>
          <cell r="L249">
            <v>3000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3000</v>
          </cell>
          <cell r="AM249">
            <v>0</v>
          </cell>
          <cell r="AN249">
            <v>0</v>
          </cell>
          <cell r="AO249">
            <v>0</v>
          </cell>
          <cell r="AP249">
            <v>3000</v>
          </cell>
          <cell r="AQ249">
            <v>0</v>
          </cell>
        </row>
        <row r="250">
          <cell r="A250" t="str">
            <v>C-17</v>
          </cell>
          <cell r="B250" t="str">
            <v>BOLT+NUT-ĐEN</v>
          </cell>
          <cell r="C250" t="str">
            <v>BOLT M16X50(1B+1N)</v>
          </cell>
          <cell r="D250">
            <v>0</v>
          </cell>
          <cell r="E250">
            <v>0</v>
          </cell>
          <cell r="F250">
            <v>0</v>
          </cell>
          <cell r="G250">
            <v>4.5999999999999996</v>
          </cell>
          <cell r="H250" t="str">
            <v>SETS</v>
          </cell>
          <cell r="I250">
            <v>0</v>
          </cell>
          <cell r="J250">
            <v>250</v>
          </cell>
          <cell r="K250">
            <v>0</v>
          </cell>
          <cell r="L250">
            <v>300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300</v>
          </cell>
          <cell r="AM250">
            <v>0</v>
          </cell>
          <cell r="AN250">
            <v>0</v>
          </cell>
          <cell r="AO250">
            <v>0</v>
          </cell>
          <cell r="AP250">
            <v>300</v>
          </cell>
          <cell r="AQ250">
            <v>0</v>
          </cell>
        </row>
        <row r="251">
          <cell r="A251" t="str">
            <v>C-18</v>
          </cell>
          <cell r="B251" t="str">
            <v>tấm nhựa lót kiện</v>
          </cell>
          <cell r="C251" t="str">
            <v>nhựa 5x1220x2440</v>
          </cell>
          <cell r="D251">
            <v>0</v>
          </cell>
          <cell r="E251">
            <v>0</v>
          </cell>
          <cell r="F251">
            <v>0</v>
          </cell>
          <cell r="G251" t="str">
            <v>nhựa</v>
          </cell>
          <cell r="H251" t="str">
            <v>tấm</v>
          </cell>
          <cell r="I251">
            <v>0</v>
          </cell>
          <cell r="J251">
            <v>100</v>
          </cell>
          <cell r="K251">
            <v>0</v>
          </cell>
          <cell r="L251">
            <v>100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100</v>
          </cell>
          <cell r="AM251">
            <v>0</v>
          </cell>
          <cell r="AN251">
            <v>0</v>
          </cell>
          <cell r="AO251">
            <v>0</v>
          </cell>
          <cell r="AP251">
            <v>100</v>
          </cell>
          <cell r="AQ251">
            <v>0</v>
          </cell>
        </row>
        <row r="252">
          <cell r="A252" t="str">
            <v>C-19</v>
          </cell>
          <cell r="B252" t="str">
            <v>cuộn xốp lót kiện</v>
          </cell>
          <cell r="C252" t="str">
            <v>cuộn xốp lót</v>
          </cell>
          <cell r="D252">
            <v>0</v>
          </cell>
          <cell r="E252">
            <v>0</v>
          </cell>
          <cell r="F252">
            <v>0</v>
          </cell>
          <cell r="G252" t="str">
            <v>PVC-nhựa</v>
          </cell>
          <cell r="H252" t="str">
            <v>cuộn</v>
          </cell>
          <cell r="I252">
            <v>0</v>
          </cell>
          <cell r="J252">
            <v>2</v>
          </cell>
          <cell r="K252">
            <v>0</v>
          </cell>
          <cell r="L252">
            <v>2</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2</v>
          </cell>
          <cell r="AM252">
            <v>0</v>
          </cell>
          <cell r="AN252">
            <v>0</v>
          </cell>
          <cell r="AO252">
            <v>0</v>
          </cell>
          <cell r="AP252">
            <v>2</v>
          </cell>
          <cell r="AQ252">
            <v>0</v>
          </cell>
        </row>
        <row r="253">
          <cell r="A253" t="str">
            <v>C-20</v>
          </cell>
          <cell r="B253" t="str">
            <v>thép 2C hàn</v>
          </cell>
          <cell r="C253" t="str">
            <v>2U120X50X5</v>
          </cell>
          <cell r="D253">
            <v>0</v>
          </cell>
          <cell r="E253">
            <v>0</v>
          </cell>
          <cell r="F253">
            <v>0</v>
          </cell>
          <cell r="G253" t="str">
            <v>SS400</v>
          </cell>
          <cell r="H253" t="str">
            <v>m</v>
          </cell>
          <cell r="I253">
            <v>16.48</v>
          </cell>
          <cell r="J253">
            <v>310</v>
          </cell>
          <cell r="K253">
            <v>5108.8</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325.5</v>
          </cell>
          <cell r="AO253">
            <v>5364.24</v>
          </cell>
          <cell r="AP253">
            <v>325.5</v>
          </cell>
          <cell r="AQ253">
            <v>5364.24</v>
          </cell>
        </row>
      </sheetData>
      <sheetData sheetId="1"/>
      <sheetData sheetId="2"/>
      <sheetData sheetId="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ự toán chung"/>
      <sheetName val="Dự toán SX"/>
    </sheetNames>
    <sheetDataSet>
      <sheetData sheetId="0">
        <row r="7">
          <cell r="M7">
            <v>29626099870.507893</v>
          </cell>
        </row>
        <row r="32">
          <cell r="M32">
            <v>3065605578</v>
          </cell>
        </row>
        <row r="86">
          <cell r="M86">
            <v>399803400.00000006</v>
          </cell>
        </row>
        <row r="87">
          <cell r="M87">
            <v>1299361050</v>
          </cell>
        </row>
        <row r="98">
          <cell r="M98">
            <v>9777972900</v>
          </cell>
        </row>
        <row r="106">
          <cell r="M106">
            <v>1790742464.4568963</v>
          </cell>
        </row>
        <row r="111">
          <cell r="M111">
            <v>199901700.00000003</v>
          </cell>
        </row>
      </sheetData>
      <sheetData sheetId="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ngHop"/>
      <sheetName val="ChiTiet"/>
    </sheetNames>
    <sheetDataSet>
      <sheetData sheetId="0"/>
      <sheetData sheetId="1">
        <row r="7">
          <cell r="I7">
            <v>1496.2869499999997</v>
          </cell>
          <cell r="K7">
            <v>28974314279.620625</v>
          </cell>
        </row>
        <row r="281">
          <cell r="K281">
            <v>398339091.26504999</v>
          </cell>
        </row>
        <row r="337">
          <cell r="K337">
            <v>490286995.662</v>
          </cell>
        </row>
        <row r="372">
          <cell r="K372">
            <v>8663002559.7597809</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T03 (TM) 2"/>
      <sheetName val="DT04 (TM) 1 "/>
      <sheetName val="DT05 (TM) "/>
      <sheetName val="DT02 (TCKT)"/>
    </sheetNames>
    <sheetDataSet>
      <sheetData sheetId="0"/>
      <sheetData sheetId="1">
        <row r="6">
          <cell r="L6">
            <v>697924599.58985496</v>
          </cell>
        </row>
        <row r="8">
          <cell r="J8"/>
          <cell r="K8"/>
          <cell r="L8"/>
        </row>
        <row r="9">
          <cell r="J9"/>
          <cell r="K9"/>
          <cell r="L9"/>
        </row>
        <row r="10">
          <cell r="J10"/>
          <cell r="K10"/>
          <cell r="L10"/>
        </row>
        <row r="11">
          <cell r="J11"/>
          <cell r="K11"/>
          <cell r="L11"/>
        </row>
        <row r="13">
          <cell r="J13"/>
          <cell r="K13"/>
          <cell r="L13"/>
        </row>
        <row r="14">
          <cell r="J14"/>
          <cell r="K14"/>
          <cell r="L14"/>
        </row>
        <row r="15">
          <cell r="J15"/>
          <cell r="K15"/>
          <cell r="L15"/>
        </row>
        <row r="16">
          <cell r="J16"/>
          <cell r="K16"/>
          <cell r="L16"/>
        </row>
        <row r="17">
          <cell r="J17"/>
          <cell r="K17"/>
          <cell r="L17"/>
        </row>
        <row r="18">
          <cell r="J18"/>
          <cell r="K18"/>
          <cell r="L18"/>
        </row>
        <row r="19">
          <cell r="J19"/>
          <cell r="K19"/>
        </row>
        <row r="20">
          <cell r="J20"/>
          <cell r="K20"/>
          <cell r="L20"/>
        </row>
        <row r="21">
          <cell r="J21"/>
          <cell r="K21"/>
          <cell r="L21"/>
        </row>
        <row r="22">
          <cell r="J22"/>
          <cell r="K22"/>
        </row>
        <row r="23">
          <cell r="J23"/>
          <cell r="K23"/>
          <cell r="L23"/>
        </row>
        <row r="24">
          <cell r="J24"/>
          <cell r="K24"/>
          <cell r="L24"/>
        </row>
        <row r="25">
          <cell r="J25"/>
          <cell r="K25"/>
          <cell r="L25"/>
        </row>
        <row r="30">
          <cell r="J30"/>
          <cell r="K30"/>
          <cell r="L30"/>
        </row>
        <row r="34">
          <cell r="L34"/>
        </row>
        <row r="40">
          <cell r="L40"/>
        </row>
        <row r="44">
          <cell r="L44"/>
        </row>
      </sheetData>
      <sheetData sheetId="2"/>
      <sheetData sheetId="3">
        <row r="6">
          <cell r="F6">
            <v>697924599.58985496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CDE1-18B5-46AC-93C5-4AF1451D7AD1}">
  <dimension ref="A1:P35"/>
  <sheetViews>
    <sheetView topLeftCell="A12" zoomScale="70" zoomScaleNormal="70" workbookViewId="0">
      <selection activeCell="E11" sqref="E11:F25"/>
    </sheetView>
  </sheetViews>
  <sheetFormatPr defaultColWidth="10" defaultRowHeight="14.5"/>
  <cols>
    <col min="1" max="1" width="24.796875" style="560" customWidth="1"/>
    <col min="2" max="2" width="33.5" style="560" customWidth="1"/>
    <col min="3" max="3" width="8" style="562" customWidth="1"/>
    <col min="4" max="4" width="16.59765625" style="567" customWidth="1"/>
    <col min="5" max="5" width="14" style="568" customWidth="1"/>
    <col min="6" max="6" width="21.59765625" style="569" customWidth="1"/>
    <col min="7" max="7" width="17.59765625" style="570" bestFit="1" customWidth="1"/>
    <col min="8" max="8" width="23.09765625" style="560" customWidth="1"/>
    <col min="9" max="9" width="12" style="560" bestFit="1" customWidth="1"/>
    <col min="10" max="11" width="10" style="560" customWidth="1"/>
    <col min="12" max="12" width="28.69921875" style="560" customWidth="1"/>
    <col min="13" max="13" width="36.69921875" style="560" customWidth="1"/>
    <col min="14" max="14" width="29.796875" style="560" customWidth="1"/>
    <col min="15" max="15" width="11.69921875" style="560" bestFit="1" customWidth="1"/>
    <col min="16" max="16" width="19.796875" style="560" customWidth="1"/>
    <col min="17" max="16384" width="10" style="560"/>
  </cols>
  <sheetData>
    <row r="1" spans="1:12">
      <c r="B1" s="561" t="s">
        <v>1904</v>
      </c>
      <c r="D1" s="563" t="s">
        <v>1905</v>
      </c>
      <c r="E1" s="564"/>
      <c r="F1" s="565"/>
      <c r="G1" s="560"/>
    </row>
    <row r="2" spans="1:12" ht="15.75" customHeight="1">
      <c r="B2" s="566" t="s">
        <v>1906</v>
      </c>
      <c r="D2" s="1259" t="s">
        <v>1907</v>
      </c>
      <c r="E2" s="1259"/>
      <c r="F2" s="1259"/>
      <c r="G2" s="560"/>
    </row>
    <row r="3" spans="1:12" ht="15.5">
      <c r="A3" s="1260" t="s">
        <v>1908</v>
      </c>
      <c r="B3" s="1260"/>
      <c r="C3" s="1260"/>
      <c r="D3" s="1261" t="s">
        <v>1909</v>
      </c>
      <c r="E3" s="1261"/>
      <c r="F3" s="1261"/>
      <c r="G3" s="560"/>
    </row>
    <row r="4" spans="1:12" ht="15.5">
      <c r="D4" s="1262" t="s">
        <v>1910</v>
      </c>
      <c r="E4" s="1262"/>
      <c r="F4" s="1262"/>
      <c r="G4" s="560"/>
    </row>
    <row r="5" spans="1:12">
      <c r="G5" s="560"/>
    </row>
    <row r="6" spans="1:12" ht="28.5" customHeight="1">
      <c r="C6" s="1263" t="s">
        <v>1911</v>
      </c>
      <c r="D6" s="1263"/>
      <c r="E6" s="1263"/>
      <c r="G6" s="560"/>
    </row>
    <row r="7" spans="1:12" ht="23.25" customHeight="1">
      <c r="B7" s="1257" t="s">
        <v>1912</v>
      </c>
      <c r="C7" s="1258"/>
      <c r="D7" s="1258"/>
      <c r="E7" s="1258"/>
      <c r="F7" s="1258"/>
      <c r="G7" s="560"/>
    </row>
    <row r="8" spans="1:12" ht="36.75" customHeight="1" thickBot="1">
      <c r="A8" s="1267" t="s">
        <v>1913</v>
      </c>
      <c r="B8" s="1267"/>
      <c r="C8" s="1267"/>
      <c r="D8" s="1267"/>
      <c r="E8" s="1267"/>
      <c r="F8" s="1268"/>
      <c r="L8" s="571">
        <f>L5+L6</f>
        <v>0</v>
      </c>
    </row>
    <row r="9" spans="1:12" ht="15.5" thickTop="1" thickBot="1">
      <c r="G9" s="560"/>
    </row>
    <row r="10" spans="1:12" s="580" customFormat="1" ht="47.25" customHeight="1" thickTop="1">
      <c r="A10" s="572" t="s">
        <v>85</v>
      </c>
      <c r="B10" s="573" t="s">
        <v>1713</v>
      </c>
      <c r="C10" s="574" t="s">
        <v>1914</v>
      </c>
      <c r="D10" s="575" t="s">
        <v>1915</v>
      </c>
      <c r="E10" s="576" t="s">
        <v>1916</v>
      </c>
      <c r="F10" s="577" t="s">
        <v>1917</v>
      </c>
      <c r="G10" s="578" t="s">
        <v>1918</v>
      </c>
      <c r="H10" s="579"/>
    </row>
    <row r="11" spans="1:12" s="580" customFormat="1" ht="25.5" customHeight="1">
      <c r="A11" s="581" t="s">
        <v>1030</v>
      </c>
      <c r="B11" s="582" t="s">
        <v>1919</v>
      </c>
      <c r="C11" s="583">
        <v>1</v>
      </c>
      <c r="D11" s="584">
        <f>ROUND(10*2*12*7.85*C11,0)</f>
        <v>1884</v>
      </c>
      <c r="E11" s="585">
        <f>ROUND(G11/1.1,2)</f>
        <v>13636.36</v>
      </c>
      <c r="F11" s="586">
        <f>ROUND(E11*D11,0)</f>
        <v>25690902</v>
      </c>
      <c r="G11" s="578">
        <v>15000</v>
      </c>
      <c r="H11" s="579" t="s">
        <v>1920</v>
      </c>
    </row>
    <row r="12" spans="1:12" s="580" customFormat="1" ht="25.5" customHeight="1">
      <c r="A12" s="581" t="s">
        <v>1031</v>
      </c>
      <c r="B12" s="582" t="s">
        <v>1921</v>
      </c>
      <c r="C12" s="587">
        <v>1</v>
      </c>
      <c r="D12" s="584">
        <f>ROUND(12*2*12*7.85*C12,0)</f>
        <v>2261</v>
      </c>
      <c r="E12" s="585">
        <f t="shared" ref="E12:E25" si="0">ROUND(G12/1.1,2)</f>
        <v>13636.36</v>
      </c>
      <c r="F12" s="586">
        <f t="shared" ref="F12:F25" si="1">ROUND(E12*D12,0)</f>
        <v>30831810</v>
      </c>
      <c r="G12" s="578">
        <v>15000</v>
      </c>
      <c r="H12" s="579" t="s">
        <v>1920</v>
      </c>
    </row>
    <row r="13" spans="1:12" s="580" customFormat="1" ht="25.5" customHeight="1">
      <c r="A13" s="581" t="s">
        <v>1032</v>
      </c>
      <c r="B13" s="582" t="s">
        <v>1922</v>
      </c>
      <c r="C13" s="583">
        <v>1</v>
      </c>
      <c r="D13" s="584">
        <f>ROUND(16*2*6*7.85*C13,0)</f>
        <v>1507</v>
      </c>
      <c r="E13" s="585">
        <f t="shared" si="0"/>
        <v>14000</v>
      </c>
      <c r="F13" s="586">
        <f t="shared" si="1"/>
        <v>21098000</v>
      </c>
      <c r="G13" s="578">
        <v>15400</v>
      </c>
      <c r="H13" s="579" t="s">
        <v>1920</v>
      </c>
    </row>
    <row r="14" spans="1:12" s="580" customFormat="1" ht="25.5" customHeight="1">
      <c r="A14" s="581" t="s">
        <v>1034</v>
      </c>
      <c r="B14" s="582" t="s">
        <v>1923</v>
      </c>
      <c r="C14" s="583">
        <v>1</v>
      </c>
      <c r="D14" s="584">
        <f>ROUND(20*2*12*7.85*C14,0)</f>
        <v>3768</v>
      </c>
      <c r="E14" s="585">
        <f t="shared" si="0"/>
        <v>14181.82</v>
      </c>
      <c r="F14" s="586">
        <f t="shared" si="1"/>
        <v>53437098</v>
      </c>
      <c r="G14" s="578">
        <v>15600</v>
      </c>
      <c r="H14" s="579" t="s">
        <v>1920</v>
      </c>
    </row>
    <row r="15" spans="1:12" s="580" customFormat="1" ht="25.5" customHeight="1">
      <c r="A15" s="588" t="s">
        <v>1041</v>
      </c>
      <c r="B15" s="582" t="s">
        <v>1924</v>
      </c>
      <c r="C15" s="587">
        <v>6</v>
      </c>
      <c r="D15" s="584">
        <f>ROUND(23.6*12*C15,0)</f>
        <v>1699</v>
      </c>
      <c r="E15" s="585">
        <f t="shared" si="0"/>
        <v>17545.45</v>
      </c>
      <c r="F15" s="586">
        <f t="shared" si="1"/>
        <v>29809720</v>
      </c>
      <c r="G15" s="578">
        <v>19300</v>
      </c>
      <c r="H15" s="579" t="s">
        <v>1920</v>
      </c>
      <c r="I15" s="589">
        <f>C15*12</f>
        <v>72</v>
      </c>
      <c r="J15" s="580">
        <v>74</v>
      </c>
      <c r="K15" s="580" t="s">
        <v>1304</v>
      </c>
    </row>
    <row r="16" spans="1:12" s="580" customFormat="1" ht="25.5" customHeight="1">
      <c r="A16" s="581" t="s">
        <v>1042</v>
      </c>
      <c r="B16" s="582" t="s">
        <v>1925</v>
      </c>
      <c r="C16" s="587">
        <v>12</v>
      </c>
      <c r="D16" s="584">
        <f>ROUND(49.9*12*C16,0)</f>
        <v>7186</v>
      </c>
      <c r="E16" s="585">
        <f t="shared" si="0"/>
        <v>17545.45</v>
      </c>
      <c r="F16" s="586">
        <f t="shared" si="1"/>
        <v>126081604</v>
      </c>
      <c r="G16" s="578">
        <v>19300</v>
      </c>
      <c r="H16" s="579" t="s">
        <v>1920</v>
      </c>
      <c r="I16" s="589">
        <f t="shared" ref="I16:I26" si="2">C16*12</f>
        <v>144</v>
      </c>
      <c r="J16" s="580">
        <v>139.26525200000003</v>
      </c>
      <c r="K16" s="580" t="s">
        <v>1305</v>
      </c>
      <c r="L16" s="580" t="s">
        <v>1305</v>
      </c>
    </row>
    <row r="17" spans="1:16" s="580" customFormat="1" ht="25.5" customHeight="1">
      <c r="A17" s="581" t="s">
        <v>1046</v>
      </c>
      <c r="B17" s="582" t="s">
        <v>1926</v>
      </c>
      <c r="C17" s="587">
        <v>3</v>
      </c>
      <c r="D17" s="584">
        <f>ROUND(71.8*12*C17,0)</f>
        <v>2585</v>
      </c>
      <c r="E17" s="585">
        <f t="shared" si="0"/>
        <v>17545.45</v>
      </c>
      <c r="F17" s="586">
        <f t="shared" si="1"/>
        <v>45354988</v>
      </c>
      <c r="G17" s="578">
        <v>19300</v>
      </c>
      <c r="H17" s="579" t="s">
        <v>1920</v>
      </c>
      <c r="I17" s="589">
        <f t="shared" si="2"/>
        <v>36</v>
      </c>
      <c r="J17" s="580">
        <v>25.68</v>
      </c>
      <c r="K17" s="580" t="s">
        <v>1306</v>
      </c>
      <c r="L17" s="580" t="s">
        <v>1306</v>
      </c>
    </row>
    <row r="18" spans="1:16" s="580" customFormat="1" ht="25.5" customHeight="1">
      <c r="A18" s="581" t="s">
        <v>1048</v>
      </c>
      <c r="B18" s="582" t="s">
        <v>1927</v>
      </c>
      <c r="C18" s="587">
        <v>3.5</v>
      </c>
      <c r="D18" s="584">
        <f>ROUND(31.1*12*C18,0)</f>
        <v>1306</v>
      </c>
      <c r="E18" s="585">
        <f t="shared" si="0"/>
        <v>17545.45</v>
      </c>
      <c r="F18" s="586">
        <f t="shared" si="1"/>
        <v>22914358</v>
      </c>
      <c r="G18" s="578">
        <v>19300</v>
      </c>
      <c r="H18" s="579" t="s">
        <v>1920</v>
      </c>
      <c r="I18" s="589">
        <f t="shared" si="2"/>
        <v>42</v>
      </c>
      <c r="J18" s="580">
        <v>42</v>
      </c>
      <c r="K18" s="580" t="s">
        <v>1307</v>
      </c>
      <c r="L18" s="580" t="s">
        <v>1307</v>
      </c>
    </row>
    <row r="19" spans="1:16" s="580" customFormat="1" ht="25.5" customHeight="1">
      <c r="A19" s="588" t="s">
        <v>1056</v>
      </c>
      <c r="B19" s="582" t="s">
        <v>1928</v>
      </c>
      <c r="C19" s="587">
        <v>8</v>
      </c>
      <c r="D19" s="584">
        <f>ROUND(30.3*12*C19,0)</f>
        <v>2909</v>
      </c>
      <c r="E19" s="585">
        <f t="shared" si="0"/>
        <v>17545.45</v>
      </c>
      <c r="F19" s="586">
        <f t="shared" si="1"/>
        <v>51039714</v>
      </c>
      <c r="G19" s="578">
        <v>19300</v>
      </c>
      <c r="H19" s="579" t="s">
        <v>1920</v>
      </c>
      <c r="I19" s="589">
        <f t="shared" si="2"/>
        <v>96</v>
      </c>
      <c r="J19" s="580">
        <v>93.5</v>
      </c>
      <c r="K19" s="580" t="s">
        <v>1310</v>
      </c>
      <c r="L19" s="580" t="s">
        <v>1517</v>
      </c>
      <c r="M19" s="580" t="s">
        <v>1310</v>
      </c>
    </row>
    <row r="20" spans="1:16" s="580" customFormat="1" ht="25.5" customHeight="1">
      <c r="A20" s="588" t="s">
        <v>1057</v>
      </c>
      <c r="B20" s="582" t="s">
        <v>1929</v>
      </c>
      <c r="C20" s="587">
        <v>35</v>
      </c>
      <c r="D20" s="584">
        <f>ROUND(34.6*12*C20,0)</f>
        <v>14532</v>
      </c>
      <c r="E20" s="585">
        <f t="shared" si="0"/>
        <v>17545.45</v>
      </c>
      <c r="F20" s="586">
        <f t="shared" si="1"/>
        <v>254970479</v>
      </c>
      <c r="G20" s="578">
        <v>19300</v>
      </c>
      <c r="H20" s="579" t="s">
        <v>1920</v>
      </c>
      <c r="I20" s="589">
        <f t="shared" si="2"/>
        <v>420</v>
      </c>
      <c r="J20" s="580">
        <v>420.75739999999996</v>
      </c>
      <c r="K20" s="580" t="s">
        <v>1898</v>
      </c>
      <c r="L20" s="580" t="s">
        <v>1518</v>
      </c>
      <c r="M20" s="580" t="s">
        <v>1898</v>
      </c>
    </row>
    <row r="21" spans="1:16" s="580" customFormat="1" ht="25.5" customHeight="1">
      <c r="A21" s="581" t="s">
        <v>1061</v>
      </c>
      <c r="B21" s="582" t="s">
        <v>1930</v>
      </c>
      <c r="C21" s="587">
        <v>1</v>
      </c>
      <c r="D21" s="584">
        <f>ROUND(38.1*12*C21,0)</f>
        <v>457</v>
      </c>
      <c r="E21" s="585">
        <f t="shared" si="0"/>
        <v>17545.45</v>
      </c>
      <c r="F21" s="586">
        <f t="shared" si="1"/>
        <v>8018271</v>
      </c>
      <c r="G21" s="578">
        <v>19300</v>
      </c>
      <c r="H21" s="579" t="s">
        <v>1920</v>
      </c>
      <c r="I21" s="589">
        <f t="shared" si="2"/>
        <v>12</v>
      </c>
      <c r="J21" s="580">
        <v>12</v>
      </c>
      <c r="K21" s="580" t="s">
        <v>1897</v>
      </c>
      <c r="L21" s="580" t="s">
        <v>1312</v>
      </c>
      <c r="M21" s="260" t="s">
        <v>1897</v>
      </c>
    </row>
    <row r="22" spans="1:16" s="580" customFormat="1" ht="25.5" customHeight="1">
      <c r="A22" s="588" t="s">
        <v>1064</v>
      </c>
      <c r="B22" s="582" t="s">
        <v>1931</v>
      </c>
      <c r="C22" s="587">
        <v>11</v>
      </c>
      <c r="D22" s="584">
        <f>ROUND(13.4*12*C22,0)</f>
        <v>1769</v>
      </c>
      <c r="E22" s="585">
        <f t="shared" si="0"/>
        <v>17545.45</v>
      </c>
      <c r="F22" s="586">
        <f t="shared" si="1"/>
        <v>31037901</v>
      </c>
      <c r="G22" s="578">
        <v>19300</v>
      </c>
      <c r="H22" s="579" t="s">
        <v>1920</v>
      </c>
      <c r="I22" s="589">
        <f t="shared" si="2"/>
        <v>132</v>
      </c>
      <c r="J22" s="580">
        <v>127</v>
      </c>
      <c r="K22" s="580" t="s">
        <v>1309</v>
      </c>
      <c r="L22" s="580" t="s">
        <v>1669</v>
      </c>
      <c r="M22" s="590" t="s">
        <v>1309</v>
      </c>
    </row>
    <row r="23" spans="1:16" s="580" customFormat="1" ht="25.5" customHeight="1">
      <c r="A23" s="581" t="s">
        <v>1066</v>
      </c>
      <c r="B23" s="582" t="s">
        <v>1932</v>
      </c>
      <c r="C23" s="587">
        <v>1</v>
      </c>
      <c r="D23" s="584">
        <f>ROUND(23*6*C23,0)</f>
        <v>138</v>
      </c>
      <c r="E23" s="585">
        <f t="shared" si="0"/>
        <v>15909.09</v>
      </c>
      <c r="F23" s="586">
        <f t="shared" si="1"/>
        <v>2195454</v>
      </c>
      <c r="G23" s="578">
        <v>17500</v>
      </c>
      <c r="H23" s="579" t="s">
        <v>1920</v>
      </c>
      <c r="I23" s="589">
        <f t="shared" si="2"/>
        <v>12</v>
      </c>
      <c r="J23" s="580">
        <v>3</v>
      </c>
    </row>
    <row r="24" spans="1:16" s="580" customFormat="1" ht="25.5" customHeight="1">
      <c r="A24" s="581" t="s">
        <v>1068</v>
      </c>
      <c r="B24" s="582" t="s">
        <v>1933</v>
      </c>
      <c r="C24" s="587">
        <v>3</v>
      </c>
      <c r="D24" s="584">
        <f>ROUND(9.63*6*C24,0)</f>
        <v>173</v>
      </c>
      <c r="E24" s="585">
        <f t="shared" si="0"/>
        <v>13909.09</v>
      </c>
      <c r="F24" s="586">
        <f t="shared" si="1"/>
        <v>2406273</v>
      </c>
      <c r="G24" s="578">
        <v>15300</v>
      </c>
      <c r="H24" s="579" t="s">
        <v>1920</v>
      </c>
      <c r="I24" s="589">
        <f t="shared" si="2"/>
        <v>36</v>
      </c>
      <c r="J24" s="591">
        <v>32.406312000000014</v>
      </c>
      <c r="K24" s="580" t="s">
        <v>1181</v>
      </c>
    </row>
    <row r="25" spans="1:16" s="580" customFormat="1" ht="25.5" customHeight="1">
      <c r="A25" s="581" t="s">
        <v>1070</v>
      </c>
      <c r="B25" s="582" t="s">
        <v>1934</v>
      </c>
      <c r="C25" s="587">
        <v>3</v>
      </c>
      <c r="D25" s="584">
        <f>ROUND(6.85*12*C25,0)</f>
        <v>247</v>
      </c>
      <c r="E25" s="585">
        <f t="shared" si="0"/>
        <v>13909.09</v>
      </c>
      <c r="F25" s="586">
        <f t="shared" si="1"/>
        <v>3435545</v>
      </c>
      <c r="G25" s="578">
        <v>15300</v>
      </c>
      <c r="H25" s="579" t="s">
        <v>1920</v>
      </c>
      <c r="I25" s="589">
        <f t="shared" si="2"/>
        <v>36</v>
      </c>
      <c r="J25" s="591">
        <v>15.840000000000003</v>
      </c>
      <c r="K25" s="592" t="s">
        <v>1182</v>
      </c>
      <c r="L25" s="593"/>
    </row>
    <row r="26" spans="1:16" s="593" customFormat="1" ht="27" customHeight="1">
      <c r="A26" s="594">
        <v>16</v>
      </c>
      <c r="B26" s="439"/>
      <c r="C26" s="440"/>
      <c r="D26" s="595"/>
      <c r="E26" s="596"/>
      <c r="F26" s="597">
        <f>ROUND(SUM(F11:F25),0)</f>
        <v>708322117</v>
      </c>
      <c r="G26" s="598"/>
      <c r="H26" s="599"/>
      <c r="I26" s="589">
        <f t="shared" si="2"/>
        <v>0</v>
      </c>
      <c r="M26" s="600"/>
      <c r="N26" s="601"/>
      <c r="O26" s="600"/>
      <c r="P26" s="602"/>
    </row>
    <row r="27" spans="1:16" s="593" customFormat="1" ht="27" customHeight="1">
      <c r="A27" s="594">
        <v>17</v>
      </c>
      <c r="B27" s="439" t="s">
        <v>1935</v>
      </c>
      <c r="C27" s="440"/>
      <c r="D27" s="595"/>
      <c r="E27" s="596"/>
      <c r="F27" s="603">
        <f>ROUND(F26*10%,0)</f>
        <v>70832212</v>
      </c>
      <c r="G27" s="598"/>
      <c r="H27" s="599"/>
      <c r="K27" s="592"/>
      <c r="M27" s="600"/>
      <c r="N27" s="601"/>
      <c r="O27" s="600"/>
      <c r="P27" s="602"/>
    </row>
    <row r="28" spans="1:16" s="593" customFormat="1" ht="21.75" customHeight="1">
      <c r="A28" s="1269"/>
      <c r="B28" s="1270"/>
      <c r="C28" s="604"/>
      <c r="D28" s="605"/>
      <c r="E28" s="605"/>
      <c r="F28" s="606"/>
      <c r="G28" s="598"/>
      <c r="H28" s="599"/>
      <c r="J28" s="591"/>
      <c r="K28" s="592"/>
      <c r="M28" s="600"/>
      <c r="N28" s="601"/>
      <c r="O28" s="600"/>
      <c r="P28" s="602"/>
    </row>
    <row r="29" spans="1:16" s="580" customFormat="1" ht="21.75" customHeight="1" thickBot="1">
      <c r="A29" s="1271" t="s">
        <v>1936</v>
      </c>
      <c r="B29" s="1272"/>
      <c r="C29" s="607"/>
      <c r="D29" s="608">
        <f>SUM(D11:D28)</f>
        <v>42421</v>
      </c>
      <c r="E29" s="609"/>
      <c r="F29" s="571">
        <f>F26+F27</f>
        <v>779154329</v>
      </c>
      <c r="G29" s="610"/>
      <c r="H29" s="610"/>
    </row>
    <row r="30" spans="1:16" ht="18.75" customHeight="1" thickTop="1">
      <c r="B30" s="1273" t="s">
        <v>1937</v>
      </c>
      <c r="C30" s="1273"/>
      <c r="D30" s="1273"/>
      <c r="E30" s="1273"/>
      <c r="F30" s="1273"/>
      <c r="G30" s="560"/>
      <c r="H30" s="560">
        <v>1</v>
      </c>
      <c r="K30" s="560" t="s">
        <v>1938</v>
      </c>
    </row>
    <row r="31" spans="1:16" s="611" customFormat="1" ht="18.75" customHeight="1">
      <c r="B31" s="1274" t="s">
        <v>1939</v>
      </c>
      <c r="C31" s="1274"/>
      <c r="D31" s="1274"/>
      <c r="E31" s="1274"/>
      <c r="F31" s="1274"/>
      <c r="G31" s="560"/>
      <c r="H31" s="560"/>
      <c r="I31" s="560" t="s">
        <v>1940</v>
      </c>
      <c r="J31" s="560"/>
      <c r="K31" s="560"/>
      <c r="L31" s="560"/>
      <c r="M31" s="560"/>
      <c r="N31" s="560"/>
      <c r="O31" s="560"/>
      <c r="P31" s="560"/>
    </row>
    <row r="32" spans="1:16" ht="18.75" customHeight="1">
      <c r="B32" s="1275" t="s">
        <v>1941</v>
      </c>
      <c r="C32" s="1275"/>
      <c r="D32" s="1275"/>
      <c r="E32" s="1275"/>
      <c r="F32" s="1275"/>
      <c r="G32" s="560"/>
    </row>
    <row r="33" spans="1:7" s="611" customFormat="1" ht="18.75" customHeight="1">
      <c r="B33" s="1264" t="s">
        <v>1942</v>
      </c>
      <c r="C33" s="1264"/>
      <c r="D33" s="1264"/>
      <c r="E33" s="1264"/>
      <c r="F33" s="1264"/>
    </row>
    <row r="34" spans="1:7" s="611" customFormat="1" ht="15.5">
      <c r="B34" s="612" t="s">
        <v>1943</v>
      </c>
      <c r="C34" s="613"/>
      <c r="D34" s="614"/>
      <c r="E34" s="615"/>
      <c r="F34" s="616"/>
    </row>
    <row r="35" spans="1:7" s="611" customFormat="1" ht="17">
      <c r="A35" s="617"/>
      <c r="B35" s="1265" t="s">
        <v>1944</v>
      </c>
      <c r="C35" s="1265"/>
      <c r="D35" s="1265" t="s">
        <v>1945</v>
      </c>
      <c r="E35" s="1265"/>
      <c r="F35" s="1266"/>
      <c r="G35" s="618"/>
    </row>
  </sheetData>
  <mergeCells count="15">
    <mergeCell ref="B33:F33"/>
    <mergeCell ref="B35:C35"/>
    <mergeCell ref="D35:F35"/>
    <mergeCell ref="A8:F8"/>
    <mergeCell ref="A28:B28"/>
    <mergeCell ref="A29:B29"/>
    <mergeCell ref="B30:F30"/>
    <mergeCell ref="B31:F31"/>
    <mergeCell ref="B32:F32"/>
    <mergeCell ref="B7:F7"/>
    <mergeCell ref="D2:F2"/>
    <mergeCell ref="A3:C3"/>
    <mergeCell ref="D3:F3"/>
    <mergeCell ref="D4:F4"/>
    <mergeCell ref="C6:E6"/>
  </mergeCells>
  <conditionalFormatting sqref="A11:A22">
    <cfRule type="duplicateValues" dxfId="86" priority="4"/>
  </conditionalFormatting>
  <conditionalFormatting sqref="A23:A25">
    <cfRule type="duplicateValues" dxfId="85" priority="1"/>
  </conditionalFormatting>
  <conditionalFormatting sqref="D11:D16 D27">
    <cfRule type="expression" dxfId="84" priority="5" stopIfTrue="1">
      <formula>K11&lt;0</formula>
    </cfRule>
  </conditionalFormatting>
  <conditionalFormatting sqref="D11:D24">
    <cfRule type="expression" dxfId="83" priority="21" stopIfTrue="1">
      <formula>K751&lt;0</formula>
    </cfRule>
    <cfRule type="expression" dxfId="82" priority="22" stopIfTrue="1">
      <formula>K752&lt;0</formula>
    </cfRule>
  </conditionalFormatting>
  <conditionalFormatting sqref="D13:D24">
    <cfRule type="expression" dxfId="81" priority="20" stopIfTrue="1">
      <formula>K752&lt;0</formula>
    </cfRule>
  </conditionalFormatting>
  <conditionalFormatting sqref="D14:D24">
    <cfRule type="expression" dxfId="80" priority="19" stopIfTrue="1">
      <formula>K752&lt;0</formula>
    </cfRule>
  </conditionalFormatting>
  <conditionalFormatting sqref="D15:D24">
    <cfRule type="expression" dxfId="79" priority="18" stopIfTrue="1">
      <formula>K752&lt;0</formula>
    </cfRule>
  </conditionalFormatting>
  <conditionalFormatting sqref="D16:D24">
    <cfRule type="expression" dxfId="78" priority="17" stopIfTrue="1">
      <formula>K752&lt;0</formula>
    </cfRule>
  </conditionalFormatting>
  <conditionalFormatting sqref="D17">
    <cfRule type="expression" dxfId="77" priority="26" stopIfTrue="1">
      <formula>#REF!&lt;0</formula>
    </cfRule>
  </conditionalFormatting>
  <conditionalFormatting sqref="D17:D24">
    <cfRule type="expression" dxfId="76" priority="16" stopIfTrue="1">
      <formula>K752&lt;0</formula>
    </cfRule>
  </conditionalFormatting>
  <conditionalFormatting sqref="D18:D24">
    <cfRule type="expression" dxfId="75" priority="15" stopIfTrue="1">
      <formula>K752&lt;0</formula>
    </cfRule>
  </conditionalFormatting>
  <conditionalFormatting sqref="D18:D26">
    <cfRule type="expression" dxfId="74" priority="25" stopIfTrue="1">
      <formula>K17&lt;0</formula>
    </cfRule>
  </conditionalFormatting>
  <conditionalFormatting sqref="D19:D24">
    <cfRule type="expression" dxfId="73" priority="14" stopIfTrue="1">
      <formula>K752&lt;0</formula>
    </cfRule>
  </conditionalFormatting>
  <conditionalFormatting sqref="D20:D24">
    <cfRule type="expression" dxfId="72" priority="13" stopIfTrue="1">
      <formula>K752&lt;0</formula>
    </cfRule>
  </conditionalFormatting>
  <conditionalFormatting sqref="D21:D24">
    <cfRule type="expression" dxfId="71" priority="12" stopIfTrue="1">
      <formula>K752&lt;0</formula>
    </cfRule>
  </conditionalFormatting>
  <conditionalFormatting sqref="D22:D24">
    <cfRule type="expression" dxfId="70" priority="23" stopIfTrue="1">
      <formula>K752&lt;0</formula>
    </cfRule>
    <cfRule type="expression" dxfId="69" priority="24" stopIfTrue="1">
      <formula>K753&lt;0</formula>
    </cfRule>
  </conditionalFormatting>
  <conditionalFormatting sqref="D23:D24 D26">
    <cfRule type="expression" dxfId="68" priority="6" stopIfTrue="1">
      <formula>K752&lt;0</formula>
    </cfRule>
    <cfRule type="expression" dxfId="67" priority="7" stopIfTrue="1">
      <formula>K753&lt;0</formula>
    </cfRule>
  </conditionalFormatting>
  <conditionalFormatting sqref="D25">
    <cfRule type="expression" dxfId="66" priority="10" stopIfTrue="1">
      <formula>K752&lt;0</formula>
    </cfRule>
    <cfRule type="expression" dxfId="65" priority="11" stopIfTrue="1">
      <formula>K753&lt;0</formula>
    </cfRule>
  </conditionalFormatting>
  <conditionalFormatting sqref="D27">
    <cfRule type="expression" dxfId="64" priority="8" stopIfTrue="1">
      <formula>K755&lt;0</formula>
    </cfRule>
    <cfRule type="expression" dxfId="63" priority="9" stopIfTrue="1">
      <formula>K756&lt;0</formula>
    </cfRule>
  </conditionalFormatting>
  <conditionalFormatting sqref="M21">
    <cfRule type="duplicateValues" dxfId="62" priority="3"/>
  </conditionalFormatting>
  <conditionalFormatting sqref="M22">
    <cfRule type="duplicateValues" dxfId="61" priority="2"/>
  </conditionalFormatting>
  <pageMargins left="0.69" right="0.33" top="0.55000000000000004" bottom="0.26" header="0.2"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52D4-037D-4361-8E6C-9BA3F1971A33}">
  <sheetPr>
    <pageSetUpPr fitToPage="1"/>
  </sheetPr>
  <dimension ref="A1:N37"/>
  <sheetViews>
    <sheetView view="pageBreakPreview" topLeftCell="A7" zoomScale="70" zoomScaleNormal="55" zoomScaleSheetLayoutView="70" workbookViewId="0">
      <selection activeCell="G12" sqref="F12:L66"/>
    </sheetView>
  </sheetViews>
  <sheetFormatPr defaultColWidth="9.796875" defaultRowHeight="18"/>
  <cols>
    <col min="1" max="1" width="16.19921875" style="491" bestFit="1" customWidth="1"/>
    <col min="2" max="2" width="38.296875" style="476" customWidth="1"/>
    <col min="3" max="4" width="11" style="476" customWidth="1"/>
    <col min="5" max="5" width="12.5" style="476" customWidth="1"/>
    <col min="6" max="6" width="15.296875" style="476" customWidth="1"/>
    <col min="7" max="7" width="23.19921875" style="476" customWidth="1"/>
    <col min="8" max="8" width="10.09765625" style="491" customWidth="1"/>
    <col min="9" max="9" width="19.3984375" style="476" bestFit="1" customWidth="1"/>
    <col min="10" max="10" width="22.296875" style="476" customWidth="1"/>
    <col min="11" max="11" width="15.69921875" style="476" customWidth="1"/>
    <col min="12" max="12" width="21.8984375" style="476" customWidth="1"/>
    <col min="13" max="16384" width="9.796875" style="476"/>
  </cols>
  <sheetData>
    <row r="1" spans="1:12" ht="51.65" customHeight="1">
      <c r="A1" s="1285" t="s">
        <v>2065</v>
      </c>
      <c r="B1" s="1286"/>
      <c r="C1" s="1286"/>
      <c r="D1" s="1286"/>
      <c r="E1" s="1286"/>
      <c r="F1" s="1286"/>
      <c r="G1" s="1286"/>
      <c r="H1" s="1286"/>
      <c r="I1" s="1286"/>
      <c r="J1" s="1286"/>
      <c r="K1" s="1286"/>
      <c r="L1" s="1287"/>
    </row>
    <row r="2" spans="1:12">
      <c r="A2" s="1288"/>
      <c r="B2" s="1289"/>
      <c r="C2" s="1289"/>
      <c r="D2" s="1289"/>
      <c r="E2" s="1289"/>
      <c r="F2" s="1289"/>
      <c r="G2" s="1289"/>
      <c r="H2" s="1289"/>
      <c r="I2" s="1289"/>
      <c r="J2" s="1289"/>
      <c r="K2" s="1289"/>
      <c r="L2" s="1290"/>
    </row>
    <row r="3" spans="1:12" ht="15" customHeight="1">
      <c r="A3" s="477" t="s">
        <v>2066</v>
      </c>
      <c r="B3" s="478" t="s">
        <v>2251</v>
      </c>
      <c r="C3" s="479"/>
      <c r="D3" s="479"/>
      <c r="E3" s="480"/>
      <c r="F3" s="480"/>
      <c r="G3" s="480"/>
      <c r="H3" s="481"/>
      <c r="I3" s="480"/>
      <c r="J3" s="480"/>
      <c r="K3" s="480"/>
      <c r="L3" s="482"/>
    </row>
    <row r="4" spans="1:12" ht="15" customHeight="1">
      <c r="A4" s="483" t="s">
        <v>2067</v>
      </c>
      <c r="B4" s="484"/>
      <c r="C4" s="485"/>
      <c r="D4" s="485"/>
      <c r="E4" s="486"/>
      <c r="F4" s="486"/>
      <c r="G4" s="486"/>
      <c r="H4" s="487"/>
      <c r="I4" s="486"/>
      <c r="J4" s="486"/>
      <c r="K4" s="486"/>
      <c r="L4" s="488"/>
    </row>
    <row r="5" spans="1:12" ht="15" customHeight="1">
      <c r="A5" s="477" t="s">
        <v>2068</v>
      </c>
      <c r="B5" s="1291" t="s">
        <v>2252</v>
      </c>
      <c r="C5" s="1292"/>
      <c r="D5" s="1292"/>
      <c r="E5" s="1292"/>
      <c r="F5" s="1292"/>
      <c r="G5" s="1292"/>
      <c r="H5" s="1292"/>
      <c r="I5" s="480"/>
      <c r="L5" s="489"/>
    </row>
    <row r="6" spans="1:12" ht="15" customHeight="1">
      <c r="A6" s="483" t="s">
        <v>2069</v>
      </c>
      <c r="B6" s="1293"/>
      <c r="C6" s="1294"/>
      <c r="D6" s="1294"/>
      <c r="E6" s="1294"/>
      <c r="F6" s="1294"/>
      <c r="G6" s="1294"/>
      <c r="H6" s="1294"/>
      <c r="I6" s="486"/>
      <c r="J6" s="486"/>
      <c r="K6" s="486"/>
      <c r="L6" s="488"/>
    </row>
    <row r="7" spans="1:12">
      <c r="A7" s="490"/>
      <c r="L7" s="489"/>
    </row>
    <row r="8" spans="1:12" ht="32.5" customHeight="1">
      <c r="A8" s="492" t="s">
        <v>2070</v>
      </c>
      <c r="B8" s="493" t="s">
        <v>2071</v>
      </c>
      <c r="C8" s="493"/>
      <c r="D8" s="1295" t="s">
        <v>2073</v>
      </c>
      <c r="E8" s="1295"/>
      <c r="F8" s="1295"/>
      <c r="G8" s="493" t="s">
        <v>2158</v>
      </c>
      <c r="H8" s="1296" t="s">
        <v>2075</v>
      </c>
      <c r="I8" s="1296"/>
      <c r="J8" s="1296"/>
      <c r="K8" s="1297" t="s">
        <v>2076</v>
      </c>
      <c r="L8" s="1298" t="s">
        <v>1965</v>
      </c>
    </row>
    <row r="9" spans="1:12" ht="40.5" customHeight="1">
      <c r="A9" s="1299" t="s">
        <v>2077</v>
      </c>
      <c r="B9" s="1283" t="s">
        <v>2078</v>
      </c>
      <c r="C9" s="1283" t="s">
        <v>2249</v>
      </c>
      <c r="D9" s="1284" t="s">
        <v>1714</v>
      </c>
      <c r="E9" s="1284" t="s">
        <v>1715</v>
      </c>
      <c r="F9" s="1284" t="s">
        <v>1716</v>
      </c>
      <c r="G9" s="1284" t="s">
        <v>1716</v>
      </c>
      <c r="H9" s="1300" t="s">
        <v>2248</v>
      </c>
      <c r="I9" s="1300"/>
      <c r="J9" s="1300"/>
      <c r="K9" s="1297"/>
      <c r="L9" s="1298"/>
    </row>
    <row r="10" spans="1:12" ht="56.5" customHeight="1">
      <c r="A10" s="1299"/>
      <c r="B10" s="1283"/>
      <c r="C10" s="1283" t="s">
        <v>1914</v>
      </c>
      <c r="D10" s="1284"/>
      <c r="E10" s="1284"/>
      <c r="F10" s="1284"/>
      <c r="G10" s="1284"/>
      <c r="H10" s="496" t="s">
        <v>2080</v>
      </c>
      <c r="I10" s="496" t="s">
        <v>2246</v>
      </c>
      <c r="J10" s="496" t="s">
        <v>2253</v>
      </c>
      <c r="K10" s="1297"/>
      <c r="L10" s="1298"/>
    </row>
    <row r="11" spans="1:12" s="502" customFormat="1" ht="26" customHeight="1">
      <c r="A11" s="494" t="s">
        <v>1961</v>
      </c>
      <c r="B11" s="495"/>
      <c r="C11" s="495"/>
      <c r="D11" s="497" t="s">
        <v>477</v>
      </c>
      <c r="E11" s="497" t="s">
        <v>477</v>
      </c>
      <c r="F11" s="498"/>
      <c r="G11" s="498"/>
      <c r="H11" s="499"/>
      <c r="I11" s="499"/>
      <c r="J11" s="499">
        <f>SUM(J12:J12)</f>
        <v>600000000</v>
      </c>
      <c r="K11" s="500"/>
      <c r="L11" s="501">
        <f>F11-G11-J11</f>
        <v>-600000000</v>
      </c>
    </row>
    <row r="12" spans="1:12" s="741" customFormat="1" ht="99">
      <c r="A12" s="738">
        <v>1</v>
      </c>
      <c r="B12" s="742" t="s">
        <v>2245</v>
      </c>
      <c r="C12" s="504">
        <v>20</v>
      </c>
      <c r="D12" s="739" t="s">
        <v>477</v>
      </c>
      <c r="E12" s="739" t="s">
        <v>477</v>
      </c>
      <c r="F12" s="739" t="s">
        <v>477</v>
      </c>
      <c r="G12" s="739" t="s">
        <v>477</v>
      </c>
      <c r="H12" s="508" t="s">
        <v>2084</v>
      </c>
      <c r="I12" s="509">
        <v>27777778</v>
      </c>
      <c r="J12" s="509">
        <v>600000000</v>
      </c>
      <c r="K12" s="509" t="s">
        <v>2247</v>
      </c>
      <c r="L12" s="740"/>
    </row>
    <row r="13" spans="1:12" s="518" customFormat="1">
      <c r="A13" s="619"/>
      <c r="B13" s="620" t="s">
        <v>2107</v>
      </c>
      <c r="C13" s="622"/>
      <c r="D13" s="622"/>
      <c r="E13" s="623"/>
      <c r="F13" s="623"/>
      <c r="G13" s="623"/>
      <c r="H13" s="624"/>
      <c r="I13" s="625"/>
      <c r="J13" s="625"/>
      <c r="K13" s="625"/>
      <c r="L13" s="626"/>
    </row>
    <row r="14" spans="1:12" ht="15.5" hidden="1" customHeight="1">
      <c r="A14" s="519" t="s">
        <v>2108</v>
      </c>
      <c r="B14" s="520" t="s">
        <v>2109</v>
      </c>
      <c r="C14" s="521"/>
      <c r="D14" s="521"/>
      <c r="E14" s="507"/>
      <c r="F14" s="514"/>
      <c r="G14" s="514"/>
      <c r="H14" s="515"/>
      <c r="I14" s="522"/>
      <c r="J14" s="522"/>
      <c r="K14" s="522"/>
      <c r="L14" s="523"/>
    </row>
    <row r="15" spans="1:12" ht="15.5" hidden="1" customHeight="1">
      <c r="A15" s="524">
        <v>1</v>
      </c>
      <c r="B15" s="525" t="s">
        <v>2110</v>
      </c>
      <c r="C15" s="526"/>
      <c r="D15" s="526"/>
      <c r="E15" s="507"/>
      <c r="F15" s="514"/>
      <c r="G15" s="514"/>
      <c r="H15" s="515"/>
      <c r="I15" s="522"/>
      <c r="J15" s="522"/>
      <c r="K15" s="522"/>
      <c r="L15" s="523"/>
    </row>
    <row r="16" spans="1:12" ht="15.5" hidden="1" customHeight="1">
      <c r="A16" s="524">
        <v>2</v>
      </c>
      <c r="B16" s="525" t="s">
        <v>2110</v>
      </c>
      <c r="C16" s="527"/>
      <c r="D16" s="527"/>
      <c r="E16" s="507"/>
      <c r="F16" s="514"/>
      <c r="G16" s="514"/>
      <c r="H16" s="515"/>
      <c r="I16" s="522"/>
      <c r="J16" s="522"/>
      <c r="K16" s="522"/>
      <c r="L16" s="523"/>
    </row>
    <row r="17" spans="1:14" ht="15.5" hidden="1" customHeight="1">
      <c r="A17" s="519" t="s">
        <v>2111</v>
      </c>
      <c r="B17" s="520" t="s">
        <v>2112</v>
      </c>
      <c r="C17" s="528"/>
      <c r="D17" s="528"/>
      <c r="E17" s="507"/>
      <c r="F17" s="514"/>
      <c r="G17" s="514"/>
      <c r="H17" s="515"/>
      <c r="I17" s="522"/>
      <c r="J17" s="522"/>
      <c r="K17" s="522"/>
      <c r="L17" s="523"/>
    </row>
    <row r="18" spans="1:14" ht="15.5" hidden="1" customHeight="1">
      <c r="A18" s="524">
        <v>1</v>
      </c>
      <c r="B18" s="525" t="s">
        <v>2115</v>
      </c>
      <c r="C18" s="526"/>
      <c r="D18" s="526"/>
      <c r="E18" s="507"/>
      <c r="F18" s="514"/>
      <c r="G18" s="514"/>
      <c r="H18" s="515"/>
      <c r="I18" s="522"/>
      <c r="J18" s="522"/>
      <c r="K18" s="522"/>
      <c r="L18" s="523"/>
    </row>
    <row r="19" spans="1:14" ht="15.5" hidden="1" customHeight="1">
      <c r="A19" s="524"/>
      <c r="B19" s="525"/>
      <c r="C19" s="527"/>
      <c r="D19" s="527"/>
      <c r="E19" s="507"/>
      <c r="F19" s="514"/>
      <c r="G19" s="514"/>
      <c r="H19" s="515"/>
      <c r="I19" s="522"/>
      <c r="J19" s="522"/>
      <c r="K19" s="522"/>
      <c r="L19" s="523"/>
    </row>
    <row r="20" spans="1:14" hidden="1">
      <c r="A20" s="529" t="s">
        <v>2116</v>
      </c>
      <c r="B20" s="525" t="s">
        <v>2117</v>
      </c>
      <c r="C20" s="530"/>
      <c r="D20" s="530"/>
      <c r="E20" s="507"/>
      <c r="F20" s="514"/>
      <c r="G20" s="514"/>
      <c r="H20" s="515"/>
      <c r="I20" s="522"/>
      <c r="J20" s="522"/>
      <c r="K20" s="522"/>
      <c r="L20" s="523"/>
    </row>
    <row r="21" spans="1:14" ht="35" hidden="1">
      <c r="A21" s="524">
        <v>1</v>
      </c>
      <c r="B21" s="525" t="s">
        <v>2118</v>
      </c>
      <c r="C21" s="526"/>
      <c r="D21" s="526"/>
      <c r="E21" s="507"/>
      <c r="F21" s="514"/>
      <c r="G21" s="514"/>
      <c r="H21" s="515"/>
      <c r="I21" s="522"/>
      <c r="J21" s="522"/>
      <c r="K21" s="522"/>
      <c r="L21" s="523"/>
    </row>
    <row r="22" spans="1:14" hidden="1">
      <c r="A22" s="524"/>
      <c r="B22" s="525" t="s">
        <v>2115</v>
      </c>
      <c r="C22" s="526"/>
      <c r="D22" s="526"/>
      <c r="E22" s="507"/>
      <c r="F22" s="514"/>
      <c r="G22" s="514"/>
      <c r="H22" s="515"/>
      <c r="I22" s="522"/>
      <c r="J22" s="522"/>
      <c r="K22" s="522"/>
      <c r="L22" s="523"/>
    </row>
    <row r="23" spans="1:14" ht="70" hidden="1">
      <c r="A23" s="519" t="s">
        <v>2084</v>
      </c>
      <c r="B23" s="520" t="s">
        <v>2119</v>
      </c>
      <c r="C23" s="521"/>
      <c r="D23" s="521"/>
      <c r="E23" s="507"/>
      <c r="F23" s="514"/>
      <c r="G23" s="514"/>
      <c r="H23" s="515"/>
      <c r="I23" s="522"/>
      <c r="J23" s="522"/>
      <c r="K23" s="522"/>
      <c r="L23" s="523"/>
    </row>
    <row r="24" spans="1:14" s="518" customFormat="1">
      <c r="A24" s="510"/>
      <c r="B24" s="511" t="s">
        <v>2120</v>
      </c>
      <c r="C24" s="513"/>
      <c r="D24" s="513"/>
      <c r="E24" s="514"/>
      <c r="F24" s="514"/>
      <c r="G24" s="514"/>
      <c r="H24" s="515"/>
      <c r="I24" s="531">
        <v>1</v>
      </c>
      <c r="J24" s="531"/>
      <c r="K24" s="531"/>
      <c r="L24" s="517"/>
    </row>
    <row r="25" spans="1:14" ht="34.5" customHeight="1">
      <c r="A25" s="540" t="s">
        <v>2250</v>
      </c>
      <c r="L25" s="489"/>
    </row>
    <row r="26" spans="1:14" ht="55.25" customHeight="1">
      <c r="A26" s="1282" t="s">
        <v>2161</v>
      </c>
      <c r="B26" s="1278"/>
      <c r="C26" s="1278" t="s">
        <v>2162</v>
      </c>
      <c r="D26" s="1278"/>
      <c r="E26" s="1278"/>
      <c r="F26" s="1278"/>
      <c r="G26" s="1280" t="s">
        <v>2123</v>
      </c>
      <c r="H26" s="1280"/>
      <c r="I26" s="1280"/>
      <c r="J26" s="1280"/>
      <c r="K26" s="1280"/>
      <c r="L26" s="1281"/>
      <c r="M26" s="726"/>
    </row>
    <row r="27" spans="1:14" ht="14.4" customHeight="1">
      <c r="A27" s="490"/>
      <c r="B27" s="534"/>
      <c r="C27" s="502"/>
      <c r="G27" s="1276" t="s">
        <v>2124</v>
      </c>
      <c r="H27" s="1276"/>
      <c r="I27" s="1279" t="s">
        <v>2125</v>
      </c>
      <c r="J27" s="1279"/>
      <c r="K27" s="731" t="s">
        <v>2126</v>
      </c>
      <c r="L27" s="729"/>
    </row>
    <row r="28" spans="1:14">
      <c r="A28" s="490"/>
      <c r="L28" s="489"/>
    </row>
    <row r="29" spans="1:14">
      <c r="A29" s="490"/>
      <c r="L29" s="489"/>
    </row>
    <row r="30" spans="1:14" ht="167" hidden="1" customHeight="1" thickBot="1">
      <c r="A30" s="536"/>
      <c r="B30" s="537"/>
      <c r="C30" s="537"/>
      <c r="D30" s="537"/>
      <c r="E30" s="537"/>
      <c r="F30" s="537"/>
      <c r="G30" s="537"/>
      <c r="H30" s="1276" t="s">
        <v>2124</v>
      </c>
      <c r="I30" s="1276"/>
      <c r="J30" s="1277" t="s">
        <v>2125</v>
      </c>
      <c r="K30" s="1277"/>
      <c r="L30" s="729"/>
      <c r="M30" s="1276" t="s">
        <v>2126</v>
      </c>
      <c r="N30" s="1276"/>
    </row>
    <row r="31" spans="1:14">
      <c r="A31" s="490"/>
      <c r="L31" s="489"/>
    </row>
    <row r="32" spans="1:14">
      <c r="A32" s="490"/>
      <c r="L32" s="489"/>
    </row>
    <row r="33" spans="1:12">
      <c r="A33" s="490"/>
      <c r="L33" s="489"/>
    </row>
    <row r="34" spans="1:12">
      <c r="A34" s="490"/>
      <c r="L34" s="489"/>
    </row>
    <row r="35" spans="1:12">
      <c r="A35" s="490"/>
      <c r="L35" s="489"/>
    </row>
    <row r="36" spans="1:12" ht="40" customHeight="1">
      <c r="A36" s="490"/>
      <c r="L36" s="489"/>
    </row>
    <row r="37" spans="1:12" ht="63" customHeight="1" thickBot="1">
      <c r="A37" s="536"/>
      <c r="B37" s="537"/>
      <c r="C37" s="537"/>
      <c r="D37" s="537"/>
      <c r="E37" s="537"/>
      <c r="F37" s="537"/>
      <c r="G37" s="537"/>
      <c r="H37" s="538"/>
      <c r="I37" s="537"/>
      <c r="J37" s="537"/>
      <c r="K37" s="537"/>
      <c r="L37" s="539"/>
    </row>
  </sheetData>
  <mergeCells count="22">
    <mergeCell ref="A1:L2"/>
    <mergeCell ref="B5:H6"/>
    <mergeCell ref="D8:F8"/>
    <mergeCell ref="H8:J8"/>
    <mergeCell ref="K8:K10"/>
    <mergeCell ref="L8:L10"/>
    <mergeCell ref="A9:A10"/>
    <mergeCell ref="B9:B10"/>
    <mergeCell ref="G9:G10"/>
    <mergeCell ref="H9:J9"/>
    <mergeCell ref="A26:B26"/>
    <mergeCell ref="C9:C10"/>
    <mergeCell ref="D9:D10"/>
    <mergeCell ref="E9:E10"/>
    <mergeCell ref="F9:F10"/>
    <mergeCell ref="H30:I30"/>
    <mergeCell ref="J30:K30"/>
    <mergeCell ref="M30:N30"/>
    <mergeCell ref="C26:F26"/>
    <mergeCell ref="G27:H27"/>
    <mergeCell ref="I27:J27"/>
    <mergeCell ref="G26:L26"/>
  </mergeCells>
  <conditionalFormatting sqref="A12">
    <cfRule type="duplicateValues" dxfId="60" priority="586"/>
  </conditionalFormatting>
  <pageMargins left="0.42" right="0.42" top="0.3" bottom="0.19" header="0.17" footer="0.17"/>
  <pageSetup paperSize="9" scale="71" fitToHeight="1111" orientation="landscape" r:id="rId1"/>
  <headerFooter>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AC4F3-6F13-414F-94AB-BDE3EB44BA15}">
  <sheetPr>
    <pageSetUpPr fitToPage="1"/>
  </sheetPr>
  <dimension ref="A1:O108"/>
  <sheetViews>
    <sheetView view="pageBreakPreview" topLeftCell="A84" zoomScale="40" zoomScaleNormal="55" zoomScaleSheetLayoutView="40" workbookViewId="0">
      <selection activeCell="A102" sqref="A102"/>
    </sheetView>
  </sheetViews>
  <sheetFormatPr defaultColWidth="9.796875" defaultRowHeight="20.5"/>
  <cols>
    <col min="1" max="1" width="49.296875" style="648" customWidth="1"/>
    <col min="2" max="2" width="49.296875" style="634" customWidth="1"/>
    <col min="3" max="3" width="31.296875" style="634" bestFit="1" customWidth="1"/>
    <col min="4" max="4" width="15.3984375" style="634" customWidth="1"/>
    <col min="5" max="5" width="11" style="634" customWidth="1"/>
    <col min="6" max="6" width="14.296875" style="634" customWidth="1"/>
    <col min="7" max="7" width="11" style="634" customWidth="1"/>
    <col min="8" max="8" width="12.5" style="634" customWidth="1"/>
    <col min="9" max="9" width="20.59765625" style="634" customWidth="1"/>
    <col min="10" max="10" width="23.19921875" style="634" customWidth="1"/>
    <col min="11" max="11" width="10.09765625" style="648" customWidth="1"/>
    <col min="12" max="12" width="23.296875" style="634" customWidth="1"/>
    <col min="13" max="13" width="22.09765625" style="634" customWidth="1"/>
    <col min="14" max="14" width="15.69921875" style="634" customWidth="1"/>
    <col min="15" max="15" width="21.8984375" style="634" customWidth="1"/>
    <col min="16" max="16384" width="9.796875" style="634"/>
  </cols>
  <sheetData>
    <row r="1" spans="1:15" ht="51.65" customHeight="1">
      <c r="A1" s="1304" t="s">
        <v>2065</v>
      </c>
      <c r="B1" s="1305"/>
      <c r="C1" s="1305"/>
      <c r="D1" s="1305"/>
      <c r="E1" s="1305"/>
      <c r="F1" s="1305"/>
      <c r="G1" s="1305"/>
      <c r="H1" s="1305"/>
      <c r="I1" s="1305"/>
      <c r="J1" s="1305"/>
      <c r="K1" s="1305"/>
      <c r="L1" s="1305"/>
      <c r="M1" s="1305"/>
      <c r="N1" s="1305"/>
      <c r="O1" s="1306"/>
    </row>
    <row r="2" spans="1:15">
      <c r="A2" s="1307"/>
      <c r="B2" s="1308"/>
      <c r="C2" s="1308"/>
      <c r="D2" s="1308"/>
      <c r="E2" s="1308"/>
      <c r="F2" s="1308"/>
      <c r="G2" s="1308"/>
      <c r="H2" s="1308"/>
      <c r="I2" s="1308"/>
      <c r="J2" s="1308"/>
      <c r="K2" s="1308"/>
      <c r="L2" s="1308"/>
      <c r="M2" s="1308"/>
      <c r="N2" s="1308"/>
      <c r="O2" s="1309"/>
    </row>
    <row r="3" spans="1:15" ht="15" customHeight="1">
      <c r="A3" s="636" t="s">
        <v>2066</v>
      </c>
      <c r="B3" s="637" t="s">
        <v>2156</v>
      </c>
      <c r="C3" s="638"/>
      <c r="D3" s="638"/>
      <c r="E3" s="638"/>
      <c r="F3" s="638"/>
      <c r="G3" s="638"/>
      <c r="H3" s="639"/>
      <c r="I3" s="639"/>
      <c r="J3" s="639"/>
      <c r="K3" s="640"/>
      <c r="L3" s="639"/>
      <c r="M3" s="639"/>
      <c r="N3" s="639"/>
      <c r="O3" s="641"/>
    </row>
    <row r="4" spans="1:15" ht="15" customHeight="1">
      <c r="A4" s="642" t="s">
        <v>2067</v>
      </c>
      <c r="B4" s="643"/>
      <c r="C4" s="644"/>
      <c r="D4" s="644"/>
      <c r="E4" s="644"/>
      <c r="F4" s="644"/>
      <c r="G4" s="644"/>
      <c r="H4" s="645"/>
      <c r="I4" s="645"/>
      <c r="J4" s="645"/>
      <c r="K4" s="646"/>
      <c r="L4" s="645"/>
      <c r="M4" s="645"/>
      <c r="N4" s="645"/>
      <c r="O4" s="647"/>
    </row>
    <row r="5" spans="1:15" ht="15" customHeight="1">
      <c r="A5" s="636" t="s">
        <v>2068</v>
      </c>
      <c r="B5" s="1310" t="s">
        <v>2300</v>
      </c>
      <c r="C5" s="1311"/>
      <c r="D5" s="1311"/>
      <c r="E5" s="1311"/>
      <c r="F5" s="1311"/>
      <c r="G5" s="1311"/>
      <c r="H5" s="1311"/>
      <c r="I5" s="1311"/>
      <c r="J5" s="1311"/>
      <c r="K5" s="1311"/>
      <c r="L5" s="639"/>
      <c r="O5" s="635"/>
    </row>
    <row r="6" spans="1:15" ht="15" customHeight="1">
      <c r="A6" s="642" t="s">
        <v>2069</v>
      </c>
      <c r="B6" s="1312"/>
      <c r="C6" s="1313"/>
      <c r="D6" s="1313"/>
      <c r="E6" s="1313"/>
      <c r="F6" s="1313"/>
      <c r="G6" s="1313"/>
      <c r="H6" s="1313"/>
      <c r="I6" s="1313"/>
      <c r="J6" s="1313"/>
      <c r="K6" s="1313"/>
      <c r="L6" s="645"/>
      <c r="M6" s="645"/>
      <c r="N6" s="645"/>
      <c r="O6" s="647"/>
    </row>
    <row r="7" spans="1:15">
      <c r="A7" s="632"/>
      <c r="O7" s="635"/>
    </row>
    <row r="8" spans="1:15" ht="58" customHeight="1">
      <c r="A8" s="649" t="s">
        <v>2070</v>
      </c>
      <c r="B8" s="1322" t="s">
        <v>2071</v>
      </c>
      <c r="C8" s="1323"/>
      <c r="D8" s="1323"/>
      <c r="E8" s="1323"/>
      <c r="F8" s="1324"/>
      <c r="G8" s="1314" t="s">
        <v>2073</v>
      </c>
      <c r="H8" s="1314"/>
      <c r="I8" s="1314"/>
      <c r="J8" s="650" t="s">
        <v>2158</v>
      </c>
      <c r="K8" s="1315" t="s">
        <v>2075</v>
      </c>
      <c r="L8" s="1315"/>
      <c r="M8" s="1315"/>
      <c r="N8" s="1316" t="s">
        <v>2076</v>
      </c>
      <c r="O8" s="1317" t="s">
        <v>1965</v>
      </c>
    </row>
    <row r="9" spans="1:15" ht="52" customHeight="1">
      <c r="A9" s="1318" t="s">
        <v>2254</v>
      </c>
      <c r="B9" s="1319" t="s">
        <v>2255</v>
      </c>
      <c r="C9" s="1319" t="s">
        <v>2256</v>
      </c>
      <c r="D9" s="1319" t="s">
        <v>2257</v>
      </c>
      <c r="E9" s="1319" t="s">
        <v>2258</v>
      </c>
      <c r="F9" s="1301" t="s">
        <v>227</v>
      </c>
      <c r="G9" s="1303" t="s">
        <v>2259</v>
      </c>
      <c r="H9" s="1303" t="s">
        <v>1715</v>
      </c>
      <c r="I9" s="1303" t="s">
        <v>1716</v>
      </c>
      <c r="J9" s="1303" t="s">
        <v>1716</v>
      </c>
      <c r="K9" s="1334" t="s">
        <v>2299</v>
      </c>
      <c r="L9" s="1334"/>
      <c r="M9" s="1334"/>
      <c r="N9" s="1316"/>
      <c r="O9" s="1317"/>
    </row>
    <row r="10" spans="1:15" ht="56.5" customHeight="1">
      <c r="A10" s="1318"/>
      <c r="B10" s="1319"/>
      <c r="C10" s="1319"/>
      <c r="D10" s="1319"/>
      <c r="E10" s="1319" t="s">
        <v>1914</v>
      </c>
      <c r="F10" s="1302" t="s">
        <v>1915</v>
      </c>
      <c r="G10" s="1303"/>
      <c r="H10" s="1303"/>
      <c r="I10" s="1303"/>
      <c r="J10" s="1303"/>
      <c r="K10" s="743" t="s">
        <v>2080</v>
      </c>
      <c r="L10" s="743" t="s">
        <v>2081</v>
      </c>
      <c r="M10" s="743" t="s">
        <v>2082</v>
      </c>
      <c r="N10" s="1316"/>
      <c r="O10" s="1317"/>
    </row>
    <row r="11" spans="1:15" s="633" customFormat="1" ht="26" customHeight="1">
      <c r="A11" s="651"/>
      <c r="B11" s="652"/>
      <c r="C11" s="652"/>
      <c r="D11" s="652"/>
      <c r="E11" s="652"/>
      <c r="F11" s="652"/>
      <c r="G11" s="653"/>
      <c r="H11" s="653"/>
      <c r="I11" s="654"/>
      <c r="J11" s="654"/>
      <c r="K11" s="744"/>
      <c r="L11" s="744"/>
      <c r="M11" s="744">
        <f>SUM(M12:M89)</f>
        <v>255444000</v>
      </c>
      <c r="N11" s="655"/>
      <c r="O11" s="656">
        <f>I11-J11-M11</f>
        <v>-255444000</v>
      </c>
    </row>
    <row r="12" spans="1:15" ht="21">
      <c r="A12" s="697" t="s">
        <v>2260</v>
      </c>
      <c r="B12" s="745" t="s">
        <v>2261</v>
      </c>
      <c r="C12" s="746">
        <v>790</v>
      </c>
      <c r="D12" s="658">
        <v>600</v>
      </c>
      <c r="E12" s="659">
        <v>30</v>
      </c>
      <c r="F12" s="747" t="s">
        <v>2262</v>
      </c>
      <c r="G12" s="660">
        <v>10</v>
      </c>
      <c r="H12" s="660" t="s">
        <v>477</v>
      </c>
      <c r="I12" s="660" t="s">
        <v>477</v>
      </c>
      <c r="J12" s="660" t="s">
        <v>477</v>
      </c>
      <c r="K12" s="661" t="s">
        <v>2084</v>
      </c>
      <c r="L12" s="662">
        <v>690000</v>
      </c>
      <c r="M12" s="662">
        <v>6900000</v>
      </c>
      <c r="N12" s="662" t="s">
        <v>2301</v>
      </c>
      <c r="O12" s="1325" t="s">
        <v>2303</v>
      </c>
    </row>
    <row r="13" spans="1:15" ht="21">
      <c r="A13" s="697" t="s">
        <v>2260</v>
      </c>
      <c r="B13" s="745" t="s">
        <v>2263</v>
      </c>
      <c r="C13" s="746">
        <v>790</v>
      </c>
      <c r="D13" s="658">
        <v>425</v>
      </c>
      <c r="E13" s="659">
        <v>30</v>
      </c>
      <c r="F13" s="747" t="s">
        <v>2262</v>
      </c>
      <c r="G13" s="660">
        <v>4</v>
      </c>
      <c r="H13" s="660" t="s">
        <v>477</v>
      </c>
      <c r="I13" s="660" t="s">
        <v>477</v>
      </c>
      <c r="J13" s="660" t="s">
        <v>477</v>
      </c>
      <c r="K13" s="661" t="s">
        <v>2084</v>
      </c>
      <c r="L13" s="662">
        <v>590000</v>
      </c>
      <c r="M13" s="662">
        <v>2360000</v>
      </c>
      <c r="N13" s="662" t="s">
        <v>2301</v>
      </c>
      <c r="O13" s="1326"/>
    </row>
    <row r="14" spans="1:15" ht="21">
      <c r="A14" s="697" t="s">
        <v>2260</v>
      </c>
      <c r="B14" s="745" t="s">
        <v>2264</v>
      </c>
      <c r="C14" s="746">
        <v>790</v>
      </c>
      <c r="D14" s="658">
        <v>600</v>
      </c>
      <c r="E14" s="659">
        <v>30</v>
      </c>
      <c r="F14" s="747" t="s">
        <v>2262</v>
      </c>
      <c r="G14" s="660">
        <v>2</v>
      </c>
      <c r="H14" s="660" t="s">
        <v>477</v>
      </c>
      <c r="I14" s="660" t="s">
        <v>477</v>
      </c>
      <c r="J14" s="660" t="s">
        <v>477</v>
      </c>
      <c r="K14" s="661" t="s">
        <v>2084</v>
      </c>
      <c r="L14" s="662">
        <v>690000</v>
      </c>
      <c r="M14" s="662">
        <v>1380000</v>
      </c>
      <c r="N14" s="662" t="s">
        <v>2301</v>
      </c>
      <c r="O14" s="1326"/>
    </row>
    <row r="15" spans="1:15" ht="21">
      <c r="A15" s="697" t="s">
        <v>2260</v>
      </c>
      <c r="B15" s="745" t="s">
        <v>2265</v>
      </c>
      <c r="C15" s="746">
        <v>679</v>
      </c>
      <c r="D15" s="658">
        <v>425</v>
      </c>
      <c r="E15" s="659">
        <v>30</v>
      </c>
      <c r="F15" s="747" t="s">
        <v>2262</v>
      </c>
      <c r="G15" s="660">
        <v>4</v>
      </c>
      <c r="H15" s="660" t="s">
        <v>477</v>
      </c>
      <c r="I15" s="660" t="s">
        <v>477</v>
      </c>
      <c r="J15" s="660" t="s">
        <v>477</v>
      </c>
      <c r="K15" s="661" t="s">
        <v>2084</v>
      </c>
      <c r="L15" s="662">
        <v>510000</v>
      </c>
      <c r="M15" s="662">
        <v>2040000</v>
      </c>
      <c r="N15" s="662" t="s">
        <v>2301</v>
      </c>
      <c r="O15" s="1326"/>
    </row>
    <row r="16" spans="1:15" ht="21">
      <c r="A16" s="697" t="s">
        <v>2260</v>
      </c>
      <c r="B16" s="745" t="s">
        <v>2266</v>
      </c>
      <c r="C16" s="746">
        <v>679</v>
      </c>
      <c r="D16" s="658">
        <v>425</v>
      </c>
      <c r="E16" s="659">
        <v>30</v>
      </c>
      <c r="F16" s="747" t="s">
        <v>2262</v>
      </c>
      <c r="G16" s="660">
        <v>4</v>
      </c>
      <c r="H16" s="660" t="s">
        <v>477</v>
      </c>
      <c r="I16" s="660" t="s">
        <v>477</v>
      </c>
      <c r="J16" s="660" t="s">
        <v>477</v>
      </c>
      <c r="K16" s="661" t="s">
        <v>2084</v>
      </c>
      <c r="L16" s="662">
        <v>510000</v>
      </c>
      <c r="M16" s="662">
        <v>2040000</v>
      </c>
      <c r="N16" s="662" t="s">
        <v>2301</v>
      </c>
      <c r="O16" s="1327"/>
    </row>
    <row r="17" spans="1:15" ht="42" customHeight="1">
      <c r="A17" s="697" t="s">
        <v>2267</v>
      </c>
      <c r="B17" s="745" t="s">
        <v>2268</v>
      </c>
      <c r="C17" s="746">
        <v>790</v>
      </c>
      <c r="D17" s="658">
        <v>600</v>
      </c>
      <c r="E17" s="659">
        <v>30</v>
      </c>
      <c r="F17" s="747" t="s">
        <v>2262</v>
      </c>
      <c r="G17" s="660">
        <v>15</v>
      </c>
      <c r="H17" s="660" t="s">
        <v>477</v>
      </c>
      <c r="I17" s="660" t="s">
        <v>477</v>
      </c>
      <c r="J17" s="660" t="s">
        <v>477</v>
      </c>
      <c r="K17" s="661" t="s">
        <v>2084</v>
      </c>
      <c r="L17" s="662">
        <v>690000</v>
      </c>
      <c r="M17" s="662">
        <v>10350000</v>
      </c>
      <c r="N17" s="662" t="s">
        <v>2301</v>
      </c>
      <c r="O17" s="1328" t="s">
        <v>2304</v>
      </c>
    </row>
    <row r="18" spans="1:15" ht="42" customHeight="1">
      <c r="A18" s="697" t="s">
        <v>2267</v>
      </c>
      <c r="B18" s="745" t="s">
        <v>2269</v>
      </c>
      <c r="C18" s="746">
        <v>790</v>
      </c>
      <c r="D18" s="658">
        <v>425</v>
      </c>
      <c r="E18" s="659">
        <v>30</v>
      </c>
      <c r="F18" s="747" t="s">
        <v>2262</v>
      </c>
      <c r="G18" s="660">
        <v>6</v>
      </c>
      <c r="H18" s="660" t="s">
        <v>477</v>
      </c>
      <c r="I18" s="660" t="s">
        <v>477</v>
      </c>
      <c r="J18" s="660" t="s">
        <v>477</v>
      </c>
      <c r="K18" s="661" t="s">
        <v>2084</v>
      </c>
      <c r="L18" s="662">
        <v>590000</v>
      </c>
      <c r="M18" s="662">
        <v>3540000</v>
      </c>
      <c r="N18" s="662" t="s">
        <v>2301</v>
      </c>
      <c r="O18" s="1330"/>
    </row>
    <row r="19" spans="1:15" ht="42" customHeight="1">
      <c r="A19" s="697" t="s">
        <v>2267</v>
      </c>
      <c r="B19" s="745" t="s">
        <v>2270</v>
      </c>
      <c r="C19" s="746">
        <v>830</v>
      </c>
      <c r="D19" s="658">
        <v>425</v>
      </c>
      <c r="E19" s="659">
        <v>30</v>
      </c>
      <c r="F19" s="747" t="s">
        <v>2262</v>
      </c>
      <c r="G19" s="660">
        <v>6</v>
      </c>
      <c r="H19" s="660" t="s">
        <v>477</v>
      </c>
      <c r="I19" s="660" t="s">
        <v>477</v>
      </c>
      <c r="J19" s="660" t="s">
        <v>477</v>
      </c>
      <c r="K19" s="661" t="s">
        <v>2084</v>
      </c>
      <c r="L19" s="662">
        <v>670000</v>
      </c>
      <c r="M19" s="662">
        <v>4020000</v>
      </c>
      <c r="N19" s="662" t="s">
        <v>2301</v>
      </c>
      <c r="O19" s="1330"/>
    </row>
    <row r="20" spans="1:15" ht="42" customHeight="1">
      <c r="A20" s="697" t="s">
        <v>2267</v>
      </c>
      <c r="B20" s="745" t="s">
        <v>2271</v>
      </c>
      <c r="C20" s="746">
        <v>860</v>
      </c>
      <c r="D20" s="658">
        <v>425</v>
      </c>
      <c r="E20" s="659">
        <v>30</v>
      </c>
      <c r="F20" s="747" t="s">
        <v>2262</v>
      </c>
      <c r="G20" s="660">
        <v>6</v>
      </c>
      <c r="H20" s="660" t="s">
        <v>477</v>
      </c>
      <c r="I20" s="660" t="s">
        <v>477</v>
      </c>
      <c r="J20" s="660" t="s">
        <v>477</v>
      </c>
      <c r="K20" s="661" t="s">
        <v>2084</v>
      </c>
      <c r="L20" s="662">
        <v>670000</v>
      </c>
      <c r="M20" s="662">
        <v>4020000</v>
      </c>
      <c r="N20" s="662" t="s">
        <v>2301</v>
      </c>
      <c r="O20" s="1330"/>
    </row>
    <row r="21" spans="1:15" ht="42" customHeight="1">
      <c r="A21" s="697" t="s">
        <v>2267</v>
      </c>
      <c r="B21" s="745" t="s">
        <v>2272</v>
      </c>
      <c r="C21" s="746">
        <v>790</v>
      </c>
      <c r="D21" s="658">
        <v>600</v>
      </c>
      <c r="E21" s="659">
        <v>30</v>
      </c>
      <c r="F21" s="747" t="s">
        <v>2262</v>
      </c>
      <c r="G21" s="660">
        <v>3</v>
      </c>
      <c r="H21" s="660" t="s">
        <v>477</v>
      </c>
      <c r="I21" s="660" t="s">
        <v>477</v>
      </c>
      <c r="J21" s="660" t="s">
        <v>477</v>
      </c>
      <c r="K21" s="661" t="s">
        <v>2084</v>
      </c>
      <c r="L21" s="662">
        <v>690000</v>
      </c>
      <c r="M21" s="662">
        <v>2070000</v>
      </c>
      <c r="N21" s="662" t="s">
        <v>2301</v>
      </c>
      <c r="O21" s="1329"/>
    </row>
    <row r="22" spans="1:15" ht="56" customHeight="1">
      <c r="A22" s="697" t="s">
        <v>2273</v>
      </c>
      <c r="B22" s="745" t="s">
        <v>2274</v>
      </c>
      <c r="C22" s="746">
        <v>1172</v>
      </c>
      <c r="D22" s="658">
        <v>610</v>
      </c>
      <c r="E22" s="659">
        <v>50</v>
      </c>
      <c r="F22" s="747" t="s">
        <v>2262</v>
      </c>
      <c r="G22" s="660">
        <v>8</v>
      </c>
      <c r="H22" s="660" t="s">
        <v>477</v>
      </c>
      <c r="I22" s="660" t="s">
        <v>477</v>
      </c>
      <c r="J22" s="660" t="s">
        <v>477</v>
      </c>
      <c r="K22" s="661" t="s">
        <v>2084</v>
      </c>
      <c r="L22" s="662">
        <v>1500000</v>
      </c>
      <c r="M22" s="662">
        <v>12000000</v>
      </c>
      <c r="N22" s="662" t="s">
        <v>2301</v>
      </c>
      <c r="O22" s="1328" t="s">
        <v>2308</v>
      </c>
    </row>
    <row r="23" spans="1:15" ht="42" customHeight="1">
      <c r="A23" s="697" t="s">
        <v>2273</v>
      </c>
      <c r="B23" s="745" t="s">
        <v>2275</v>
      </c>
      <c r="C23" s="746">
        <v>568</v>
      </c>
      <c r="D23" s="658">
        <v>610</v>
      </c>
      <c r="E23" s="659">
        <v>50</v>
      </c>
      <c r="F23" s="747" t="s">
        <v>2262</v>
      </c>
      <c r="G23" s="660">
        <v>8</v>
      </c>
      <c r="H23" s="660" t="s">
        <v>477</v>
      </c>
      <c r="I23" s="660" t="s">
        <v>477</v>
      </c>
      <c r="J23" s="660" t="s">
        <v>477</v>
      </c>
      <c r="K23" s="661" t="s">
        <v>2084</v>
      </c>
      <c r="L23" s="662">
        <v>800000</v>
      </c>
      <c r="M23" s="662">
        <v>6400000</v>
      </c>
      <c r="N23" s="662" t="s">
        <v>2301</v>
      </c>
      <c r="O23" s="1329"/>
    </row>
    <row r="24" spans="1:15" ht="28" customHeight="1">
      <c r="A24" s="697" t="s">
        <v>2273</v>
      </c>
      <c r="B24" s="745" t="s">
        <v>2276</v>
      </c>
      <c r="C24" s="746">
        <v>1485</v>
      </c>
      <c r="D24" s="658">
        <v>490</v>
      </c>
      <c r="E24" s="659">
        <v>50</v>
      </c>
      <c r="F24" s="747" t="s">
        <v>2262</v>
      </c>
      <c r="G24" s="660">
        <v>2</v>
      </c>
      <c r="H24" s="660" t="s">
        <v>477</v>
      </c>
      <c r="I24" s="660" t="s">
        <v>477</v>
      </c>
      <c r="J24" s="660" t="s">
        <v>477</v>
      </c>
      <c r="K24" s="661" t="s">
        <v>2084</v>
      </c>
      <c r="L24" s="662">
        <v>1364000</v>
      </c>
      <c r="M24" s="662">
        <v>2728000</v>
      </c>
      <c r="N24" s="662" t="s">
        <v>2301</v>
      </c>
      <c r="O24" s="1328" t="s">
        <v>2305</v>
      </c>
    </row>
    <row r="25" spans="1:15" ht="28" customHeight="1">
      <c r="A25" s="697" t="s">
        <v>2273</v>
      </c>
      <c r="B25" s="745" t="s">
        <v>2277</v>
      </c>
      <c r="C25" s="746">
        <v>1485</v>
      </c>
      <c r="D25" s="658">
        <v>299</v>
      </c>
      <c r="E25" s="659">
        <v>50</v>
      </c>
      <c r="F25" s="747" t="s">
        <v>2262</v>
      </c>
      <c r="G25" s="660">
        <v>1</v>
      </c>
      <c r="H25" s="660" t="s">
        <v>477</v>
      </c>
      <c r="I25" s="660" t="s">
        <v>477</v>
      </c>
      <c r="J25" s="660" t="s">
        <v>477</v>
      </c>
      <c r="K25" s="661" t="s">
        <v>2084</v>
      </c>
      <c r="L25" s="662">
        <v>855000</v>
      </c>
      <c r="M25" s="662">
        <v>855000</v>
      </c>
      <c r="N25" s="662" t="s">
        <v>2301</v>
      </c>
      <c r="O25" s="1330"/>
    </row>
    <row r="26" spans="1:15" ht="28" customHeight="1">
      <c r="A26" s="748" t="s">
        <v>2273</v>
      </c>
      <c r="B26" s="749" t="s">
        <v>2278</v>
      </c>
      <c r="C26" s="750">
        <v>1485</v>
      </c>
      <c r="D26" s="751">
        <v>259</v>
      </c>
      <c r="E26" s="752">
        <v>50</v>
      </c>
      <c r="F26" s="753" t="s">
        <v>2262</v>
      </c>
      <c r="G26" s="754">
        <v>1</v>
      </c>
      <c r="H26" s="660" t="s">
        <v>477</v>
      </c>
      <c r="I26" s="660" t="s">
        <v>477</v>
      </c>
      <c r="J26" s="660" t="s">
        <v>477</v>
      </c>
      <c r="K26" s="755"/>
      <c r="L26" s="756">
        <v>770000</v>
      </c>
      <c r="M26" s="756">
        <v>770000</v>
      </c>
      <c r="N26" s="662" t="s">
        <v>2301</v>
      </c>
      <c r="O26" s="1330"/>
    </row>
    <row r="27" spans="1:15" ht="28" customHeight="1">
      <c r="A27" s="748" t="s">
        <v>2273</v>
      </c>
      <c r="B27" s="749" t="s">
        <v>2279</v>
      </c>
      <c r="C27" s="750">
        <v>1750</v>
      </c>
      <c r="D27" s="751">
        <v>428.5</v>
      </c>
      <c r="E27" s="752">
        <v>50</v>
      </c>
      <c r="F27" s="753" t="s">
        <v>2262</v>
      </c>
      <c r="G27" s="754">
        <v>1</v>
      </c>
      <c r="H27" s="660" t="s">
        <v>477</v>
      </c>
      <c r="I27" s="660" t="s">
        <v>477</v>
      </c>
      <c r="J27" s="660" t="s">
        <v>477</v>
      </c>
      <c r="K27" s="755"/>
      <c r="L27" s="756">
        <v>1350000</v>
      </c>
      <c r="M27" s="756">
        <v>1350000</v>
      </c>
      <c r="N27" s="662" t="s">
        <v>2301</v>
      </c>
      <c r="O27" s="1330"/>
    </row>
    <row r="28" spans="1:15" ht="28" customHeight="1">
      <c r="A28" s="748" t="s">
        <v>2273</v>
      </c>
      <c r="B28" s="749" t="s">
        <v>2280</v>
      </c>
      <c r="C28" s="750">
        <v>1290</v>
      </c>
      <c r="D28" s="751">
        <v>660</v>
      </c>
      <c r="E28" s="752">
        <v>50</v>
      </c>
      <c r="F28" s="753" t="s">
        <v>2262</v>
      </c>
      <c r="G28" s="754">
        <v>1</v>
      </c>
      <c r="H28" s="660" t="s">
        <v>477</v>
      </c>
      <c r="I28" s="660" t="s">
        <v>477</v>
      </c>
      <c r="J28" s="660" t="s">
        <v>477</v>
      </c>
      <c r="K28" s="755"/>
      <c r="L28" s="756">
        <v>1565000</v>
      </c>
      <c r="M28" s="756">
        <v>1565000</v>
      </c>
      <c r="N28" s="662" t="s">
        <v>2301</v>
      </c>
      <c r="O28" s="1330"/>
    </row>
    <row r="29" spans="1:15" ht="28" customHeight="1">
      <c r="A29" s="748" t="s">
        <v>2273</v>
      </c>
      <c r="B29" s="749" t="s">
        <v>2281</v>
      </c>
      <c r="C29" s="750">
        <v>1750</v>
      </c>
      <c r="D29" s="751">
        <v>610</v>
      </c>
      <c r="E29" s="752">
        <v>50</v>
      </c>
      <c r="F29" s="753" t="s">
        <v>2262</v>
      </c>
      <c r="G29" s="754">
        <v>15</v>
      </c>
      <c r="H29" s="660" t="s">
        <v>477</v>
      </c>
      <c r="I29" s="660" t="s">
        <v>477</v>
      </c>
      <c r="J29" s="660" t="s">
        <v>477</v>
      </c>
      <c r="K29" s="755"/>
      <c r="L29" s="756">
        <v>1905000</v>
      </c>
      <c r="M29" s="756">
        <v>28575000</v>
      </c>
      <c r="N29" s="662" t="s">
        <v>2301</v>
      </c>
      <c r="O29" s="1330"/>
    </row>
    <row r="30" spans="1:15" ht="28" customHeight="1">
      <c r="A30" s="748" t="s">
        <v>2273</v>
      </c>
      <c r="B30" s="749" t="s">
        <v>2282</v>
      </c>
      <c r="C30" s="750">
        <v>1750</v>
      </c>
      <c r="D30" s="751">
        <v>396</v>
      </c>
      <c r="E30" s="752">
        <v>50</v>
      </c>
      <c r="F30" s="753" t="s">
        <v>2262</v>
      </c>
      <c r="G30" s="754">
        <v>1</v>
      </c>
      <c r="H30" s="660" t="s">
        <v>477</v>
      </c>
      <c r="I30" s="660" t="s">
        <v>477</v>
      </c>
      <c r="J30" s="660" t="s">
        <v>477</v>
      </c>
      <c r="K30" s="755"/>
      <c r="L30" s="756">
        <v>1305000</v>
      </c>
      <c r="M30" s="756">
        <v>1305000</v>
      </c>
      <c r="N30" s="662" t="s">
        <v>2301</v>
      </c>
      <c r="O30" s="1330"/>
    </row>
    <row r="31" spans="1:15" ht="28" customHeight="1">
      <c r="A31" s="748" t="s">
        <v>2273</v>
      </c>
      <c r="B31" s="749" t="s">
        <v>2283</v>
      </c>
      <c r="C31" s="750">
        <v>779</v>
      </c>
      <c r="D31" s="751" t="s">
        <v>2284</v>
      </c>
      <c r="E31" s="752">
        <v>50</v>
      </c>
      <c r="F31" s="753" t="s">
        <v>2262</v>
      </c>
      <c r="G31" s="754">
        <v>1</v>
      </c>
      <c r="H31" s="660" t="s">
        <v>477</v>
      </c>
      <c r="I31" s="660" t="s">
        <v>477</v>
      </c>
      <c r="J31" s="660" t="s">
        <v>477</v>
      </c>
      <c r="K31" s="755"/>
      <c r="L31" s="756">
        <v>955000</v>
      </c>
      <c r="M31" s="756">
        <v>955000</v>
      </c>
      <c r="N31" s="662" t="s">
        <v>2301</v>
      </c>
      <c r="O31" s="1330"/>
    </row>
    <row r="32" spans="1:15" ht="28" customHeight="1">
      <c r="A32" s="748" t="s">
        <v>2273</v>
      </c>
      <c r="B32" s="749" t="s">
        <v>2285</v>
      </c>
      <c r="C32" s="750">
        <v>961</v>
      </c>
      <c r="D32" s="751">
        <v>643</v>
      </c>
      <c r="E32" s="752">
        <v>50</v>
      </c>
      <c r="F32" s="753" t="s">
        <v>2262</v>
      </c>
      <c r="G32" s="754">
        <v>1</v>
      </c>
      <c r="H32" s="660" t="s">
        <v>477</v>
      </c>
      <c r="I32" s="660" t="s">
        <v>477</v>
      </c>
      <c r="J32" s="660" t="s">
        <v>477</v>
      </c>
      <c r="K32" s="755"/>
      <c r="L32" s="756">
        <v>1250000</v>
      </c>
      <c r="M32" s="756">
        <v>1250000</v>
      </c>
      <c r="N32" s="662" t="s">
        <v>2301</v>
      </c>
      <c r="O32" s="1330"/>
    </row>
    <row r="33" spans="1:15" ht="28" customHeight="1">
      <c r="A33" s="748" t="s">
        <v>2273</v>
      </c>
      <c r="B33" s="749" t="s">
        <v>2286</v>
      </c>
      <c r="C33" s="750">
        <v>1243</v>
      </c>
      <c r="D33" s="751">
        <v>305</v>
      </c>
      <c r="E33" s="752">
        <v>50</v>
      </c>
      <c r="F33" s="753" t="s">
        <v>2262</v>
      </c>
      <c r="G33" s="754">
        <v>2</v>
      </c>
      <c r="H33" s="660" t="s">
        <v>477</v>
      </c>
      <c r="I33" s="660" t="s">
        <v>477</v>
      </c>
      <c r="J33" s="660" t="s">
        <v>477</v>
      </c>
      <c r="K33" s="755"/>
      <c r="L33" s="756">
        <v>755000</v>
      </c>
      <c r="M33" s="756">
        <v>1510000</v>
      </c>
      <c r="N33" s="662" t="s">
        <v>2301</v>
      </c>
      <c r="O33" s="1330"/>
    </row>
    <row r="34" spans="1:15" ht="28" customHeight="1">
      <c r="A34" s="748" t="s">
        <v>2273</v>
      </c>
      <c r="B34" s="749" t="s">
        <v>2287</v>
      </c>
      <c r="C34" s="750">
        <v>850</v>
      </c>
      <c r="D34" s="751">
        <v>738.5</v>
      </c>
      <c r="E34" s="752">
        <v>50</v>
      </c>
      <c r="F34" s="753" t="s">
        <v>2262</v>
      </c>
      <c r="G34" s="754">
        <v>1</v>
      </c>
      <c r="H34" s="660" t="s">
        <v>477</v>
      </c>
      <c r="I34" s="660" t="s">
        <v>477</v>
      </c>
      <c r="J34" s="660" t="s">
        <v>477</v>
      </c>
      <c r="K34" s="755"/>
      <c r="L34" s="756">
        <v>1255000</v>
      </c>
      <c r="M34" s="756">
        <v>1255000</v>
      </c>
      <c r="N34" s="662" t="s">
        <v>2301</v>
      </c>
      <c r="O34" s="1330"/>
    </row>
    <row r="35" spans="1:15" ht="28" customHeight="1">
      <c r="A35" s="748" t="s">
        <v>2273</v>
      </c>
      <c r="B35" s="749" t="s">
        <v>2288</v>
      </c>
      <c r="C35" s="750">
        <v>850</v>
      </c>
      <c r="D35" s="751">
        <v>738.5</v>
      </c>
      <c r="E35" s="752">
        <v>50</v>
      </c>
      <c r="F35" s="753" t="s">
        <v>2262</v>
      </c>
      <c r="G35" s="754">
        <v>1</v>
      </c>
      <c r="H35" s="660" t="s">
        <v>477</v>
      </c>
      <c r="I35" s="660" t="s">
        <v>477</v>
      </c>
      <c r="J35" s="660" t="s">
        <v>477</v>
      </c>
      <c r="K35" s="755"/>
      <c r="L35" s="756">
        <v>1255000</v>
      </c>
      <c r="M35" s="756">
        <v>1255000</v>
      </c>
      <c r="N35" s="662" t="s">
        <v>2301</v>
      </c>
      <c r="O35" s="1330"/>
    </row>
    <row r="36" spans="1:15" ht="28" customHeight="1">
      <c r="A36" s="748" t="s">
        <v>2273</v>
      </c>
      <c r="B36" s="749" t="s">
        <v>2289</v>
      </c>
      <c r="C36" s="750">
        <v>1610</v>
      </c>
      <c r="D36" s="751">
        <v>600</v>
      </c>
      <c r="E36" s="752">
        <v>50</v>
      </c>
      <c r="F36" s="753" t="s">
        <v>2262</v>
      </c>
      <c r="G36" s="754">
        <v>3</v>
      </c>
      <c r="H36" s="660" t="s">
        <v>477</v>
      </c>
      <c r="I36" s="660" t="s">
        <v>477</v>
      </c>
      <c r="J36" s="660" t="s">
        <v>477</v>
      </c>
      <c r="K36" s="755"/>
      <c r="L36" s="756">
        <v>1750000</v>
      </c>
      <c r="M36" s="756">
        <v>5250000</v>
      </c>
      <c r="N36" s="662" t="s">
        <v>2301</v>
      </c>
      <c r="O36" s="1330"/>
    </row>
    <row r="37" spans="1:15" ht="28" customHeight="1">
      <c r="A37" s="748" t="s">
        <v>2273</v>
      </c>
      <c r="B37" s="749" t="s">
        <v>2290</v>
      </c>
      <c r="C37" s="750">
        <v>1750</v>
      </c>
      <c r="D37" s="751">
        <v>565</v>
      </c>
      <c r="E37" s="752">
        <v>50</v>
      </c>
      <c r="F37" s="753" t="s">
        <v>2262</v>
      </c>
      <c r="G37" s="754">
        <v>2</v>
      </c>
      <c r="H37" s="660" t="s">
        <v>477</v>
      </c>
      <c r="I37" s="660" t="s">
        <v>477</v>
      </c>
      <c r="J37" s="660" t="s">
        <v>477</v>
      </c>
      <c r="K37" s="755"/>
      <c r="L37" s="756">
        <v>1750000</v>
      </c>
      <c r="M37" s="756">
        <v>3500000</v>
      </c>
      <c r="N37" s="662" t="s">
        <v>2301</v>
      </c>
      <c r="O37" s="1330"/>
    </row>
    <row r="38" spans="1:15" ht="28" customHeight="1">
      <c r="A38" s="748" t="s">
        <v>2273</v>
      </c>
      <c r="B38" s="749" t="s">
        <v>2291</v>
      </c>
      <c r="C38" s="750">
        <v>2695</v>
      </c>
      <c r="D38" s="751">
        <v>1220</v>
      </c>
      <c r="E38" s="752">
        <v>50</v>
      </c>
      <c r="F38" s="753" t="s">
        <v>2262</v>
      </c>
      <c r="G38" s="754">
        <v>1</v>
      </c>
      <c r="H38" s="660" t="s">
        <v>477</v>
      </c>
      <c r="I38" s="660" t="s">
        <v>477</v>
      </c>
      <c r="J38" s="660" t="s">
        <v>477</v>
      </c>
      <c r="K38" s="755"/>
      <c r="L38" s="756">
        <v>5550000</v>
      </c>
      <c r="M38" s="756">
        <v>5550000</v>
      </c>
      <c r="N38" s="662" t="s">
        <v>2301</v>
      </c>
      <c r="O38" s="1330"/>
    </row>
    <row r="39" spans="1:15" ht="28" customHeight="1">
      <c r="A39" s="748" t="s">
        <v>2273</v>
      </c>
      <c r="B39" s="749" t="s">
        <v>2292</v>
      </c>
      <c r="C39" s="750">
        <v>600</v>
      </c>
      <c r="D39" s="751">
        <v>501</v>
      </c>
      <c r="E39" s="752">
        <v>50</v>
      </c>
      <c r="F39" s="753" t="s">
        <v>2262</v>
      </c>
      <c r="G39" s="754">
        <v>1</v>
      </c>
      <c r="H39" s="660" t="s">
        <v>477</v>
      </c>
      <c r="I39" s="660" t="s">
        <v>477</v>
      </c>
      <c r="J39" s="660" t="s">
        <v>477</v>
      </c>
      <c r="K39" s="755"/>
      <c r="L39" s="756">
        <v>615000</v>
      </c>
      <c r="M39" s="756">
        <v>615000</v>
      </c>
      <c r="N39" s="662" t="s">
        <v>2301</v>
      </c>
      <c r="O39" s="1330"/>
    </row>
    <row r="40" spans="1:15" ht="28" customHeight="1">
      <c r="A40" s="748" t="s">
        <v>2273</v>
      </c>
      <c r="B40" s="749" t="s">
        <v>2293</v>
      </c>
      <c r="C40" s="750">
        <v>1109</v>
      </c>
      <c r="D40" s="751">
        <v>600</v>
      </c>
      <c r="E40" s="752">
        <v>50</v>
      </c>
      <c r="F40" s="753" t="s">
        <v>2262</v>
      </c>
      <c r="G40" s="754">
        <v>1</v>
      </c>
      <c r="H40" s="660" t="s">
        <v>477</v>
      </c>
      <c r="I40" s="660" t="s">
        <v>477</v>
      </c>
      <c r="J40" s="660" t="s">
        <v>477</v>
      </c>
      <c r="K40" s="755"/>
      <c r="L40" s="756">
        <v>1265000</v>
      </c>
      <c r="M40" s="756">
        <v>1265000</v>
      </c>
      <c r="N40" s="662" t="s">
        <v>2301</v>
      </c>
      <c r="O40" s="1330"/>
    </row>
    <row r="41" spans="1:15" ht="28" customHeight="1">
      <c r="A41" s="748" t="s">
        <v>2273</v>
      </c>
      <c r="B41" s="749" t="s">
        <v>2294</v>
      </c>
      <c r="C41" s="750">
        <v>1750</v>
      </c>
      <c r="D41" s="751">
        <v>517</v>
      </c>
      <c r="E41" s="752">
        <v>50</v>
      </c>
      <c r="F41" s="753" t="s">
        <v>2262</v>
      </c>
      <c r="G41" s="754">
        <v>1</v>
      </c>
      <c r="H41" s="660" t="s">
        <v>477</v>
      </c>
      <c r="I41" s="660" t="s">
        <v>477</v>
      </c>
      <c r="J41" s="660" t="s">
        <v>477</v>
      </c>
      <c r="K41" s="755"/>
      <c r="L41" s="756">
        <v>1650000</v>
      </c>
      <c r="M41" s="756">
        <v>1650000</v>
      </c>
      <c r="N41" s="662" t="s">
        <v>2301</v>
      </c>
      <c r="O41" s="1330"/>
    </row>
    <row r="42" spans="1:15" ht="28" customHeight="1">
      <c r="A42" s="748" t="s">
        <v>2273</v>
      </c>
      <c r="B42" s="749" t="s">
        <v>2295</v>
      </c>
      <c r="C42" s="750">
        <v>1750</v>
      </c>
      <c r="D42" s="751">
        <v>653</v>
      </c>
      <c r="E42" s="752">
        <v>50</v>
      </c>
      <c r="F42" s="753" t="s">
        <v>2262</v>
      </c>
      <c r="G42" s="754">
        <v>1</v>
      </c>
      <c r="H42" s="660" t="s">
        <v>477</v>
      </c>
      <c r="I42" s="660" t="s">
        <v>477</v>
      </c>
      <c r="J42" s="660" t="s">
        <v>477</v>
      </c>
      <c r="K42" s="755"/>
      <c r="L42" s="756">
        <v>2250000</v>
      </c>
      <c r="M42" s="756">
        <v>2250000</v>
      </c>
      <c r="N42" s="662" t="s">
        <v>2301</v>
      </c>
      <c r="O42" s="1330"/>
    </row>
    <row r="43" spans="1:15" ht="28" customHeight="1">
      <c r="A43" s="748" t="s">
        <v>2273</v>
      </c>
      <c r="B43" s="749" t="s">
        <v>2296</v>
      </c>
      <c r="C43" s="750">
        <v>1290</v>
      </c>
      <c r="D43" s="751">
        <v>610</v>
      </c>
      <c r="E43" s="752">
        <v>50</v>
      </c>
      <c r="F43" s="753" t="s">
        <v>2262</v>
      </c>
      <c r="G43" s="754">
        <v>1</v>
      </c>
      <c r="H43" s="660" t="s">
        <v>477</v>
      </c>
      <c r="I43" s="660" t="s">
        <v>477</v>
      </c>
      <c r="J43" s="660" t="s">
        <v>477</v>
      </c>
      <c r="K43" s="755"/>
      <c r="L43" s="756">
        <v>1450000</v>
      </c>
      <c r="M43" s="756">
        <v>1450000</v>
      </c>
      <c r="N43" s="662" t="s">
        <v>2301</v>
      </c>
      <c r="O43" s="1330"/>
    </row>
    <row r="44" spans="1:15" ht="28" customHeight="1">
      <c r="A44" s="748" t="s">
        <v>2273</v>
      </c>
      <c r="B44" s="749" t="s">
        <v>2297</v>
      </c>
      <c r="C44" s="750">
        <v>610</v>
      </c>
      <c r="D44" s="751">
        <v>450</v>
      </c>
      <c r="E44" s="752">
        <v>50</v>
      </c>
      <c r="F44" s="753" t="s">
        <v>2262</v>
      </c>
      <c r="G44" s="754">
        <v>1</v>
      </c>
      <c r="H44" s="660" t="s">
        <v>477</v>
      </c>
      <c r="I44" s="660" t="s">
        <v>477</v>
      </c>
      <c r="J44" s="660" t="s">
        <v>477</v>
      </c>
      <c r="K44" s="755"/>
      <c r="L44" s="756">
        <v>600000</v>
      </c>
      <c r="M44" s="756">
        <v>600000</v>
      </c>
      <c r="N44" s="662" t="s">
        <v>2301</v>
      </c>
      <c r="O44" s="1330"/>
    </row>
    <row r="45" spans="1:15" ht="28" customHeight="1">
      <c r="A45" s="748" t="s">
        <v>2273</v>
      </c>
      <c r="B45" s="749" t="s">
        <v>2298</v>
      </c>
      <c r="C45" s="750">
        <v>660</v>
      </c>
      <c r="D45" s="751">
        <v>450</v>
      </c>
      <c r="E45" s="752">
        <v>50</v>
      </c>
      <c r="F45" s="753" t="s">
        <v>2262</v>
      </c>
      <c r="G45" s="754">
        <v>1</v>
      </c>
      <c r="H45" s="660" t="s">
        <v>477</v>
      </c>
      <c r="I45" s="660" t="s">
        <v>477</v>
      </c>
      <c r="J45" s="660" t="s">
        <v>477</v>
      </c>
      <c r="K45" s="755"/>
      <c r="L45" s="756">
        <v>605000</v>
      </c>
      <c r="M45" s="756">
        <v>605000</v>
      </c>
      <c r="N45" s="662" t="s">
        <v>2301</v>
      </c>
      <c r="O45" s="1329"/>
    </row>
    <row r="46" spans="1:15" ht="28" customHeight="1">
      <c r="A46" s="748" t="s">
        <v>2273</v>
      </c>
      <c r="B46" s="749" t="s">
        <v>2276</v>
      </c>
      <c r="C46" s="750">
        <v>1485</v>
      </c>
      <c r="D46" s="751">
        <v>490</v>
      </c>
      <c r="E46" s="752">
        <v>50</v>
      </c>
      <c r="F46" s="753" t="s">
        <v>2262</v>
      </c>
      <c r="G46" s="754">
        <v>2</v>
      </c>
      <c r="H46" s="660" t="s">
        <v>477</v>
      </c>
      <c r="I46" s="660" t="s">
        <v>477</v>
      </c>
      <c r="J46" s="660" t="s">
        <v>477</v>
      </c>
      <c r="K46" s="755"/>
      <c r="L46" s="756">
        <v>1364000</v>
      </c>
      <c r="M46" s="756">
        <v>2728000</v>
      </c>
      <c r="N46" s="662" t="s">
        <v>2301</v>
      </c>
      <c r="O46" s="1331" t="s">
        <v>2306</v>
      </c>
    </row>
    <row r="47" spans="1:15" ht="28" customHeight="1">
      <c r="A47" s="748" t="s">
        <v>2273</v>
      </c>
      <c r="B47" s="749" t="s">
        <v>2277</v>
      </c>
      <c r="C47" s="750">
        <v>1485</v>
      </c>
      <c r="D47" s="751">
        <v>299</v>
      </c>
      <c r="E47" s="752">
        <v>50</v>
      </c>
      <c r="F47" s="753" t="s">
        <v>2262</v>
      </c>
      <c r="G47" s="754">
        <v>1</v>
      </c>
      <c r="H47" s="660" t="s">
        <v>477</v>
      </c>
      <c r="I47" s="660" t="s">
        <v>477</v>
      </c>
      <c r="J47" s="660" t="s">
        <v>477</v>
      </c>
      <c r="K47" s="755"/>
      <c r="L47" s="756">
        <v>855000</v>
      </c>
      <c r="M47" s="756">
        <v>855000</v>
      </c>
      <c r="N47" s="662" t="s">
        <v>2301</v>
      </c>
      <c r="O47" s="1332"/>
    </row>
    <row r="48" spans="1:15" ht="28" customHeight="1">
      <c r="A48" s="748" t="s">
        <v>2273</v>
      </c>
      <c r="B48" s="749" t="s">
        <v>2278</v>
      </c>
      <c r="C48" s="750">
        <v>1485</v>
      </c>
      <c r="D48" s="751">
        <v>259</v>
      </c>
      <c r="E48" s="752">
        <v>50</v>
      </c>
      <c r="F48" s="753" t="s">
        <v>2262</v>
      </c>
      <c r="G48" s="754">
        <v>1</v>
      </c>
      <c r="H48" s="660" t="s">
        <v>477</v>
      </c>
      <c r="I48" s="660" t="s">
        <v>477</v>
      </c>
      <c r="J48" s="660" t="s">
        <v>477</v>
      </c>
      <c r="K48" s="755"/>
      <c r="L48" s="756">
        <v>770000</v>
      </c>
      <c r="M48" s="756">
        <v>770000</v>
      </c>
      <c r="N48" s="662" t="s">
        <v>2301</v>
      </c>
      <c r="O48" s="1332"/>
    </row>
    <row r="49" spans="1:15" ht="28" customHeight="1">
      <c r="A49" s="748" t="s">
        <v>2273</v>
      </c>
      <c r="B49" s="749" t="s">
        <v>2279</v>
      </c>
      <c r="C49" s="750">
        <v>1750</v>
      </c>
      <c r="D49" s="751">
        <v>428.5</v>
      </c>
      <c r="E49" s="752">
        <v>50</v>
      </c>
      <c r="F49" s="753" t="s">
        <v>2262</v>
      </c>
      <c r="G49" s="754">
        <v>1</v>
      </c>
      <c r="H49" s="660" t="s">
        <v>477</v>
      </c>
      <c r="I49" s="660" t="s">
        <v>477</v>
      </c>
      <c r="J49" s="660" t="s">
        <v>477</v>
      </c>
      <c r="K49" s="755"/>
      <c r="L49" s="756">
        <v>1350000</v>
      </c>
      <c r="M49" s="756">
        <v>1350000</v>
      </c>
      <c r="N49" s="662" t="s">
        <v>2301</v>
      </c>
      <c r="O49" s="1332"/>
    </row>
    <row r="50" spans="1:15" ht="28" customHeight="1">
      <c r="A50" s="748" t="s">
        <v>2273</v>
      </c>
      <c r="B50" s="749" t="s">
        <v>2280</v>
      </c>
      <c r="C50" s="750">
        <v>1290</v>
      </c>
      <c r="D50" s="751">
        <v>660</v>
      </c>
      <c r="E50" s="752">
        <v>50</v>
      </c>
      <c r="F50" s="753" t="s">
        <v>2262</v>
      </c>
      <c r="G50" s="754">
        <v>1</v>
      </c>
      <c r="H50" s="660" t="s">
        <v>477</v>
      </c>
      <c r="I50" s="660" t="s">
        <v>477</v>
      </c>
      <c r="J50" s="660" t="s">
        <v>477</v>
      </c>
      <c r="K50" s="755"/>
      <c r="L50" s="756">
        <v>1565000</v>
      </c>
      <c r="M50" s="756">
        <v>1565000</v>
      </c>
      <c r="N50" s="662" t="s">
        <v>2301</v>
      </c>
      <c r="O50" s="1332"/>
    </row>
    <row r="51" spans="1:15" ht="28" customHeight="1">
      <c r="A51" s="748" t="s">
        <v>2273</v>
      </c>
      <c r="B51" s="749" t="s">
        <v>2281</v>
      </c>
      <c r="C51" s="750">
        <v>1750</v>
      </c>
      <c r="D51" s="751">
        <v>610</v>
      </c>
      <c r="E51" s="752">
        <v>50</v>
      </c>
      <c r="F51" s="753" t="s">
        <v>2262</v>
      </c>
      <c r="G51" s="754">
        <v>15</v>
      </c>
      <c r="H51" s="660" t="s">
        <v>477</v>
      </c>
      <c r="I51" s="660" t="s">
        <v>477</v>
      </c>
      <c r="J51" s="660" t="s">
        <v>477</v>
      </c>
      <c r="K51" s="755"/>
      <c r="L51" s="756">
        <v>1905000</v>
      </c>
      <c r="M51" s="756">
        <v>28575000</v>
      </c>
      <c r="N51" s="662" t="s">
        <v>2301</v>
      </c>
      <c r="O51" s="1332"/>
    </row>
    <row r="52" spans="1:15" ht="28" customHeight="1">
      <c r="A52" s="748" t="s">
        <v>2273</v>
      </c>
      <c r="B52" s="749" t="s">
        <v>2282</v>
      </c>
      <c r="C52" s="750">
        <v>1750</v>
      </c>
      <c r="D52" s="751">
        <v>396</v>
      </c>
      <c r="E52" s="752">
        <v>50</v>
      </c>
      <c r="F52" s="753" t="s">
        <v>2262</v>
      </c>
      <c r="G52" s="754">
        <v>1</v>
      </c>
      <c r="H52" s="660" t="s">
        <v>477</v>
      </c>
      <c r="I52" s="660" t="s">
        <v>477</v>
      </c>
      <c r="J52" s="660" t="s">
        <v>477</v>
      </c>
      <c r="K52" s="755"/>
      <c r="L52" s="756">
        <v>1305000</v>
      </c>
      <c r="M52" s="756">
        <v>1305000</v>
      </c>
      <c r="N52" s="662" t="s">
        <v>2301</v>
      </c>
      <c r="O52" s="1332"/>
    </row>
    <row r="53" spans="1:15" ht="28" customHeight="1">
      <c r="A53" s="748" t="s">
        <v>2273</v>
      </c>
      <c r="B53" s="749" t="s">
        <v>2283</v>
      </c>
      <c r="C53" s="750">
        <v>779</v>
      </c>
      <c r="D53" s="751" t="s">
        <v>2284</v>
      </c>
      <c r="E53" s="752">
        <v>50</v>
      </c>
      <c r="F53" s="753" t="s">
        <v>2262</v>
      </c>
      <c r="G53" s="754">
        <v>1</v>
      </c>
      <c r="H53" s="660" t="s">
        <v>477</v>
      </c>
      <c r="I53" s="660" t="s">
        <v>477</v>
      </c>
      <c r="J53" s="660" t="s">
        <v>477</v>
      </c>
      <c r="K53" s="755"/>
      <c r="L53" s="756">
        <v>955000</v>
      </c>
      <c r="M53" s="756">
        <v>955000</v>
      </c>
      <c r="N53" s="662" t="s">
        <v>2301</v>
      </c>
      <c r="O53" s="1332"/>
    </row>
    <row r="54" spans="1:15" ht="28" customHeight="1">
      <c r="A54" s="748" t="s">
        <v>2273</v>
      </c>
      <c r="B54" s="749" t="s">
        <v>2285</v>
      </c>
      <c r="C54" s="750">
        <v>961</v>
      </c>
      <c r="D54" s="751">
        <v>643</v>
      </c>
      <c r="E54" s="752">
        <v>50</v>
      </c>
      <c r="F54" s="753" t="s">
        <v>2262</v>
      </c>
      <c r="G54" s="754">
        <v>1</v>
      </c>
      <c r="H54" s="660" t="s">
        <v>477</v>
      </c>
      <c r="I54" s="660" t="s">
        <v>477</v>
      </c>
      <c r="J54" s="660" t="s">
        <v>477</v>
      </c>
      <c r="K54" s="755"/>
      <c r="L54" s="756">
        <v>1250000</v>
      </c>
      <c r="M54" s="756">
        <v>1250000</v>
      </c>
      <c r="N54" s="662" t="s">
        <v>2301</v>
      </c>
      <c r="O54" s="1332"/>
    </row>
    <row r="55" spans="1:15" ht="28" customHeight="1">
      <c r="A55" s="748" t="s">
        <v>2273</v>
      </c>
      <c r="B55" s="749" t="s">
        <v>2286</v>
      </c>
      <c r="C55" s="750">
        <v>1243</v>
      </c>
      <c r="D55" s="751">
        <v>305</v>
      </c>
      <c r="E55" s="752">
        <v>50</v>
      </c>
      <c r="F55" s="753" t="s">
        <v>2262</v>
      </c>
      <c r="G55" s="754">
        <v>2</v>
      </c>
      <c r="H55" s="660" t="s">
        <v>477</v>
      </c>
      <c r="I55" s="660" t="s">
        <v>477</v>
      </c>
      <c r="J55" s="660" t="s">
        <v>477</v>
      </c>
      <c r="K55" s="755"/>
      <c r="L55" s="756">
        <v>755000</v>
      </c>
      <c r="M55" s="756">
        <v>1510000</v>
      </c>
      <c r="N55" s="662" t="s">
        <v>2301</v>
      </c>
      <c r="O55" s="1332"/>
    </row>
    <row r="56" spans="1:15" ht="28" customHeight="1">
      <c r="A56" s="748" t="s">
        <v>2273</v>
      </c>
      <c r="B56" s="749" t="s">
        <v>2287</v>
      </c>
      <c r="C56" s="750">
        <v>850</v>
      </c>
      <c r="D56" s="751">
        <v>738.5</v>
      </c>
      <c r="E56" s="752">
        <v>50</v>
      </c>
      <c r="F56" s="753" t="s">
        <v>2262</v>
      </c>
      <c r="G56" s="754">
        <v>1</v>
      </c>
      <c r="H56" s="660" t="s">
        <v>477</v>
      </c>
      <c r="I56" s="660" t="s">
        <v>477</v>
      </c>
      <c r="J56" s="660" t="s">
        <v>477</v>
      </c>
      <c r="K56" s="755"/>
      <c r="L56" s="756">
        <v>1255000</v>
      </c>
      <c r="M56" s="756">
        <v>1255000</v>
      </c>
      <c r="N56" s="662" t="s">
        <v>2301</v>
      </c>
      <c r="O56" s="1332"/>
    </row>
    <row r="57" spans="1:15" ht="28" customHeight="1">
      <c r="A57" s="748" t="s">
        <v>2273</v>
      </c>
      <c r="B57" s="749" t="s">
        <v>2288</v>
      </c>
      <c r="C57" s="750">
        <v>850</v>
      </c>
      <c r="D57" s="751">
        <v>738.5</v>
      </c>
      <c r="E57" s="752">
        <v>50</v>
      </c>
      <c r="F57" s="753" t="s">
        <v>2262</v>
      </c>
      <c r="G57" s="754">
        <v>1</v>
      </c>
      <c r="H57" s="660" t="s">
        <v>477</v>
      </c>
      <c r="I57" s="660" t="s">
        <v>477</v>
      </c>
      <c r="J57" s="660" t="s">
        <v>477</v>
      </c>
      <c r="K57" s="755"/>
      <c r="L57" s="756">
        <v>1255000</v>
      </c>
      <c r="M57" s="756">
        <v>1255000</v>
      </c>
      <c r="N57" s="662" t="s">
        <v>2301</v>
      </c>
      <c r="O57" s="1332"/>
    </row>
    <row r="58" spans="1:15" ht="28" customHeight="1">
      <c r="A58" s="748" t="s">
        <v>2273</v>
      </c>
      <c r="B58" s="749" t="s">
        <v>2289</v>
      </c>
      <c r="C58" s="750">
        <v>1610</v>
      </c>
      <c r="D58" s="751">
        <v>600</v>
      </c>
      <c r="E58" s="752">
        <v>50</v>
      </c>
      <c r="F58" s="753" t="s">
        <v>2262</v>
      </c>
      <c r="G58" s="754">
        <v>3</v>
      </c>
      <c r="H58" s="660" t="s">
        <v>477</v>
      </c>
      <c r="I58" s="660" t="s">
        <v>477</v>
      </c>
      <c r="J58" s="660" t="s">
        <v>477</v>
      </c>
      <c r="K58" s="755"/>
      <c r="L58" s="756">
        <v>1750000</v>
      </c>
      <c r="M58" s="756">
        <v>5250000</v>
      </c>
      <c r="N58" s="662" t="s">
        <v>2301</v>
      </c>
      <c r="O58" s="1332"/>
    </row>
    <row r="59" spans="1:15" ht="28" customHeight="1">
      <c r="A59" s="748" t="s">
        <v>2273</v>
      </c>
      <c r="B59" s="749" t="s">
        <v>2290</v>
      </c>
      <c r="C59" s="750">
        <v>1750</v>
      </c>
      <c r="D59" s="751">
        <v>565</v>
      </c>
      <c r="E59" s="752">
        <v>50</v>
      </c>
      <c r="F59" s="753" t="s">
        <v>2262</v>
      </c>
      <c r="G59" s="754">
        <v>2</v>
      </c>
      <c r="H59" s="660" t="s">
        <v>477</v>
      </c>
      <c r="I59" s="660" t="s">
        <v>477</v>
      </c>
      <c r="J59" s="660" t="s">
        <v>477</v>
      </c>
      <c r="K59" s="755"/>
      <c r="L59" s="756">
        <v>1750000</v>
      </c>
      <c r="M59" s="756">
        <v>3500000</v>
      </c>
      <c r="N59" s="662" t="s">
        <v>2301</v>
      </c>
      <c r="O59" s="1332"/>
    </row>
    <row r="60" spans="1:15" ht="28" customHeight="1">
      <c r="A60" s="748" t="s">
        <v>2273</v>
      </c>
      <c r="B60" s="749" t="s">
        <v>2291</v>
      </c>
      <c r="C60" s="750">
        <v>2695</v>
      </c>
      <c r="D60" s="751">
        <v>1220</v>
      </c>
      <c r="E60" s="752">
        <v>50</v>
      </c>
      <c r="F60" s="753" t="s">
        <v>2262</v>
      </c>
      <c r="G60" s="754">
        <v>1</v>
      </c>
      <c r="H60" s="660" t="s">
        <v>477</v>
      </c>
      <c r="I60" s="660" t="s">
        <v>477</v>
      </c>
      <c r="J60" s="660" t="s">
        <v>477</v>
      </c>
      <c r="K60" s="755"/>
      <c r="L60" s="756">
        <v>5550000</v>
      </c>
      <c r="M60" s="756">
        <v>5550000</v>
      </c>
      <c r="N60" s="662" t="s">
        <v>2301</v>
      </c>
      <c r="O60" s="1332"/>
    </row>
    <row r="61" spans="1:15" ht="28" customHeight="1">
      <c r="A61" s="748" t="s">
        <v>2273</v>
      </c>
      <c r="B61" s="749" t="s">
        <v>2292</v>
      </c>
      <c r="C61" s="750">
        <v>600</v>
      </c>
      <c r="D61" s="751">
        <v>501</v>
      </c>
      <c r="E61" s="752">
        <v>50</v>
      </c>
      <c r="F61" s="753" t="s">
        <v>2262</v>
      </c>
      <c r="G61" s="754">
        <v>1</v>
      </c>
      <c r="H61" s="660" t="s">
        <v>477</v>
      </c>
      <c r="I61" s="660" t="s">
        <v>477</v>
      </c>
      <c r="J61" s="660" t="s">
        <v>477</v>
      </c>
      <c r="K61" s="755"/>
      <c r="L61" s="756">
        <v>615000</v>
      </c>
      <c r="M61" s="756">
        <v>615000</v>
      </c>
      <c r="N61" s="662" t="s">
        <v>2301</v>
      </c>
      <c r="O61" s="1332"/>
    </row>
    <row r="62" spans="1:15" ht="28" customHeight="1">
      <c r="A62" s="748" t="s">
        <v>2273</v>
      </c>
      <c r="B62" s="749" t="s">
        <v>2293</v>
      </c>
      <c r="C62" s="750">
        <v>1109</v>
      </c>
      <c r="D62" s="751">
        <v>600</v>
      </c>
      <c r="E62" s="752">
        <v>50</v>
      </c>
      <c r="F62" s="753" t="s">
        <v>2262</v>
      </c>
      <c r="G62" s="754">
        <v>1</v>
      </c>
      <c r="H62" s="660" t="s">
        <v>477</v>
      </c>
      <c r="I62" s="660" t="s">
        <v>477</v>
      </c>
      <c r="J62" s="660" t="s">
        <v>477</v>
      </c>
      <c r="K62" s="755"/>
      <c r="L62" s="756">
        <v>1265000</v>
      </c>
      <c r="M62" s="756">
        <v>1265000</v>
      </c>
      <c r="N62" s="662" t="s">
        <v>2301</v>
      </c>
      <c r="O62" s="1332"/>
    </row>
    <row r="63" spans="1:15" ht="28" customHeight="1">
      <c r="A63" s="748" t="s">
        <v>2273</v>
      </c>
      <c r="B63" s="749" t="s">
        <v>2294</v>
      </c>
      <c r="C63" s="750">
        <v>1750</v>
      </c>
      <c r="D63" s="751">
        <v>517</v>
      </c>
      <c r="E63" s="752">
        <v>50</v>
      </c>
      <c r="F63" s="753" t="s">
        <v>2262</v>
      </c>
      <c r="G63" s="754">
        <v>1</v>
      </c>
      <c r="H63" s="660" t="s">
        <v>477</v>
      </c>
      <c r="I63" s="660" t="s">
        <v>477</v>
      </c>
      <c r="J63" s="660" t="s">
        <v>477</v>
      </c>
      <c r="K63" s="755"/>
      <c r="L63" s="756">
        <v>1650000</v>
      </c>
      <c r="M63" s="756">
        <v>1650000</v>
      </c>
      <c r="N63" s="662" t="s">
        <v>2301</v>
      </c>
      <c r="O63" s="1332"/>
    </row>
    <row r="64" spans="1:15" ht="28" customHeight="1">
      <c r="A64" s="748" t="s">
        <v>2273</v>
      </c>
      <c r="B64" s="749" t="s">
        <v>2295</v>
      </c>
      <c r="C64" s="750">
        <v>1750</v>
      </c>
      <c r="D64" s="751">
        <v>653</v>
      </c>
      <c r="E64" s="752">
        <v>50</v>
      </c>
      <c r="F64" s="753" t="s">
        <v>2262</v>
      </c>
      <c r="G64" s="754">
        <v>1</v>
      </c>
      <c r="H64" s="660" t="s">
        <v>477</v>
      </c>
      <c r="I64" s="660" t="s">
        <v>477</v>
      </c>
      <c r="J64" s="660" t="s">
        <v>477</v>
      </c>
      <c r="K64" s="755"/>
      <c r="L64" s="756">
        <v>2250000</v>
      </c>
      <c r="M64" s="756">
        <v>2250000</v>
      </c>
      <c r="N64" s="662" t="s">
        <v>2301</v>
      </c>
      <c r="O64" s="1332"/>
    </row>
    <row r="65" spans="1:15" ht="28" customHeight="1">
      <c r="A65" s="748" t="s">
        <v>2273</v>
      </c>
      <c r="B65" s="749" t="s">
        <v>2296</v>
      </c>
      <c r="C65" s="750">
        <v>1290</v>
      </c>
      <c r="D65" s="751">
        <v>610</v>
      </c>
      <c r="E65" s="752">
        <v>50</v>
      </c>
      <c r="F65" s="753" t="s">
        <v>2262</v>
      </c>
      <c r="G65" s="754">
        <v>1</v>
      </c>
      <c r="H65" s="660" t="s">
        <v>477</v>
      </c>
      <c r="I65" s="660" t="s">
        <v>477</v>
      </c>
      <c r="J65" s="660" t="s">
        <v>477</v>
      </c>
      <c r="K65" s="755"/>
      <c r="L65" s="756">
        <v>1450000</v>
      </c>
      <c r="M65" s="756">
        <v>1450000</v>
      </c>
      <c r="N65" s="662" t="s">
        <v>2301</v>
      </c>
      <c r="O65" s="1332"/>
    </row>
    <row r="66" spans="1:15" ht="28" customHeight="1">
      <c r="A66" s="748" t="s">
        <v>2273</v>
      </c>
      <c r="B66" s="749" t="s">
        <v>2297</v>
      </c>
      <c r="C66" s="750">
        <v>610</v>
      </c>
      <c r="D66" s="751">
        <v>450</v>
      </c>
      <c r="E66" s="752">
        <v>50</v>
      </c>
      <c r="F66" s="753" t="s">
        <v>2262</v>
      </c>
      <c r="G66" s="754">
        <v>1</v>
      </c>
      <c r="H66" s="660" t="s">
        <v>477</v>
      </c>
      <c r="I66" s="660" t="s">
        <v>477</v>
      </c>
      <c r="J66" s="660" t="s">
        <v>477</v>
      </c>
      <c r="K66" s="755"/>
      <c r="L66" s="756">
        <v>600000</v>
      </c>
      <c r="M66" s="756">
        <v>600000</v>
      </c>
      <c r="N66" s="662" t="s">
        <v>2301</v>
      </c>
      <c r="O66" s="1332"/>
    </row>
    <row r="67" spans="1:15" ht="28" customHeight="1">
      <c r="A67" s="748" t="s">
        <v>2273</v>
      </c>
      <c r="B67" s="749" t="s">
        <v>2298</v>
      </c>
      <c r="C67" s="750">
        <v>660</v>
      </c>
      <c r="D67" s="751">
        <v>450</v>
      </c>
      <c r="E67" s="752">
        <v>50</v>
      </c>
      <c r="F67" s="753" t="s">
        <v>2262</v>
      </c>
      <c r="G67" s="754">
        <v>1</v>
      </c>
      <c r="H67" s="660" t="s">
        <v>477</v>
      </c>
      <c r="I67" s="660" t="s">
        <v>477</v>
      </c>
      <c r="J67" s="660" t="s">
        <v>477</v>
      </c>
      <c r="K67" s="755"/>
      <c r="L67" s="756">
        <v>605000</v>
      </c>
      <c r="M67" s="756">
        <v>605000</v>
      </c>
      <c r="N67" s="662" t="s">
        <v>2301</v>
      </c>
      <c r="O67" s="1333"/>
    </row>
    <row r="68" spans="1:15" ht="28" customHeight="1">
      <c r="A68" s="748" t="s">
        <v>2273</v>
      </c>
      <c r="B68" s="749" t="s">
        <v>2276</v>
      </c>
      <c r="C68" s="750">
        <v>1485</v>
      </c>
      <c r="D68" s="751">
        <v>490</v>
      </c>
      <c r="E68" s="752">
        <v>50</v>
      </c>
      <c r="F68" s="753" t="s">
        <v>2262</v>
      </c>
      <c r="G68" s="754">
        <v>2</v>
      </c>
      <c r="H68" s="660" t="s">
        <v>477</v>
      </c>
      <c r="I68" s="660" t="s">
        <v>477</v>
      </c>
      <c r="J68" s="660" t="s">
        <v>477</v>
      </c>
      <c r="K68" s="755"/>
      <c r="L68" s="756">
        <v>1364000</v>
      </c>
      <c r="M68" s="756">
        <v>2728000</v>
      </c>
      <c r="N68" s="662" t="s">
        <v>2301</v>
      </c>
      <c r="O68" s="1328" t="s">
        <v>2307</v>
      </c>
    </row>
    <row r="69" spans="1:15" ht="28" customHeight="1">
      <c r="A69" s="748" t="s">
        <v>2273</v>
      </c>
      <c r="B69" s="749" t="s">
        <v>2277</v>
      </c>
      <c r="C69" s="750">
        <v>1485</v>
      </c>
      <c r="D69" s="751">
        <v>299</v>
      </c>
      <c r="E69" s="752">
        <v>50</v>
      </c>
      <c r="F69" s="753" t="s">
        <v>2262</v>
      </c>
      <c r="G69" s="754">
        <v>1</v>
      </c>
      <c r="H69" s="660" t="s">
        <v>477</v>
      </c>
      <c r="I69" s="660" t="s">
        <v>477</v>
      </c>
      <c r="J69" s="660" t="s">
        <v>477</v>
      </c>
      <c r="K69" s="755"/>
      <c r="L69" s="756">
        <v>855000</v>
      </c>
      <c r="M69" s="756">
        <v>855000</v>
      </c>
      <c r="N69" s="662" t="s">
        <v>2301</v>
      </c>
      <c r="O69" s="1330"/>
    </row>
    <row r="70" spans="1:15" ht="28" customHeight="1">
      <c r="A70" s="748" t="s">
        <v>2273</v>
      </c>
      <c r="B70" s="749" t="s">
        <v>2278</v>
      </c>
      <c r="C70" s="750">
        <v>1485</v>
      </c>
      <c r="D70" s="751">
        <v>259</v>
      </c>
      <c r="E70" s="752">
        <v>50</v>
      </c>
      <c r="F70" s="753" t="s">
        <v>2262</v>
      </c>
      <c r="G70" s="754">
        <v>1</v>
      </c>
      <c r="H70" s="660" t="s">
        <v>477</v>
      </c>
      <c r="I70" s="660" t="s">
        <v>477</v>
      </c>
      <c r="J70" s="660" t="s">
        <v>477</v>
      </c>
      <c r="K70" s="755"/>
      <c r="L70" s="756">
        <v>770000</v>
      </c>
      <c r="M70" s="756">
        <v>770000</v>
      </c>
      <c r="N70" s="662" t="s">
        <v>2301</v>
      </c>
      <c r="O70" s="1330"/>
    </row>
    <row r="71" spans="1:15" ht="28" customHeight="1">
      <c r="A71" s="748" t="s">
        <v>2273</v>
      </c>
      <c r="B71" s="749" t="s">
        <v>2279</v>
      </c>
      <c r="C71" s="750">
        <v>1750</v>
      </c>
      <c r="D71" s="751">
        <v>428.5</v>
      </c>
      <c r="E71" s="752">
        <v>50</v>
      </c>
      <c r="F71" s="753" t="s">
        <v>2262</v>
      </c>
      <c r="G71" s="754">
        <v>1</v>
      </c>
      <c r="H71" s="660" t="s">
        <v>477</v>
      </c>
      <c r="I71" s="660" t="s">
        <v>477</v>
      </c>
      <c r="J71" s="660" t="s">
        <v>477</v>
      </c>
      <c r="K71" s="755"/>
      <c r="L71" s="756">
        <v>1350000</v>
      </c>
      <c r="M71" s="756">
        <v>1350000</v>
      </c>
      <c r="N71" s="662" t="s">
        <v>2301</v>
      </c>
      <c r="O71" s="1330"/>
    </row>
    <row r="72" spans="1:15" ht="28" customHeight="1">
      <c r="A72" s="748" t="s">
        <v>2273</v>
      </c>
      <c r="B72" s="749" t="s">
        <v>2280</v>
      </c>
      <c r="C72" s="750">
        <v>1290</v>
      </c>
      <c r="D72" s="751">
        <v>660</v>
      </c>
      <c r="E72" s="752">
        <v>50</v>
      </c>
      <c r="F72" s="753" t="s">
        <v>2262</v>
      </c>
      <c r="G72" s="754">
        <v>1</v>
      </c>
      <c r="H72" s="660" t="s">
        <v>477</v>
      </c>
      <c r="I72" s="660" t="s">
        <v>477</v>
      </c>
      <c r="J72" s="660" t="s">
        <v>477</v>
      </c>
      <c r="K72" s="755"/>
      <c r="L72" s="756">
        <v>1565000</v>
      </c>
      <c r="M72" s="756">
        <v>1565000</v>
      </c>
      <c r="N72" s="662" t="s">
        <v>2301</v>
      </c>
      <c r="O72" s="1330"/>
    </row>
    <row r="73" spans="1:15" ht="28" customHeight="1">
      <c r="A73" s="748" t="s">
        <v>2273</v>
      </c>
      <c r="B73" s="749" t="s">
        <v>2281</v>
      </c>
      <c r="C73" s="750">
        <v>1750</v>
      </c>
      <c r="D73" s="751">
        <v>610</v>
      </c>
      <c r="E73" s="752">
        <v>50</v>
      </c>
      <c r="F73" s="753" t="s">
        <v>2262</v>
      </c>
      <c r="G73" s="754">
        <v>15</v>
      </c>
      <c r="H73" s="660" t="s">
        <v>477</v>
      </c>
      <c r="I73" s="660" t="s">
        <v>477</v>
      </c>
      <c r="J73" s="660" t="s">
        <v>477</v>
      </c>
      <c r="K73" s="755"/>
      <c r="L73" s="756">
        <v>1905000</v>
      </c>
      <c r="M73" s="756">
        <v>28575000</v>
      </c>
      <c r="N73" s="662" t="s">
        <v>2301</v>
      </c>
      <c r="O73" s="1330"/>
    </row>
    <row r="74" spans="1:15" ht="28" customHeight="1">
      <c r="A74" s="748" t="s">
        <v>2273</v>
      </c>
      <c r="B74" s="749" t="s">
        <v>2282</v>
      </c>
      <c r="C74" s="750">
        <v>1750</v>
      </c>
      <c r="D74" s="751">
        <v>396</v>
      </c>
      <c r="E74" s="752">
        <v>50</v>
      </c>
      <c r="F74" s="753" t="s">
        <v>2262</v>
      </c>
      <c r="G74" s="754">
        <v>1</v>
      </c>
      <c r="H74" s="660" t="s">
        <v>477</v>
      </c>
      <c r="I74" s="660" t="s">
        <v>477</v>
      </c>
      <c r="J74" s="660" t="s">
        <v>477</v>
      </c>
      <c r="K74" s="755"/>
      <c r="L74" s="756">
        <v>1305000</v>
      </c>
      <c r="M74" s="756">
        <v>1305000</v>
      </c>
      <c r="N74" s="662" t="s">
        <v>2301</v>
      </c>
      <c r="O74" s="1330"/>
    </row>
    <row r="75" spans="1:15" ht="28" customHeight="1">
      <c r="A75" s="748" t="s">
        <v>2273</v>
      </c>
      <c r="B75" s="749" t="s">
        <v>2283</v>
      </c>
      <c r="C75" s="750">
        <v>779</v>
      </c>
      <c r="D75" s="751" t="s">
        <v>2284</v>
      </c>
      <c r="E75" s="752">
        <v>50</v>
      </c>
      <c r="F75" s="753" t="s">
        <v>2262</v>
      </c>
      <c r="G75" s="754">
        <v>1</v>
      </c>
      <c r="H75" s="660" t="s">
        <v>477</v>
      </c>
      <c r="I75" s="660" t="s">
        <v>477</v>
      </c>
      <c r="J75" s="660" t="s">
        <v>477</v>
      </c>
      <c r="K75" s="755"/>
      <c r="L75" s="756">
        <v>955000</v>
      </c>
      <c r="M75" s="756">
        <v>955000</v>
      </c>
      <c r="N75" s="662" t="s">
        <v>2301</v>
      </c>
      <c r="O75" s="1330"/>
    </row>
    <row r="76" spans="1:15" ht="28" customHeight="1">
      <c r="A76" s="748" t="s">
        <v>2273</v>
      </c>
      <c r="B76" s="749" t="s">
        <v>2285</v>
      </c>
      <c r="C76" s="750">
        <v>961</v>
      </c>
      <c r="D76" s="751">
        <v>643</v>
      </c>
      <c r="E76" s="752">
        <v>50</v>
      </c>
      <c r="F76" s="753" t="s">
        <v>2262</v>
      </c>
      <c r="G76" s="754">
        <v>1</v>
      </c>
      <c r="H76" s="660" t="s">
        <v>477</v>
      </c>
      <c r="I76" s="660" t="s">
        <v>477</v>
      </c>
      <c r="J76" s="660" t="s">
        <v>477</v>
      </c>
      <c r="K76" s="755"/>
      <c r="L76" s="756">
        <v>1250000</v>
      </c>
      <c r="M76" s="756">
        <v>1250000</v>
      </c>
      <c r="N76" s="662" t="s">
        <v>2301</v>
      </c>
      <c r="O76" s="1330"/>
    </row>
    <row r="77" spans="1:15" ht="28" customHeight="1">
      <c r="A77" s="748" t="s">
        <v>2273</v>
      </c>
      <c r="B77" s="749" t="s">
        <v>2286</v>
      </c>
      <c r="C77" s="750">
        <v>1243</v>
      </c>
      <c r="D77" s="751">
        <v>305</v>
      </c>
      <c r="E77" s="752">
        <v>50</v>
      </c>
      <c r="F77" s="753" t="s">
        <v>2262</v>
      </c>
      <c r="G77" s="754">
        <v>2</v>
      </c>
      <c r="H77" s="660" t="s">
        <v>477</v>
      </c>
      <c r="I77" s="660" t="s">
        <v>477</v>
      </c>
      <c r="J77" s="660" t="s">
        <v>477</v>
      </c>
      <c r="K77" s="755"/>
      <c r="L77" s="756">
        <v>755000</v>
      </c>
      <c r="M77" s="756">
        <v>1510000</v>
      </c>
      <c r="N77" s="662" t="s">
        <v>2301</v>
      </c>
      <c r="O77" s="1330"/>
    </row>
    <row r="78" spans="1:15" ht="28" customHeight="1">
      <c r="A78" s="748" t="s">
        <v>2273</v>
      </c>
      <c r="B78" s="749" t="s">
        <v>2287</v>
      </c>
      <c r="C78" s="750">
        <v>850</v>
      </c>
      <c r="D78" s="751">
        <v>738.5</v>
      </c>
      <c r="E78" s="752">
        <v>50</v>
      </c>
      <c r="F78" s="753" t="s">
        <v>2262</v>
      </c>
      <c r="G78" s="754">
        <v>1</v>
      </c>
      <c r="H78" s="660" t="s">
        <v>477</v>
      </c>
      <c r="I78" s="660" t="s">
        <v>477</v>
      </c>
      <c r="J78" s="660" t="s">
        <v>477</v>
      </c>
      <c r="K78" s="755"/>
      <c r="L78" s="756">
        <v>1255000</v>
      </c>
      <c r="M78" s="756">
        <v>1255000</v>
      </c>
      <c r="N78" s="662" t="s">
        <v>2301</v>
      </c>
      <c r="O78" s="1330"/>
    </row>
    <row r="79" spans="1:15" ht="28" customHeight="1">
      <c r="A79" s="748" t="s">
        <v>2273</v>
      </c>
      <c r="B79" s="749" t="s">
        <v>2288</v>
      </c>
      <c r="C79" s="750">
        <v>850</v>
      </c>
      <c r="D79" s="751">
        <v>738.5</v>
      </c>
      <c r="E79" s="752">
        <v>50</v>
      </c>
      <c r="F79" s="753" t="s">
        <v>2262</v>
      </c>
      <c r="G79" s="754">
        <v>1</v>
      </c>
      <c r="H79" s="660" t="s">
        <v>477</v>
      </c>
      <c r="I79" s="660" t="s">
        <v>477</v>
      </c>
      <c r="J79" s="660" t="s">
        <v>477</v>
      </c>
      <c r="K79" s="755"/>
      <c r="L79" s="756">
        <v>1255000</v>
      </c>
      <c r="M79" s="756">
        <v>1255000</v>
      </c>
      <c r="N79" s="662" t="s">
        <v>2301</v>
      </c>
      <c r="O79" s="1330"/>
    </row>
    <row r="80" spans="1:15" ht="28" customHeight="1">
      <c r="A80" s="748" t="s">
        <v>2273</v>
      </c>
      <c r="B80" s="749" t="s">
        <v>2289</v>
      </c>
      <c r="C80" s="750">
        <v>1610</v>
      </c>
      <c r="D80" s="751">
        <v>600</v>
      </c>
      <c r="E80" s="752">
        <v>50</v>
      </c>
      <c r="F80" s="753" t="s">
        <v>2262</v>
      </c>
      <c r="G80" s="754">
        <v>3</v>
      </c>
      <c r="H80" s="660" t="s">
        <v>477</v>
      </c>
      <c r="I80" s="660" t="s">
        <v>477</v>
      </c>
      <c r="J80" s="660" t="s">
        <v>477</v>
      </c>
      <c r="K80" s="755"/>
      <c r="L80" s="756">
        <v>1750000</v>
      </c>
      <c r="M80" s="756">
        <v>5250000</v>
      </c>
      <c r="N80" s="662" t="s">
        <v>2301</v>
      </c>
      <c r="O80" s="1330"/>
    </row>
    <row r="81" spans="1:15" ht="28" customHeight="1">
      <c r="A81" s="748" t="s">
        <v>2273</v>
      </c>
      <c r="B81" s="749" t="s">
        <v>2290</v>
      </c>
      <c r="C81" s="750">
        <v>1750</v>
      </c>
      <c r="D81" s="751">
        <v>565</v>
      </c>
      <c r="E81" s="752">
        <v>50</v>
      </c>
      <c r="F81" s="753" t="s">
        <v>2262</v>
      </c>
      <c r="G81" s="754">
        <v>2</v>
      </c>
      <c r="H81" s="660" t="s">
        <v>477</v>
      </c>
      <c r="I81" s="660" t="s">
        <v>477</v>
      </c>
      <c r="J81" s="660" t="s">
        <v>477</v>
      </c>
      <c r="K81" s="755"/>
      <c r="L81" s="756">
        <v>1750000</v>
      </c>
      <c r="M81" s="756">
        <v>3500000</v>
      </c>
      <c r="N81" s="662" t="s">
        <v>2301</v>
      </c>
      <c r="O81" s="1330"/>
    </row>
    <row r="82" spans="1:15" ht="28" customHeight="1">
      <c r="A82" s="748" t="s">
        <v>2273</v>
      </c>
      <c r="B82" s="749" t="s">
        <v>2291</v>
      </c>
      <c r="C82" s="750">
        <v>2695</v>
      </c>
      <c r="D82" s="751">
        <v>1220</v>
      </c>
      <c r="E82" s="752">
        <v>50</v>
      </c>
      <c r="F82" s="753" t="s">
        <v>2262</v>
      </c>
      <c r="G82" s="754">
        <v>1</v>
      </c>
      <c r="H82" s="660" t="s">
        <v>477</v>
      </c>
      <c r="I82" s="660" t="s">
        <v>477</v>
      </c>
      <c r="J82" s="660" t="s">
        <v>477</v>
      </c>
      <c r="K82" s="755"/>
      <c r="L82" s="756">
        <v>5550000</v>
      </c>
      <c r="M82" s="756">
        <v>5550000</v>
      </c>
      <c r="N82" s="662" t="s">
        <v>2301</v>
      </c>
      <c r="O82" s="1330"/>
    </row>
    <row r="83" spans="1:15" ht="28" customHeight="1">
      <c r="A83" s="748" t="s">
        <v>2273</v>
      </c>
      <c r="B83" s="749" t="s">
        <v>2292</v>
      </c>
      <c r="C83" s="750">
        <v>600</v>
      </c>
      <c r="D83" s="751">
        <v>501</v>
      </c>
      <c r="E83" s="752">
        <v>50</v>
      </c>
      <c r="F83" s="753" t="s">
        <v>2262</v>
      </c>
      <c r="G83" s="754">
        <v>1</v>
      </c>
      <c r="H83" s="660" t="s">
        <v>477</v>
      </c>
      <c r="I83" s="660" t="s">
        <v>477</v>
      </c>
      <c r="J83" s="660" t="s">
        <v>477</v>
      </c>
      <c r="K83" s="755"/>
      <c r="L83" s="756">
        <v>615000</v>
      </c>
      <c r="M83" s="756">
        <v>615000</v>
      </c>
      <c r="N83" s="662" t="s">
        <v>2301</v>
      </c>
      <c r="O83" s="1330"/>
    </row>
    <row r="84" spans="1:15" ht="28" customHeight="1">
      <c r="A84" s="748" t="s">
        <v>2273</v>
      </c>
      <c r="B84" s="749" t="s">
        <v>2293</v>
      </c>
      <c r="C84" s="750">
        <v>1109</v>
      </c>
      <c r="D84" s="751">
        <v>600</v>
      </c>
      <c r="E84" s="752">
        <v>50</v>
      </c>
      <c r="F84" s="753" t="s">
        <v>2262</v>
      </c>
      <c r="G84" s="754">
        <v>1</v>
      </c>
      <c r="H84" s="660" t="s">
        <v>477</v>
      </c>
      <c r="I84" s="660" t="s">
        <v>477</v>
      </c>
      <c r="J84" s="660" t="s">
        <v>477</v>
      </c>
      <c r="K84" s="755"/>
      <c r="L84" s="756">
        <v>1265000</v>
      </c>
      <c r="M84" s="756">
        <v>1265000</v>
      </c>
      <c r="N84" s="662" t="s">
        <v>2301</v>
      </c>
      <c r="O84" s="1330"/>
    </row>
    <row r="85" spans="1:15" ht="28" customHeight="1">
      <c r="A85" s="748" t="s">
        <v>2273</v>
      </c>
      <c r="B85" s="749" t="s">
        <v>2294</v>
      </c>
      <c r="C85" s="750">
        <v>1750</v>
      </c>
      <c r="D85" s="751">
        <v>517</v>
      </c>
      <c r="E85" s="752">
        <v>50</v>
      </c>
      <c r="F85" s="753" t="s">
        <v>2262</v>
      </c>
      <c r="G85" s="754">
        <v>1</v>
      </c>
      <c r="H85" s="660" t="s">
        <v>477</v>
      </c>
      <c r="I85" s="660" t="s">
        <v>477</v>
      </c>
      <c r="J85" s="660" t="s">
        <v>477</v>
      </c>
      <c r="K85" s="755"/>
      <c r="L85" s="756">
        <v>1650000</v>
      </c>
      <c r="M85" s="756">
        <v>1650000</v>
      </c>
      <c r="N85" s="662" t="s">
        <v>2301</v>
      </c>
      <c r="O85" s="1330"/>
    </row>
    <row r="86" spans="1:15" ht="28" customHeight="1">
      <c r="A86" s="748" t="s">
        <v>2273</v>
      </c>
      <c r="B86" s="749" t="s">
        <v>2295</v>
      </c>
      <c r="C86" s="750">
        <v>1750</v>
      </c>
      <c r="D86" s="751">
        <v>653</v>
      </c>
      <c r="E86" s="752">
        <v>50</v>
      </c>
      <c r="F86" s="753" t="s">
        <v>2262</v>
      </c>
      <c r="G86" s="754">
        <v>1</v>
      </c>
      <c r="H86" s="660" t="s">
        <v>477</v>
      </c>
      <c r="I86" s="660" t="s">
        <v>477</v>
      </c>
      <c r="J86" s="660" t="s">
        <v>477</v>
      </c>
      <c r="K86" s="755"/>
      <c r="L86" s="756">
        <v>2250000</v>
      </c>
      <c r="M86" s="756">
        <v>2250000</v>
      </c>
      <c r="N86" s="662" t="s">
        <v>2301</v>
      </c>
      <c r="O86" s="1330"/>
    </row>
    <row r="87" spans="1:15" ht="28" customHeight="1">
      <c r="A87" s="748" t="s">
        <v>2273</v>
      </c>
      <c r="B87" s="749" t="s">
        <v>2296</v>
      </c>
      <c r="C87" s="750">
        <v>1290</v>
      </c>
      <c r="D87" s="751">
        <v>610</v>
      </c>
      <c r="E87" s="752">
        <v>50</v>
      </c>
      <c r="F87" s="753" t="s">
        <v>2262</v>
      </c>
      <c r="G87" s="754">
        <v>1</v>
      </c>
      <c r="H87" s="660" t="s">
        <v>477</v>
      </c>
      <c r="I87" s="660" t="s">
        <v>477</v>
      </c>
      <c r="J87" s="660" t="s">
        <v>477</v>
      </c>
      <c r="K87" s="755"/>
      <c r="L87" s="756">
        <v>1450000</v>
      </c>
      <c r="M87" s="756">
        <v>1450000</v>
      </c>
      <c r="N87" s="662" t="s">
        <v>2301</v>
      </c>
      <c r="O87" s="1330"/>
    </row>
    <row r="88" spans="1:15" ht="28" customHeight="1">
      <c r="A88" s="748" t="s">
        <v>2273</v>
      </c>
      <c r="B88" s="749" t="s">
        <v>2297</v>
      </c>
      <c r="C88" s="750">
        <v>610</v>
      </c>
      <c r="D88" s="751">
        <v>450</v>
      </c>
      <c r="E88" s="752">
        <v>50</v>
      </c>
      <c r="F88" s="753" t="s">
        <v>2262</v>
      </c>
      <c r="G88" s="754">
        <v>1</v>
      </c>
      <c r="H88" s="660" t="s">
        <v>477</v>
      </c>
      <c r="I88" s="660" t="s">
        <v>477</v>
      </c>
      <c r="J88" s="660" t="s">
        <v>477</v>
      </c>
      <c r="K88" s="755"/>
      <c r="L88" s="756">
        <v>600000</v>
      </c>
      <c r="M88" s="756">
        <v>600000</v>
      </c>
      <c r="N88" s="662" t="s">
        <v>2301</v>
      </c>
      <c r="O88" s="1330"/>
    </row>
    <row r="89" spans="1:15" ht="28" customHeight="1">
      <c r="A89" s="748" t="s">
        <v>2273</v>
      </c>
      <c r="B89" s="749" t="s">
        <v>2298</v>
      </c>
      <c r="C89" s="750">
        <v>660</v>
      </c>
      <c r="D89" s="751">
        <v>450</v>
      </c>
      <c r="E89" s="752">
        <v>50</v>
      </c>
      <c r="F89" s="753" t="s">
        <v>2262</v>
      </c>
      <c r="G89" s="754">
        <v>1</v>
      </c>
      <c r="H89" s="660" t="s">
        <v>477</v>
      </c>
      <c r="I89" s="660" t="s">
        <v>477</v>
      </c>
      <c r="J89" s="660" t="s">
        <v>477</v>
      </c>
      <c r="K89" s="755"/>
      <c r="L89" s="756">
        <v>605000</v>
      </c>
      <c r="M89" s="756">
        <v>605000</v>
      </c>
      <c r="N89" s="662" t="s">
        <v>2301</v>
      </c>
      <c r="O89" s="1329"/>
    </row>
    <row r="90" spans="1:15" s="671" customFormat="1">
      <c r="A90" s="663"/>
      <c r="B90" s="664" t="s">
        <v>2107</v>
      </c>
      <c r="C90" s="665"/>
      <c r="D90" s="666"/>
      <c r="E90" s="666"/>
      <c r="F90" s="666"/>
      <c r="G90" s="666"/>
      <c r="H90" s="667"/>
      <c r="I90" s="667"/>
      <c r="J90" s="667"/>
      <c r="K90" s="668"/>
      <c r="L90" s="669"/>
      <c r="M90" s="669"/>
      <c r="N90" s="669"/>
      <c r="O90" s="670"/>
    </row>
    <row r="91" spans="1:15" ht="15.5" hidden="1" customHeight="1">
      <c r="A91" s="672" t="s">
        <v>2108</v>
      </c>
      <c r="B91" s="673" t="s">
        <v>2168</v>
      </c>
      <c r="C91" s="674"/>
      <c r="D91" s="674"/>
      <c r="E91" s="674"/>
      <c r="F91" s="674"/>
      <c r="G91" s="674"/>
      <c r="H91" s="675"/>
      <c r="I91" s="676"/>
      <c r="J91" s="676"/>
      <c r="K91" s="677"/>
      <c r="L91" s="678"/>
      <c r="M91" s="678"/>
      <c r="N91" s="678"/>
      <c r="O91" s="679"/>
    </row>
    <row r="92" spans="1:15" ht="15.5" hidden="1" customHeight="1">
      <c r="A92" s="680">
        <v>1</v>
      </c>
      <c r="B92" s="681" t="s">
        <v>2110</v>
      </c>
      <c r="C92" s="682" t="s">
        <v>1725</v>
      </c>
      <c r="D92" s="682"/>
      <c r="E92" s="682"/>
      <c r="F92" s="682"/>
      <c r="G92" s="682"/>
      <c r="H92" s="675"/>
      <c r="I92" s="676"/>
      <c r="J92" s="676"/>
      <c r="K92" s="677"/>
      <c r="L92" s="678"/>
      <c r="M92" s="678"/>
      <c r="N92" s="678"/>
      <c r="O92" s="679"/>
    </row>
    <row r="93" spans="1:15" ht="15.5" hidden="1" customHeight="1">
      <c r="A93" s="680">
        <v>2</v>
      </c>
      <c r="B93" s="681" t="s">
        <v>2110</v>
      </c>
      <c r="C93" s="683"/>
      <c r="D93" s="683"/>
      <c r="E93" s="683"/>
      <c r="F93" s="683"/>
      <c r="G93" s="683"/>
      <c r="H93" s="675"/>
      <c r="I93" s="676"/>
      <c r="J93" s="676"/>
      <c r="K93" s="677"/>
      <c r="L93" s="678"/>
      <c r="M93" s="678"/>
      <c r="N93" s="678"/>
      <c r="O93" s="679"/>
    </row>
    <row r="94" spans="1:15" ht="15.5" hidden="1" customHeight="1">
      <c r="A94" s="672" t="s">
        <v>2111</v>
      </c>
      <c r="B94" s="673" t="s">
        <v>2169</v>
      </c>
      <c r="C94" s="684" t="s">
        <v>2113</v>
      </c>
      <c r="D94" s="684" t="s">
        <v>2114</v>
      </c>
      <c r="E94" s="684"/>
      <c r="F94" s="684"/>
      <c r="G94" s="684"/>
      <c r="H94" s="675"/>
      <c r="I94" s="676"/>
      <c r="J94" s="676"/>
      <c r="K94" s="677"/>
      <c r="L94" s="678"/>
      <c r="M94" s="678"/>
      <c r="N94" s="678"/>
      <c r="O94" s="679"/>
    </row>
    <row r="95" spans="1:15" ht="15.5" hidden="1" customHeight="1">
      <c r="A95" s="680">
        <v>1</v>
      </c>
      <c r="B95" s="681" t="s">
        <v>2115</v>
      </c>
      <c r="C95" s="683"/>
      <c r="D95" s="682"/>
      <c r="E95" s="682"/>
      <c r="F95" s="682"/>
      <c r="G95" s="682"/>
      <c r="H95" s="675"/>
      <c r="I95" s="676"/>
      <c r="J95" s="676"/>
      <c r="K95" s="677"/>
      <c r="L95" s="678"/>
      <c r="M95" s="678"/>
      <c r="N95" s="678"/>
      <c r="O95" s="679"/>
    </row>
    <row r="96" spans="1:15" ht="15.5" hidden="1" customHeight="1">
      <c r="A96" s="680"/>
      <c r="B96" s="681"/>
      <c r="C96" s="683"/>
      <c r="D96" s="683"/>
      <c r="E96" s="683"/>
      <c r="F96" s="683"/>
      <c r="G96" s="683"/>
      <c r="H96" s="675"/>
      <c r="I96" s="676"/>
      <c r="J96" s="676"/>
      <c r="K96" s="677"/>
      <c r="L96" s="678"/>
      <c r="M96" s="678"/>
      <c r="N96" s="678"/>
      <c r="O96" s="679"/>
    </row>
    <row r="97" spans="1:15" hidden="1">
      <c r="A97" s="685" t="s">
        <v>2116</v>
      </c>
      <c r="B97" s="681" t="s">
        <v>2170</v>
      </c>
      <c r="C97" s="686"/>
      <c r="D97" s="686"/>
      <c r="E97" s="686"/>
      <c r="F97" s="686"/>
      <c r="G97" s="686"/>
      <c r="H97" s="675"/>
      <c r="I97" s="676"/>
      <c r="J97" s="676"/>
      <c r="K97" s="677"/>
      <c r="L97" s="678"/>
      <c r="M97" s="678"/>
      <c r="N97" s="678"/>
      <c r="O97" s="679"/>
    </row>
    <row r="98" spans="1:15" ht="40" hidden="1">
      <c r="A98" s="680">
        <v>1</v>
      </c>
      <c r="B98" s="681" t="s">
        <v>2118</v>
      </c>
      <c r="C98" s="683"/>
      <c r="D98" s="682"/>
      <c r="E98" s="682"/>
      <c r="F98" s="682"/>
      <c r="G98" s="682"/>
      <c r="H98" s="675"/>
      <c r="I98" s="676"/>
      <c r="J98" s="676"/>
      <c r="K98" s="677"/>
      <c r="L98" s="678"/>
      <c r="M98" s="678"/>
      <c r="N98" s="678"/>
      <c r="O98" s="679"/>
    </row>
    <row r="99" spans="1:15" hidden="1">
      <c r="A99" s="680"/>
      <c r="B99" s="681" t="s">
        <v>2115</v>
      </c>
      <c r="C99" s="683"/>
      <c r="D99" s="682"/>
      <c r="E99" s="682"/>
      <c r="F99" s="682"/>
      <c r="G99" s="682"/>
      <c r="H99" s="675"/>
      <c r="I99" s="676"/>
      <c r="J99" s="676"/>
      <c r="K99" s="677"/>
      <c r="L99" s="678"/>
      <c r="M99" s="678"/>
      <c r="N99" s="678"/>
      <c r="O99" s="679"/>
    </row>
    <row r="100" spans="1:15" ht="80" hidden="1">
      <c r="A100" s="672" t="s">
        <v>2084</v>
      </c>
      <c r="B100" s="673" t="s">
        <v>2171</v>
      </c>
      <c r="C100" s="674"/>
      <c r="D100" s="674"/>
      <c r="E100" s="674"/>
      <c r="F100" s="674"/>
      <c r="G100" s="674"/>
      <c r="H100" s="675"/>
      <c r="I100" s="676"/>
      <c r="J100" s="676"/>
      <c r="K100" s="677"/>
      <c r="L100" s="678"/>
      <c r="M100" s="678"/>
      <c r="N100" s="678"/>
      <c r="O100" s="679"/>
    </row>
    <row r="101" spans="1:15" s="671" customFormat="1">
      <c r="A101" s="687"/>
      <c r="B101" s="688" t="s">
        <v>2120</v>
      </c>
      <c r="C101" s="689"/>
      <c r="D101" s="690"/>
      <c r="E101" s="690"/>
      <c r="F101" s="690"/>
      <c r="G101" s="690"/>
      <c r="H101" s="676"/>
      <c r="I101" s="676"/>
      <c r="J101" s="676"/>
      <c r="K101" s="677"/>
      <c r="L101" s="691">
        <v>1</v>
      </c>
      <c r="M101" s="691"/>
      <c r="N101" s="691"/>
      <c r="O101" s="692"/>
    </row>
    <row r="102" spans="1:15" ht="34.5" customHeight="1">
      <c r="A102" s="757" t="s">
        <v>2302</v>
      </c>
      <c r="O102" s="635"/>
    </row>
    <row r="103" spans="1:15" ht="55.25" customHeight="1">
      <c r="A103" s="1335" t="s">
        <v>2161</v>
      </c>
      <c r="B103" s="1336"/>
      <c r="C103" s="1336" t="s">
        <v>2162</v>
      </c>
      <c r="D103" s="1336"/>
      <c r="E103" s="758"/>
      <c r="F103" s="1337" t="s">
        <v>2123</v>
      </c>
      <c r="G103" s="1337"/>
      <c r="H103" s="1337"/>
      <c r="I103" s="1337"/>
      <c r="J103" s="1337"/>
      <c r="K103" s="1337"/>
      <c r="L103" s="1337"/>
      <c r="M103" s="1337"/>
      <c r="N103" s="1337"/>
      <c r="O103" s="635"/>
    </row>
    <row r="104" spans="1:15" ht="48.5" customHeight="1">
      <c r="A104" s="632"/>
      <c r="B104" s="698"/>
      <c r="C104" s="698"/>
      <c r="D104" s="633"/>
      <c r="E104" s="633"/>
      <c r="F104" s="727" t="s">
        <v>2124</v>
      </c>
      <c r="G104" s="727"/>
      <c r="J104" s="1320" t="s">
        <v>2125</v>
      </c>
      <c r="K104" s="1320"/>
      <c r="M104" s="1321" t="s">
        <v>2126</v>
      </c>
      <c r="N104" s="1321"/>
      <c r="O104" s="635"/>
    </row>
    <row r="105" spans="1:15">
      <c r="A105" s="632"/>
      <c r="O105" s="635"/>
    </row>
    <row r="106" spans="1:15">
      <c r="A106" s="632"/>
      <c r="O106" s="635"/>
    </row>
    <row r="107" spans="1:15" ht="323.5" customHeight="1" thickBot="1">
      <c r="A107" s="693"/>
      <c r="B107" s="694"/>
      <c r="C107" s="694"/>
      <c r="D107" s="694"/>
      <c r="E107" s="694"/>
      <c r="F107" s="694"/>
      <c r="G107" s="694"/>
      <c r="H107" s="694"/>
      <c r="I107" s="694"/>
      <c r="J107" s="694"/>
      <c r="K107" s="695"/>
      <c r="L107" s="694"/>
      <c r="M107" s="694"/>
      <c r="N107" s="694"/>
      <c r="O107" s="696"/>
    </row>
    <row r="108" spans="1:15" ht="167" hidden="1" customHeight="1" thickBot="1">
      <c r="A108" s="693"/>
      <c r="B108" s="694"/>
      <c r="C108" s="694"/>
      <c r="D108" s="694"/>
      <c r="E108" s="694"/>
      <c r="F108" s="694"/>
      <c r="G108" s="694"/>
      <c r="H108" s="694"/>
      <c r="I108" s="694"/>
      <c r="J108" s="694"/>
      <c r="K108" s="695"/>
      <c r="L108" s="694"/>
      <c r="M108" s="694"/>
      <c r="N108" s="694"/>
      <c r="O108" s="696"/>
    </row>
  </sheetData>
  <mergeCells count="29">
    <mergeCell ref="J104:K104"/>
    <mergeCell ref="M104:N104"/>
    <mergeCell ref="B8:F8"/>
    <mergeCell ref="O12:O16"/>
    <mergeCell ref="O22:O23"/>
    <mergeCell ref="O17:O21"/>
    <mergeCell ref="O24:O45"/>
    <mergeCell ref="O46:O67"/>
    <mergeCell ref="O68:O89"/>
    <mergeCell ref="J9:J10"/>
    <mergeCell ref="K9:M9"/>
    <mergeCell ref="A103:B103"/>
    <mergeCell ref="C103:D103"/>
    <mergeCell ref="F103:N103"/>
    <mergeCell ref="D9:D10"/>
    <mergeCell ref="E9:E10"/>
    <mergeCell ref="F9:F10"/>
    <mergeCell ref="G9:G10"/>
    <mergeCell ref="H9:H10"/>
    <mergeCell ref="I9:I10"/>
    <mergeCell ref="A1:O2"/>
    <mergeCell ref="B5:K6"/>
    <mergeCell ref="G8:I8"/>
    <mergeCell ref="K8:M8"/>
    <mergeCell ref="N8:N10"/>
    <mergeCell ref="O8:O10"/>
    <mergeCell ref="A9:A10"/>
    <mergeCell ref="B9:B10"/>
    <mergeCell ref="C9:C10"/>
  </mergeCells>
  <conditionalFormatting sqref="O17 O22 O24 O46 O68">
    <cfRule type="expression" dxfId="59" priority="1">
      <formula>$AT17="LV 8"</formula>
    </cfRule>
    <cfRule type="expression" dxfId="58" priority="2">
      <formula>$AT17="LV 7"</formula>
    </cfRule>
    <cfRule type="expression" dxfId="57" priority="3">
      <formula>$AT17="LV 6"</formula>
    </cfRule>
    <cfRule type="expression" dxfId="56" priority="4">
      <formula>$AT17="LV 5"</formula>
    </cfRule>
    <cfRule type="expression" dxfId="55" priority="5">
      <formula>$AT17="LV 4"</formula>
    </cfRule>
    <cfRule type="expression" dxfId="54" priority="6">
      <formula>$AT17="LV 3"</formula>
    </cfRule>
    <cfRule type="expression" dxfId="53" priority="7">
      <formula>$AT17="LV 2"</formula>
    </cfRule>
    <cfRule type="expression" dxfId="52" priority="8">
      <formula>$AT17="LV 1"</formula>
    </cfRule>
  </conditionalFormatting>
  <pageMargins left="0.42" right="0.42" top="0.3" bottom="0.5" header="0.17" footer="0.17"/>
  <pageSetup paperSize="9" scale="46" fitToHeight="1111" orientation="landscape" r:id="rId1"/>
  <headerFooter>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5CAF-9C69-45C5-9347-AE25A0C49083}">
  <sheetPr>
    <pageSetUpPr fitToPage="1"/>
  </sheetPr>
  <dimension ref="A1:O44"/>
  <sheetViews>
    <sheetView view="pageBreakPreview" topLeftCell="A11" zoomScale="55" zoomScaleNormal="55" zoomScaleSheetLayoutView="55" workbookViewId="0">
      <selection activeCell="G12" sqref="F12:L66"/>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1" style="476" customWidth="1"/>
    <col min="6" max="6" width="14.296875" style="476" customWidth="1"/>
    <col min="7" max="7" width="11" style="476" customWidth="1"/>
    <col min="8" max="8" width="12.5" style="476" customWidth="1"/>
    <col min="9" max="9" width="20.59765625" style="476" customWidth="1"/>
    <col min="10" max="10" width="23.19921875" style="476" customWidth="1"/>
    <col min="11" max="11" width="10.09765625" style="491" customWidth="1"/>
    <col min="12" max="12" width="11.19921875" style="476" bestFit="1" customWidth="1"/>
    <col min="13" max="13" width="17.59765625" style="476" customWidth="1"/>
    <col min="14" max="14" width="15.69921875" style="476" customWidth="1"/>
    <col min="15" max="15" width="21.8984375" style="476" customWidth="1"/>
    <col min="16" max="16384" width="9.796875" style="476"/>
  </cols>
  <sheetData>
    <row r="1" spans="1:15" ht="51.65" customHeight="1">
      <c r="A1" s="1285" t="s">
        <v>2065</v>
      </c>
      <c r="B1" s="1286"/>
      <c r="C1" s="1286"/>
      <c r="D1" s="1286"/>
      <c r="E1" s="1286"/>
      <c r="F1" s="1286"/>
      <c r="G1" s="1286"/>
      <c r="H1" s="1286"/>
      <c r="I1" s="1286"/>
      <c r="J1" s="1286"/>
      <c r="K1" s="1286"/>
      <c r="L1" s="1286"/>
      <c r="M1" s="1286"/>
      <c r="N1" s="1286"/>
      <c r="O1" s="1287"/>
    </row>
    <row r="2" spans="1:15">
      <c r="A2" s="1288"/>
      <c r="B2" s="1289"/>
      <c r="C2" s="1289"/>
      <c r="D2" s="1289"/>
      <c r="E2" s="1289"/>
      <c r="F2" s="1289"/>
      <c r="G2" s="1289"/>
      <c r="H2" s="1289"/>
      <c r="I2" s="1289"/>
      <c r="J2" s="1289"/>
      <c r="K2" s="1289"/>
      <c r="L2" s="1289"/>
      <c r="M2" s="1289"/>
      <c r="N2" s="1289"/>
      <c r="O2" s="1290"/>
    </row>
    <row r="3" spans="1:15" ht="15" customHeight="1">
      <c r="A3" s="477" t="s">
        <v>2066</v>
      </c>
      <c r="B3" s="478" t="s">
        <v>2156</v>
      </c>
      <c r="C3" s="479"/>
      <c r="D3" s="479"/>
      <c r="E3" s="479"/>
      <c r="F3" s="479"/>
      <c r="G3" s="479"/>
      <c r="H3" s="480"/>
      <c r="I3" s="480"/>
      <c r="J3" s="480"/>
      <c r="K3" s="481"/>
      <c r="L3" s="480"/>
      <c r="M3" s="480"/>
      <c r="N3" s="480"/>
      <c r="O3" s="482"/>
    </row>
    <row r="4" spans="1:15" ht="15" customHeight="1">
      <c r="A4" s="483" t="s">
        <v>2067</v>
      </c>
      <c r="B4" s="484"/>
      <c r="C4" s="485"/>
      <c r="D4" s="485"/>
      <c r="E4" s="485"/>
      <c r="F4" s="485"/>
      <c r="G4" s="485"/>
      <c r="H4" s="486"/>
      <c r="I4" s="486"/>
      <c r="J4" s="486"/>
      <c r="K4" s="487"/>
      <c r="L4" s="486"/>
      <c r="M4" s="486"/>
      <c r="N4" s="486"/>
      <c r="O4" s="488"/>
    </row>
    <row r="5" spans="1:15" ht="15" customHeight="1">
      <c r="A5" s="477" t="s">
        <v>2068</v>
      </c>
      <c r="B5" s="1291" t="s">
        <v>2157</v>
      </c>
      <c r="C5" s="1292"/>
      <c r="D5" s="1292"/>
      <c r="E5" s="1292"/>
      <c r="F5" s="1292"/>
      <c r="G5" s="1292"/>
      <c r="H5" s="1292"/>
      <c r="I5" s="1292"/>
      <c r="J5" s="1292"/>
      <c r="K5" s="1292"/>
      <c r="L5" s="480"/>
      <c r="O5" s="489"/>
    </row>
    <row r="6" spans="1:15" ht="15" customHeight="1">
      <c r="A6" s="483" t="s">
        <v>2069</v>
      </c>
      <c r="B6" s="1293"/>
      <c r="C6" s="1294"/>
      <c r="D6" s="1294"/>
      <c r="E6" s="1294"/>
      <c r="F6" s="1294"/>
      <c r="G6" s="1294"/>
      <c r="H6" s="1294"/>
      <c r="I6" s="1294"/>
      <c r="J6" s="1294"/>
      <c r="K6" s="1294"/>
      <c r="L6" s="486"/>
      <c r="M6" s="486"/>
      <c r="N6" s="486"/>
      <c r="O6" s="488"/>
    </row>
    <row r="7" spans="1:15">
      <c r="A7" s="490"/>
      <c r="O7" s="489"/>
    </row>
    <row r="8" spans="1:15" ht="32.5" customHeight="1">
      <c r="A8" s="492" t="s">
        <v>2070</v>
      </c>
      <c r="B8" s="493" t="s">
        <v>2071</v>
      </c>
      <c r="C8" s="1295" t="s">
        <v>2072</v>
      </c>
      <c r="D8" s="1295"/>
      <c r="E8" s="1295"/>
      <c r="F8" s="1295"/>
      <c r="G8" s="1295" t="s">
        <v>2073</v>
      </c>
      <c r="H8" s="1295"/>
      <c r="I8" s="1295"/>
      <c r="J8" s="493" t="s">
        <v>2158</v>
      </c>
      <c r="K8" s="1296" t="s">
        <v>2075</v>
      </c>
      <c r="L8" s="1296"/>
      <c r="M8" s="1296"/>
      <c r="N8" s="1297" t="s">
        <v>2076</v>
      </c>
      <c r="O8" s="1298" t="s">
        <v>1965</v>
      </c>
    </row>
    <row r="9" spans="1:15" ht="28.5" customHeight="1">
      <c r="A9" s="1299" t="s">
        <v>2077</v>
      </c>
      <c r="B9" s="1283" t="s">
        <v>2078</v>
      </c>
      <c r="C9" s="1283" t="s">
        <v>12</v>
      </c>
      <c r="D9" s="1283" t="s">
        <v>13</v>
      </c>
      <c r="E9" s="1283" t="s">
        <v>2164</v>
      </c>
      <c r="F9" s="1340" t="s">
        <v>2159</v>
      </c>
      <c r="G9" s="1284" t="s">
        <v>1714</v>
      </c>
      <c r="H9" s="1284" t="s">
        <v>1715</v>
      </c>
      <c r="I9" s="1284" t="s">
        <v>1716</v>
      </c>
      <c r="J9" s="1284" t="s">
        <v>1716</v>
      </c>
      <c r="K9" s="1296" t="s">
        <v>1395</v>
      </c>
      <c r="L9" s="1296"/>
      <c r="M9" s="1296"/>
      <c r="N9" s="1297"/>
      <c r="O9" s="1298"/>
    </row>
    <row r="10" spans="1:15" ht="56.5" customHeight="1">
      <c r="A10" s="1299"/>
      <c r="B10" s="1283"/>
      <c r="C10" s="1283"/>
      <c r="D10" s="1283"/>
      <c r="E10" s="1283" t="s">
        <v>1914</v>
      </c>
      <c r="F10" s="1341" t="s">
        <v>1915</v>
      </c>
      <c r="G10" s="1284"/>
      <c r="H10" s="1284"/>
      <c r="I10" s="1284"/>
      <c r="J10" s="1284"/>
      <c r="K10" s="496" t="s">
        <v>2080</v>
      </c>
      <c r="L10" s="496" t="s">
        <v>2081</v>
      </c>
      <c r="M10" s="496" t="s">
        <v>2082</v>
      </c>
      <c r="N10" s="1297"/>
      <c r="O10" s="1298"/>
    </row>
    <row r="11" spans="1:15" s="502" customFormat="1" ht="26" customHeight="1">
      <c r="A11" s="494" t="s">
        <v>1961</v>
      </c>
      <c r="B11" s="495"/>
      <c r="C11" s="495"/>
      <c r="D11" s="495"/>
      <c r="E11" s="495"/>
      <c r="F11" s="495"/>
      <c r="G11" s="497" t="s">
        <v>477</v>
      </c>
      <c r="H11" s="497" t="s">
        <v>477</v>
      </c>
      <c r="I11" s="498">
        <f>'DT04 (TM) 1 '!L17</f>
        <v>2538751590</v>
      </c>
      <c r="J11" s="498">
        <f>'Vật tư đóng kiện Ngọc hiếu 090'!K11+'Vật tư đóng kiện Ngọc hiếu 090'!N11</f>
        <v>4994165028.8798904</v>
      </c>
      <c r="K11" s="499"/>
      <c r="L11" s="499"/>
      <c r="M11" s="499">
        <f>SUM(M12:M25)</f>
        <v>262257375</v>
      </c>
      <c r="N11" s="500"/>
      <c r="O11" s="501">
        <f>I11-J11-M11</f>
        <v>-2717670813.8798904</v>
      </c>
    </row>
    <row r="12" spans="1:15" ht="18.5">
      <c r="A12" s="629" t="s">
        <v>1851</v>
      </c>
      <c r="B12" s="631" t="s">
        <v>1948</v>
      </c>
      <c r="C12" s="627"/>
      <c r="D12" s="628" t="s">
        <v>2166</v>
      </c>
      <c r="E12" s="504">
        <v>204.75</v>
      </c>
      <c r="F12" s="505" t="s">
        <v>477</v>
      </c>
      <c r="G12" s="506" t="s">
        <v>477</v>
      </c>
      <c r="H12" s="506" t="s">
        <v>477</v>
      </c>
      <c r="I12" s="506" t="s">
        <v>477</v>
      </c>
      <c r="J12" s="506" t="s">
        <v>477</v>
      </c>
      <c r="K12" s="508" t="s">
        <v>2084</v>
      </c>
      <c r="L12" s="509">
        <v>50500</v>
      </c>
      <c r="M12" s="509">
        <f>L12*E12</f>
        <v>10339875</v>
      </c>
      <c r="N12" s="509" t="s">
        <v>1395</v>
      </c>
      <c r="O12" s="1338" t="s">
        <v>2154</v>
      </c>
    </row>
    <row r="13" spans="1:15" ht="18.5">
      <c r="A13" s="629" t="s">
        <v>1853</v>
      </c>
      <c r="B13" s="631" t="s">
        <v>1949</v>
      </c>
      <c r="C13" s="627"/>
      <c r="D13" s="628" t="s">
        <v>2166</v>
      </c>
      <c r="E13" s="504">
        <v>288</v>
      </c>
      <c r="F13" s="505" t="s">
        <v>477</v>
      </c>
      <c r="G13" s="506" t="s">
        <v>477</v>
      </c>
      <c r="H13" s="506" t="s">
        <v>477</v>
      </c>
      <c r="I13" s="506" t="s">
        <v>477</v>
      </c>
      <c r="J13" s="506" t="s">
        <v>477</v>
      </c>
      <c r="K13" s="508" t="s">
        <v>2084</v>
      </c>
      <c r="L13" s="509">
        <v>50500</v>
      </c>
      <c r="M13" s="509">
        <f t="shared" ref="M13:M25" si="0">L13*E13</f>
        <v>14544000</v>
      </c>
      <c r="N13" s="509" t="s">
        <v>1395</v>
      </c>
      <c r="O13" s="1339"/>
    </row>
    <row r="14" spans="1:15" ht="18.5">
      <c r="A14" s="629" t="s">
        <v>1855</v>
      </c>
      <c r="B14" s="631" t="s">
        <v>1950</v>
      </c>
      <c r="C14" s="627"/>
      <c r="D14" s="628" t="s">
        <v>2166</v>
      </c>
      <c r="E14" s="504">
        <v>114</v>
      </c>
      <c r="F14" s="505" t="s">
        <v>477</v>
      </c>
      <c r="G14" s="506" t="s">
        <v>477</v>
      </c>
      <c r="H14" s="506" t="s">
        <v>477</v>
      </c>
      <c r="I14" s="506" t="s">
        <v>477</v>
      </c>
      <c r="J14" s="506" t="s">
        <v>477</v>
      </c>
      <c r="K14" s="508" t="s">
        <v>2084</v>
      </c>
      <c r="L14" s="509">
        <v>50500</v>
      </c>
      <c r="M14" s="509">
        <f t="shared" si="0"/>
        <v>5757000</v>
      </c>
      <c r="N14" s="509" t="s">
        <v>1395</v>
      </c>
      <c r="O14" s="1339"/>
    </row>
    <row r="15" spans="1:15" ht="18.5">
      <c r="A15" s="629" t="s">
        <v>1857</v>
      </c>
      <c r="B15" s="631" t="s">
        <v>1951</v>
      </c>
      <c r="C15" s="627"/>
      <c r="D15" s="628" t="s">
        <v>2166</v>
      </c>
      <c r="E15" s="504">
        <f>392+196</f>
        <v>588</v>
      </c>
      <c r="F15" s="505" t="s">
        <v>477</v>
      </c>
      <c r="G15" s="506" t="s">
        <v>477</v>
      </c>
      <c r="H15" s="506" t="s">
        <v>477</v>
      </c>
      <c r="I15" s="506" t="s">
        <v>477</v>
      </c>
      <c r="J15" s="506" t="s">
        <v>477</v>
      </c>
      <c r="K15" s="508" t="s">
        <v>2084</v>
      </c>
      <c r="L15" s="509">
        <v>50500</v>
      </c>
      <c r="M15" s="509">
        <f t="shared" si="0"/>
        <v>29694000</v>
      </c>
      <c r="N15" s="509" t="s">
        <v>1395</v>
      </c>
      <c r="O15" s="1339"/>
    </row>
    <row r="16" spans="1:15" ht="18.5">
      <c r="A16" s="629" t="s">
        <v>1859</v>
      </c>
      <c r="B16" s="631" t="s">
        <v>1952</v>
      </c>
      <c r="C16" s="627"/>
      <c r="D16" s="628" t="s">
        <v>2166</v>
      </c>
      <c r="E16" s="504">
        <v>165</v>
      </c>
      <c r="F16" s="505" t="s">
        <v>477</v>
      </c>
      <c r="G16" s="506" t="s">
        <v>477</v>
      </c>
      <c r="H16" s="506" t="s">
        <v>477</v>
      </c>
      <c r="I16" s="506" t="s">
        <v>477</v>
      </c>
      <c r="J16" s="506" t="s">
        <v>477</v>
      </c>
      <c r="K16" s="508" t="s">
        <v>2084</v>
      </c>
      <c r="L16" s="509">
        <v>50500</v>
      </c>
      <c r="M16" s="509">
        <f t="shared" si="0"/>
        <v>8332500</v>
      </c>
      <c r="N16" s="509" t="s">
        <v>1395</v>
      </c>
      <c r="O16" s="1339"/>
    </row>
    <row r="17" spans="1:15" ht="18.5">
      <c r="A17" s="629" t="s">
        <v>1861</v>
      </c>
      <c r="B17" s="631" t="s">
        <v>1953</v>
      </c>
      <c r="C17" s="627"/>
      <c r="D17" s="628" t="s">
        <v>2166</v>
      </c>
      <c r="E17" s="504">
        <v>315</v>
      </c>
      <c r="F17" s="505" t="s">
        <v>477</v>
      </c>
      <c r="G17" s="506" t="s">
        <v>477</v>
      </c>
      <c r="H17" s="506" t="s">
        <v>477</v>
      </c>
      <c r="I17" s="506" t="s">
        <v>477</v>
      </c>
      <c r="J17" s="506" t="s">
        <v>477</v>
      </c>
      <c r="K17" s="508" t="s">
        <v>2084</v>
      </c>
      <c r="L17" s="509">
        <v>50500</v>
      </c>
      <c r="M17" s="509">
        <f t="shared" si="0"/>
        <v>15907500</v>
      </c>
      <c r="N17" s="509" t="s">
        <v>1395</v>
      </c>
      <c r="O17" s="1339"/>
    </row>
    <row r="18" spans="1:15" ht="18.5">
      <c r="A18" s="629" t="s">
        <v>1863</v>
      </c>
      <c r="B18" s="631" t="s">
        <v>1954</v>
      </c>
      <c r="C18" s="627"/>
      <c r="D18" s="628" t="s">
        <v>2166</v>
      </c>
      <c r="E18" s="504">
        <v>147.25</v>
      </c>
      <c r="F18" s="505" t="s">
        <v>477</v>
      </c>
      <c r="G18" s="506" t="s">
        <v>477</v>
      </c>
      <c r="H18" s="506" t="s">
        <v>477</v>
      </c>
      <c r="I18" s="506" t="s">
        <v>477</v>
      </c>
      <c r="J18" s="506" t="s">
        <v>477</v>
      </c>
      <c r="K18" s="508" t="s">
        <v>2084</v>
      </c>
      <c r="L18" s="509">
        <v>50500</v>
      </c>
      <c r="M18" s="509">
        <f t="shared" si="0"/>
        <v>7436125</v>
      </c>
      <c r="N18" s="509" t="s">
        <v>1395</v>
      </c>
      <c r="O18" s="1339"/>
    </row>
    <row r="19" spans="1:15" ht="18.5">
      <c r="A19" s="629" t="s">
        <v>1865</v>
      </c>
      <c r="B19" s="631" t="s">
        <v>1955</v>
      </c>
      <c r="C19" s="627"/>
      <c r="D19" s="628" t="s">
        <v>2166</v>
      </c>
      <c r="E19" s="504">
        <v>155</v>
      </c>
      <c r="F19" s="505" t="s">
        <v>477</v>
      </c>
      <c r="G19" s="506" t="s">
        <v>477</v>
      </c>
      <c r="H19" s="506" t="s">
        <v>477</v>
      </c>
      <c r="I19" s="506" t="s">
        <v>477</v>
      </c>
      <c r="J19" s="506" t="s">
        <v>477</v>
      </c>
      <c r="K19" s="508" t="s">
        <v>2084</v>
      </c>
      <c r="L19" s="509">
        <v>50500</v>
      </c>
      <c r="M19" s="509">
        <f t="shared" si="0"/>
        <v>7827500</v>
      </c>
      <c r="N19" s="509" t="s">
        <v>1395</v>
      </c>
      <c r="O19" s="1339"/>
    </row>
    <row r="20" spans="1:15" ht="18.5">
      <c r="A20" s="629" t="s">
        <v>1867</v>
      </c>
      <c r="B20" s="631" t="s">
        <v>1956</v>
      </c>
      <c r="C20" s="627"/>
      <c r="D20" s="628" t="s">
        <v>2166</v>
      </c>
      <c r="E20" s="504">
        <v>816</v>
      </c>
      <c r="F20" s="505" t="s">
        <v>477</v>
      </c>
      <c r="G20" s="506" t="s">
        <v>477</v>
      </c>
      <c r="H20" s="506" t="s">
        <v>477</v>
      </c>
      <c r="I20" s="506" t="s">
        <v>477</v>
      </c>
      <c r="J20" s="506" t="s">
        <v>477</v>
      </c>
      <c r="K20" s="508" t="s">
        <v>2084</v>
      </c>
      <c r="L20" s="509">
        <v>50500</v>
      </c>
      <c r="M20" s="509">
        <f t="shared" si="0"/>
        <v>41208000</v>
      </c>
      <c r="N20" s="509" t="s">
        <v>1395</v>
      </c>
      <c r="O20" s="1339"/>
    </row>
    <row r="21" spans="1:15" ht="18.5">
      <c r="A21" s="629" t="s">
        <v>1869</v>
      </c>
      <c r="B21" s="631" t="s">
        <v>1957</v>
      </c>
      <c r="C21" s="627"/>
      <c r="D21" s="628" t="s">
        <v>2166</v>
      </c>
      <c r="E21" s="504">
        <v>445.5</v>
      </c>
      <c r="F21" s="505" t="s">
        <v>477</v>
      </c>
      <c r="G21" s="506" t="s">
        <v>477</v>
      </c>
      <c r="H21" s="506" t="s">
        <v>477</v>
      </c>
      <c r="I21" s="506" t="s">
        <v>477</v>
      </c>
      <c r="J21" s="506" t="s">
        <v>477</v>
      </c>
      <c r="K21" s="508" t="s">
        <v>2084</v>
      </c>
      <c r="L21" s="509">
        <v>50500</v>
      </c>
      <c r="M21" s="509">
        <f t="shared" si="0"/>
        <v>22497750</v>
      </c>
      <c r="N21" s="509" t="s">
        <v>1395</v>
      </c>
      <c r="O21" s="1339"/>
    </row>
    <row r="22" spans="1:15" ht="18.5">
      <c r="A22" s="629" t="s">
        <v>1871</v>
      </c>
      <c r="B22" s="631" t="s">
        <v>1958</v>
      </c>
      <c r="C22" s="627"/>
      <c r="D22" s="628" t="s">
        <v>2166</v>
      </c>
      <c r="E22" s="504">
        <v>495</v>
      </c>
      <c r="F22" s="505" t="s">
        <v>477</v>
      </c>
      <c r="G22" s="506" t="s">
        <v>477</v>
      </c>
      <c r="H22" s="506" t="s">
        <v>477</v>
      </c>
      <c r="I22" s="506" t="s">
        <v>477</v>
      </c>
      <c r="J22" s="506" t="s">
        <v>477</v>
      </c>
      <c r="K22" s="508" t="s">
        <v>2084</v>
      </c>
      <c r="L22" s="509">
        <v>50500</v>
      </c>
      <c r="M22" s="509">
        <f t="shared" si="0"/>
        <v>24997500</v>
      </c>
      <c r="N22" s="509" t="s">
        <v>1395</v>
      </c>
      <c r="O22" s="1339"/>
    </row>
    <row r="23" spans="1:15" ht="18.5">
      <c r="A23" s="629" t="s">
        <v>1873</v>
      </c>
      <c r="B23" s="631" t="s">
        <v>1959</v>
      </c>
      <c r="C23" s="627"/>
      <c r="D23" s="628" t="s">
        <v>2166</v>
      </c>
      <c r="E23" s="504">
        <v>603.75</v>
      </c>
      <c r="F23" s="505" t="s">
        <v>477</v>
      </c>
      <c r="G23" s="506" t="s">
        <v>477</v>
      </c>
      <c r="H23" s="506" t="s">
        <v>477</v>
      </c>
      <c r="I23" s="506" t="s">
        <v>477</v>
      </c>
      <c r="J23" s="506" t="s">
        <v>477</v>
      </c>
      <c r="K23" s="508" t="s">
        <v>2084</v>
      </c>
      <c r="L23" s="509">
        <v>50500</v>
      </c>
      <c r="M23" s="509">
        <f t="shared" si="0"/>
        <v>30489375</v>
      </c>
      <c r="N23" s="509" t="s">
        <v>1395</v>
      </c>
      <c r="O23" s="1339"/>
    </row>
    <row r="24" spans="1:15" ht="18.5">
      <c r="A24" s="629" t="s">
        <v>1875</v>
      </c>
      <c r="B24" s="631" t="s">
        <v>1960</v>
      </c>
      <c r="C24" s="627"/>
      <c r="D24" s="628" t="s">
        <v>2166</v>
      </c>
      <c r="E24" s="504">
        <v>202.5</v>
      </c>
      <c r="F24" s="505" t="s">
        <v>477</v>
      </c>
      <c r="G24" s="506" t="s">
        <v>477</v>
      </c>
      <c r="H24" s="506" t="s">
        <v>477</v>
      </c>
      <c r="I24" s="506" t="s">
        <v>477</v>
      </c>
      <c r="J24" s="506" t="s">
        <v>477</v>
      </c>
      <c r="K24" s="508" t="s">
        <v>2084</v>
      </c>
      <c r="L24" s="509">
        <v>50500</v>
      </c>
      <c r="M24" s="509">
        <f t="shared" si="0"/>
        <v>10226250</v>
      </c>
      <c r="N24" s="509" t="s">
        <v>1395</v>
      </c>
      <c r="O24" s="1339"/>
    </row>
    <row r="25" spans="1:15" ht="18.5">
      <c r="A25" s="629" t="s">
        <v>2043</v>
      </c>
      <c r="B25" s="631" t="s">
        <v>2163</v>
      </c>
      <c r="C25" s="627"/>
      <c r="D25" s="628" t="s">
        <v>2165</v>
      </c>
      <c r="E25" s="504">
        <v>3000</v>
      </c>
      <c r="F25" s="505" t="s">
        <v>477</v>
      </c>
      <c r="G25" s="506" t="s">
        <v>477</v>
      </c>
      <c r="H25" s="506" t="s">
        <v>477</v>
      </c>
      <c r="I25" s="506" t="s">
        <v>477</v>
      </c>
      <c r="J25" s="506" t="s">
        <v>477</v>
      </c>
      <c r="K25" s="508" t="s">
        <v>2084</v>
      </c>
      <c r="L25" s="509">
        <v>11000</v>
      </c>
      <c r="M25" s="509">
        <f t="shared" si="0"/>
        <v>33000000</v>
      </c>
      <c r="N25" s="509" t="s">
        <v>1395</v>
      </c>
      <c r="O25" s="1339"/>
    </row>
    <row r="26" spans="1:15" s="518" customFormat="1">
      <c r="A26" s="619"/>
      <c r="B26" s="620" t="s">
        <v>2107</v>
      </c>
      <c r="C26" s="621"/>
      <c r="D26" s="622"/>
      <c r="E26" s="622"/>
      <c r="F26" s="622"/>
      <c r="G26" s="622"/>
      <c r="H26" s="623"/>
      <c r="I26" s="623"/>
      <c r="J26" s="623"/>
      <c r="K26" s="624"/>
      <c r="L26" s="625"/>
      <c r="M26" s="625"/>
      <c r="N26" s="625"/>
      <c r="O26" s="626"/>
    </row>
    <row r="27" spans="1:15" ht="15.5" hidden="1" customHeight="1">
      <c r="A27" s="519" t="s">
        <v>2108</v>
      </c>
      <c r="B27" s="520" t="s">
        <v>2109</v>
      </c>
      <c r="C27" s="521"/>
      <c r="D27" s="521"/>
      <c r="E27" s="521"/>
      <c r="F27" s="521"/>
      <c r="G27" s="521"/>
      <c r="H27" s="507"/>
      <c r="I27" s="514"/>
      <c r="J27" s="514"/>
      <c r="K27" s="515"/>
      <c r="L27" s="522"/>
      <c r="M27" s="522"/>
      <c r="N27" s="522"/>
      <c r="O27" s="523"/>
    </row>
    <row r="28" spans="1:15" ht="15.5" hidden="1" customHeight="1">
      <c r="A28" s="524">
        <v>1</v>
      </c>
      <c r="B28" s="525" t="s">
        <v>2110</v>
      </c>
      <c r="C28" s="526" t="s">
        <v>1725</v>
      </c>
      <c r="D28" s="526"/>
      <c r="E28" s="526"/>
      <c r="F28" s="526"/>
      <c r="G28" s="526"/>
      <c r="H28" s="507"/>
      <c r="I28" s="514"/>
      <c r="J28" s="514"/>
      <c r="K28" s="515"/>
      <c r="L28" s="522"/>
      <c r="M28" s="522"/>
      <c r="N28" s="522"/>
      <c r="O28" s="523"/>
    </row>
    <row r="29" spans="1:15" ht="15.5" hidden="1" customHeight="1">
      <c r="A29" s="524">
        <v>2</v>
      </c>
      <c r="B29" s="525" t="s">
        <v>2110</v>
      </c>
      <c r="C29" s="527"/>
      <c r="D29" s="527"/>
      <c r="E29" s="527"/>
      <c r="F29" s="527"/>
      <c r="G29" s="527"/>
      <c r="H29" s="507"/>
      <c r="I29" s="514"/>
      <c r="J29" s="514"/>
      <c r="K29" s="515"/>
      <c r="L29" s="522"/>
      <c r="M29" s="522"/>
      <c r="N29" s="522"/>
      <c r="O29" s="523"/>
    </row>
    <row r="30" spans="1:15" ht="15.5" hidden="1" customHeight="1">
      <c r="A30" s="519" t="s">
        <v>2111</v>
      </c>
      <c r="B30" s="520" t="s">
        <v>2112</v>
      </c>
      <c r="C30" s="528" t="s">
        <v>2113</v>
      </c>
      <c r="D30" s="528" t="s">
        <v>2114</v>
      </c>
      <c r="E30" s="528"/>
      <c r="F30" s="528"/>
      <c r="G30" s="528"/>
      <c r="H30" s="507"/>
      <c r="I30" s="514"/>
      <c r="J30" s="514"/>
      <c r="K30" s="515"/>
      <c r="L30" s="522"/>
      <c r="M30" s="522"/>
      <c r="N30" s="522"/>
      <c r="O30" s="523"/>
    </row>
    <row r="31" spans="1:15" ht="15.5" hidden="1" customHeight="1">
      <c r="A31" s="524">
        <v>1</v>
      </c>
      <c r="B31" s="525" t="s">
        <v>2115</v>
      </c>
      <c r="C31" s="527"/>
      <c r="D31" s="526"/>
      <c r="E31" s="526"/>
      <c r="F31" s="526"/>
      <c r="G31" s="526"/>
      <c r="H31" s="507"/>
      <c r="I31" s="514"/>
      <c r="J31" s="514"/>
      <c r="K31" s="515"/>
      <c r="L31" s="522"/>
      <c r="M31" s="522"/>
      <c r="N31" s="522"/>
      <c r="O31" s="523"/>
    </row>
    <row r="32" spans="1:15" ht="15.5" hidden="1" customHeight="1">
      <c r="A32" s="524"/>
      <c r="B32" s="525"/>
      <c r="C32" s="527"/>
      <c r="D32" s="527"/>
      <c r="E32" s="527"/>
      <c r="F32" s="527"/>
      <c r="G32" s="527"/>
      <c r="H32" s="507"/>
      <c r="I32" s="514"/>
      <c r="J32" s="514"/>
      <c r="K32" s="515"/>
      <c r="L32" s="522"/>
      <c r="M32" s="522"/>
      <c r="N32" s="522"/>
      <c r="O32" s="523"/>
    </row>
    <row r="33" spans="1:15" hidden="1">
      <c r="A33" s="529" t="s">
        <v>2116</v>
      </c>
      <c r="B33" s="525" t="s">
        <v>2117</v>
      </c>
      <c r="C33" s="530"/>
      <c r="D33" s="530"/>
      <c r="E33" s="530"/>
      <c r="F33" s="530"/>
      <c r="G33" s="530"/>
      <c r="H33" s="507"/>
      <c r="I33" s="514"/>
      <c r="J33" s="514"/>
      <c r="K33" s="515"/>
      <c r="L33" s="522"/>
      <c r="M33" s="522"/>
      <c r="N33" s="522"/>
      <c r="O33" s="523"/>
    </row>
    <row r="34" spans="1:15" hidden="1">
      <c r="A34" s="524">
        <v>1</v>
      </c>
      <c r="B34" s="525" t="s">
        <v>2118</v>
      </c>
      <c r="C34" s="527"/>
      <c r="D34" s="526"/>
      <c r="E34" s="526"/>
      <c r="F34" s="526"/>
      <c r="G34" s="526"/>
      <c r="H34" s="507"/>
      <c r="I34" s="514"/>
      <c r="J34" s="514"/>
      <c r="K34" s="515"/>
      <c r="L34" s="522"/>
      <c r="M34" s="522"/>
      <c r="N34" s="522"/>
      <c r="O34" s="523"/>
    </row>
    <row r="35" spans="1:15" hidden="1">
      <c r="A35" s="524"/>
      <c r="B35" s="525" t="s">
        <v>2115</v>
      </c>
      <c r="C35" s="527"/>
      <c r="D35" s="526"/>
      <c r="E35" s="526"/>
      <c r="F35" s="526"/>
      <c r="G35" s="526"/>
      <c r="H35" s="507"/>
      <c r="I35" s="514"/>
      <c r="J35" s="514"/>
      <c r="K35" s="515"/>
      <c r="L35" s="522"/>
      <c r="M35" s="522"/>
      <c r="N35" s="522"/>
      <c r="O35" s="523"/>
    </row>
    <row r="36" spans="1:15" ht="70" hidden="1">
      <c r="A36" s="519" t="s">
        <v>2084</v>
      </c>
      <c r="B36" s="520" t="s">
        <v>2119</v>
      </c>
      <c r="C36" s="521"/>
      <c r="D36" s="521"/>
      <c r="E36" s="521"/>
      <c r="F36" s="521"/>
      <c r="G36" s="521"/>
      <c r="H36" s="507"/>
      <c r="I36" s="514"/>
      <c r="J36" s="514"/>
      <c r="K36" s="515"/>
      <c r="L36" s="522"/>
      <c r="M36" s="522"/>
      <c r="N36" s="522"/>
      <c r="O36" s="523"/>
    </row>
    <row r="37" spans="1:15" s="518" customFormat="1">
      <c r="A37" s="510"/>
      <c r="B37" s="511" t="s">
        <v>2120</v>
      </c>
      <c r="C37" s="512"/>
      <c r="D37" s="513"/>
      <c r="E37" s="513"/>
      <c r="F37" s="513"/>
      <c r="G37" s="513"/>
      <c r="H37" s="514"/>
      <c r="I37" s="514"/>
      <c r="J37" s="514"/>
      <c r="K37" s="515"/>
      <c r="L37" s="531">
        <v>1</v>
      </c>
      <c r="M37" s="531"/>
      <c r="N37" s="531"/>
      <c r="O37" s="517"/>
    </row>
    <row r="38" spans="1:15" ht="34.5" customHeight="1">
      <c r="A38" s="540" t="s">
        <v>2155</v>
      </c>
      <c r="O38" s="489"/>
    </row>
    <row r="39" spans="1:15" ht="55.25" customHeight="1">
      <c r="A39" s="1282" t="s">
        <v>2161</v>
      </c>
      <c r="B39" s="1278"/>
      <c r="C39" s="1278" t="s">
        <v>2162</v>
      </c>
      <c r="D39" s="1278"/>
      <c r="E39" s="532"/>
      <c r="F39" s="1280" t="s">
        <v>2123</v>
      </c>
      <c r="G39" s="1280"/>
      <c r="H39" s="1280"/>
      <c r="I39" s="1280"/>
      <c r="J39" s="1280"/>
      <c r="K39" s="1280"/>
      <c r="L39" s="1280"/>
      <c r="M39" s="533"/>
      <c r="N39" s="533"/>
      <c r="O39" s="489"/>
    </row>
    <row r="40" spans="1:15" ht="14.4" customHeight="1">
      <c r="A40" s="490"/>
      <c r="B40" s="534"/>
      <c r="C40" s="534"/>
      <c r="D40" s="502"/>
      <c r="E40" s="502"/>
      <c r="F40" s="1276" t="s">
        <v>2124</v>
      </c>
      <c r="G40" s="1276"/>
      <c r="H40" s="1277" t="s">
        <v>2125</v>
      </c>
      <c r="I40" s="1277"/>
      <c r="J40" s="535"/>
      <c r="K40" s="1276" t="s">
        <v>2126</v>
      </c>
      <c r="L40" s="1276"/>
      <c r="O40" s="489"/>
    </row>
    <row r="41" spans="1:15">
      <c r="A41" s="490"/>
      <c r="O41" s="489"/>
    </row>
    <row r="42" spans="1:15">
      <c r="A42" s="490"/>
      <c r="O42" s="489"/>
    </row>
    <row r="43" spans="1:15" ht="231.5" customHeight="1" thickBot="1">
      <c r="A43" s="536"/>
      <c r="B43" s="537"/>
      <c r="C43" s="537"/>
      <c r="D43" s="537"/>
      <c r="E43" s="537"/>
      <c r="F43" s="537"/>
      <c r="G43" s="537"/>
      <c r="H43" s="537"/>
      <c r="I43" s="537"/>
      <c r="J43" s="537"/>
      <c r="K43" s="538"/>
      <c r="L43" s="537"/>
      <c r="M43" s="537"/>
      <c r="N43" s="537"/>
      <c r="O43" s="539"/>
    </row>
    <row r="44" spans="1:15" ht="167" hidden="1" customHeight="1" thickBot="1">
      <c r="A44" s="536"/>
      <c r="B44" s="537"/>
      <c r="C44" s="537"/>
      <c r="D44" s="537"/>
      <c r="E44" s="537"/>
      <c r="F44" s="537"/>
      <c r="G44" s="537"/>
      <c r="H44" s="537"/>
      <c r="I44" s="537"/>
      <c r="J44" s="537"/>
      <c r="K44" s="538"/>
      <c r="L44" s="537"/>
      <c r="M44" s="537"/>
      <c r="N44" s="537"/>
      <c r="O44" s="539"/>
    </row>
  </sheetData>
  <mergeCells count="25">
    <mergeCell ref="F40:G40"/>
    <mergeCell ref="H40:I40"/>
    <mergeCell ref="K40:L40"/>
    <mergeCell ref="I9:I10"/>
    <mergeCell ref="J9:J10"/>
    <mergeCell ref="K9:M9"/>
    <mergeCell ref="O12:O25"/>
    <mergeCell ref="A39:B39"/>
    <mergeCell ref="C39:D39"/>
    <mergeCell ref="F39:L39"/>
    <mergeCell ref="C9:C10"/>
    <mergeCell ref="D9:D10"/>
    <mergeCell ref="E9:E10"/>
    <mergeCell ref="F9:F10"/>
    <mergeCell ref="G9:G10"/>
    <mergeCell ref="H9:H10"/>
    <mergeCell ref="A1:O2"/>
    <mergeCell ref="B5:K6"/>
    <mergeCell ref="C8:F8"/>
    <mergeCell ref="G8:I8"/>
    <mergeCell ref="K8:M8"/>
    <mergeCell ref="N8:N10"/>
    <mergeCell ref="O8:O10"/>
    <mergeCell ref="A9:A10"/>
    <mergeCell ref="B9:B10"/>
  </mergeCells>
  <phoneticPr fontId="37" type="noConversion"/>
  <conditionalFormatting sqref="A12:A25">
    <cfRule type="duplicateValues" dxfId="51" priority="578"/>
  </conditionalFormatting>
  <pageMargins left="0.42" right="0.42" top="0.3" bottom="0.5" header="0.17" footer="0.17"/>
  <pageSetup paperSize="9" scale="55" fitToHeight="1111" orientation="landscape" r:id="rId1"/>
  <headerFooter>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F315-39B0-44A2-8FAE-CF3779A3EDD8}">
  <sheetPr>
    <pageSetUpPr fitToPage="1"/>
  </sheetPr>
  <dimension ref="A1:N30"/>
  <sheetViews>
    <sheetView view="pageBreakPreview" topLeftCell="A7" zoomScale="55" zoomScaleNormal="55" zoomScaleSheetLayoutView="55" workbookViewId="0">
      <selection activeCell="I12" sqref="I12"/>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4.296875" style="476" customWidth="1"/>
    <col min="6" max="6" width="11" style="476" customWidth="1"/>
    <col min="7" max="7" width="12.5" style="476" customWidth="1"/>
    <col min="8" max="8" width="20.59765625" style="476" customWidth="1"/>
    <col min="9" max="9" width="19" style="476" customWidth="1"/>
    <col min="10" max="10" width="10.09765625" style="491" customWidth="1"/>
    <col min="11" max="11" width="14.19921875" style="476" bestFit="1" customWidth="1"/>
    <col min="12" max="12" width="17.59765625" style="476" customWidth="1"/>
    <col min="13" max="13" width="15.69921875" style="476" customWidth="1"/>
    <col min="14" max="14" width="21.8984375" style="476" customWidth="1"/>
    <col min="15" max="16384" width="9.796875" style="476"/>
  </cols>
  <sheetData>
    <row r="1" spans="1:14" ht="51.65" customHeight="1">
      <c r="A1" s="1285" t="s">
        <v>2065</v>
      </c>
      <c r="B1" s="1286"/>
      <c r="C1" s="1286"/>
      <c r="D1" s="1286"/>
      <c r="E1" s="1286"/>
      <c r="F1" s="1286"/>
      <c r="G1" s="1286"/>
      <c r="H1" s="1286"/>
      <c r="I1" s="1286"/>
      <c r="J1" s="1286"/>
      <c r="K1" s="1286"/>
      <c r="L1" s="1286"/>
      <c r="M1" s="1286"/>
      <c r="N1" s="1287"/>
    </row>
    <row r="2" spans="1:14">
      <c r="A2" s="1288"/>
      <c r="B2" s="1289"/>
      <c r="C2" s="1289"/>
      <c r="D2" s="1289"/>
      <c r="E2" s="1289"/>
      <c r="F2" s="1289"/>
      <c r="G2" s="1289"/>
      <c r="H2" s="1289"/>
      <c r="I2" s="1289"/>
      <c r="J2" s="1289"/>
      <c r="K2" s="1289"/>
      <c r="L2" s="1289"/>
      <c r="M2" s="1289"/>
      <c r="N2" s="1290"/>
    </row>
    <row r="3" spans="1:14" ht="15" customHeight="1">
      <c r="A3" s="477" t="s">
        <v>2066</v>
      </c>
      <c r="B3" s="478" t="s">
        <v>2156</v>
      </c>
      <c r="C3" s="479"/>
      <c r="D3" s="479"/>
      <c r="E3" s="479"/>
      <c r="F3" s="479"/>
      <c r="G3" s="480"/>
      <c r="H3" s="480"/>
      <c r="I3" s="480"/>
      <c r="J3" s="481"/>
      <c r="K3" s="480"/>
      <c r="L3" s="480"/>
      <c r="M3" s="480"/>
      <c r="N3" s="482"/>
    </row>
    <row r="4" spans="1:14" ht="15" customHeight="1">
      <c r="A4" s="483" t="s">
        <v>2067</v>
      </c>
      <c r="B4" s="484"/>
      <c r="C4" s="485"/>
      <c r="D4" s="485"/>
      <c r="E4" s="485"/>
      <c r="F4" s="485"/>
      <c r="G4" s="486"/>
      <c r="H4" s="486"/>
      <c r="I4" s="486"/>
      <c r="J4" s="487"/>
      <c r="K4" s="486"/>
      <c r="L4" s="486"/>
      <c r="M4" s="486"/>
      <c r="N4" s="488"/>
    </row>
    <row r="5" spans="1:14" ht="15" customHeight="1">
      <c r="A5" s="477" t="s">
        <v>2068</v>
      </c>
      <c r="B5" s="1291" t="s">
        <v>2228</v>
      </c>
      <c r="C5" s="1292"/>
      <c r="D5" s="1292"/>
      <c r="E5" s="1292"/>
      <c r="F5" s="1292"/>
      <c r="G5" s="1292"/>
      <c r="H5" s="1292"/>
      <c r="I5" s="1292"/>
      <c r="J5" s="1292"/>
      <c r="K5" s="480"/>
      <c r="N5" s="489"/>
    </row>
    <row r="6" spans="1:14" ht="15" customHeight="1">
      <c r="A6" s="483" t="s">
        <v>2069</v>
      </c>
      <c r="B6" s="1293"/>
      <c r="C6" s="1294"/>
      <c r="D6" s="1294"/>
      <c r="E6" s="1294"/>
      <c r="F6" s="1294"/>
      <c r="G6" s="1294"/>
      <c r="H6" s="1294"/>
      <c r="I6" s="1294"/>
      <c r="J6" s="1294"/>
      <c r="K6" s="486"/>
      <c r="L6" s="486"/>
      <c r="M6" s="486"/>
      <c r="N6" s="488"/>
    </row>
    <row r="7" spans="1:14">
      <c r="A7" s="490"/>
      <c r="N7" s="489"/>
    </row>
    <row r="8" spans="1:14" ht="62.5" customHeight="1">
      <c r="A8" s="492" t="s">
        <v>2070</v>
      </c>
      <c r="B8" s="493" t="s">
        <v>2071</v>
      </c>
      <c r="C8" s="1295" t="s">
        <v>2072</v>
      </c>
      <c r="D8" s="1295"/>
      <c r="E8" s="1295"/>
      <c r="F8" s="1295" t="s">
        <v>2073</v>
      </c>
      <c r="G8" s="1295"/>
      <c r="H8" s="1295"/>
      <c r="I8" s="493" t="s">
        <v>2158</v>
      </c>
      <c r="J8" s="1296" t="s">
        <v>2075</v>
      </c>
      <c r="K8" s="1296"/>
      <c r="L8" s="1296"/>
      <c r="M8" s="1297" t="s">
        <v>2076</v>
      </c>
      <c r="N8" s="1298" t="s">
        <v>1965</v>
      </c>
    </row>
    <row r="9" spans="1:14" ht="45" customHeight="1">
      <c r="A9" s="1299" t="s">
        <v>2077</v>
      </c>
      <c r="B9" s="1283" t="s">
        <v>2078</v>
      </c>
      <c r="C9" s="1283" t="s">
        <v>2233</v>
      </c>
      <c r="D9" s="1283" t="s">
        <v>2231</v>
      </c>
      <c r="E9" s="1283" t="s">
        <v>2230</v>
      </c>
      <c r="F9" s="1284" t="s">
        <v>1714</v>
      </c>
      <c r="G9" s="1284" t="s">
        <v>1715</v>
      </c>
      <c r="H9" s="1284" t="s">
        <v>1716</v>
      </c>
      <c r="I9" s="1284" t="s">
        <v>1716</v>
      </c>
      <c r="J9" s="1296" t="s">
        <v>2234</v>
      </c>
      <c r="K9" s="1296"/>
      <c r="L9" s="1296"/>
      <c r="M9" s="1297"/>
      <c r="N9" s="1298"/>
    </row>
    <row r="10" spans="1:14" ht="76.5" customHeight="1">
      <c r="A10" s="1299"/>
      <c r="B10" s="1283"/>
      <c r="C10" s="1283"/>
      <c r="D10" s="1283"/>
      <c r="E10" s="1283" t="s">
        <v>1915</v>
      </c>
      <c r="F10" s="1284"/>
      <c r="G10" s="1284"/>
      <c r="H10" s="1284"/>
      <c r="I10" s="1284"/>
      <c r="J10" s="496" t="s">
        <v>2080</v>
      </c>
      <c r="K10" s="496" t="s">
        <v>2081</v>
      </c>
      <c r="L10" s="496" t="s">
        <v>2082</v>
      </c>
      <c r="M10" s="1297"/>
      <c r="N10" s="1298"/>
    </row>
    <row r="11" spans="1:14" s="502" customFormat="1" ht="26" customHeight="1">
      <c r="A11" s="494" t="s">
        <v>1961</v>
      </c>
      <c r="B11" s="495" t="s">
        <v>2223</v>
      </c>
      <c r="C11" s="495"/>
      <c r="D11" s="495"/>
      <c r="E11" s="495"/>
      <c r="F11" s="497" t="s">
        <v>477</v>
      </c>
      <c r="G11" s="497" t="s">
        <v>477</v>
      </c>
      <c r="H11" s="498"/>
      <c r="I11" s="498"/>
      <c r="J11" s="499"/>
      <c r="K11" s="499"/>
      <c r="L11" s="499">
        <f>SUM(L12:L12)</f>
        <v>79800000</v>
      </c>
      <c r="M11" s="500"/>
      <c r="N11" s="501">
        <f>H11-I11-L11</f>
        <v>-79800000</v>
      </c>
    </row>
    <row r="12" spans="1:14" ht="71.5" customHeight="1">
      <c r="A12" s="629">
        <v>1</v>
      </c>
      <c r="B12" s="507" t="s">
        <v>2229</v>
      </c>
      <c r="C12" s="507">
        <v>7</v>
      </c>
      <c r="D12" s="506" t="s">
        <v>2232</v>
      </c>
      <c r="E12" s="505">
        <v>133</v>
      </c>
      <c r="F12" s="506" t="s">
        <v>477</v>
      </c>
      <c r="G12" s="506" t="s">
        <v>477</v>
      </c>
      <c r="H12" s="506" t="s">
        <v>477</v>
      </c>
      <c r="I12" s="506" t="s">
        <v>477</v>
      </c>
      <c r="J12" s="508" t="s">
        <v>2084</v>
      </c>
      <c r="K12" s="509">
        <v>600000</v>
      </c>
      <c r="L12" s="509">
        <f>E12*K12</f>
        <v>79800000</v>
      </c>
      <c r="M12" s="509" t="s">
        <v>2234</v>
      </c>
      <c r="N12" s="732"/>
    </row>
    <row r="13" spans="1:14" ht="15.5" hidden="1" customHeight="1">
      <c r="A13" s="519" t="s">
        <v>2108</v>
      </c>
      <c r="B13" s="520" t="s">
        <v>2109</v>
      </c>
      <c r="C13" s="521"/>
      <c r="D13" s="521"/>
      <c r="E13" s="521"/>
      <c r="F13" s="521"/>
      <c r="G13" s="507"/>
      <c r="H13" s="514"/>
      <c r="I13" s="514"/>
      <c r="J13" s="515"/>
      <c r="K13" s="522"/>
      <c r="L13" s="522"/>
      <c r="M13" s="522"/>
      <c r="N13" s="523"/>
    </row>
    <row r="14" spans="1:14" ht="15.5" hidden="1" customHeight="1">
      <c r="A14" s="524">
        <v>1</v>
      </c>
      <c r="B14" s="525" t="s">
        <v>2110</v>
      </c>
      <c r="C14" s="526" t="s">
        <v>1725</v>
      </c>
      <c r="D14" s="526"/>
      <c r="E14" s="526"/>
      <c r="F14" s="526"/>
      <c r="G14" s="507"/>
      <c r="H14" s="514"/>
      <c r="I14" s="514"/>
      <c r="J14" s="515"/>
      <c r="K14" s="522"/>
      <c r="L14" s="522"/>
      <c r="M14" s="522"/>
      <c r="N14" s="523"/>
    </row>
    <row r="15" spans="1:14" ht="15.5" hidden="1" customHeight="1">
      <c r="A15" s="524">
        <v>2</v>
      </c>
      <c r="B15" s="525" t="s">
        <v>2110</v>
      </c>
      <c r="C15" s="527"/>
      <c r="D15" s="527"/>
      <c r="E15" s="527"/>
      <c r="F15" s="527"/>
      <c r="G15" s="507"/>
      <c r="H15" s="514"/>
      <c r="I15" s="514"/>
      <c r="J15" s="515"/>
      <c r="K15" s="522"/>
      <c r="L15" s="522"/>
      <c r="M15" s="522"/>
      <c r="N15" s="523"/>
    </row>
    <row r="16" spans="1:14" ht="15.5" hidden="1" customHeight="1">
      <c r="A16" s="519" t="s">
        <v>2111</v>
      </c>
      <c r="B16" s="520" t="s">
        <v>2112</v>
      </c>
      <c r="C16" s="528" t="s">
        <v>2113</v>
      </c>
      <c r="D16" s="528" t="s">
        <v>2114</v>
      </c>
      <c r="E16" s="528"/>
      <c r="F16" s="528"/>
      <c r="G16" s="507"/>
      <c r="H16" s="514"/>
      <c r="I16" s="514"/>
      <c r="J16" s="515"/>
      <c r="K16" s="522"/>
      <c r="L16" s="522"/>
      <c r="M16" s="522"/>
      <c r="N16" s="523"/>
    </row>
    <row r="17" spans="1:14" ht="15.5" hidden="1" customHeight="1">
      <c r="A17" s="524">
        <v>1</v>
      </c>
      <c r="B17" s="525" t="s">
        <v>2115</v>
      </c>
      <c r="C17" s="527"/>
      <c r="D17" s="526"/>
      <c r="E17" s="526"/>
      <c r="F17" s="526"/>
      <c r="G17" s="507"/>
      <c r="H17" s="514"/>
      <c r="I17" s="514"/>
      <c r="J17" s="515"/>
      <c r="K17" s="522"/>
      <c r="L17" s="522"/>
      <c r="M17" s="522"/>
      <c r="N17" s="523"/>
    </row>
    <row r="18" spans="1:14" ht="15.5" hidden="1" customHeight="1">
      <c r="A18" s="524"/>
      <c r="B18" s="525"/>
      <c r="C18" s="527"/>
      <c r="D18" s="527"/>
      <c r="E18" s="527"/>
      <c r="F18" s="527"/>
      <c r="G18" s="507"/>
      <c r="H18" s="514"/>
      <c r="I18" s="514"/>
      <c r="J18" s="515"/>
      <c r="K18" s="522"/>
      <c r="L18" s="522"/>
      <c r="M18" s="522"/>
      <c r="N18" s="523"/>
    </row>
    <row r="19" spans="1:14" hidden="1">
      <c r="A19" s="529" t="s">
        <v>2116</v>
      </c>
      <c r="B19" s="525" t="s">
        <v>2117</v>
      </c>
      <c r="C19" s="530"/>
      <c r="D19" s="530"/>
      <c r="E19" s="530"/>
      <c r="F19" s="530"/>
      <c r="G19" s="507"/>
      <c r="H19" s="514"/>
      <c r="I19" s="514"/>
      <c r="J19" s="515"/>
      <c r="K19" s="522"/>
      <c r="L19" s="522"/>
      <c r="M19" s="522"/>
      <c r="N19" s="523"/>
    </row>
    <row r="20" spans="1:14" hidden="1">
      <c r="A20" s="524">
        <v>1</v>
      </c>
      <c r="B20" s="525" t="s">
        <v>2118</v>
      </c>
      <c r="C20" s="527"/>
      <c r="D20" s="526"/>
      <c r="E20" s="526"/>
      <c r="F20" s="526"/>
      <c r="G20" s="507"/>
      <c r="H20" s="514"/>
      <c r="I20" s="514"/>
      <c r="J20" s="515"/>
      <c r="K20" s="522"/>
      <c r="L20" s="522"/>
      <c r="M20" s="522"/>
      <c r="N20" s="523"/>
    </row>
    <row r="21" spans="1:14" hidden="1">
      <c r="A21" s="524"/>
      <c r="B21" s="525" t="s">
        <v>2115</v>
      </c>
      <c r="C21" s="527"/>
      <c r="D21" s="526"/>
      <c r="E21" s="526"/>
      <c r="F21" s="526"/>
      <c r="G21" s="507"/>
      <c r="H21" s="514"/>
      <c r="I21" s="514"/>
      <c r="J21" s="515"/>
      <c r="K21" s="522"/>
      <c r="L21" s="522"/>
      <c r="M21" s="522"/>
      <c r="N21" s="523"/>
    </row>
    <row r="22" spans="1:14" ht="70" hidden="1">
      <c r="A22" s="519" t="s">
        <v>2084</v>
      </c>
      <c r="B22" s="520" t="s">
        <v>2119</v>
      </c>
      <c r="C22" s="521"/>
      <c r="D22" s="521"/>
      <c r="E22" s="521"/>
      <c r="F22" s="521"/>
      <c r="G22" s="507"/>
      <c r="H22" s="514"/>
      <c r="I22" s="514"/>
      <c r="J22" s="515"/>
      <c r="K22" s="522"/>
      <c r="L22" s="522"/>
      <c r="M22" s="522"/>
      <c r="N22" s="523"/>
    </row>
    <row r="23" spans="1:14" s="518" customFormat="1">
      <c r="A23" s="510"/>
      <c r="B23" s="511" t="s">
        <v>2120</v>
      </c>
      <c r="C23" s="512"/>
      <c r="D23" s="513"/>
      <c r="E23" s="513"/>
      <c r="F23" s="513"/>
      <c r="G23" s="514"/>
      <c r="H23" s="514"/>
      <c r="I23" s="514"/>
      <c r="J23" s="515"/>
      <c r="K23" s="531">
        <v>1</v>
      </c>
      <c r="L23" s="531"/>
      <c r="M23" s="531"/>
      <c r="N23" s="517"/>
    </row>
    <row r="24" spans="1:14" ht="34.5" customHeight="1">
      <c r="A24" s="540" t="s">
        <v>2227</v>
      </c>
      <c r="N24" s="489"/>
    </row>
    <row r="25" spans="1:14" ht="55.25" customHeight="1">
      <c r="A25" s="1282" t="s">
        <v>2161</v>
      </c>
      <c r="B25" s="1278"/>
      <c r="C25" s="1278" t="s">
        <v>2162</v>
      </c>
      <c r="D25" s="1278"/>
      <c r="E25" s="1280" t="s">
        <v>2123</v>
      </c>
      <c r="F25" s="1280"/>
      <c r="G25" s="1280"/>
      <c r="H25" s="1280"/>
      <c r="I25" s="1280"/>
      <c r="J25" s="1280"/>
      <c r="K25" s="1280"/>
      <c r="L25" s="533"/>
      <c r="M25" s="533"/>
      <c r="N25" s="489"/>
    </row>
    <row r="26" spans="1:14" s="736" customFormat="1" ht="28.5" customHeight="1">
      <c r="A26" s="733"/>
      <c r="B26" s="734"/>
      <c r="C26" s="734"/>
      <c r="D26" s="735"/>
      <c r="E26" s="1342" t="s">
        <v>2124</v>
      </c>
      <c r="F26" s="1342"/>
      <c r="G26" s="1343" t="s">
        <v>2125</v>
      </c>
      <c r="H26" s="1343"/>
      <c r="I26" s="731"/>
      <c r="J26" s="1280" t="s">
        <v>2126</v>
      </c>
      <c r="K26" s="1280"/>
      <c r="N26" s="737"/>
    </row>
    <row r="27" spans="1:14">
      <c r="A27" s="490"/>
      <c r="N27" s="489"/>
    </row>
    <row r="28" spans="1:14">
      <c r="A28" s="490"/>
      <c r="N28" s="489"/>
    </row>
    <row r="29" spans="1:14" ht="231.5" customHeight="1" thickBot="1">
      <c r="A29" s="536"/>
      <c r="B29" s="537"/>
      <c r="C29" s="537"/>
      <c r="D29" s="537"/>
      <c r="E29" s="537"/>
      <c r="F29" s="537"/>
      <c r="G29" s="537"/>
      <c r="H29" s="537"/>
      <c r="I29" s="537"/>
      <c r="J29" s="538"/>
      <c r="K29" s="537"/>
      <c r="L29" s="537"/>
      <c r="M29" s="537"/>
      <c r="N29" s="539"/>
    </row>
    <row r="30" spans="1:14" ht="167" hidden="1" customHeight="1" thickBot="1">
      <c r="A30" s="536"/>
      <c r="B30" s="537"/>
      <c r="C30" s="537"/>
      <c r="D30" s="537"/>
      <c r="E30" s="537"/>
      <c r="F30" s="537"/>
      <c r="G30" s="537"/>
      <c r="H30" s="537"/>
      <c r="I30" s="537"/>
      <c r="J30" s="538"/>
      <c r="K30" s="537"/>
      <c r="L30" s="537"/>
      <c r="M30" s="537"/>
      <c r="N30" s="539"/>
    </row>
  </sheetData>
  <mergeCells count="23">
    <mergeCell ref="A1:N2"/>
    <mergeCell ref="B5:J6"/>
    <mergeCell ref="C8:E8"/>
    <mergeCell ref="F8:H8"/>
    <mergeCell ref="J8:L8"/>
    <mergeCell ref="M8:M10"/>
    <mergeCell ref="N8:N10"/>
    <mergeCell ref="A9:A10"/>
    <mergeCell ref="B9:B10"/>
    <mergeCell ref="C9:C10"/>
    <mergeCell ref="J9:L9"/>
    <mergeCell ref="D9:D10"/>
    <mergeCell ref="E9:E10"/>
    <mergeCell ref="F9:F10"/>
    <mergeCell ref="G9:G10"/>
    <mergeCell ref="H9:H10"/>
    <mergeCell ref="I9:I10"/>
    <mergeCell ref="A25:B25"/>
    <mergeCell ref="C25:D25"/>
    <mergeCell ref="E25:K25"/>
    <mergeCell ref="E26:F26"/>
    <mergeCell ref="G26:H26"/>
    <mergeCell ref="J26:K26"/>
  </mergeCells>
  <conditionalFormatting sqref="A12">
    <cfRule type="duplicateValues" dxfId="50" priority="1"/>
  </conditionalFormatting>
  <pageMargins left="0.42" right="0.42" top="0.3" bottom="0.5" header="0.17" footer="0.17"/>
  <pageSetup paperSize="9" scale="58" fitToHeight="1111" orientation="landscape" r:id="rId1"/>
  <headerFooter>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1C35-524B-45B9-81E4-9B390A479E5E}">
  <sheetPr>
    <pageSetUpPr fitToPage="1"/>
  </sheetPr>
  <dimension ref="A1:N30"/>
  <sheetViews>
    <sheetView view="pageBreakPreview" zoomScale="55" zoomScaleNormal="55" zoomScaleSheetLayoutView="55" workbookViewId="0">
      <selection activeCell="L29" sqref="L29"/>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5" width="14.296875" style="476" customWidth="1"/>
    <col min="6" max="6" width="11" style="476" customWidth="1"/>
    <col min="7" max="7" width="12.5" style="476" customWidth="1"/>
    <col min="8" max="8" width="20.59765625" style="476" customWidth="1"/>
    <col min="9" max="9" width="19" style="476" customWidth="1"/>
    <col min="10" max="10" width="10.09765625" style="491" customWidth="1"/>
    <col min="11" max="11" width="14.19921875" style="476" bestFit="1" customWidth="1"/>
    <col min="12" max="12" width="17.59765625" style="476" customWidth="1"/>
    <col min="13" max="13" width="15.69921875" style="476" customWidth="1"/>
    <col min="14" max="14" width="21.8984375" style="476" customWidth="1"/>
    <col min="15" max="16384" width="9.796875" style="476"/>
  </cols>
  <sheetData>
    <row r="1" spans="1:14" ht="51.65" customHeight="1">
      <c r="A1" s="1285" t="s">
        <v>2065</v>
      </c>
      <c r="B1" s="1286"/>
      <c r="C1" s="1286"/>
      <c r="D1" s="1286"/>
      <c r="E1" s="1286"/>
      <c r="F1" s="1286"/>
      <c r="G1" s="1286"/>
      <c r="H1" s="1286"/>
      <c r="I1" s="1286"/>
      <c r="J1" s="1286"/>
      <c r="K1" s="1286"/>
      <c r="L1" s="1286"/>
      <c r="M1" s="1286"/>
      <c r="N1" s="1287"/>
    </row>
    <row r="2" spans="1:14">
      <c r="A2" s="1288"/>
      <c r="B2" s="1289"/>
      <c r="C2" s="1289"/>
      <c r="D2" s="1289"/>
      <c r="E2" s="1289"/>
      <c r="F2" s="1289"/>
      <c r="G2" s="1289"/>
      <c r="H2" s="1289"/>
      <c r="I2" s="1289"/>
      <c r="J2" s="1289"/>
      <c r="K2" s="1289"/>
      <c r="L2" s="1289"/>
      <c r="M2" s="1289"/>
      <c r="N2" s="1290"/>
    </row>
    <row r="3" spans="1:14" ht="15" customHeight="1">
      <c r="A3" s="477" t="s">
        <v>2066</v>
      </c>
      <c r="B3" s="478" t="s">
        <v>2156</v>
      </c>
      <c r="C3" s="479"/>
      <c r="D3" s="479"/>
      <c r="E3" s="479"/>
      <c r="F3" s="479"/>
      <c r="G3" s="480"/>
      <c r="H3" s="480"/>
      <c r="I3" s="480"/>
      <c r="J3" s="481"/>
      <c r="K3" s="480"/>
      <c r="L3" s="480"/>
      <c r="M3" s="480"/>
      <c r="N3" s="482"/>
    </row>
    <row r="4" spans="1:14" ht="15" customHeight="1">
      <c r="A4" s="483" t="s">
        <v>2067</v>
      </c>
      <c r="B4" s="484"/>
      <c r="C4" s="485"/>
      <c r="D4" s="485"/>
      <c r="E4" s="485"/>
      <c r="F4" s="485"/>
      <c r="G4" s="486"/>
      <c r="H4" s="486"/>
      <c r="I4" s="486"/>
      <c r="J4" s="487"/>
      <c r="K4" s="486"/>
      <c r="L4" s="486"/>
      <c r="M4" s="486"/>
      <c r="N4" s="488"/>
    </row>
    <row r="5" spans="1:14" ht="15" customHeight="1">
      <c r="A5" s="477" t="s">
        <v>2068</v>
      </c>
      <c r="B5" s="1291" t="s">
        <v>2228</v>
      </c>
      <c r="C5" s="1292"/>
      <c r="D5" s="1292"/>
      <c r="E5" s="1292"/>
      <c r="F5" s="1292"/>
      <c r="G5" s="1292"/>
      <c r="H5" s="1292"/>
      <c r="I5" s="1292"/>
      <c r="J5" s="1292"/>
      <c r="K5" s="480"/>
      <c r="N5" s="489"/>
    </row>
    <row r="6" spans="1:14" ht="15" customHeight="1">
      <c r="A6" s="483" t="s">
        <v>2069</v>
      </c>
      <c r="B6" s="1293"/>
      <c r="C6" s="1294"/>
      <c r="D6" s="1294"/>
      <c r="E6" s="1294"/>
      <c r="F6" s="1294"/>
      <c r="G6" s="1294"/>
      <c r="H6" s="1294"/>
      <c r="I6" s="1294"/>
      <c r="J6" s="1294"/>
      <c r="K6" s="486"/>
      <c r="L6" s="486"/>
      <c r="M6" s="486"/>
      <c r="N6" s="488"/>
    </row>
    <row r="7" spans="1:14">
      <c r="A7" s="490"/>
      <c r="N7" s="489"/>
    </row>
    <row r="8" spans="1:14" ht="62.5" customHeight="1">
      <c r="A8" s="492" t="s">
        <v>2070</v>
      </c>
      <c r="B8" s="493" t="s">
        <v>2071</v>
      </c>
      <c r="C8" s="1295" t="s">
        <v>2072</v>
      </c>
      <c r="D8" s="1295"/>
      <c r="E8" s="1295"/>
      <c r="F8" s="1295" t="s">
        <v>2073</v>
      </c>
      <c r="G8" s="1295"/>
      <c r="H8" s="1295"/>
      <c r="I8" s="493" t="s">
        <v>2158</v>
      </c>
      <c r="J8" s="1296" t="s">
        <v>2075</v>
      </c>
      <c r="K8" s="1296"/>
      <c r="L8" s="1296"/>
      <c r="M8" s="1297" t="s">
        <v>2076</v>
      </c>
      <c r="N8" s="1298" t="s">
        <v>1965</v>
      </c>
    </row>
    <row r="9" spans="1:14" ht="45" customHeight="1">
      <c r="A9" s="1299" t="s">
        <v>2077</v>
      </c>
      <c r="B9" s="1283" t="s">
        <v>2078</v>
      </c>
      <c r="C9" s="1283" t="s">
        <v>12</v>
      </c>
      <c r="D9" s="1283" t="s">
        <v>13</v>
      </c>
      <c r="E9" s="1283" t="s">
        <v>2159</v>
      </c>
      <c r="F9" s="1284" t="s">
        <v>1714</v>
      </c>
      <c r="G9" s="1284" t="s">
        <v>1715</v>
      </c>
      <c r="H9" s="1284" t="s">
        <v>1716</v>
      </c>
      <c r="I9" s="1284" t="s">
        <v>1716</v>
      </c>
      <c r="J9" s="1296" t="s">
        <v>2225</v>
      </c>
      <c r="K9" s="1296"/>
      <c r="L9" s="1296"/>
      <c r="M9" s="1297"/>
      <c r="N9" s="1298"/>
    </row>
    <row r="10" spans="1:14" ht="76.5" customHeight="1">
      <c r="A10" s="1299"/>
      <c r="B10" s="1283"/>
      <c r="C10" s="1283"/>
      <c r="D10" s="1283"/>
      <c r="E10" s="1283" t="s">
        <v>1915</v>
      </c>
      <c r="F10" s="1284"/>
      <c r="G10" s="1284"/>
      <c r="H10" s="1284"/>
      <c r="I10" s="1284"/>
      <c r="J10" s="496" t="s">
        <v>2080</v>
      </c>
      <c r="K10" s="496" t="s">
        <v>2081</v>
      </c>
      <c r="L10" s="496" t="s">
        <v>2082</v>
      </c>
      <c r="M10" s="1297"/>
      <c r="N10" s="1298"/>
    </row>
    <row r="11" spans="1:14" s="502" customFormat="1" ht="26" customHeight="1">
      <c r="A11" s="494" t="s">
        <v>1961</v>
      </c>
      <c r="B11" s="495" t="s">
        <v>2223</v>
      </c>
      <c r="C11" s="495"/>
      <c r="D11" s="495"/>
      <c r="E11" s="495"/>
      <c r="F11" s="497" t="s">
        <v>477</v>
      </c>
      <c r="G11" s="497" t="s">
        <v>477</v>
      </c>
      <c r="H11" s="498"/>
      <c r="I11" s="498"/>
      <c r="J11" s="499"/>
      <c r="K11" s="499"/>
      <c r="L11" s="499">
        <f>SUM(L12:L12)</f>
        <v>17400000</v>
      </c>
      <c r="M11" s="500"/>
      <c r="N11" s="501">
        <f>H11-I11-L11</f>
        <v>-17400000</v>
      </c>
    </row>
    <row r="12" spans="1:14" ht="71.5" customHeight="1">
      <c r="A12" s="629">
        <v>1</v>
      </c>
      <c r="B12" s="507" t="s">
        <v>2224</v>
      </c>
      <c r="C12" s="507" t="s">
        <v>2224</v>
      </c>
      <c r="D12" s="506" t="s">
        <v>477</v>
      </c>
      <c r="E12" s="505">
        <v>2000</v>
      </c>
      <c r="F12" s="506" t="s">
        <v>477</v>
      </c>
      <c r="G12" s="506" t="s">
        <v>477</v>
      </c>
      <c r="H12" s="506" t="s">
        <v>477</v>
      </c>
      <c r="I12" s="506" t="s">
        <v>477</v>
      </c>
      <c r="J12" s="508" t="s">
        <v>2084</v>
      </c>
      <c r="K12" s="509">
        <v>8700000</v>
      </c>
      <c r="L12" s="509">
        <f>K12*2</f>
        <v>17400000</v>
      </c>
      <c r="M12" s="509" t="s">
        <v>2226</v>
      </c>
      <c r="N12" s="732"/>
    </row>
    <row r="13" spans="1:14" ht="15.5" hidden="1" customHeight="1">
      <c r="A13" s="519" t="s">
        <v>2108</v>
      </c>
      <c r="B13" s="520" t="s">
        <v>2109</v>
      </c>
      <c r="C13" s="521"/>
      <c r="D13" s="521"/>
      <c r="E13" s="521"/>
      <c r="F13" s="521"/>
      <c r="G13" s="507"/>
      <c r="H13" s="514"/>
      <c r="I13" s="514"/>
      <c r="J13" s="515"/>
      <c r="K13" s="522"/>
      <c r="L13" s="522"/>
      <c r="M13" s="522"/>
      <c r="N13" s="523"/>
    </row>
    <row r="14" spans="1:14" ht="15.5" hidden="1" customHeight="1">
      <c r="A14" s="524">
        <v>1</v>
      </c>
      <c r="B14" s="525" t="s">
        <v>2110</v>
      </c>
      <c r="C14" s="526" t="s">
        <v>1725</v>
      </c>
      <c r="D14" s="526"/>
      <c r="E14" s="526"/>
      <c r="F14" s="526"/>
      <c r="G14" s="507"/>
      <c r="H14" s="514"/>
      <c r="I14" s="514"/>
      <c r="J14" s="515"/>
      <c r="K14" s="522"/>
      <c r="L14" s="522"/>
      <c r="M14" s="522"/>
      <c r="N14" s="523"/>
    </row>
    <row r="15" spans="1:14" ht="15.5" hidden="1" customHeight="1">
      <c r="A15" s="524">
        <v>2</v>
      </c>
      <c r="B15" s="525" t="s">
        <v>2110</v>
      </c>
      <c r="C15" s="527"/>
      <c r="D15" s="527"/>
      <c r="E15" s="527"/>
      <c r="F15" s="527"/>
      <c r="G15" s="507"/>
      <c r="H15" s="514"/>
      <c r="I15" s="514"/>
      <c r="J15" s="515"/>
      <c r="K15" s="522"/>
      <c r="L15" s="522"/>
      <c r="M15" s="522"/>
      <c r="N15" s="523"/>
    </row>
    <row r="16" spans="1:14" ht="15.5" hidden="1" customHeight="1">
      <c r="A16" s="519" t="s">
        <v>2111</v>
      </c>
      <c r="B16" s="520" t="s">
        <v>2112</v>
      </c>
      <c r="C16" s="528" t="s">
        <v>2113</v>
      </c>
      <c r="D16" s="528" t="s">
        <v>2114</v>
      </c>
      <c r="E16" s="528"/>
      <c r="F16" s="528"/>
      <c r="G16" s="507"/>
      <c r="H16" s="514"/>
      <c r="I16" s="514"/>
      <c r="J16" s="515"/>
      <c r="K16" s="522"/>
      <c r="L16" s="522"/>
      <c r="M16" s="522"/>
      <c r="N16" s="523"/>
    </row>
    <row r="17" spans="1:14" ht="15.5" hidden="1" customHeight="1">
      <c r="A17" s="524">
        <v>1</v>
      </c>
      <c r="B17" s="525" t="s">
        <v>2115</v>
      </c>
      <c r="C17" s="527"/>
      <c r="D17" s="526"/>
      <c r="E17" s="526"/>
      <c r="F17" s="526"/>
      <c r="G17" s="507"/>
      <c r="H17" s="514"/>
      <c r="I17" s="514"/>
      <c r="J17" s="515"/>
      <c r="K17" s="522"/>
      <c r="L17" s="522"/>
      <c r="M17" s="522"/>
      <c r="N17" s="523"/>
    </row>
    <row r="18" spans="1:14" ht="15.5" hidden="1" customHeight="1">
      <c r="A18" s="524"/>
      <c r="B18" s="525"/>
      <c r="C18" s="527"/>
      <c r="D18" s="527"/>
      <c r="E18" s="527"/>
      <c r="F18" s="527"/>
      <c r="G18" s="507"/>
      <c r="H18" s="514"/>
      <c r="I18" s="514"/>
      <c r="J18" s="515"/>
      <c r="K18" s="522"/>
      <c r="L18" s="522"/>
      <c r="M18" s="522"/>
      <c r="N18" s="523"/>
    </row>
    <row r="19" spans="1:14" hidden="1">
      <c r="A19" s="529" t="s">
        <v>2116</v>
      </c>
      <c r="B19" s="525" t="s">
        <v>2117</v>
      </c>
      <c r="C19" s="530"/>
      <c r="D19" s="530"/>
      <c r="E19" s="530"/>
      <c r="F19" s="530"/>
      <c r="G19" s="507"/>
      <c r="H19" s="514"/>
      <c r="I19" s="514"/>
      <c r="J19" s="515"/>
      <c r="K19" s="522"/>
      <c r="L19" s="522"/>
      <c r="M19" s="522"/>
      <c r="N19" s="523"/>
    </row>
    <row r="20" spans="1:14" hidden="1">
      <c r="A20" s="524">
        <v>1</v>
      </c>
      <c r="B20" s="525" t="s">
        <v>2118</v>
      </c>
      <c r="C20" s="527"/>
      <c r="D20" s="526"/>
      <c r="E20" s="526"/>
      <c r="F20" s="526"/>
      <c r="G20" s="507"/>
      <c r="H20" s="514"/>
      <c r="I20" s="514"/>
      <c r="J20" s="515"/>
      <c r="K20" s="522"/>
      <c r="L20" s="522"/>
      <c r="M20" s="522"/>
      <c r="N20" s="523"/>
    </row>
    <row r="21" spans="1:14" hidden="1">
      <c r="A21" s="524"/>
      <c r="B21" s="525" t="s">
        <v>2115</v>
      </c>
      <c r="C21" s="527"/>
      <c r="D21" s="526"/>
      <c r="E21" s="526"/>
      <c r="F21" s="526"/>
      <c r="G21" s="507"/>
      <c r="H21" s="514"/>
      <c r="I21" s="514"/>
      <c r="J21" s="515"/>
      <c r="K21" s="522"/>
      <c r="L21" s="522"/>
      <c r="M21" s="522"/>
      <c r="N21" s="523"/>
    </row>
    <row r="22" spans="1:14" ht="70" hidden="1">
      <c r="A22" s="519" t="s">
        <v>2084</v>
      </c>
      <c r="B22" s="520" t="s">
        <v>2119</v>
      </c>
      <c r="C22" s="521"/>
      <c r="D22" s="521"/>
      <c r="E22" s="521"/>
      <c r="F22" s="521"/>
      <c r="G22" s="507"/>
      <c r="H22" s="514"/>
      <c r="I22" s="514"/>
      <c r="J22" s="515"/>
      <c r="K22" s="522"/>
      <c r="L22" s="522"/>
      <c r="M22" s="522"/>
      <c r="N22" s="523"/>
    </row>
    <row r="23" spans="1:14" s="518" customFormat="1">
      <c r="A23" s="510"/>
      <c r="B23" s="511" t="s">
        <v>2120</v>
      </c>
      <c r="C23" s="512"/>
      <c r="D23" s="513"/>
      <c r="E23" s="513"/>
      <c r="F23" s="513"/>
      <c r="G23" s="514"/>
      <c r="H23" s="514"/>
      <c r="I23" s="514"/>
      <c r="J23" s="515"/>
      <c r="K23" s="531">
        <v>1</v>
      </c>
      <c r="L23" s="531"/>
      <c r="M23" s="531"/>
      <c r="N23" s="517"/>
    </row>
    <row r="24" spans="1:14" ht="34.5" customHeight="1">
      <c r="A24" s="540" t="s">
        <v>2227</v>
      </c>
      <c r="N24" s="489"/>
    </row>
    <row r="25" spans="1:14" ht="55.25" customHeight="1">
      <c r="A25" s="1282" t="s">
        <v>2161</v>
      </c>
      <c r="B25" s="1278"/>
      <c r="C25" s="1278" t="s">
        <v>2162</v>
      </c>
      <c r="D25" s="1278"/>
      <c r="E25" s="1280" t="s">
        <v>2123</v>
      </c>
      <c r="F25" s="1280"/>
      <c r="G25" s="1280"/>
      <c r="H25" s="1280"/>
      <c r="I25" s="1280"/>
      <c r="J25" s="1280"/>
      <c r="K25" s="1280"/>
      <c r="L25" s="533"/>
      <c r="M25" s="533"/>
      <c r="N25" s="489"/>
    </row>
    <row r="26" spans="1:14" ht="14.4" customHeight="1">
      <c r="A26" s="490"/>
      <c r="B26" s="534"/>
      <c r="C26" s="534"/>
      <c r="D26" s="502"/>
      <c r="E26" s="1342" t="s">
        <v>2124</v>
      </c>
      <c r="F26" s="1342"/>
      <c r="G26" s="1277" t="s">
        <v>2125</v>
      </c>
      <c r="H26" s="1277"/>
      <c r="I26" s="535"/>
      <c r="J26" s="1276" t="s">
        <v>2126</v>
      </c>
      <c r="K26" s="1276"/>
      <c r="N26" s="489"/>
    </row>
    <row r="27" spans="1:14">
      <c r="A27" s="490"/>
      <c r="N27" s="489"/>
    </row>
    <row r="28" spans="1:14">
      <c r="A28" s="490"/>
      <c r="N28" s="489"/>
    </row>
    <row r="29" spans="1:14" ht="231.5" customHeight="1" thickBot="1">
      <c r="A29" s="536"/>
      <c r="B29" s="537"/>
      <c r="C29" s="537"/>
      <c r="D29" s="537"/>
      <c r="E29" s="537"/>
      <c r="F29" s="537"/>
      <c r="G29" s="537"/>
      <c r="H29" s="537"/>
      <c r="I29" s="537"/>
      <c r="J29" s="538"/>
      <c r="K29" s="537"/>
      <c r="L29" s="537"/>
      <c r="M29" s="537"/>
      <c r="N29" s="539"/>
    </row>
    <row r="30" spans="1:14" ht="167" hidden="1" customHeight="1" thickBot="1">
      <c r="A30" s="536"/>
      <c r="B30" s="537"/>
      <c r="C30" s="537"/>
      <c r="D30" s="537"/>
      <c r="E30" s="537"/>
      <c r="F30" s="537"/>
      <c r="G30" s="537"/>
      <c r="H30" s="537"/>
      <c r="I30" s="537"/>
      <c r="J30" s="538"/>
      <c r="K30" s="537"/>
      <c r="L30" s="537"/>
      <c r="M30" s="537"/>
      <c r="N30" s="539"/>
    </row>
  </sheetData>
  <mergeCells count="23">
    <mergeCell ref="E26:F26"/>
    <mergeCell ref="G26:H26"/>
    <mergeCell ref="J26:K26"/>
    <mergeCell ref="H9:H10"/>
    <mergeCell ref="I9:I10"/>
    <mergeCell ref="J9:L9"/>
    <mergeCell ref="A25:B25"/>
    <mergeCell ref="C25:D25"/>
    <mergeCell ref="E25:K25"/>
    <mergeCell ref="C9:C10"/>
    <mergeCell ref="D9:D10"/>
    <mergeCell ref="E9:E10"/>
    <mergeCell ref="F9:F10"/>
    <mergeCell ref="G9:G10"/>
    <mergeCell ref="A1:N2"/>
    <mergeCell ref="B5:J6"/>
    <mergeCell ref="C8:E8"/>
    <mergeCell ref="F8:H8"/>
    <mergeCell ref="J8:L8"/>
    <mergeCell ref="M8:M10"/>
    <mergeCell ref="N8:N10"/>
    <mergeCell ref="A9:A10"/>
    <mergeCell ref="B9:B10"/>
  </mergeCells>
  <conditionalFormatting sqref="A12">
    <cfRule type="duplicateValues" dxfId="49" priority="585"/>
  </conditionalFormatting>
  <pageMargins left="0.42" right="0.42" top="0.3" bottom="0.5" header="0.17" footer="0.17"/>
  <pageSetup paperSize="9" scale="58" fitToHeight="1111" orientation="landscape" r:id="rId1"/>
  <headerFooter>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7B54-A8EC-4723-9193-50FB5DBC0223}">
  <sheetPr>
    <pageSetUpPr fitToPage="1"/>
  </sheetPr>
  <dimension ref="A1:R33"/>
  <sheetViews>
    <sheetView view="pageBreakPreview" topLeftCell="C10" zoomScale="55" zoomScaleNormal="55" zoomScaleSheetLayoutView="55" workbookViewId="0">
      <selection activeCell="R11" sqref="R11"/>
    </sheetView>
  </sheetViews>
  <sheetFormatPr defaultColWidth="9.796875" defaultRowHeight="20.5"/>
  <cols>
    <col min="1" max="1" width="16.19921875" style="648" bestFit="1" customWidth="1"/>
    <col min="2" max="2" width="47" style="634" bestFit="1" customWidth="1"/>
    <col min="3" max="3" width="31.296875" style="634" bestFit="1" customWidth="1"/>
    <col min="4" max="4" width="15.3984375" style="634" customWidth="1"/>
    <col min="5" max="5" width="11" style="634" customWidth="1"/>
    <col min="6" max="6" width="14.296875" style="634" customWidth="1"/>
    <col min="7" max="7" width="11" style="634" customWidth="1"/>
    <col min="8" max="8" width="12.5" style="634" customWidth="1"/>
    <col min="9" max="9" width="27.09765625" style="634" customWidth="1"/>
    <col min="10" max="10" width="26.296875" style="634" customWidth="1"/>
    <col min="11" max="11" width="10.09765625" style="648" customWidth="1"/>
    <col min="12" max="12" width="18.69921875" style="634" customWidth="1"/>
    <col min="13" max="15" width="17.59765625" style="634" customWidth="1"/>
    <col min="16" max="16" width="24.296875" style="634" customWidth="1"/>
    <col min="17" max="17" width="15.69921875" style="634" customWidth="1"/>
    <col min="18" max="18" width="32.19921875" style="634" customWidth="1"/>
    <col min="19" max="16384" width="9.796875" style="634"/>
  </cols>
  <sheetData>
    <row r="1" spans="1:18" ht="51.65" customHeight="1">
      <c r="A1" s="1304" t="s">
        <v>2065</v>
      </c>
      <c r="B1" s="1305"/>
      <c r="C1" s="1305"/>
      <c r="D1" s="1305"/>
      <c r="E1" s="1305"/>
      <c r="F1" s="1305"/>
      <c r="G1" s="1305"/>
      <c r="H1" s="1305"/>
      <c r="I1" s="1305"/>
      <c r="J1" s="1305"/>
      <c r="K1" s="1305"/>
      <c r="L1" s="1305"/>
      <c r="M1" s="1305"/>
      <c r="N1" s="1305"/>
      <c r="O1" s="1305"/>
      <c r="P1" s="1305"/>
      <c r="Q1" s="1305"/>
      <c r="R1" s="1306"/>
    </row>
    <row r="2" spans="1:18">
      <c r="A2" s="1307"/>
      <c r="B2" s="1308"/>
      <c r="C2" s="1308"/>
      <c r="D2" s="1308"/>
      <c r="E2" s="1308"/>
      <c r="F2" s="1308"/>
      <c r="G2" s="1308"/>
      <c r="H2" s="1308"/>
      <c r="I2" s="1308"/>
      <c r="J2" s="1308"/>
      <c r="K2" s="1308"/>
      <c r="L2" s="1308"/>
      <c r="M2" s="1308"/>
      <c r="N2" s="1308"/>
      <c r="O2" s="1308"/>
      <c r="P2" s="1308"/>
      <c r="Q2" s="1308"/>
      <c r="R2" s="1309"/>
    </row>
    <row r="3" spans="1:18" ht="29.5" customHeight="1">
      <c r="A3" s="636" t="s">
        <v>2066</v>
      </c>
      <c r="B3" s="637" t="s">
        <v>2156</v>
      </c>
      <c r="C3" s="638"/>
      <c r="D3" s="638"/>
      <c r="E3" s="638"/>
      <c r="F3" s="638"/>
      <c r="G3" s="638"/>
      <c r="H3" s="639"/>
      <c r="I3" s="639"/>
      <c r="J3" s="639"/>
      <c r="K3" s="640"/>
      <c r="L3" s="639"/>
      <c r="M3" s="639"/>
      <c r="N3" s="639"/>
      <c r="O3" s="639"/>
      <c r="P3" s="639"/>
      <c r="Q3" s="639"/>
      <c r="R3" s="641"/>
    </row>
    <row r="4" spans="1:18" ht="15" customHeight="1">
      <c r="A4" s="642" t="s">
        <v>2067</v>
      </c>
      <c r="B4" s="643"/>
      <c r="C4" s="644"/>
      <c r="D4" s="644"/>
      <c r="E4" s="644"/>
      <c r="F4" s="644"/>
      <c r="G4" s="644"/>
      <c r="H4" s="645"/>
      <c r="I4" s="645"/>
      <c r="J4" s="645"/>
      <c r="K4" s="646"/>
      <c r="L4" s="645"/>
      <c r="M4" s="645"/>
      <c r="N4" s="645"/>
      <c r="O4" s="645"/>
      <c r="P4" s="645"/>
      <c r="Q4" s="645"/>
      <c r="R4" s="647"/>
    </row>
    <row r="5" spans="1:18" ht="15" customHeight="1">
      <c r="A5" s="636" t="s">
        <v>2068</v>
      </c>
      <c r="B5" s="1310" t="s">
        <v>2334</v>
      </c>
      <c r="C5" s="1311"/>
      <c r="D5" s="1311"/>
      <c r="E5" s="1311"/>
      <c r="F5" s="1311"/>
      <c r="G5" s="1311"/>
      <c r="H5" s="1311"/>
      <c r="I5" s="1311"/>
      <c r="J5" s="1311"/>
      <c r="K5" s="1311"/>
      <c r="L5" s="639"/>
      <c r="R5" s="635"/>
    </row>
    <row r="6" spans="1:18" ht="15" customHeight="1">
      <c r="A6" s="642" t="s">
        <v>2069</v>
      </c>
      <c r="B6" s="1312"/>
      <c r="C6" s="1313"/>
      <c r="D6" s="1313"/>
      <c r="E6" s="1313"/>
      <c r="F6" s="1313"/>
      <c r="G6" s="1313"/>
      <c r="H6" s="1313"/>
      <c r="I6" s="1313"/>
      <c r="J6" s="1313"/>
      <c r="K6" s="1313"/>
      <c r="L6" s="645"/>
      <c r="M6" s="645"/>
      <c r="N6" s="645"/>
      <c r="O6" s="645"/>
      <c r="P6" s="645"/>
      <c r="Q6" s="645"/>
      <c r="R6" s="647"/>
    </row>
    <row r="7" spans="1:18">
      <c r="A7" s="632"/>
      <c r="R7" s="635"/>
    </row>
    <row r="8" spans="1:18" ht="62.5" customHeight="1">
      <c r="A8" s="649" t="s">
        <v>2070</v>
      </c>
      <c r="B8" s="650" t="s">
        <v>2071</v>
      </c>
      <c r="C8" s="1314" t="s">
        <v>2072</v>
      </c>
      <c r="D8" s="1314"/>
      <c r="E8" s="1314"/>
      <c r="F8" s="1314"/>
      <c r="G8" s="1314" t="s">
        <v>2073</v>
      </c>
      <c r="H8" s="1314"/>
      <c r="I8" s="1314"/>
      <c r="J8" s="650" t="s">
        <v>2158</v>
      </c>
      <c r="K8" s="1315" t="s">
        <v>2075</v>
      </c>
      <c r="L8" s="1315"/>
      <c r="M8" s="1315"/>
      <c r="N8" s="1315" t="s">
        <v>2075</v>
      </c>
      <c r="O8" s="1315"/>
      <c r="P8" s="1315"/>
      <c r="Q8" s="1316" t="s">
        <v>2076</v>
      </c>
      <c r="R8" s="1317" t="s">
        <v>1965</v>
      </c>
    </row>
    <row r="9" spans="1:18" ht="45" customHeight="1">
      <c r="A9" s="1318" t="s">
        <v>2077</v>
      </c>
      <c r="B9" s="1319" t="s">
        <v>2078</v>
      </c>
      <c r="C9" s="1319" t="s">
        <v>12</v>
      </c>
      <c r="D9" s="1319" t="s">
        <v>13</v>
      </c>
      <c r="E9" s="1319" t="s">
        <v>2332</v>
      </c>
      <c r="F9" s="1319" t="s">
        <v>2331</v>
      </c>
      <c r="G9" s="1303" t="s">
        <v>1714</v>
      </c>
      <c r="H9" s="1303" t="s">
        <v>1715</v>
      </c>
      <c r="I9" s="1303" t="s">
        <v>1716</v>
      </c>
      <c r="J9" s="1303" t="s">
        <v>1716</v>
      </c>
      <c r="K9" s="1315" t="s">
        <v>1511</v>
      </c>
      <c r="L9" s="1315"/>
      <c r="M9" s="1315"/>
      <c r="N9" s="1315" t="s">
        <v>45</v>
      </c>
      <c r="O9" s="1315"/>
      <c r="P9" s="1315"/>
      <c r="Q9" s="1316"/>
      <c r="R9" s="1317"/>
    </row>
    <row r="10" spans="1:18" ht="76.5" customHeight="1">
      <c r="A10" s="1318"/>
      <c r="B10" s="1319"/>
      <c r="C10" s="1319"/>
      <c r="D10" s="1319"/>
      <c r="E10" s="1319" t="s">
        <v>1914</v>
      </c>
      <c r="F10" s="1319" t="s">
        <v>1914</v>
      </c>
      <c r="G10" s="1303"/>
      <c r="H10" s="1303"/>
      <c r="I10" s="1303"/>
      <c r="J10" s="1303"/>
      <c r="K10" s="743" t="s">
        <v>2080</v>
      </c>
      <c r="L10" s="743" t="s">
        <v>2081</v>
      </c>
      <c r="M10" s="743" t="s">
        <v>2082</v>
      </c>
      <c r="N10" s="743" t="s">
        <v>2080</v>
      </c>
      <c r="O10" s="743" t="s">
        <v>2081</v>
      </c>
      <c r="P10" s="743" t="s">
        <v>2082</v>
      </c>
      <c r="Q10" s="1316"/>
      <c r="R10" s="1317"/>
    </row>
    <row r="11" spans="1:18" s="633" customFormat="1" ht="26" customHeight="1">
      <c r="A11" s="651" t="s">
        <v>1961</v>
      </c>
      <c r="B11" s="652"/>
      <c r="C11" s="652"/>
      <c r="D11" s="652"/>
      <c r="E11" s="652"/>
      <c r="F11" s="652"/>
      <c r="G11" s="653" t="s">
        <v>477</v>
      </c>
      <c r="H11" s="653" t="s">
        <v>477</v>
      </c>
      <c r="I11" s="654">
        <f>'DT04 (TM) 1 '!L8</f>
        <v>26838358652.707893</v>
      </c>
      <c r="J11" s="654">
        <f>'DT04 (TM) 1 '!Q8</f>
        <v>28199092950.43084</v>
      </c>
      <c r="K11" s="744"/>
      <c r="L11" s="744"/>
      <c r="M11" s="744"/>
      <c r="N11" s="744"/>
      <c r="O11" s="744"/>
      <c r="P11" s="744">
        <f>SUM(P12:P12)</f>
        <v>6401319</v>
      </c>
      <c r="Q11" s="655"/>
      <c r="R11" s="656">
        <f>I11-J11-M11-P11</f>
        <v>-1367135616.7229462</v>
      </c>
    </row>
    <row r="12" spans="1:18" s="774" customFormat="1" ht="64" customHeight="1">
      <c r="A12" s="765" t="s">
        <v>245</v>
      </c>
      <c r="B12" s="766" t="s">
        <v>291</v>
      </c>
      <c r="C12" s="766" t="s">
        <v>2330</v>
      </c>
      <c r="D12" s="767" t="s">
        <v>43</v>
      </c>
      <c r="E12" s="768">
        <v>12</v>
      </c>
      <c r="F12" s="769">
        <v>9</v>
      </c>
      <c r="G12" s="770" t="s">
        <v>477</v>
      </c>
      <c r="H12" s="770" t="s">
        <v>477</v>
      </c>
      <c r="I12" s="770" t="s">
        <v>477</v>
      </c>
      <c r="J12" s="770" t="s">
        <v>477</v>
      </c>
      <c r="K12" s="771" t="s">
        <v>2084</v>
      </c>
      <c r="L12" s="772">
        <v>13636.36</v>
      </c>
      <c r="M12" s="772" t="s">
        <v>477</v>
      </c>
      <c r="N12" s="771" t="s">
        <v>2084</v>
      </c>
      <c r="O12" s="772">
        <v>13727.27</v>
      </c>
      <c r="P12" s="772">
        <v>6401319</v>
      </c>
      <c r="Q12" s="772" t="s">
        <v>45</v>
      </c>
      <c r="R12" s="773" t="s">
        <v>2333</v>
      </c>
    </row>
    <row r="13" spans="1:18" s="633" customFormat="1" ht="26" customHeight="1">
      <c r="A13" s="651" t="s">
        <v>1961</v>
      </c>
      <c r="B13" s="652"/>
      <c r="C13" s="652"/>
      <c r="D13" s="652"/>
      <c r="E13" s="652"/>
      <c r="F13" s="652"/>
      <c r="G13" s="653" t="s">
        <v>477</v>
      </c>
      <c r="H13" s="653" t="s">
        <v>477</v>
      </c>
      <c r="I13" s="654">
        <f>'DT04 (TM) 1 '!L17</f>
        <v>2538751590</v>
      </c>
      <c r="J13" s="654">
        <f>'Tổng hợp'!J16</f>
        <v>4227979301.8798904</v>
      </c>
      <c r="K13" s="744"/>
      <c r="L13" s="744"/>
      <c r="M13" s="744">
        <f>SUM(M14:M14)</f>
        <v>0</v>
      </c>
      <c r="N13" s="744"/>
      <c r="O13" s="744"/>
      <c r="P13" s="744">
        <f>SUM(P14:P14)</f>
        <v>156776769</v>
      </c>
      <c r="Q13" s="655"/>
      <c r="R13" s="656">
        <f>I13-J13-M13-P13</f>
        <v>-1846004480.8798904</v>
      </c>
    </row>
    <row r="14" spans="1:18" s="781" customFormat="1" ht="64" customHeight="1">
      <c r="A14" s="775" t="s">
        <v>1667</v>
      </c>
      <c r="B14" s="776" t="s">
        <v>309</v>
      </c>
      <c r="C14" s="776" t="s">
        <v>2329</v>
      </c>
      <c r="D14" s="777" t="s">
        <v>43</v>
      </c>
      <c r="E14" s="778">
        <v>170</v>
      </c>
      <c r="F14" s="778">
        <v>170</v>
      </c>
      <c r="G14" s="779" t="s">
        <v>477</v>
      </c>
      <c r="H14" s="779" t="s">
        <v>477</v>
      </c>
      <c r="I14" s="779" t="s">
        <v>477</v>
      </c>
      <c r="J14" s="779" t="s">
        <v>477</v>
      </c>
      <c r="K14" s="780" t="s">
        <v>2084</v>
      </c>
      <c r="L14" s="772">
        <f>19300/1.1</f>
        <v>17545.454545454544</v>
      </c>
      <c r="M14" s="772" t="s">
        <v>477</v>
      </c>
      <c r="N14" s="780" t="s">
        <v>2084</v>
      </c>
      <c r="O14" s="772">
        <f>19200/1.1</f>
        <v>17454.545454545452</v>
      </c>
      <c r="P14" s="772">
        <f>3*52258923</f>
        <v>156776769</v>
      </c>
      <c r="Q14" s="772" t="s">
        <v>45</v>
      </c>
      <c r="R14" s="773" t="s">
        <v>2333</v>
      </c>
    </row>
    <row r="15" spans="1:18" s="671" customFormat="1">
      <c r="A15" s="663"/>
      <c r="B15" s="664" t="s">
        <v>2107</v>
      </c>
      <c r="C15" s="665"/>
      <c r="D15" s="666"/>
      <c r="E15" s="666"/>
      <c r="F15" s="666"/>
      <c r="G15" s="666"/>
      <c r="H15" s="667"/>
      <c r="I15" s="667"/>
      <c r="J15" s="667"/>
      <c r="K15" s="668"/>
      <c r="L15" s="669"/>
      <c r="M15" s="669"/>
      <c r="N15" s="669"/>
      <c r="O15" s="669"/>
      <c r="P15" s="669"/>
      <c r="Q15" s="669"/>
      <c r="R15" s="670"/>
    </row>
    <row r="16" spans="1:18" ht="15.5" hidden="1" customHeight="1">
      <c r="A16" s="672" t="s">
        <v>2108</v>
      </c>
      <c r="B16" s="673" t="s">
        <v>2168</v>
      </c>
      <c r="C16" s="674"/>
      <c r="D16" s="674"/>
      <c r="E16" s="674"/>
      <c r="F16" s="674"/>
      <c r="G16" s="674"/>
      <c r="H16" s="675"/>
      <c r="I16" s="676"/>
      <c r="J16" s="676"/>
      <c r="K16" s="677"/>
      <c r="L16" s="678"/>
      <c r="M16" s="678"/>
      <c r="N16" s="678"/>
      <c r="O16" s="678"/>
      <c r="P16" s="678"/>
      <c r="Q16" s="678"/>
      <c r="R16" s="679"/>
    </row>
    <row r="17" spans="1:18" ht="15.5" hidden="1" customHeight="1">
      <c r="A17" s="680">
        <v>1</v>
      </c>
      <c r="B17" s="681" t="s">
        <v>2110</v>
      </c>
      <c r="C17" s="682" t="s">
        <v>1725</v>
      </c>
      <c r="D17" s="682"/>
      <c r="E17" s="682"/>
      <c r="F17" s="682"/>
      <c r="G17" s="682"/>
      <c r="H17" s="675"/>
      <c r="I17" s="676"/>
      <c r="J17" s="676"/>
      <c r="K17" s="677"/>
      <c r="L17" s="678"/>
      <c r="M17" s="678"/>
      <c r="N17" s="678"/>
      <c r="O17" s="678"/>
      <c r="P17" s="678"/>
      <c r="Q17" s="678"/>
      <c r="R17" s="679"/>
    </row>
    <row r="18" spans="1:18" ht="15.5" hidden="1" customHeight="1">
      <c r="A18" s="680">
        <v>2</v>
      </c>
      <c r="B18" s="681" t="s">
        <v>2110</v>
      </c>
      <c r="C18" s="683"/>
      <c r="D18" s="683"/>
      <c r="E18" s="683"/>
      <c r="F18" s="683"/>
      <c r="G18" s="683"/>
      <c r="H18" s="675"/>
      <c r="I18" s="676"/>
      <c r="J18" s="676"/>
      <c r="K18" s="677"/>
      <c r="L18" s="678"/>
      <c r="M18" s="678"/>
      <c r="N18" s="678"/>
      <c r="O18" s="678"/>
      <c r="P18" s="678"/>
      <c r="Q18" s="678"/>
      <c r="R18" s="679"/>
    </row>
    <row r="19" spans="1:18" ht="15.5" hidden="1" customHeight="1">
      <c r="A19" s="672" t="s">
        <v>2111</v>
      </c>
      <c r="B19" s="673" t="s">
        <v>2169</v>
      </c>
      <c r="C19" s="684" t="s">
        <v>2113</v>
      </c>
      <c r="D19" s="684" t="s">
        <v>2114</v>
      </c>
      <c r="E19" s="684"/>
      <c r="F19" s="684"/>
      <c r="G19" s="684"/>
      <c r="H19" s="675"/>
      <c r="I19" s="676"/>
      <c r="J19" s="676"/>
      <c r="K19" s="677"/>
      <c r="L19" s="678"/>
      <c r="M19" s="678"/>
      <c r="N19" s="678"/>
      <c r="O19" s="678"/>
      <c r="P19" s="678"/>
      <c r="Q19" s="678"/>
      <c r="R19" s="679"/>
    </row>
    <row r="20" spans="1:18" ht="15.5" hidden="1" customHeight="1">
      <c r="A20" s="680">
        <v>1</v>
      </c>
      <c r="B20" s="681" t="s">
        <v>2115</v>
      </c>
      <c r="C20" s="683"/>
      <c r="D20" s="682"/>
      <c r="E20" s="682"/>
      <c r="F20" s="682"/>
      <c r="G20" s="682"/>
      <c r="H20" s="675"/>
      <c r="I20" s="676"/>
      <c r="J20" s="676"/>
      <c r="K20" s="677"/>
      <c r="L20" s="678"/>
      <c r="M20" s="678"/>
      <c r="N20" s="678"/>
      <c r="O20" s="678"/>
      <c r="P20" s="678"/>
      <c r="Q20" s="678"/>
      <c r="R20" s="679"/>
    </row>
    <row r="21" spans="1:18" ht="15.5" hidden="1" customHeight="1">
      <c r="A21" s="680"/>
      <c r="B21" s="681"/>
      <c r="C21" s="683"/>
      <c r="D21" s="683"/>
      <c r="E21" s="683"/>
      <c r="F21" s="683"/>
      <c r="G21" s="683"/>
      <c r="H21" s="675"/>
      <c r="I21" s="676"/>
      <c r="J21" s="676"/>
      <c r="K21" s="677"/>
      <c r="L21" s="678"/>
      <c r="M21" s="678"/>
      <c r="N21" s="678"/>
      <c r="O21" s="678"/>
      <c r="P21" s="678"/>
      <c r="Q21" s="678"/>
      <c r="R21" s="679"/>
    </row>
    <row r="22" spans="1:18" hidden="1">
      <c r="A22" s="685" t="s">
        <v>2116</v>
      </c>
      <c r="B22" s="681" t="s">
        <v>2170</v>
      </c>
      <c r="C22" s="686"/>
      <c r="D22" s="686"/>
      <c r="E22" s="686"/>
      <c r="F22" s="686"/>
      <c r="G22" s="686"/>
      <c r="H22" s="675"/>
      <c r="I22" s="676"/>
      <c r="J22" s="676"/>
      <c r="K22" s="677"/>
      <c r="L22" s="678"/>
      <c r="M22" s="678"/>
      <c r="N22" s="678"/>
      <c r="O22" s="678"/>
      <c r="P22" s="678"/>
      <c r="Q22" s="678"/>
      <c r="R22" s="679"/>
    </row>
    <row r="23" spans="1:18" ht="40" hidden="1">
      <c r="A23" s="680">
        <v>1</v>
      </c>
      <c r="B23" s="681" t="s">
        <v>2118</v>
      </c>
      <c r="C23" s="683"/>
      <c r="D23" s="682"/>
      <c r="E23" s="682"/>
      <c r="F23" s="682"/>
      <c r="G23" s="682"/>
      <c r="H23" s="675"/>
      <c r="I23" s="676"/>
      <c r="J23" s="676"/>
      <c r="K23" s="677"/>
      <c r="L23" s="678"/>
      <c r="M23" s="678"/>
      <c r="N23" s="678"/>
      <c r="O23" s="678"/>
      <c r="P23" s="678"/>
      <c r="Q23" s="678"/>
      <c r="R23" s="679"/>
    </row>
    <row r="24" spans="1:18" hidden="1">
      <c r="A24" s="680"/>
      <c r="B24" s="681" t="s">
        <v>2115</v>
      </c>
      <c r="C24" s="683"/>
      <c r="D24" s="682"/>
      <c r="E24" s="682"/>
      <c r="F24" s="682"/>
      <c r="G24" s="682"/>
      <c r="H24" s="675"/>
      <c r="I24" s="676"/>
      <c r="J24" s="676"/>
      <c r="K24" s="677"/>
      <c r="L24" s="678"/>
      <c r="M24" s="678"/>
      <c r="N24" s="678"/>
      <c r="O24" s="678"/>
      <c r="P24" s="678"/>
      <c r="Q24" s="678"/>
      <c r="R24" s="679"/>
    </row>
    <row r="25" spans="1:18" ht="80" hidden="1">
      <c r="A25" s="672" t="s">
        <v>2084</v>
      </c>
      <c r="B25" s="673" t="s">
        <v>2171</v>
      </c>
      <c r="C25" s="674"/>
      <c r="D25" s="674"/>
      <c r="E25" s="674"/>
      <c r="F25" s="674"/>
      <c r="G25" s="674"/>
      <c r="H25" s="675"/>
      <c r="I25" s="676"/>
      <c r="J25" s="676"/>
      <c r="K25" s="677"/>
      <c r="L25" s="678"/>
      <c r="M25" s="678"/>
      <c r="N25" s="678"/>
      <c r="O25" s="678"/>
      <c r="P25" s="678"/>
      <c r="Q25" s="678"/>
      <c r="R25" s="679"/>
    </row>
    <row r="26" spans="1:18" s="671" customFormat="1">
      <c r="A26" s="687"/>
      <c r="B26" s="688" t="s">
        <v>2120</v>
      </c>
      <c r="C26" s="689"/>
      <c r="D26" s="690"/>
      <c r="E26" s="690"/>
      <c r="F26" s="690"/>
      <c r="G26" s="690"/>
      <c r="H26" s="676"/>
      <c r="I26" s="676"/>
      <c r="J26" s="676"/>
      <c r="K26" s="677"/>
      <c r="L26" s="691">
        <v>2</v>
      </c>
      <c r="M26" s="691"/>
      <c r="N26" s="691"/>
      <c r="O26" s="691">
        <v>1</v>
      </c>
      <c r="P26" s="691"/>
      <c r="Q26" s="691"/>
      <c r="R26" s="692"/>
    </row>
    <row r="27" spans="1:18" ht="34.5" customHeight="1">
      <c r="A27" s="757" t="s">
        <v>2302</v>
      </c>
      <c r="R27" s="635"/>
    </row>
    <row r="28" spans="1:18" ht="55.25" customHeight="1">
      <c r="A28" s="1335" t="s">
        <v>2161</v>
      </c>
      <c r="B28" s="1336"/>
      <c r="C28" s="1336" t="s">
        <v>2162</v>
      </c>
      <c r="D28" s="1336"/>
      <c r="E28" s="1336"/>
      <c r="F28" s="1336"/>
      <c r="G28" s="724"/>
      <c r="H28" s="724"/>
      <c r="I28" s="724"/>
      <c r="J28" s="724"/>
      <c r="K28" s="1337" t="s">
        <v>2123</v>
      </c>
      <c r="L28" s="1337"/>
      <c r="M28" s="1337"/>
      <c r="N28" s="1337"/>
      <c r="O28" s="1337"/>
      <c r="P28" s="1337"/>
      <c r="Q28" s="1337"/>
      <c r="R28" s="635"/>
    </row>
    <row r="29" spans="1:18" s="786" customFormat="1" ht="67" customHeight="1">
      <c r="A29" s="782"/>
      <c r="B29" s="783"/>
      <c r="C29" s="783"/>
      <c r="D29" s="784"/>
      <c r="E29" s="784"/>
      <c r="F29" s="724"/>
      <c r="G29" s="724"/>
      <c r="H29" s="724"/>
      <c r="I29" s="724"/>
      <c r="J29" s="1337" t="s">
        <v>2124</v>
      </c>
      <c r="K29" s="1337"/>
      <c r="L29" s="1337"/>
      <c r="M29" s="1337" t="s">
        <v>2125</v>
      </c>
      <c r="N29" s="1337"/>
      <c r="O29" s="1337"/>
      <c r="P29" s="1337" t="s">
        <v>2126</v>
      </c>
      <c r="Q29" s="1337"/>
      <c r="R29" s="785"/>
    </row>
    <row r="30" spans="1:18">
      <c r="A30" s="632"/>
      <c r="R30" s="635"/>
    </row>
    <row r="31" spans="1:18">
      <c r="A31" s="632"/>
      <c r="R31" s="635"/>
    </row>
    <row r="32" spans="1:18" ht="231.5" customHeight="1" thickBot="1">
      <c r="A32" s="693"/>
      <c r="B32" s="694"/>
      <c r="C32" s="694"/>
      <c r="D32" s="694"/>
      <c r="E32" s="694"/>
      <c r="F32" s="694"/>
      <c r="G32" s="694"/>
      <c r="H32" s="694"/>
      <c r="I32" s="694"/>
      <c r="J32" s="694"/>
      <c r="K32" s="695"/>
      <c r="L32" s="694"/>
      <c r="M32" s="694"/>
      <c r="N32" s="694"/>
      <c r="O32" s="694"/>
      <c r="P32" s="694"/>
      <c r="Q32" s="694"/>
      <c r="R32" s="696"/>
    </row>
    <row r="33" spans="1:18" ht="167" hidden="1" customHeight="1" thickBot="1">
      <c r="A33" s="693"/>
      <c r="B33" s="694"/>
      <c r="C33" s="694"/>
      <c r="D33" s="694"/>
      <c r="E33" s="694"/>
      <c r="F33" s="694"/>
      <c r="G33" s="694"/>
      <c r="H33" s="694"/>
      <c r="I33" s="694"/>
      <c r="J33" s="694"/>
      <c r="K33" s="695"/>
      <c r="L33" s="694"/>
      <c r="M33" s="694"/>
      <c r="N33" s="694"/>
      <c r="O33" s="694"/>
      <c r="P33" s="694"/>
      <c r="Q33" s="694"/>
      <c r="R33" s="696"/>
    </row>
  </sheetData>
  <mergeCells count="26">
    <mergeCell ref="A1:R2"/>
    <mergeCell ref="B5:K6"/>
    <mergeCell ref="C8:F8"/>
    <mergeCell ref="G8:I8"/>
    <mergeCell ref="K8:M8"/>
    <mergeCell ref="N8:P8"/>
    <mergeCell ref="Q8:Q10"/>
    <mergeCell ref="R8:R10"/>
    <mergeCell ref="A9:A10"/>
    <mergeCell ref="B9:B10"/>
    <mergeCell ref="I9:I10"/>
    <mergeCell ref="J9:J10"/>
    <mergeCell ref="K9:M9"/>
    <mergeCell ref="N9:P9"/>
    <mergeCell ref="G9:G10"/>
    <mergeCell ref="H9:H10"/>
    <mergeCell ref="A28:B28"/>
    <mergeCell ref="C9:C10"/>
    <mergeCell ref="D9:D10"/>
    <mergeCell ref="E9:E10"/>
    <mergeCell ref="F9:F10"/>
    <mergeCell ref="K28:Q28"/>
    <mergeCell ref="P29:Q29"/>
    <mergeCell ref="J29:L29"/>
    <mergeCell ref="M29:O29"/>
    <mergeCell ref="C28:F28"/>
  </mergeCells>
  <conditionalFormatting sqref="A12">
    <cfRule type="duplicateValues" dxfId="48" priority="2"/>
  </conditionalFormatting>
  <conditionalFormatting sqref="A14">
    <cfRule type="duplicateValues" dxfId="47" priority="1"/>
  </conditionalFormatting>
  <pageMargins left="0.42" right="0.42" top="0.3" bottom="0.5" header="0.17" footer="0.17"/>
  <pageSetup paperSize="8" scale="61" fitToHeight="1111" orientation="landscape" r:id="rId1"/>
  <headerFooter>
    <oddFoote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6E7E-BB6C-4871-8EC4-0840BC49AD95}">
  <sheetPr>
    <pageSetUpPr fitToPage="1"/>
  </sheetPr>
  <dimension ref="A1:S31"/>
  <sheetViews>
    <sheetView view="pageBreakPreview" topLeftCell="A7" zoomScale="55" zoomScaleNormal="55" zoomScaleSheetLayoutView="55" workbookViewId="0">
      <selection activeCell="B12" sqref="B12"/>
    </sheetView>
  </sheetViews>
  <sheetFormatPr defaultColWidth="9.796875" defaultRowHeight="20.5"/>
  <cols>
    <col min="1" max="1" width="16.296875" style="950" bestFit="1" customWidth="1"/>
    <col min="2" max="2" width="47" style="941" bestFit="1" customWidth="1"/>
    <col min="3" max="3" width="31.296875" style="941" bestFit="1" customWidth="1"/>
    <col min="4" max="4" width="24.09765625" style="941" customWidth="1"/>
    <col min="5" max="6" width="11" style="941" customWidth="1"/>
    <col min="7" max="7" width="18.8984375" style="941" bestFit="1" customWidth="1"/>
    <col min="8" max="8" width="11" style="941" customWidth="1"/>
    <col min="9" max="9" width="12.5" style="941" customWidth="1"/>
    <col min="10" max="10" width="24.59765625" style="941" bestFit="1" customWidth="1"/>
    <col min="11" max="11" width="28.09765625" style="941" customWidth="1"/>
    <col min="12" max="12" width="14.59765625" style="950" customWidth="1"/>
    <col min="13" max="13" width="12.5" style="941" bestFit="1" customWidth="1"/>
    <col min="14" max="14" width="22.5" style="941" customWidth="1"/>
    <col min="15" max="15" width="13.8984375" style="941" customWidth="1"/>
    <col min="16" max="16" width="13.19921875" style="941" customWidth="1"/>
    <col min="17" max="17" width="17.59765625" style="941" customWidth="1"/>
    <col min="18" max="18" width="15.69921875" style="941" customWidth="1"/>
    <col min="19" max="19" width="40.69921875" style="941" bestFit="1" customWidth="1"/>
    <col min="20" max="16384" width="9.796875" style="941"/>
  </cols>
  <sheetData>
    <row r="1" spans="1:19" ht="51.65" customHeight="1">
      <c r="A1" s="1304" t="s">
        <v>2065</v>
      </c>
      <c r="B1" s="1305"/>
      <c r="C1" s="1305"/>
      <c r="D1" s="1305"/>
      <c r="E1" s="1305"/>
      <c r="F1" s="1305"/>
      <c r="G1" s="1305"/>
      <c r="H1" s="1305"/>
      <c r="I1" s="1305"/>
      <c r="J1" s="1305"/>
      <c r="K1" s="1305"/>
      <c r="L1" s="1305"/>
      <c r="M1" s="1305"/>
      <c r="N1" s="1305"/>
      <c r="O1" s="1305"/>
      <c r="P1" s="1305"/>
      <c r="Q1" s="1305"/>
      <c r="R1" s="1305"/>
      <c r="S1" s="1306"/>
    </row>
    <row r="2" spans="1:19">
      <c r="A2" s="1307"/>
      <c r="B2" s="1308"/>
      <c r="C2" s="1308"/>
      <c r="D2" s="1308"/>
      <c r="E2" s="1308"/>
      <c r="F2" s="1308"/>
      <c r="G2" s="1308"/>
      <c r="H2" s="1308"/>
      <c r="I2" s="1308"/>
      <c r="J2" s="1308"/>
      <c r="K2" s="1308"/>
      <c r="L2" s="1308"/>
      <c r="M2" s="1308"/>
      <c r="N2" s="1308"/>
      <c r="O2" s="1308"/>
      <c r="P2" s="1308"/>
      <c r="Q2" s="1308"/>
      <c r="R2" s="1308"/>
      <c r="S2" s="1309"/>
    </row>
    <row r="3" spans="1:19" ht="25.5" customHeight="1">
      <c r="A3" s="636" t="s">
        <v>2066</v>
      </c>
      <c r="B3" s="637" t="s">
        <v>2156</v>
      </c>
      <c r="C3" s="638"/>
      <c r="D3" s="638"/>
      <c r="E3" s="638"/>
      <c r="F3" s="638"/>
      <c r="G3" s="638"/>
      <c r="H3" s="638"/>
      <c r="I3" s="942"/>
      <c r="J3" s="942"/>
      <c r="K3" s="942"/>
      <c r="L3" s="943"/>
      <c r="M3" s="942"/>
      <c r="N3" s="942"/>
      <c r="O3" s="942"/>
      <c r="P3" s="942"/>
      <c r="Q3" s="942"/>
      <c r="R3" s="942"/>
      <c r="S3" s="944"/>
    </row>
    <row r="4" spans="1:19" ht="15" customHeight="1">
      <c r="A4" s="642" t="s">
        <v>2067</v>
      </c>
      <c r="B4" s="643"/>
      <c r="C4" s="644"/>
      <c r="D4" s="644"/>
      <c r="E4" s="644"/>
      <c r="F4" s="644"/>
      <c r="G4" s="644"/>
      <c r="H4" s="644"/>
      <c r="I4" s="945"/>
      <c r="J4" s="945"/>
      <c r="K4" s="945"/>
      <c r="L4" s="946"/>
      <c r="M4" s="945"/>
      <c r="N4" s="945"/>
      <c r="O4" s="945"/>
      <c r="P4" s="945"/>
      <c r="Q4" s="945"/>
      <c r="R4" s="945"/>
      <c r="S4" s="947"/>
    </row>
    <row r="5" spans="1:19" ht="15" customHeight="1">
      <c r="A5" s="636" t="s">
        <v>2068</v>
      </c>
      <c r="B5" s="1310" t="s">
        <v>2571</v>
      </c>
      <c r="C5" s="1311"/>
      <c r="D5" s="1311"/>
      <c r="E5" s="1311"/>
      <c r="F5" s="1311"/>
      <c r="G5" s="1311"/>
      <c r="H5" s="1311"/>
      <c r="I5" s="1311"/>
      <c r="J5" s="1311"/>
      <c r="K5" s="1311"/>
      <c r="L5" s="1311"/>
      <c r="M5" s="942"/>
      <c r="S5" s="948"/>
    </row>
    <row r="6" spans="1:19" ht="15" customHeight="1">
      <c r="A6" s="642" t="s">
        <v>2069</v>
      </c>
      <c r="B6" s="1312"/>
      <c r="C6" s="1313"/>
      <c r="D6" s="1313"/>
      <c r="E6" s="1313"/>
      <c r="F6" s="1313"/>
      <c r="G6" s="1313"/>
      <c r="H6" s="1313"/>
      <c r="I6" s="1313"/>
      <c r="J6" s="1313"/>
      <c r="K6" s="1313"/>
      <c r="L6" s="1313"/>
      <c r="M6" s="945"/>
      <c r="N6" s="945"/>
      <c r="O6" s="945"/>
      <c r="P6" s="945"/>
      <c r="Q6" s="945"/>
      <c r="R6" s="945"/>
      <c r="S6" s="947"/>
    </row>
    <row r="7" spans="1:19">
      <c r="A7" s="949"/>
      <c r="S7" s="948"/>
    </row>
    <row r="8" spans="1:19" ht="62.5" customHeight="1">
      <c r="A8" s="649" t="s">
        <v>2070</v>
      </c>
      <c r="B8" s="650" t="s">
        <v>2071</v>
      </c>
      <c r="C8" s="1314" t="s">
        <v>2072</v>
      </c>
      <c r="D8" s="1314"/>
      <c r="E8" s="1314"/>
      <c r="F8" s="1314"/>
      <c r="G8" s="1314"/>
      <c r="H8" s="1314" t="s">
        <v>2073</v>
      </c>
      <c r="I8" s="1314"/>
      <c r="J8" s="1314"/>
      <c r="K8" s="650" t="s">
        <v>2158</v>
      </c>
      <c r="L8" s="1334" t="s">
        <v>2075</v>
      </c>
      <c r="M8" s="1334"/>
      <c r="N8" s="1334"/>
      <c r="O8" s="1334" t="s">
        <v>2075</v>
      </c>
      <c r="P8" s="1334"/>
      <c r="Q8" s="1334"/>
      <c r="R8" s="1314" t="s">
        <v>2076</v>
      </c>
      <c r="S8" s="1317" t="s">
        <v>1965</v>
      </c>
    </row>
    <row r="9" spans="1:19" ht="45" customHeight="1">
      <c r="A9" s="1348" t="s">
        <v>2077</v>
      </c>
      <c r="B9" s="1347" t="s">
        <v>2078</v>
      </c>
      <c r="C9" s="1347" t="s">
        <v>12</v>
      </c>
      <c r="D9" s="1347" t="s">
        <v>13</v>
      </c>
      <c r="E9" s="1347" t="s">
        <v>2568</v>
      </c>
      <c r="F9" s="1347" t="s">
        <v>2570</v>
      </c>
      <c r="G9" s="1347" t="s">
        <v>2159</v>
      </c>
      <c r="H9" s="1303" t="s">
        <v>1714</v>
      </c>
      <c r="I9" s="1303" t="s">
        <v>1715</v>
      </c>
      <c r="J9" s="1303" t="s">
        <v>1716</v>
      </c>
      <c r="K9" s="1303" t="s">
        <v>1716</v>
      </c>
      <c r="L9" s="1334" t="s">
        <v>2569</v>
      </c>
      <c r="M9" s="1334"/>
      <c r="N9" s="1334"/>
      <c r="O9" s="1334" t="s">
        <v>45</v>
      </c>
      <c r="P9" s="1334"/>
      <c r="Q9" s="1334"/>
      <c r="R9" s="1314"/>
      <c r="S9" s="1317"/>
    </row>
    <row r="10" spans="1:19" ht="76.5" customHeight="1">
      <c r="A10" s="1348"/>
      <c r="B10" s="1347"/>
      <c r="C10" s="1347"/>
      <c r="D10" s="1347"/>
      <c r="E10" s="1347" t="s">
        <v>1914</v>
      </c>
      <c r="F10" s="1347" t="s">
        <v>1914</v>
      </c>
      <c r="G10" s="1347" t="s">
        <v>1915</v>
      </c>
      <c r="H10" s="1303"/>
      <c r="I10" s="1303"/>
      <c r="J10" s="1303"/>
      <c r="K10" s="1303"/>
      <c r="L10" s="965" t="s">
        <v>2080</v>
      </c>
      <c r="M10" s="965" t="s">
        <v>2081</v>
      </c>
      <c r="N10" s="965" t="s">
        <v>2082</v>
      </c>
      <c r="O10" s="965" t="s">
        <v>2080</v>
      </c>
      <c r="P10" s="965" t="s">
        <v>2081</v>
      </c>
      <c r="Q10" s="965" t="s">
        <v>2082</v>
      </c>
      <c r="R10" s="1314"/>
      <c r="S10" s="1317"/>
    </row>
    <row r="11" spans="1:19" s="783" customFormat="1" ht="26" customHeight="1">
      <c r="A11" s="963" t="s">
        <v>1961</v>
      </c>
      <c r="B11" s="964"/>
      <c r="C11" s="964"/>
      <c r="D11" s="964"/>
      <c r="E11" s="964"/>
      <c r="F11" s="964"/>
      <c r="G11" s="964"/>
      <c r="H11" s="966" t="s">
        <v>477</v>
      </c>
      <c r="I11" s="966" t="s">
        <v>477</v>
      </c>
      <c r="J11" s="654">
        <f>'Tổng hợp'!K14</f>
        <v>27375766652.707893</v>
      </c>
      <c r="K11" s="654">
        <f>'Tổng hợp'!J14</f>
        <v>28199092950.43084</v>
      </c>
      <c r="L11" s="967"/>
      <c r="M11" s="967"/>
      <c r="N11" s="967">
        <f>SUM(N12:N12)</f>
        <v>31690449</v>
      </c>
      <c r="O11" s="967"/>
      <c r="P11" s="967"/>
      <c r="Q11" s="967">
        <f>SUM(Q12:Q12)</f>
        <v>0</v>
      </c>
      <c r="R11" s="966"/>
      <c r="S11" s="656">
        <f>J11-K11-N11</f>
        <v>-855016746.72294617</v>
      </c>
    </row>
    <row r="12" spans="1:19" ht="182.5" customHeight="1">
      <c r="A12" s="971" t="s">
        <v>1649</v>
      </c>
      <c r="B12" s="968" t="s">
        <v>1650</v>
      </c>
      <c r="C12" s="951" t="s">
        <v>2567</v>
      </c>
      <c r="D12" s="968" t="s">
        <v>87</v>
      </c>
      <c r="E12" s="952">
        <f>6*98</f>
        <v>588</v>
      </c>
      <c r="F12" s="952">
        <v>582</v>
      </c>
      <c r="G12" s="953">
        <v>2015</v>
      </c>
      <c r="H12" s="969" t="s">
        <v>477</v>
      </c>
      <c r="I12" s="969" t="s">
        <v>477</v>
      </c>
      <c r="J12" s="969" t="s">
        <v>477</v>
      </c>
      <c r="K12" s="969" t="s">
        <v>477</v>
      </c>
      <c r="L12" s="682" t="s">
        <v>2084</v>
      </c>
      <c r="M12" s="970">
        <v>15727.27</v>
      </c>
      <c r="N12" s="970">
        <v>31690449</v>
      </c>
      <c r="O12" s="682" t="s">
        <v>2084</v>
      </c>
      <c r="P12" s="970">
        <f>18000/1.1</f>
        <v>16363.636363636362</v>
      </c>
      <c r="Q12" s="970" t="s">
        <v>477</v>
      </c>
      <c r="R12" s="970" t="s">
        <v>2566</v>
      </c>
      <c r="S12" s="940" t="s">
        <v>2154</v>
      </c>
    </row>
    <row r="13" spans="1:19" s="956" customFormat="1">
      <c r="A13" s="663"/>
      <c r="B13" s="664" t="s">
        <v>2107</v>
      </c>
      <c r="C13" s="665"/>
      <c r="D13" s="666"/>
      <c r="E13" s="666"/>
      <c r="F13" s="666"/>
      <c r="G13" s="666"/>
      <c r="H13" s="666"/>
      <c r="I13" s="665"/>
      <c r="J13" s="665"/>
      <c r="K13" s="665"/>
      <c r="L13" s="666"/>
      <c r="M13" s="954"/>
      <c r="N13" s="954"/>
      <c r="O13" s="954"/>
      <c r="P13" s="954"/>
      <c r="Q13" s="954"/>
      <c r="R13" s="954"/>
      <c r="S13" s="955"/>
    </row>
    <row r="14" spans="1:19" ht="15.5" hidden="1" customHeight="1">
      <c r="A14" s="672" t="s">
        <v>2108</v>
      </c>
      <c r="B14" s="673" t="s">
        <v>2168</v>
      </c>
      <c r="C14" s="674"/>
      <c r="D14" s="674"/>
      <c r="E14" s="674"/>
      <c r="F14" s="674"/>
      <c r="G14" s="674"/>
      <c r="H14" s="674"/>
      <c r="I14" s="683"/>
      <c r="J14" s="689"/>
      <c r="K14" s="689"/>
      <c r="L14" s="690"/>
      <c r="M14" s="681"/>
      <c r="N14" s="681"/>
      <c r="O14" s="681"/>
      <c r="P14" s="681"/>
      <c r="Q14" s="681"/>
      <c r="R14" s="681"/>
      <c r="S14" s="957"/>
    </row>
    <row r="15" spans="1:19" ht="15.5" hidden="1" customHeight="1">
      <c r="A15" s="680">
        <v>1</v>
      </c>
      <c r="B15" s="681" t="s">
        <v>2110</v>
      </c>
      <c r="C15" s="682" t="s">
        <v>1725</v>
      </c>
      <c r="D15" s="682"/>
      <c r="E15" s="682"/>
      <c r="F15" s="682"/>
      <c r="G15" s="682"/>
      <c r="H15" s="682"/>
      <c r="I15" s="683"/>
      <c r="J15" s="689"/>
      <c r="K15" s="689"/>
      <c r="L15" s="690"/>
      <c r="M15" s="681"/>
      <c r="N15" s="681"/>
      <c r="O15" s="681"/>
      <c r="P15" s="681"/>
      <c r="Q15" s="681"/>
      <c r="R15" s="681"/>
      <c r="S15" s="957"/>
    </row>
    <row r="16" spans="1:19" ht="15.5" hidden="1" customHeight="1">
      <c r="A16" s="680">
        <v>2</v>
      </c>
      <c r="B16" s="681" t="s">
        <v>2110</v>
      </c>
      <c r="C16" s="683"/>
      <c r="D16" s="683"/>
      <c r="E16" s="683"/>
      <c r="F16" s="683"/>
      <c r="G16" s="683"/>
      <c r="H16" s="683"/>
      <c r="I16" s="683"/>
      <c r="J16" s="689"/>
      <c r="K16" s="689"/>
      <c r="L16" s="690"/>
      <c r="M16" s="681"/>
      <c r="N16" s="681"/>
      <c r="O16" s="681"/>
      <c r="P16" s="681"/>
      <c r="Q16" s="681"/>
      <c r="R16" s="681"/>
      <c r="S16" s="957"/>
    </row>
    <row r="17" spans="1:19" ht="15.5" hidden="1" customHeight="1">
      <c r="A17" s="672" t="s">
        <v>2111</v>
      </c>
      <c r="B17" s="673" t="s">
        <v>2169</v>
      </c>
      <c r="C17" s="684" t="s">
        <v>2113</v>
      </c>
      <c r="D17" s="684" t="s">
        <v>2114</v>
      </c>
      <c r="E17" s="684"/>
      <c r="F17" s="684"/>
      <c r="G17" s="684"/>
      <c r="H17" s="684"/>
      <c r="I17" s="683"/>
      <c r="J17" s="689"/>
      <c r="K17" s="689"/>
      <c r="L17" s="690"/>
      <c r="M17" s="681"/>
      <c r="N17" s="681"/>
      <c r="O17" s="681"/>
      <c r="P17" s="681"/>
      <c r="Q17" s="681"/>
      <c r="R17" s="681"/>
      <c r="S17" s="957"/>
    </row>
    <row r="18" spans="1:19" ht="15.5" hidden="1" customHeight="1">
      <c r="A18" s="680">
        <v>1</v>
      </c>
      <c r="B18" s="681" t="s">
        <v>2115</v>
      </c>
      <c r="C18" s="683"/>
      <c r="D18" s="682"/>
      <c r="E18" s="682"/>
      <c r="F18" s="682"/>
      <c r="G18" s="682"/>
      <c r="H18" s="682"/>
      <c r="I18" s="683"/>
      <c r="J18" s="689"/>
      <c r="K18" s="689"/>
      <c r="L18" s="690"/>
      <c r="M18" s="681"/>
      <c r="N18" s="681"/>
      <c r="O18" s="681"/>
      <c r="P18" s="681"/>
      <c r="Q18" s="681"/>
      <c r="R18" s="681"/>
      <c r="S18" s="957"/>
    </row>
    <row r="19" spans="1:19" ht="15.5" hidden="1" customHeight="1">
      <c r="A19" s="680"/>
      <c r="B19" s="681"/>
      <c r="C19" s="683"/>
      <c r="D19" s="683"/>
      <c r="E19" s="683"/>
      <c r="F19" s="683"/>
      <c r="G19" s="683"/>
      <c r="H19" s="683"/>
      <c r="I19" s="683"/>
      <c r="J19" s="689"/>
      <c r="K19" s="689"/>
      <c r="L19" s="690"/>
      <c r="M19" s="681"/>
      <c r="N19" s="681"/>
      <c r="O19" s="681"/>
      <c r="P19" s="681"/>
      <c r="Q19" s="681"/>
      <c r="R19" s="681"/>
      <c r="S19" s="957"/>
    </row>
    <row r="20" spans="1:19" hidden="1">
      <c r="A20" s="685" t="s">
        <v>2116</v>
      </c>
      <c r="B20" s="681" t="s">
        <v>2170</v>
      </c>
      <c r="C20" s="686"/>
      <c r="D20" s="686"/>
      <c r="E20" s="686"/>
      <c r="F20" s="686"/>
      <c r="G20" s="686"/>
      <c r="H20" s="686"/>
      <c r="I20" s="683"/>
      <c r="J20" s="689"/>
      <c r="K20" s="689"/>
      <c r="L20" s="690"/>
      <c r="M20" s="681"/>
      <c r="N20" s="681"/>
      <c r="O20" s="681"/>
      <c r="P20" s="681"/>
      <c r="Q20" s="681"/>
      <c r="R20" s="681"/>
      <c r="S20" s="957"/>
    </row>
    <row r="21" spans="1:19" ht="40" hidden="1">
      <c r="A21" s="680">
        <v>1</v>
      </c>
      <c r="B21" s="681" t="s">
        <v>2118</v>
      </c>
      <c r="C21" s="683"/>
      <c r="D21" s="682"/>
      <c r="E21" s="682"/>
      <c r="F21" s="682"/>
      <c r="G21" s="682"/>
      <c r="H21" s="682"/>
      <c r="I21" s="683"/>
      <c r="J21" s="689"/>
      <c r="K21" s="689"/>
      <c r="L21" s="690"/>
      <c r="M21" s="681"/>
      <c r="N21" s="681"/>
      <c r="O21" s="681"/>
      <c r="P21" s="681"/>
      <c r="Q21" s="681"/>
      <c r="R21" s="681"/>
      <c r="S21" s="957"/>
    </row>
    <row r="22" spans="1:19" hidden="1">
      <c r="A22" s="680"/>
      <c r="B22" s="681" t="s">
        <v>2115</v>
      </c>
      <c r="C22" s="683"/>
      <c r="D22" s="682"/>
      <c r="E22" s="682"/>
      <c r="F22" s="682"/>
      <c r="G22" s="682"/>
      <c r="H22" s="682"/>
      <c r="I22" s="683"/>
      <c r="J22" s="689"/>
      <c r="K22" s="689"/>
      <c r="L22" s="690"/>
      <c r="M22" s="681"/>
      <c r="N22" s="681"/>
      <c r="O22" s="681"/>
      <c r="P22" s="681"/>
      <c r="Q22" s="681"/>
      <c r="R22" s="681"/>
      <c r="S22" s="957"/>
    </row>
    <row r="23" spans="1:19" ht="80" hidden="1">
      <c r="A23" s="672" t="s">
        <v>2084</v>
      </c>
      <c r="B23" s="673" t="s">
        <v>2171</v>
      </c>
      <c r="C23" s="674"/>
      <c r="D23" s="674"/>
      <c r="E23" s="674"/>
      <c r="F23" s="674"/>
      <c r="G23" s="674"/>
      <c r="H23" s="674"/>
      <c r="I23" s="683"/>
      <c r="J23" s="689"/>
      <c r="K23" s="689"/>
      <c r="L23" s="690"/>
      <c r="M23" s="681"/>
      <c r="N23" s="681"/>
      <c r="O23" s="681"/>
      <c r="P23" s="681"/>
      <c r="Q23" s="681"/>
      <c r="R23" s="681"/>
      <c r="S23" s="957"/>
    </row>
    <row r="24" spans="1:19" s="956" customFormat="1">
      <c r="A24" s="687"/>
      <c r="B24" s="688" t="s">
        <v>2120</v>
      </c>
      <c r="C24" s="689"/>
      <c r="D24" s="690"/>
      <c r="E24" s="690"/>
      <c r="F24" s="690"/>
      <c r="G24" s="690"/>
      <c r="H24" s="690"/>
      <c r="I24" s="689"/>
      <c r="J24" s="689"/>
      <c r="K24" s="689"/>
      <c r="L24" s="690"/>
      <c r="M24" s="688">
        <v>1</v>
      </c>
      <c r="N24" s="688"/>
      <c r="O24" s="688"/>
      <c r="P24" s="688">
        <v>2</v>
      </c>
      <c r="Q24" s="688"/>
      <c r="R24" s="688"/>
      <c r="S24" s="958"/>
    </row>
    <row r="25" spans="1:19" ht="34.5" customHeight="1">
      <c r="A25" s="757" t="s">
        <v>2302</v>
      </c>
      <c r="S25" s="948"/>
    </row>
    <row r="26" spans="1:19" ht="55.25" customHeight="1">
      <c r="A26" s="1335" t="s">
        <v>2161</v>
      </c>
      <c r="B26" s="1336"/>
      <c r="C26" s="1336" t="s">
        <v>2162</v>
      </c>
      <c r="D26" s="1336"/>
      <c r="E26" s="1336"/>
      <c r="F26" s="1336"/>
      <c r="K26" s="1346" t="s">
        <v>2123</v>
      </c>
      <c r="L26" s="1346"/>
      <c r="M26" s="1346"/>
      <c r="N26" s="1346"/>
      <c r="O26" s="1346"/>
      <c r="P26" s="1346"/>
      <c r="Q26" s="1346"/>
      <c r="S26" s="948"/>
    </row>
    <row r="27" spans="1:19" ht="43" customHeight="1">
      <c r="A27" s="949"/>
      <c r="B27" s="783"/>
      <c r="C27" s="783"/>
      <c r="D27" s="783"/>
      <c r="E27" s="783"/>
      <c r="F27" s="783"/>
      <c r="K27" s="1344" t="s">
        <v>2124</v>
      </c>
      <c r="L27" s="1344"/>
      <c r="M27" s="1345" t="s">
        <v>2125</v>
      </c>
      <c r="N27" s="1345"/>
      <c r="O27" s="972"/>
      <c r="P27" s="1346" t="s">
        <v>2126</v>
      </c>
      <c r="Q27" s="1346"/>
      <c r="S27" s="948"/>
    </row>
    <row r="28" spans="1:19" ht="118" customHeight="1">
      <c r="A28" s="949"/>
      <c r="S28" s="948"/>
    </row>
    <row r="29" spans="1:19" ht="148" customHeight="1">
      <c r="A29" s="949"/>
      <c r="S29" s="948"/>
    </row>
    <row r="30" spans="1:19" ht="231.5" customHeight="1" thickBot="1">
      <c r="A30" s="959"/>
      <c r="B30" s="960"/>
      <c r="C30" s="960"/>
      <c r="D30" s="960"/>
      <c r="E30" s="960"/>
      <c r="F30" s="960"/>
      <c r="G30" s="960"/>
      <c r="H30" s="960"/>
      <c r="I30" s="960"/>
      <c r="J30" s="960"/>
      <c r="K30" s="960"/>
      <c r="L30" s="961"/>
      <c r="M30" s="960"/>
      <c r="N30" s="960"/>
      <c r="O30" s="960"/>
      <c r="P30" s="960"/>
      <c r="Q30" s="960"/>
      <c r="R30" s="960"/>
      <c r="S30" s="962"/>
    </row>
    <row r="31" spans="1:19" ht="167" hidden="1" customHeight="1" thickBot="1">
      <c r="A31" s="959"/>
      <c r="B31" s="960"/>
      <c r="C31" s="960"/>
      <c r="D31" s="960"/>
      <c r="E31" s="960"/>
      <c r="F31" s="960"/>
      <c r="G31" s="960"/>
      <c r="H31" s="960"/>
      <c r="I31" s="960"/>
      <c r="J31" s="960"/>
      <c r="K31" s="960"/>
      <c r="L31" s="961"/>
      <c r="M31" s="960"/>
      <c r="N31" s="960"/>
      <c r="O31" s="960"/>
      <c r="P31" s="960"/>
      <c r="Q31" s="960"/>
      <c r="R31" s="960"/>
      <c r="S31" s="962"/>
    </row>
  </sheetData>
  <mergeCells count="27">
    <mergeCell ref="A1:S2"/>
    <mergeCell ref="B5:L6"/>
    <mergeCell ref="C8:G8"/>
    <mergeCell ref="H8:J8"/>
    <mergeCell ref="L8:N8"/>
    <mergeCell ref="O8:Q8"/>
    <mergeCell ref="R8:R10"/>
    <mergeCell ref="S8:S10"/>
    <mergeCell ref="A9:A10"/>
    <mergeCell ref="B9:B10"/>
    <mergeCell ref="A26:B26"/>
    <mergeCell ref="K26:Q26"/>
    <mergeCell ref="C9:C10"/>
    <mergeCell ref="D9:D10"/>
    <mergeCell ref="E9:E10"/>
    <mergeCell ref="G9:G10"/>
    <mergeCell ref="H9:H10"/>
    <mergeCell ref="I9:I10"/>
    <mergeCell ref="K27:L27"/>
    <mergeCell ref="M27:N27"/>
    <mergeCell ref="P27:Q27"/>
    <mergeCell ref="F9:F10"/>
    <mergeCell ref="C26:F26"/>
    <mergeCell ref="J9:J10"/>
    <mergeCell ref="K9:K10"/>
    <mergeCell ref="L9:N9"/>
    <mergeCell ref="O9:Q9"/>
  </mergeCells>
  <pageMargins left="0.42" right="0.42" top="0.3" bottom="0.5" header="0.17" footer="0.17"/>
  <pageSetup paperSize="8" scale="57" fitToHeight="1111" orientation="landscape" r:id="rId1"/>
  <headerFooter>
    <oddFoote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99EE-5E77-48DD-8737-935C73B35CA0}">
  <sheetPr>
    <pageSetUpPr fitToPage="1"/>
  </sheetPr>
  <dimension ref="A1:S45"/>
  <sheetViews>
    <sheetView view="pageBreakPreview" topLeftCell="A4" zoomScale="55" zoomScaleNormal="55" zoomScaleSheetLayoutView="55" workbookViewId="0">
      <selection activeCell="A41" sqref="A41:XFD41"/>
    </sheetView>
  </sheetViews>
  <sheetFormatPr defaultColWidth="9.796875" defaultRowHeight="18"/>
  <cols>
    <col min="1" max="1" width="16.19921875" style="491" bestFit="1" customWidth="1"/>
    <col min="2" max="2" width="47" style="476" bestFit="1" customWidth="1"/>
    <col min="3" max="3" width="31.296875" style="476" bestFit="1" customWidth="1"/>
    <col min="4" max="4" width="15.3984375" style="476" customWidth="1"/>
    <col min="5" max="6" width="11" style="476" customWidth="1"/>
    <col min="7" max="7" width="14.296875" style="476" customWidth="1"/>
    <col min="8" max="8" width="11" style="476" customWidth="1"/>
    <col min="9" max="9" width="12.5" style="476" customWidth="1"/>
    <col min="10" max="10" width="20.59765625" style="476" customWidth="1"/>
    <col min="11" max="11" width="19" style="476" customWidth="1"/>
    <col min="12" max="12" width="10.09765625" style="491" customWidth="1"/>
    <col min="13" max="13" width="11.19921875" style="476" bestFit="1" customWidth="1"/>
    <col min="14" max="17" width="17.59765625" style="476" customWidth="1"/>
    <col min="18" max="18" width="15.69921875" style="476" customWidth="1"/>
    <col min="19" max="19" width="21.8984375" style="476" customWidth="1"/>
    <col min="20" max="16384" width="9.796875" style="476"/>
  </cols>
  <sheetData>
    <row r="1" spans="1:19" ht="51.65" customHeight="1">
      <c r="A1" s="1285" t="s">
        <v>2065</v>
      </c>
      <c r="B1" s="1286"/>
      <c r="C1" s="1286"/>
      <c r="D1" s="1286"/>
      <c r="E1" s="1286"/>
      <c r="F1" s="1286"/>
      <c r="G1" s="1286"/>
      <c r="H1" s="1286"/>
      <c r="I1" s="1286"/>
      <c r="J1" s="1286"/>
      <c r="K1" s="1286"/>
      <c r="L1" s="1286"/>
      <c r="M1" s="1286"/>
      <c r="N1" s="1286"/>
      <c r="O1" s="1286"/>
      <c r="P1" s="1286"/>
      <c r="Q1" s="1286"/>
      <c r="R1" s="1286"/>
      <c r="S1" s="1287"/>
    </row>
    <row r="2" spans="1:19">
      <c r="A2" s="1288"/>
      <c r="B2" s="1289"/>
      <c r="C2" s="1289"/>
      <c r="D2" s="1289"/>
      <c r="E2" s="1289"/>
      <c r="F2" s="1289"/>
      <c r="G2" s="1289"/>
      <c r="H2" s="1289"/>
      <c r="I2" s="1289"/>
      <c r="J2" s="1289"/>
      <c r="K2" s="1289"/>
      <c r="L2" s="1289"/>
      <c r="M2" s="1289"/>
      <c r="N2" s="1289"/>
      <c r="O2" s="1289"/>
      <c r="P2" s="1289"/>
      <c r="Q2" s="1289"/>
      <c r="R2" s="1289"/>
      <c r="S2" s="1290"/>
    </row>
    <row r="3" spans="1:19" ht="15" customHeight="1">
      <c r="A3" s="477" t="s">
        <v>2066</v>
      </c>
      <c r="B3" s="478" t="s">
        <v>2156</v>
      </c>
      <c r="C3" s="479"/>
      <c r="D3" s="479"/>
      <c r="E3" s="479"/>
      <c r="F3" s="479"/>
      <c r="G3" s="479"/>
      <c r="H3" s="479"/>
      <c r="I3" s="480"/>
      <c r="J3" s="480"/>
      <c r="K3" s="480"/>
      <c r="L3" s="481"/>
      <c r="M3" s="480"/>
      <c r="N3" s="480"/>
      <c r="O3" s="480"/>
      <c r="P3" s="480"/>
      <c r="Q3" s="480"/>
      <c r="R3" s="480"/>
      <c r="S3" s="482"/>
    </row>
    <row r="4" spans="1:19" ht="15" customHeight="1">
      <c r="A4" s="483" t="s">
        <v>2067</v>
      </c>
      <c r="B4" s="484"/>
      <c r="C4" s="485"/>
      <c r="D4" s="485"/>
      <c r="E4" s="485"/>
      <c r="F4" s="485"/>
      <c r="G4" s="485"/>
      <c r="H4" s="485"/>
      <c r="I4" s="486"/>
      <c r="J4" s="486"/>
      <c r="K4" s="486"/>
      <c r="L4" s="487"/>
      <c r="M4" s="486"/>
      <c r="N4" s="486"/>
      <c r="O4" s="486"/>
      <c r="P4" s="486"/>
      <c r="Q4" s="486"/>
      <c r="R4" s="486"/>
      <c r="S4" s="488"/>
    </row>
    <row r="5" spans="1:19" ht="15" customHeight="1">
      <c r="A5" s="477" t="s">
        <v>2068</v>
      </c>
      <c r="B5" s="1291" t="s">
        <v>2157</v>
      </c>
      <c r="C5" s="1292"/>
      <c r="D5" s="1292"/>
      <c r="E5" s="1292"/>
      <c r="F5" s="1292"/>
      <c r="G5" s="1292"/>
      <c r="H5" s="1292"/>
      <c r="I5" s="1292"/>
      <c r="J5" s="1292"/>
      <c r="K5" s="1292"/>
      <c r="L5" s="1292"/>
      <c r="M5" s="480"/>
      <c r="S5" s="489"/>
    </row>
    <row r="6" spans="1:19" ht="15" customHeight="1">
      <c r="A6" s="483" t="s">
        <v>2069</v>
      </c>
      <c r="B6" s="1293"/>
      <c r="C6" s="1294"/>
      <c r="D6" s="1294"/>
      <c r="E6" s="1294"/>
      <c r="F6" s="1294"/>
      <c r="G6" s="1294"/>
      <c r="H6" s="1294"/>
      <c r="I6" s="1294"/>
      <c r="J6" s="1294"/>
      <c r="K6" s="1294"/>
      <c r="L6" s="1294"/>
      <c r="M6" s="486"/>
      <c r="N6" s="486"/>
      <c r="O6" s="486"/>
      <c r="P6" s="486"/>
      <c r="Q6" s="486"/>
      <c r="R6" s="486"/>
      <c r="S6" s="488"/>
    </row>
    <row r="7" spans="1:19">
      <c r="A7" s="490"/>
      <c r="S7" s="489"/>
    </row>
    <row r="8" spans="1:19" ht="62.5" customHeight="1">
      <c r="A8" s="492" t="s">
        <v>2070</v>
      </c>
      <c r="B8" s="493" t="s">
        <v>2071</v>
      </c>
      <c r="C8" s="1295" t="s">
        <v>2072</v>
      </c>
      <c r="D8" s="1295"/>
      <c r="E8" s="1295"/>
      <c r="F8" s="1295"/>
      <c r="G8" s="1295"/>
      <c r="H8" s="1295" t="s">
        <v>2073</v>
      </c>
      <c r="I8" s="1295"/>
      <c r="J8" s="1295"/>
      <c r="K8" s="493" t="s">
        <v>2158</v>
      </c>
      <c r="L8" s="1296" t="s">
        <v>2075</v>
      </c>
      <c r="M8" s="1296"/>
      <c r="N8" s="1296"/>
      <c r="O8" s="1296" t="s">
        <v>2075</v>
      </c>
      <c r="P8" s="1296"/>
      <c r="Q8" s="1296"/>
      <c r="R8" s="1297" t="s">
        <v>2076</v>
      </c>
      <c r="S8" s="1298" t="s">
        <v>1965</v>
      </c>
    </row>
    <row r="9" spans="1:19" ht="45" customHeight="1">
      <c r="A9" s="1299" t="s">
        <v>2077</v>
      </c>
      <c r="B9" s="1283" t="s">
        <v>2078</v>
      </c>
      <c r="C9" s="1283" t="s">
        <v>12</v>
      </c>
      <c r="D9" s="1283" t="s">
        <v>13</v>
      </c>
      <c r="E9" s="1283" t="s">
        <v>1914</v>
      </c>
      <c r="F9" s="495"/>
      <c r="G9" s="1283" t="s">
        <v>2159</v>
      </c>
      <c r="H9" s="1284" t="s">
        <v>1714</v>
      </c>
      <c r="I9" s="1284" t="s">
        <v>1715</v>
      </c>
      <c r="J9" s="1284" t="s">
        <v>1716</v>
      </c>
      <c r="K9" s="1284" t="s">
        <v>1716</v>
      </c>
      <c r="L9" s="1296" t="s">
        <v>1511</v>
      </c>
      <c r="M9" s="1296"/>
      <c r="N9" s="1296"/>
      <c r="O9" s="1296" t="s">
        <v>45</v>
      </c>
      <c r="P9" s="1296"/>
      <c r="Q9" s="1296"/>
      <c r="R9" s="1297"/>
      <c r="S9" s="1298"/>
    </row>
    <row r="10" spans="1:19" ht="76.5" customHeight="1">
      <c r="A10" s="1299"/>
      <c r="B10" s="1283"/>
      <c r="C10" s="1283"/>
      <c r="D10" s="1283"/>
      <c r="E10" s="1283" t="s">
        <v>1914</v>
      </c>
      <c r="F10" s="495"/>
      <c r="G10" s="1283" t="s">
        <v>1915</v>
      </c>
      <c r="H10" s="1284"/>
      <c r="I10" s="1284"/>
      <c r="J10" s="1284"/>
      <c r="K10" s="1284"/>
      <c r="L10" s="496" t="s">
        <v>2080</v>
      </c>
      <c r="M10" s="496" t="s">
        <v>2081</v>
      </c>
      <c r="N10" s="496" t="s">
        <v>2082</v>
      </c>
      <c r="O10" s="496" t="s">
        <v>2080</v>
      </c>
      <c r="P10" s="496" t="s">
        <v>2081</v>
      </c>
      <c r="Q10" s="496" t="s">
        <v>2082</v>
      </c>
      <c r="R10" s="1297"/>
      <c r="S10" s="1298"/>
    </row>
    <row r="11" spans="1:19" s="502" customFormat="1" ht="26" customHeight="1">
      <c r="A11" s="494" t="s">
        <v>1961</v>
      </c>
      <c r="B11" s="495"/>
      <c r="C11" s="495"/>
      <c r="D11" s="495"/>
      <c r="E11" s="495"/>
      <c r="F11" s="495"/>
      <c r="G11" s="495"/>
      <c r="H11" s="497" t="s">
        <v>477</v>
      </c>
      <c r="I11" s="497" t="s">
        <v>477</v>
      </c>
      <c r="J11" s="498">
        <f>'DT04 (TM) 1 '!L17</f>
        <v>2538751590</v>
      </c>
      <c r="K11" s="498">
        <f>'Tổng hợp'!J16+'Vật tư đóng kiện Hoàng hà 090'!N11</f>
        <v>4285842911.8798904</v>
      </c>
      <c r="L11" s="499"/>
      <c r="M11" s="499"/>
      <c r="N11" s="499">
        <f>SUM(N12:N26)</f>
        <v>708322117</v>
      </c>
      <c r="O11" s="499"/>
      <c r="P11" s="499"/>
      <c r="Q11" s="499">
        <f>SUM(Q12:Q26)</f>
        <v>0</v>
      </c>
      <c r="R11" s="500"/>
      <c r="S11" s="501">
        <f>J11-K11-N11</f>
        <v>-2455413438.8798904</v>
      </c>
    </row>
    <row r="12" spans="1:19" ht="18.5">
      <c r="A12" s="629" t="s">
        <v>1030</v>
      </c>
      <c r="B12" s="507" t="s">
        <v>55</v>
      </c>
      <c r="C12" s="627" t="s">
        <v>1919</v>
      </c>
      <c r="D12" s="628" t="s">
        <v>43</v>
      </c>
      <c r="E12" s="504">
        <v>1</v>
      </c>
      <c r="F12" s="504">
        <v>24</v>
      </c>
      <c r="G12" s="505">
        <v>1884</v>
      </c>
      <c r="H12" s="506" t="s">
        <v>477</v>
      </c>
      <c r="I12" s="506" t="s">
        <v>477</v>
      </c>
      <c r="J12" s="506" t="s">
        <v>477</v>
      </c>
      <c r="K12" s="506" t="s">
        <v>477</v>
      </c>
      <c r="L12" s="508" t="s">
        <v>2084</v>
      </c>
      <c r="M12" s="509">
        <v>13636.36</v>
      </c>
      <c r="N12" s="509">
        <v>25690902</v>
      </c>
      <c r="O12" s="508" t="s">
        <v>2084</v>
      </c>
      <c r="P12" s="509">
        <v>13727.27</v>
      </c>
      <c r="Q12" s="509" t="s">
        <v>477</v>
      </c>
      <c r="R12" s="509" t="s">
        <v>1511</v>
      </c>
      <c r="S12" s="1338" t="s">
        <v>2154</v>
      </c>
    </row>
    <row r="13" spans="1:19" ht="18.5">
      <c r="A13" s="629" t="s">
        <v>1031</v>
      </c>
      <c r="B13" s="507" t="s">
        <v>56</v>
      </c>
      <c r="C13" s="627" t="s">
        <v>1921</v>
      </c>
      <c r="D13" s="628" t="s">
        <v>43</v>
      </c>
      <c r="E13" s="504">
        <v>1</v>
      </c>
      <c r="F13" s="504">
        <v>24</v>
      </c>
      <c r="G13" s="505">
        <v>2261</v>
      </c>
      <c r="H13" s="506" t="s">
        <v>477</v>
      </c>
      <c r="I13" s="506" t="s">
        <v>477</v>
      </c>
      <c r="J13" s="506" t="s">
        <v>477</v>
      </c>
      <c r="K13" s="506" t="s">
        <v>477</v>
      </c>
      <c r="L13" s="508" t="s">
        <v>2084</v>
      </c>
      <c r="M13" s="509">
        <v>13636.36</v>
      </c>
      <c r="N13" s="509">
        <v>30831810</v>
      </c>
      <c r="O13" s="508" t="s">
        <v>2084</v>
      </c>
      <c r="P13" s="509">
        <v>13727.27</v>
      </c>
      <c r="Q13" s="509" t="s">
        <v>477</v>
      </c>
      <c r="R13" s="509" t="s">
        <v>1511</v>
      </c>
      <c r="S13" s="1339"/>
    </row>
    <row r="14" spans="1:19" ht="18.5">
      <c r="A14" s="629" t="s">
        <v>1032</v>
      </c>
      <c r="B14" s="507" t="s">
        <v>1033</v>
      </c>
      <c r="C14" s="627" t="s">
        <v>1922</v>
      </c>
      <c r="D14" s="628" t="s">
        <v>43</v>
      </c>
      <c r="E14" s="504">
        <v>1</v>
      </c>
      <c r="F14" s="504">
        <v>12</v>
      </c>
      <c r="G14" s="505">
        <v>1507</v>
      </c>
      <c r="H14" s="506" t="s">
        <v>477</v>
      </c>
      <c r="I14" s="506" t="s">
        <v>477</v>
      </c>
      <c r="J14" s="506" t="s">
        <v>477</v>
      </c>
      <c r="K14" s="506" t="s">
        <v>477</v>
      </c>
      <c r="L14" s="508" t="s">
        <v>2084</v>
      </c>
      <c r="M14" s="509">
        <v>14000</v>
      </c>
      <c r="N14" s="509">
        <v>21098000</v>
      </c>
      <c r="O14" s="508" t="s">
        <v>2084</v>
      </c>
      <c r="P14" s="509">
        <v>14000</v>
      </c>
      <c r="Q14" s="509" t="s">
        <v>477</v>
      </c>
      <c r="R14" s="509" t="s">
        <v>1511</v>
      </c>
      <c r="S14" s="1339"/>
    </row>
    <row r="15" spans="1:19" ht="18.5">
      <c r="A15" s="629" t="s">
        <v>1034</v>
      </c>
      <c r="B15" s="507" t="s">
        <v>58</v>
      </c>
      <c r="C15" s="627" t="s">
        <v>1923</v>
      </c>
      <c r="D15" s="628" t="s">
        <v>43</v>
      </c>
      <c r="E15" s="504">
        <v>1</v>
      </c>
      <c r="F15" s="504">
        <v>24</v>
      </c>
      <c r="G15" s="505">
        <v>3768</v>
      </c>
      <c r="H15" s="506" t="s">
        <v>477</v>
      </c>
      <c r="I15" s="506" t="s">
        <v>477</v>
      </c>
      <c r="J15" s="506" t="s">
        <v>477</v>
      </c>
      <c r="K15" s="506" t="s">
        <v>477</v>
      </c>
      <c r="L15" s="508" t="s">
        <v>2084</v>
      </c>
      <c r="M15" s="509">
        <v>14181.82</v>
      </c>
      <c r="N15" s="509">
        <v>53437098</v>
      </c>
      <c r="O15" s="508" t="s">
        <v>2084</v>
      </c>
      <c r="P15" s="509">
        <v>14545.45</v>
      </c>
      <c r="Q15" s="509" t="s">
        <v>477</v>
      </c>
      <c r="R15" s="509" t="s">
        <v>1511</v>
      </c>
      <c r="S15" s="1339"/>
    </row>
    <row r="16" spans="1:19" ht="18.5">
      <c r="A16" s="630" t="s">
        <v>1041</v>
      </c>
      <c r="B16" s="507" t="s">
        <v>307</v>
      </c>
      <c r="C16" s="627" t="s">
        <v>1924</v>
      </c>
      <c r="D16" s="628" t="s">
        <v>43</v>
      </c>
      <c r="E16" s="504">
        <v>6</v>
      </c>
      <c r="F16" s="504">
        <v>72</v>
      </c>
      <c r="G16" s="505">
        <v>1699</v>
      </c>
      <c r="H16" s="506" t="s">
        <v>477</v>
      </c>
      <c r="I16" s="506" t="s">
        <v>477</v>
      </c>
      <c r="J16" s="506" t="s">
        <v>477</v>
      </c>
      <c r="K16" s="506" t="s">
        <v>477</v>
      </c>
      <c r="L16" s="508" t="s">
        <v>2084</v>
      </c>
      <c r="M16" s="509">
        <v>17545.45</v>
      </c>
      <c r="N16" s="509">
        <v>29809720</v>
      </c>
      <c r="O16" s="508" t="s">
        <v>2084</v>
      </c>
      <c r="P16" s="509">
        <v>17636.36</v>
      </c>
      <c r="Q16" s="509" t="s">
        <v>477</v>
      </c>
      <c r="R16" s="509" t="s">
        <v>1511</v>
      </c>
      <c r="S16" s="1339"/>
    </row>
    <row r="17" spans="1:19" ht="18.5">
      <c r="A17" s="629" t="s">
        <v>1042</v>
      </c>
      <c r="B17" s="507" t="s">
        <v>1043</v>
      </c>
      <c r="C17" s="627" t="s">
        <v>1925</v>
      </c>
      <c r="D17" s="628" t="s">
        <v>43</v>
      </c>
      <c r="E17" s="504">
        <v>12</v>
      </c>
      <c r="F17" s="504">
        <f>E17*12</f>
        <v>144</v>
      </c>
      <c r="G17" s="505">
        <v>7186</v>
      </c>
      <c r="H17" s="506" t="s">
        <v>477</v>
      </c>
      <c r="I17" s="506" t="s">
        <v>477</v>
      </c>
      <c r="J17" s="506" t="s">
        <v>477</v>
      </c>
      <c r="K17" s="506" t="s">
        <v>477</v>
      </c>
      <c r="L17" s="508" t="s">
        <v>2084</v>
      </c>
      <c r="M17" s="509">
        <v>17545.45</v>
      </c>
      <c r="N17" s="509">
        <v>126081604</v>
      </c>
      <c r="O17" s="508" t="s">
        <v>2084</v>
      </c>
      <c r="P17" s="509">
        <v>17636.36</v>
      </c>
      <c r="Q17" s="509" t="s">
        <v>477</v>
      </c>
      <c r="R17" s="509" t="s">
        <v>1511</v>
      </c>
      <c r="S17" s="1339"/>
    </row>
    <row r="18" spans="1:19" ht="18.5">
      <c r="A18" s="629" t="s">
        <v>1046</v>
      </c>
      <c r="B18" s="507" t="s">
        <v>1047</v>
      </c>
      <c r="C18" s="627" t="s">
        <v>1926</v>
      </c>
      <c r="D18" s="628" t="s">
        <v>43</v>
      </c>
      <c r="E18" s="504">
        <v>3</v>
      </c>
      <c r="F18" s="504">
        <f>E18*12</f>
        <v>36</v>
      </c>
      <c r="G18" s="505">
        <v>2585</v>
      </c>
      <c r="H18" s="506" t="s">
        <v>477</v>
      </c>
      <c r="I18" s="506" t="s">
        <v>477</v>
      </c>
      <c r="J18" s="506" t="s">
        <v>477</v>
      </c>
      <c r="K18" s="506" t="s">
        <v>477</v>
      </c>
      <c r="L18" s="508" t="s">
        <v>2084</v>
      </c>
      <c r="M18" s="509">
        <v>17545.45</v>
      </c>
      <c r="N18" s="509">
        <v>45354988</v>
      </c>
      <c r="O18" s="508" t="s">
        <v>2084</v>
      </c>
      <c r="P18" s="509">
        <v>17636.36</v>
      </c>
      <c r="Q18" s="509" t="s">
        <v>477</v>
      </c>
      <c r="R18" s="509" t="s">
        <v>1511</v>
      </c>
      <c r="S18" s="1339"/>
    </row>
    <row r="19" spans="1:19" ht="18.5">
      <c r="A19" s="629" t="s">
        <v>1048</v>
      </c>
      <c r="B19" s="507" t="s">
        <v>521</v>
      </c>
      <c r="C19" s="627" t="s">
        <v>1927</v>
      </c>
      <c r="D19" s="628" t="s">
        <v>43</v>
      </c>
      <c r="E19" s="504">
        <v>3.5</v>
      </c>
      <c r="F19" s="504">
        <f>E19*12</f>
        <v>42</v>
      </c>
      <c r="G19" s="505">
        <v>1306</v>
      </c>
      <c r="H19" s="506" t="s">
        <v>477</v>
      </c>
      <c r="I19" s="506" t="s">
        <v>477</v>
      </c>
      <c r="J19" s="506" t="s">
        <v>477</v>
      </c>
      <c r="K19" s="506" t="s">
        <v>477</v>
      </c>
      <c r="L19" s="508" t="s">
        <v>2084</v>
      </c>
      <c r="M19" s="509">
        <v>17545.45</v>
      </c>
      <c r="N19" s="509">
        <v>22914358</v>
      </c>
      <c r="O19" s="508" t="s">
        <v>2084</v>
      </c>
      <c r="P19" s="509">
        <v>17636.36</v>
      </c>
      <c r="Q19" s="509" t="s">
        <v>477</v>
      </c>
      <c r="R19" s="509" t="s">
        <v>1511</v>
      </c>
      <c r="S19" s="1339"/>
    </row>
    <row r="20" spans="1:19" ht="18.5">
      <c r="A20" s="630" t="s">
        <v>1056</v>
      </c>
      <c r="B20" s="507" t="s">
        <v>444</v>
      </c>
      <c r="C20" s="627" t="s">
        <v>1928</v>
      </c>
      <c r="D20" s="628" t="s">
        <v>43</v>
      </c>
      <c r="E20" s="504">
        <v>8</v>
      </c>
      <c r="F20" s="504">
        <v>96</v>
      </c>
      <c r="G20" s="505">
        <v>2909</v>
      </c>
      <c r="H20" s="506" t="s">
        <v>477</v>
      </c>
      <c r="I20" s="506" t="s">
        <v>477</v>
      </c>
      <c r="J20" s="506" t="s">
        <v>477</v>
      </c>
      <c r="K20" s="506" t="s">
        <v>477</v>
      </c>
      <c r="L20" s="508" t="s">
        <v>2084</v>
      </c>
      <c r="M20" s="509">
        <v>17545.45</v>
      </c>
      <c r="N20" s="509">
        <v>51039714</v>
      </c>
      <c r="O20" s="508" t="s">
        <v>2084</v>
      </c>
      <c r="P20" s="509">
        <v>17500</v>
      </c>
      <c r="Q20" s="509" t="s">
        <v>477</v>
      </c>
      <c r="R20" s="509" t="s">
        <v>1511</v>
      </c>
      <c r="S20" s="1339"/>
    </row>
    <row r="21" spans="1:19" ht="18.5">
      <c r="A21" s="630" t="s">
        <v>1057</v>
      </c>
      <c r="B21" s="507" t="s">
        <v>1058</v>
      </c>
      <c r="C21" s="627" t="s">
        <v>1929</v>
      </c>
      <c r="D21" s="628" t="s">
        <v>43</v>
      </c>
      <c r="E21" s="504">
        <v>35</v>
      </c>
      <c r="F21" s="504">
        <v>420</v>
      </c>
      <c r="G21" s="505">
        <v>14532</v>
      </c>
      <c r="H21" s="506" t="s">
        <v>477</v>
      </c>
      <c r="I21" s="506" t="s">
        <v>477</v>
      </c>
      <c r="J21" s="506" t="s">
        <v>477</v>
      </c>
      <c r="K21" s="506" t="s">
        <v>477</v>
      </c>
      <c r="L21" s="508" t="s">
        <v>2084</v>
      </c>
      <c r="M21" s="509">
        <v>17545.45</v>
      </c>
      <c r="N21" s="509">
        <v>254970479</v>
      </c>
      <c r="O21" s="508" t="s">
        <v>2160</v>
      </c>
      <c r="P21" s="509" t="s">
        <v>477</v>
      </c>
      <c r="Q21" s="509" t="s">
        <v>477</v>
      </c>
      <c r="R21" s="509" t="s">
        <v>1511</v>
      </c>
      <c r="S21" s="1339"/>
    </row>
    <row r="22" spans="1:19" ht="18.5">
      <c r="A22" s="629" t="s">
        <v>1061</v>
      </c>
      <c r="B22" s="507" t="s">
        <v>317</v>
      </c>
      <c r="C22" s="627" t="s">
        <v>1930</v>
      </c>
      <c r="D22" s="628" t="s">
        <v>43</v>
      </c>
      <c r="E22" s="504">
        <v>1</v>
      </c>
      <c r="F22" s="504">
        <v>12</v>
      </c>
      <c r="G22" s="505">
        <v>457</v>
      </c>
      <c r="H22" s="506" t="s">
        <v>477</v>
      </c>
      <c r="I22" s="506" t="s">
        <v>477</v>
      </c>
      <c r="J22" s="506" t="s">
        <v>477</v>
      </c>
      <c r="K22" s="506" t="s">
        <v>477</v>
      </c>
      <c r="L22" s="508" t="s">
        <v>2084</v>
      </c>
      <c r="M22" s="509">
        <v>17545.45</v>
      </c>
      <c r="N22" s="509">
        <v>8018271</v>
      </c>
      <c r="O22" s="508" t="s">
        <v>2084</v>
      </c>
      <c r="P22" s="509">
        <v>17772.73</v>
      </c>
      <c r="Q22" s="509" t="s">
        <v>477</v>
      </c>
      <c r="R22" s="509" t="s">
        <v>1511</v>
      </c>
      <c r="S22" s="1339"/>
    </row>
    <row r="23" spans="1:19" ht="18.5">
      <c r="A23" s="630" t="s">
        <v>1064</v>
      </c>
      <c r="B23" s="507" t="s">
        <v>698</v>
      </c>
      <c r="C23" s="627" t="s">
        <v>1931</v>
      </c>
      <c r="D23" s="628" t="s">
        <v>43</v>
      </c>
      <c r="E23" s="504">
        <v>11</v>
      </c>
      <c r="F23" s="504">
        <v>132</v>
      </c>
      <c r="G23" s="505">
        <v>1769</v>
      </c>
      <c r="H23" s="506" t="s">
        <v>477</v>
      </c>
      <c r="I23" s="506" t="s">
        <v>477</v>
      </c>
      <c r="J23" s="506" t="s">
        <v>477</v>
      </c>
      <c r="K23" s="506" t="s">
        <v>477</v>
      </c>
      <c r="L23" s="508" t="s">
        <v>2084</v>
      </c>
      <c r="M23" s="509">
        <v>17545.45</v>
      </c>
      <c r="N23" s="509">
        <v>31037901</v>
      </c>
      <c r="O23" s="508" t="s">
        <v>2160</v>
      </c>
      <c r="P23" s="509" t="s">
        <v>477</v>
      </c>
      <c r="Q23" s="509" t="s">
        <v>477</v>
      </c>
      <c r="R23" s="509" t="s">
        <v>1511</v>
      </c>
      <c r="S23" s="1339"/>
    </row>
    <row r="24" spans="1:19" ht="18.5">
      <c r="A24" s="629" t="s">
        <v>1066</v>
      </c>
      <c r="B24" s="507" t="s">
        <v>1067</v>
      </c>
      <c r="C24" s="627" t="s">
        <v>1932</v>
      </c>
      <c r="D24" s="628" t="s">
        <v>43</v>
      </c>
      <c r="E24" s="504">
        <v>1</v>
      </c>
      <c r="F24" s="504">
        <v>6</v>
      </c>
      <c r="G24" s="505">
        <v>138</v>
      </c>
      <c r="H24" s="506" t="s">
        <v>477</v>
      </c>
      <c r="I24" s="506" t="s">
        <v>477</v>
      </c>
      <c r="J24" s="506" t="s">
        <v>477</v>
      </c>
      <c r="K24" s="506" t="s">
        <v>477</v>
      </c>
      <c r="L24" s="508" t="s">
        <v>2084</v>
      </c>
      <c r="M24" s="509">
        <v>15909.09</v>
      </c>
      <c r="N24" s="509">
        <v>2195454</v>
      </c>
      <c r="O24" s="508" t="s">
        <v>2160</v>
      </c>
      <c r="P24" s="509" t="s">
        <v>477</v>
      </c>
      <c r="Q24" s="509" t="s">
        <v>477</v>
      </c>
      <c r="R24" s="509" t="s">
        <v>1511</v>
      </c>
      <c r="S24" s="1339"/>
    </row>
    <row r="25" spans="1:19" ht="18.5">
      <c r="A25" s="629" t="s">
        <v>1068</v>
      </c>
      <c r="B25" s="507" t="s">
        <v>1069</v>
      </c>
      <c r="C25" s="627" t="s">
        <v>1933</v>
      </c>
      <c r="D25" s="628" t="s">
        <v>43</v>
      </c>
      <c r="E25" s="504">
        <v>3</v>
      </c>
      <c r="F25" s="504">
        <v>18</v>
      </c>
      <c r="G25" s="505">
        <v>173</v>
      </c>
      <c r="H25" s="506" t="s">
        <v>477</v>
      </c>
      <c r="I25" s="506" t="s">
        <v>477</v>
      </c>
      <c r="J25" s="506" t="s">
        <v>477</v>
      </c>
      <c r="K25" s="506" t="s">
        <v>477</v>
      </c>
      <c r="L25" s="508" t="s">
        <v>2084</v>
      </c>
      <c r="M25" s="509">
        <v>13909.09</v>
      </c>
      <c r="N25" s="509">
        <v>2406273</v>
      </c>
      <c r="O25" s="508" t="s">
        <v>2084</v>
      </c>
      <c r="P25" s="509">
        <v>14181.82</v>
      </c>
      <c r="Q25" s="509" t="s">
        <v>477</v>
      </c>
      <c r="R25" s="509" t="s">
        <v>1511</v>
      </c>
      <c r="S25" s="1339"/>
    </row>
    <row r="26" spans="1:19" ht="18.5">
      <c r="A26" s="629" t="s">
        <v>1070</v>
      </c>
      <c r="B26" s="507" t="s">
        <v>1071</v>
      </c>
      <c r="C26" s="627" t="s">
        <v>1934</v>
      </c>
      <c r="D26" s="628" t="s">
        <v>43</v>
      </c>
      <c r="E26" s="504">
        <v>3</v>
      </c>
      <c r="F26" s="504">
        <v>36</v>
      </c>
      <c r="G26" s="505">
        <v>247</v>
      </c>
      <c r="H26" s="506" t="s">
        <v>477</v>
      </c>
      <c r="I26" s="506" t="s">
        <v>477</v>
      </c>
      <c r="J26" s="506" t="s">
        <v>477</v>
      </c>
      <c r="K26" s="506" t="s">
        <v>477</v>
      </c>
      <c r="L26" s="508" t="s">
        <v>2084</v>
      </c>
      <c r="M26" s="509">
        <v>13909.09</v>
      </c>
      <c r="N26" s="509">
        <v>3435545</v>
      </c>
      <c r="O26" s="508" t="s">
        <v>2084</v>
      </c>
      <c r="P26" s="509">
        <v>14181.82</v>
      </c>
      <c r="Q26" s="509" t="s">
        <v>477</v>
      </c>
      <c r="R26" s="509" t="s">
        <v>1511</v>
      </c>
      <c r="S26" s="1339"/>
    </row>
    <row r="27" spans="1:19" s="518" customFormat="1">
      <c r="A27" s="619"/>
      <c r="B27" s="620" t="s">
        <v>2107</v>
      </c>
      <c r="C27" s="621"/>
      <c r="D27" s="622"/>
      <c r="E27" s="622"/>
      <c r="F27" s="622"/>
      <c r="G27" s="622"/>
      <c r="H27" s="622"/>
      <c r="I27" s="623"/>
      <c r="J27" s="623"/>
      <c r="K27" s="623"/>
      <c r="L27" s="624"/>
      <c r="M27" s="625"/>
      <c r="N27" s="625"/>
      <c r="O27" s="625"/>
      <c r="P27" s="625"/>
      <c r="Q27" s="625"/>
      <c r="R27" s="625"/>
      <c r="S27" s="626"/>
    </row>
    <row r="28" spans="1:19" ht="15.5" hidden="1" customHeight="1">
      <c r="A28" s="519" t="s">
        <v>2108</v>
      </c>
      <c r="B28" s="520" t="s">
        <v>2109</v>
      </c>
      <c r="C28" s="521"/>
      <c r="D28" s="521"/>
      <c r="E28" s="521"/>
      <c r="F28" s="521"/>
      <c r="G28" s="521"/>
      <c r="H28" s="521"/>
      <c r="I28" s="507"/>
      <c r="J28" s="514"/>
      <c r="K28" s="514"/>
      <c r="L28" s="515"/>
      <c r="M28" s="522"/>
      <c r="N28" s="522"/>
      <c r="O28" s="522"/>
      <c r="P28" s="522"/>
      <c r="Q28" s="522"/>
      <c r="R28" s="522"/>
      <c r="S28" s="523"/>
    </row>
    <row r="29" spans="1:19" ht="15.5" hidden="1" customHeight="1">
      <c r="A29" s="524">
        <v>1</v>
      </c>
      <c r="B29" s="525" t="s">
        <v>2110</v>
      </c>
      <c r="C29" s="526" t="s">
        <v>1725</v>
      </c>
      <c r="D29" s="526"/>
      <c r="E29" s="526"/>
      <c r="F29" s="526"/>
      <c r="G29" s="526"/>
      <c r="H29" s="526"/>
      <c r="I29" s="507"/>
      <c r="J29" s="514"/>
      <c r="K29" s="514"/>
      <c r="L29" s="515"/>
      <c r="M29" s="522"/>
      <c r="N29" s="522"/>
      <c r="O29" s="522"/>
      <c r="P29" s="522"/>
      <c r="Q29" s="522"/>
      <c r="R29" s="522"/>
      <c r="S29" s="523"/>
    </row>
    <row r="30" spans="1:19" ht="15.5" hidden="1" customHeight="1">
      <c r="A30" s="524">
        <v>2</v>
      </c>
      <c r="B30" s="525" t="s">
        <v>2110</v>
      </c>
      <c r="C30" s="527"/>
      <c r="D30" s="527"/>
      <c r="E30" s="527"/>
      <c r="F30" s="527"/>
      <c r="G30" s="527"/>
      <c r="H30" s="527"/>
      <c r="I30" s="507"/>
      <c r="J30" s="514"/>
      <c r="K30" s="514"/>
      <c r="L30" s="515"/>
      <c r="M30" s="522"/>
      <c r="N30" s="522"/>
      <c r="O30" s="522"/>
      <c r="P30" s="522"/>
      <c r="Q30" s="522"/>
      <c r="R30" s="522"/>
      <c r="S30" s="523"/>
    </row>
    <row r="31" spans="1:19" ht="15.5" hidden="1" customHeight="1">
      <c r="A31" s="519" t="s">
        <v>2111</v>
      </c>
      <c r="B31" s="520" t="s">
        <v>2112</v>
      </c>
      <c r="C31" s="528" t="s">
        <v>2113</v>
      </c>
      <c r="D31" s="528" t="s">
        <v>2114</v>
      </c>
      <c r="E31" s="528"/>
      <c r="F31" s="528"/>
      <c r="G31" s="528"/>
      <c r="H31" s="528"/>
      <c r="I31" s="507"/>
      <c r="J31" s="514"/>
      <c r="K31" s="514"/>
      <c r="L31" s="515"/>
      <c r="M31" s="522"/>
      <c r="N31" s="522"/>
      <c r="O31" s="522"/>
      <c r="P31" s="522"/>
      <c r="Q31" s="522"/>
      <c r="R31" s="522"/>
      <c r="S31" s="523"/>
    </row>
    <row r="32" spans="1:19" ht="15.5" hidden="1" customHeight="1">
      <c r="A32" s="524">
        <v>1</v>
      </c>
      <c r="B32" s="525" t="s">
        <v>2115</v>
      </c>
      <c r="C32" s="527"/>
      <c r="D32" s="526"/>
      <c r="E32" s="526"/>
      <c r="F32" s="526"/>
      <c r="G32" s="526"/>
      <c r="H32" s="526"/>
      <c r="I32" s="507"/>
      <c r="J32" s="514"/>
      <c r="K32" s="514"/>
      <c r="L32" s="515"/>
      <c r="M32" s="522"/>
      <c r="N32" s="522"/>
      <c r="O32" s="522"/>
      <c r="P32" s="522"/>
      <c r="Q32" s="522"/>
      <c r="R32" s="522"/>
      <c r="S32" s="523"/>
    </row>
    <row r="33" spans="1:19" ht="15.5" hidden="1" customHeight="1">
      <c r="A33" s="524"/>
      <c r="B33" s="525"/>
      <c r="C33" s="527"/>
      <c r="D33" s="527"/>
      <c r="E33" s="527"/>
      <c r="F33" s="527"/>
      <c r="G33" s="527"/>
      <c r="H33" s="527"/>
      <c r="I33" s="507"/>
      <c r="J33" s="514"/>
      <c r="K33" s="514"/>
      <c r="L33" s="515"/>
      <c r="M33" s="522"/>
      <c r="N33" s="522"/>
      <c r="O33" s="522"/>
      <c r="P33" s="522"/>
      <c r="Q33" s="522"/>
      <c r="R33" s="522"/>
      <c r="S33" s="523"/>
    </row>
    <row r="34" spans="1:19" hidden="1">
      <c r="A34" s="529" t="s">
        <v>2116</v>
      </c>
      <c r="B34" s="525" t="s">
        <v>2117</v>
      </c>
      <c r="C34" s="530"/>
      <c r="D34" s="530"/>
      <c r="E34" s="530"/>
      <c r="F34" s="530"/>
      <c r="G34" s="530"/>
      <c r="H34" s="530"/>
      <c r="I34" s="507"/>
      <c r="J34" s="514"/>
      <c r="K34" s="514"/>
      <c r="L34" s="515"/>
      <c r="M34" s="522"/>
      <c r="N34" s="522"/>
      <c r="O34" s="522"/>
      <c r="P34" s="522"/>
      <c r="Q34" s="522"/>
      <c r="R34" s="522"/>
      <c r="S34" s="523"/>
    </row>
    <row r="35" spans="1:19" hidden="1">
      <c r="A35" s="524">
        <v>1</v>
      </c>
      <c r="B35" s="525" t="s">
        <v>2118</v>
      </c>
      <c r="C35" s="527"/>
      <c r="D35" s="526"/>
      <c r="E35" s="526"/>
      <c r="F35" s="526"/>
      <c r="G35" s="526"/>
      <c r="H35" s="526"/>
      <c r="I35" s="507"/>
      <c r="J35" s="514"/>
      <c r="K35" s="514"/>
      <c r="L35" s="515"/>
      <c r="M35" s="522"/>
      <c r="N35" s="522"/>
      <c r="O35" s="522"/>
      <c r="P35" s="522"/>
      <c r="Q35" s="522"/>
      <c r="R35" s="522"/>
      <c r="S35" s="523"/>
    </row>
    <row r="36" spans="1:19" hidden="1">
      <c r="A36" s="524"/>
      <c r="B36" s="525" t="s">
        <v>2115</v>
      </c>
      <c r="C36" s="527"/>
      <c r="D36" s="526"/>
      <c r="E36" s="526"/>
      <c r="F36" s="526"/>
      <c r="G36" s="526"/>
      <c r="H36" s="526"/>
      <c r="I36" s="507"/>
      <c r="J36" s="514"/>
      <c r="K36" s="514"/>
      <c r="L36" s="515"/>
      <c r="M36" s="522"/>
      <c r="N36" s="522"/>
      <c r="O36" s="522"/>
      <c r="P36" s="522"/>
      <c r="Q36" s="522"/>
      <c r="R36" s="522"/>
      <c r="S36" s="523"/>
    </row>
    <row r="37" spans="1:19" ht="70" hidden="1">
      <c r="A37" s="519" t="s">
        <v>2084</v>
      </c>
      <c r="B37" s="520" t="s">
        <v>2119</v>
      </c>
      <c r="C37" s="521"/>
      <c r="D37" s="521"/>
      <c r="E37" s="521"/>
      <c r="F37" s="521"/>
      <c r="G37" s="521"/>
      <c r="H37" s="521"/>
      <c r="I37" s="507"/>
      <c r="J37" s="514"/>
      <c r="K37" s="514"/>
      <c r="L37" s="515"/>
      <c r="M37" s="522"/>
      <c r="N37" s="522"/>
      <c r="O37" s="522"/>
      <c r="P37" s="522"/>
      <c r="Q37" s="522"/>
      <c r="R37" s="522"/>
      <c r="S37" s="523"/>
    </row>
    <row r="38" spans="1:19" s="518" customFormat="1">
      <c r="A38" s="510"/>
      <c r="B38" s="511" t="s">
        <v>2120</v>
      </c>
      <c r="C38" s="512"/>
      <c r="D38" s="513"/>
      <c r="E38" s="513"/>
      <c r="F38" s="513"/>
      <c r="G38" s="513"/>
      <c r="H38" s="513"/>
      <c r="I38" s="514"/>
      <c r="J38" s="514"/>
      <c r="K38" s="514"/>
      <c r="L38" s="515"/>
      <c r="M38" s="531">
        <v>1</v>
      </c>
      <c r="N38" s="531"/>
      <c r="O38" s="531"/>
      <c r="P38" s="531">
        <v>2</v>
      </c>
      <c r="Q38" s="531"/>
      <c r="R38" s="531"/>
      <c r="S38" s="517"/>
    </row>
    <row r="39" spans="1:19" ht="34.5" customHeight="1">
      <c r="A39" s="540" t="s">
        <v>2155</v>
      </c>
      <c r="S39" s="489"/>
    </row>
    <row r="40" spans="1:19" ht="55.25" customHeight="1">
      <c r="A40" s="1282" t="s">
        <v>2161</v>
      </c>
      <c r="B40" s="1278"/>
      <c r="C40" s="1278" t="s">
        <v>2162</v>
      </c>
      <c r="D40" s="1278"/>
      <c r="E40" s="532"/>
      <c r="F40" s="532"/>
      <c r="G40" s="1280" t="s">
        <v>2123</v>
      </c>
      <c r="H40" s="1280"/>
      <c r="I40" s="1280"/>
      <c r="J40" s="1280"/>
      <c r="K40" s="1280"/>
      <c r="L40" s="1280"/>
      <c r="M40" s="1280"/>
      <c r="N40" s="533"/>
      <c r="O40" s="533"/>
      <c r="P40" s="533"/>
      <c r="Q40" s="533"/>
      <c r="R40" s="533"/>
      <c r="S40" s="489"/>
    </row>
    <row r="41" spans="1:19" s="736" customFormat="1" ht="43" customHeight="1">
      <c r="A41" s="733"/>
      <c r="B41" s="734"/>
      <c r="C41" s="734"/>
      <c r="D41" s="735"/>
      <c r="E41" s="735"/>
      <c r="F41" s="735"/>
      <c r="G41" s="1342" t="s">
        <v>2124</v>
      </c>
      <c r="H41" s="1342"/>
      <c r="I41" s="1343" t="s">
        <v>2125</v>
      </c>
      <c r="J41" s="1343"/>
      <c r="K41" s="731"/>
      <c r="L41" s="1280" t="s">
        <v>2126</v>
      </c>
      <c r="M41" s="1280"/>
      <c r="S41" s="737"/>
    </row>
    <row r="42" spans="1:19">
      <c r="A42" s="490"/>
      <c r="S42" s="489"/>
    </row>
    <row r="43" spans="1:19">
      <c r="A43" s="490"/>
      <c r="S43" s="489"/>
    </row>
    <row r="44" spans="1:19" ht="231.5" customHeight="1" thickBot="1">
      <c r="A44" s="536"/>
      <c r="B44" s="537"/>
      <c r="C44" s="537"/>
      <c r="D44" s="537"/>
      <c r="E44" s="537"/>
      <c r="F44" s="537"/>
      <c r="G44" s="537"/>
      <c r="H44" s="537"/>
      <c r="I44" s="537"/>
      <c r="J44" s="537"/>
      <c r="K44" s="537"/>
      <c r="L44" s="538"/>
      <c r="M44" s="537"/>
      <c r="N44" s="537"/>
      <c r="O44" s="537"/>
      <c r="P44" s="537"/>
      <c r="Q44" s="537"/>
      <c r="R44" s="537"/>
      <c r="S44" s="539"/>
    </row>
    <row r="45" spans="1:19" ht="167" hidden="1" customHeight="1" thickBot="1">
      <c r="A45" s="536"/>
      <c r="B45" s="537"/>
      <c r="C45" s="537"/>
      <c r="D45" s="537"/>
      <c r="E45" s="537"/>
      <c r="F45" s="537"/>
      <c r="G45" s="537"/>
      <c r="H45" s="537"/>
      <c r="I45" s="537"/>
      <c r="J45" s="537"/>
      <c r="K45" s="537"/>
      <c r="L45" s="538"/>
      <c r="M45" s="537"/>
      <c r="N45" s="537"/>
      <c r="O45" s="537"/>
      <c r="P45" s="537"/>
      <c r="Q45" s="537"/>
      <c r="R45" s="537"/>
      <c r="S45" s="539"/>
    </row>
  </sheetData>
  <mergeCells count="27">
    <mergeCell ref="G41:H41"/>
    <mergeCell ref="I41:J41"/>
    <mergeCell ref="L41:M41"/>
    <mergeCell ref="O8:Q8"/>
    <mergeCell ref="O9:Q9"/>
    <mergeCell ref="J9:J10"/>
    <mergeCell ref="K9:K10"/>
    <mergeCell ref="L9:N9"/>
    <mergeCell ref="S12:S26"/>
    <mergeCell ref="A40:B40"/>
    <mergeCell ref="C40:D40"/>
    <mergeCell ref="G40:M40"/>
    <mergeCell ref="D9:D10"/>
    <mergeCell ref="E9:E10"/>
    <mergeCell ref="G9:G10"/>
    <mergeCell ref="H9:H10"/>
    <mergeCell ref="I9:I10"/>
    <mergeCell ref="A1:S2"/>
    <mergeCell ref="B5:L6"/>
    <mergeCell ref="C8:G8"/>
    <mergeCell ref="H8:J8"/>
    <mergeCell ref="L8:N8"/>
    <mergeCell ref="R8:R10"/>
    <mergeCell ref="S8:S10"/>
    <mergeCell ref="A9:A10"/>
    <mergeCell ref="B9:B10"/>
    <mergeCell ref="C9:C10"/>
  </mergeCells>
  <conditionalFormatting sqref="A12:A23">
    <cfRule type="duplicateValues" dxfId="46" priority="2"/>
  </conditionalFormatting>
  <conditionalFormatting sqref="A24:A26">
    <cfRule type="duplicateValues" dxfId="45" priority="1"/>
  </conditionalFormatting>
  <pageMargins left="0.42" right="0.42" top="0.3" bottom="0.5" header="0.17" footer="0.17"/>
  <pageSetup paperSize="9" scale="45" fitToHeight="1111" orientation="landscape" r:id="rId1"/>
  <headerFooter>
    <oddFoote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B92E-D454-4470-8419-E9599D4FD58C}">
  <sheetPr>
    <pageSetUpPr fitToPage="1"/>
  </sheetPr>
  <dimension ref="A1:P40"/>
  <sheetViews>
    <sheetView view="pageBreakPreview" zoomScale="55" zoomScaleNormal="55" zoomScaleSheetLayoutView="55" workbookViewId="0">
      <selection activeCell="K11" sqref="K11"/>
    </sheetView>
  </sheetViews>
  <sheetFormatPr defaultColWidth="9.796875" defaultRowHeight="18"/>
  <cols>
    <col min="1" max="1" width="16.19921875" style="491" bestFit="1" customWidth="1"/>
    <col min="2" max="2" width="22.19921875" style="476" customWidth="1"/>
    <col min="3" max="3" width="25.69921875" style="476" customWidth="1"/>
    <col min="4" max="4" width="15.3984375" style="476" customWidth="1"/>
    <col min="5" max="5" width="20.5" style="476" bestFit="1" customWidth="1"/>
    <col min="6" max="6" width="11" style="476" customWidth="1"/>
    <col min="7" max="7" width="14.296875" style="476" customWidth="1"/>
    <col min="8" max="8" width="11" style="476" customWidth="1"/>
    <col min="9" max="9" width="12.5" style="476" customWidth="1"/>
    <col min="10" max="10" width="20.59765625" style="476" customWidth="1"/>
    <col min="11" max="11" width="23.19921875" style="476" customWidth="1"/>
    <col min="12" max="12" width="10.09765625" style="491" customWidth="1"/>
    <col min="13" max="13" width="11.19921875" style="476" bestFit="1" customWidth="1"/>
    <col min="14" max="14" width="17.59765625" style="476" customWidth="1"/>
    <col min="15" max="15" width="15.69921875" style="476" customWidth="1"/>
    <col min="16" max="16" width="37" style="476" customWidth="1"/>
    <col min="17" max="16384" width="9.796875" style="476"/>
  </cols>
  <sheetData>
    <row r="1" spans="1:16" ht="51.65" customHeight="1">
      <c r="A1" s="1285" t="s">
        <v>2065</v>
      </c>
      <c r="B1" s="1286"/>
      <c r="C1" s="1286"/>
      <c r="D1" s="1286"/>
      <c r="E1" s="1286"/>
      <c r="F1" s="1286"/>
      <c r="G1" s="1286"/>
      <c r="H1" s="1286"/>
      <c r="I1" s="1286"/>
      <c r="J1" s="1286"/>
      <c r="K1" s="1286"/>
      <c r="L1" s="1286"/>
      <c r="M1" s="1286"/>
      <c r="N1" s="1286"/>
      <c r="O1" s="1286"/>
      <c r="P1" s="1287"/>
    </row>
    <row r="2" spans="1:16">
      <c r="A2" s="1288"/>
      <c r="B2" s="1289"/>
      <c r="C2" s="1289"/>
      <c r="D2" s="1289"/>
      <c r="E2" s="1289"/>
      <c r="F2" s="1289"/>
      <c r="G2" s="1289"/>
      <c r="H2" s="1289"/>
      <c r="I2" s="1289"/>
      <c r="J2" s="1289"/>
      <c r="K2" s="1289"/>
      <c r="L2" s="1289"/>
      <c r="M2" s="1289"/>
      <c r="N2" s="1289"/>
      <c r="O2" s="1289"/>
      <c r="P2" s="1290"/>
    </row>
    <row r="3" spans="1:16" ht="15" customHeight="1">
      <c r="A3" s="477" t="s">
        <v>2066</v>
      </c>
      <c r="B3" s="478" t="s">
        <v>2156</v>
      </c>
      <c r="C3" s="479"/>
      <c r="D3" s="479"/>
      <c r="E3" s="479"/>
      <c r="F3" s="479"/>
      <c r="G3" s="479"/>
      <c r="H3" s="479"/>
      <c r="I3" s="480"/>
      <c r="J3" s="480"/>
      <c r="K3" s="480"/>
      <c r="L3" s="481"/>
      <c r="M3" s="480"/>
      <c r="N3" s="480"/>
      <c r="O3" s="480"/>
      <c r="P3" s="482"/>
    </row>
    <row r="4" spans="1:16" ht="15" customHeight="1">
      <c r="A4" s="483" t="s">
        <v>2067</v>
      </c>
      <c r="B4" s="484"/>
      <c r="C4" s="485"/>
      <c r="D4" s="485"/>
      <c r="E4" s="485"/>
      <c r="F4" s="485"/>
      <c r="G4" s="485"/>
      <c r="H4" s="485"/>
      <c r="I4" s="486"/>
      <c r="J4" s="486"/>
      <c r="K4" s="486"/>
      <c r="L4" s="487"/>
      <c r="M4" s="486"/>
      <c r="N4" s="486"/>
      <c r="O4" s="486"/>
      <c r="P4" s="488"/>
    </row>
    <row r="5" spans="1:16" ht="15" customHeight="1">
      <c r="A5" s="477" t="s">
        <v>2068</v>
      </c>
      <c r="B5" s="1291" t="s">
        <v>2157</v>
      </c>
      <c r="C5" s="1292"/>
      <c r="D5" s="1292"/>
      <c r="E5" s="1292"/>
      <c r="F5" s="1292"/>
      <c r="G5" s="1292"/>
      <c r="H5" s="1292"/>
      <c r="I5" s="1292"/>
      <c r="J5" s="1292"/>
      <c r="K5" s="1292"/>
      <c r="L5" s="1292"/>
      <c r="M5" s="480"/>
      <c r="P5" s="489"/>
    </row>
    <row r="6" spans="1:16" ht="15" customHeight="1">
      <c r="A6" s="483" t="s">
        <v>2069</v>
      </c>
      <c r="B6" s="1293"/>
      <c r="C6" s="1294"/>
      <c r="D6" s="1294"/>
      <c r="E6" s="1294"/>
      <c r="F6" s="1294"/>
      <c r="G6" s="1294"/>
      <c r="H6" s="1294"/>
      <c r="I6" s="1294"/>
      <c r="J6" s="1294"/>
      <c r="K6" s="1294"/>
      <c r="L6" s="1294"/>
      <c r="M6" s="486"/>
      <c r="N6" s="486"/>
      <c r="O6" s="486"/>
      <c r="P6" s="488"/>
    </row>
    <row r="7" spans="1:16">
      <c r="A7" s="490"/>
      <c r="P7" s="489"/>
    </row>
    <row r="8" spans="1:16" ht="62.5" customHeight="1">
      <c r="A8" s="492" t="s">
        <v>2070</v>
      </c>
      <c r="B8" s="493" t="s">
        <v>2071</v>
      </c>
      <c r="C8" s="1295" t="s">
        <v>2072</v>
      </c>
      <c r="D8" s="1295"/>
      <c r="E8" s="1295"/>
      <c r="F8" s="1295"/>
      <c r="G8" s="1295"/>
      <c r="H8" s="1295" t="s">
        <v>2073</v>
      </c>
      <c r="I8" s="1295"/>
      <c r="J8" s="1295"/>
      <c r="K8" s="493" t="s">
        <v>2074</v>
      </c>
      <c r="L8" s="1296" t="s">
        <v>2075</v>
      </c>
      <c r="M8" s="1296"/>
      <c r="N8" s="1296"/>
      <c r="O8" s="1297" t="s">
        <v>2076</v>
      </c>
      <c r="P8" s="1298" t="s">
        <v>1965</v>
      </c>
    </row>
    <row r="9" spans="1:16" ht="45" customHeight="1">
      <c r="A9" s="1299" t="s">
        <v>2077</v>
      </c>
      <c r="B9" s="1283" t="s">
        <v>2078</v>
      </c>
      <c r="C9" s="1283" t="s">
        <v>12</v>
      </c>
      <c r="D9" s="1283" t="s">
        <v>13</v>
      </c>
      <c r="E9" s="1283" t="s">
        <v>2079</v>
      </c>
      <c r="F9" s="1283" t="s">
        <v>227</v>
      </c>
      <c r="G9" s="1283" t="s">
        <v>229</v>
      </c>
      <c r="H9" s="1284" t="s">
        <v>1714</v>
      </c>
      <c r="I9" s="1284" t="s">
        <v>1715</v>
      </c>
      <c r="J9" s="1284" t="s">
        <v>1716</v>
      </c>
      <c r="K9" s="1284" t="s">
        <v>1716</v>
      </c>
      <c r="L9" s="1296" t="s">
        <v>2042</v>
      </c>
      <c r="M9" s="1296"/>
      <c r="N9" s="1296"/>
      <c r="O9" s="1297"/>
      <c r="P9" s="1298"/>
    </row>
    <row r="10" spans="1:16" ht="76.5" customHeight="1">
      <c r="A10" s="1299"/>
      <c r="B10" s="1283"/>
      <c r="C10" s="1283"/>
      <c r="D10" s="1283"/>
      <c r="E10" s="1283"/>
      <c r="F10" s="1283"/>
      <c r="G10" s="1283"/>
      <c r="H10" s="1284"/>
      <c r="I10" s="1284"/>
      <c r="J10" s="1284"/>
      <c r="K10" s="1284"/>
      <c r="L10" s="496" t="s">
        <v>2080</v>
      </c>
      <c r="M10" s="496" t="s">
        <v>2081</v>
      </c>
      <c r="N10" s="496" t="s">
        <v>2082</v>
      </c>
      <c r="O10" s="1297"/>
      <c r="P10" s="1298"/>
    </row>
    <row r="11" spans="1:16" s="502" customFormat="1" ht="26" customHeight="1">
      <c r="A11" s="494" t="s">
        <v>1961</v>
      </c>
      <c r="B11" s="495"/>
      <c r="C11" s="495"/>
      <c r="D11" s="495"/>
      <c r="E11" s="495"/>
      <c r="F11" s="495"/>
      <c r="G11" s="495"/>
      <c r="H11" s="497" t="s">
        <v>477</v>
      </c>
      <c r="I11" s="497" t="s">
        <v>477</v>
      </c>
      <c r="J11" s="498">
        <f>'DT04 (TM) 1 '!L17</f>
        <v>2538751590</v>
      </c>
      <c r="K11" s="498">
        <f>'Tổng hợp'!J16-N11</f>
        <v>4203445701.8798904</v>
      </c>
      <c r="L11" s="499"/>
      <c r="M11" s="499"/>
      <c r="N11" s="499">
        <f>SUM(N12:N21)</f>
        <v>24533600</v>
      </c>
      <c r="O11" s="500"/>
      <c r="P11" s="501">
        <f>J11-K11-N11</f>
        <v>-1689227711.8798904</v>
      </c>
    </row>
    <row r="12" spans="1:16" ht="18.5">
      <c r="A12" s="995" t="s">
        <v>1787</v>
      </c>
      <c r="B12" s="986" t="s">
        <v>1985</v>
      </c>
      <c r="C12" s="986" t="s">
        <v>2013</v>
      </c>
      <c r="D12" s="986" t="s">
        <v>1987</v>
      </c>
      <c r="E12" s="503" t="s">
        <v>1233</v>
      </c>
      <c r="F12" s="504" t="s">
        <v>2587</v>
      </c>
      <c r="G12" s="505">
        <v>8</v>
      </c>
      <c r="H12" s="506" t="s">
        <v>477</v>
      </c>
      <c r="I12" s="506" t="s">
        <v>477</v>
      </c>
      <c r="J12" s="506" t="s">
        <v>477</v>
      </c>
      <c r="K12" s="507"/>
      <c r="L12" s="508" t="s">
        <v>2084</v>
      </c>
      <c r="M12" s="509">
        <v>12000</v>
      </c>
      <c r="N12" s="509">
        <v>96000</v>
      </c>
      <c r="O12" s="509" t="s">
        <v>2042</v>
      </c>
      <c r="P12" s="1338" t="s">
        <v>2154</v>
      </c>
    </row>
    <row r="13" spans="1:16" ht="18.5">
      <c r="A13" s="995" t="s">
        <v>1805</v>
      </c>
      <c r="B13" s="986" t="s">
        <v>2002</v>
      </c>
      <c r="C13" s="986" t="s">
        <v>2005</v>
      </c>
      <c r="D13" s="986" t="s">
        <v>1987</v>
      </c>
      <c r="E13" s="503" t="s">
        <v>2085</v>
      </c>
      <c r="F13" s="504" t="s">
        <v>2587</v>
      </c>
      <c r="G13" s="505">
        <v>8</v>
      </c>
      <c r="H13" s="506" t="s">
        <v>477</v>
      </c>
      <c r="I13" s="506" t="s">
        <v>477</v>
      </c>
      <c r="J13" s="506" t="s">
        <v>477</v>
      </c>
      <c r="K13" s="507"/>
      <c r="L13" s="508" t="s">
        <v>2084</v>
      </c>
      <c r="M13" s="509">
        <v>2900</v>
      </c>
      <c r="N13" s="509">
        <v>23200</v>
      </c>
      <c r="O13" s="509" t="s">
        <v>2042</v>
      </c>
      <c r="P13" s="1339"/>
    </row>
    <row r="14" spans="1:16" ht="18.5">
      <c r="A14" s="995" t="s">
        <v>1826</v>
      </c>
      <c r="B14" s="986" t="s">
        <v>2007</v>
      </c>
      <c r="C14" s="986" t="s">
        <v>2005</v>
      </c>
      <c r="D14" s="986" t="s">
        <v>1987</v>
      </c>
      <c r="E14" s="503" t="s">
        <v>1183</v>
      </c>
      <c r="F14" s="504" t="s">
        <v>2587</v>
      </c>
      <c r="G14" s="505">
        <v>16</v>
      </c>
      <c r="H14" s="506" t="s">
        <v>477</v>
      </c>
      <c r="I14" s="506" t="s">
        <v>477</v>
      </c>
      <c r="J14" s="506" t="s">
        <v>477</v>
      </c>
      <c r="K14" s="507"/>
      <c r="L14" s="508" t="s">
        <v>2084</v>
      </c>
      <c r="M14" s="509">
        <v>1050</v>
      </c>
      <c r="N14" s="509">
        <v>16800</v>
      </c>
      <c r="O14" s="509" t="s">
        <v>2042</v>
      </c>
      <c r="P14" s="1339"/>
    </row>
    <row r="15" spans="1:16" ht="18.5">
      <c r="A15" s="995" t="s">
        <v>1101</v>
      </c>
      <c r="B15" s="986" t="s">
        <v>1985</v>
      </c>
      <c r="C15" s="986" t="s">
        <v>1999</v>
      </c>
      <c r="D15" s="986" t="s">
        <v>1987</v>
      </c>
      <c r="E15" s="503" t="s">
        <v>1185</v>
      </c>
      <c r="F15" s="504" t="s">
        <v>2587</v>
      </c>
      <c r="G15" s="505">
        <v>24</v>
      </c>
      <c r="H15" s="506" t="s">
        <v>477</v>
      </c>
      <c r="I15" s="506" t="s">
        <v>477</v>
      </c>
      <c r="J15" s="506" t="s">
        <v>477</v>
      </c>
      <c r="K15" s="507"/>
      <c r="L15" s="508" t="s">
        <v>2084</v>
      </c>
      <c r="M15" s="509">
        <v>20800</v>
      </c>
      <c r="N15" s="509">
        <v>499200</v>
      </c>
      <c r="O15" s="509" t="s">
        <v>2042</v>
      </c>
      <c r="P15" s="1339"/>
    </row>
    <row r="16" spans="1:16" ht="18.5">
      <c r="A16" s="995" t="s">
        <v>1121</v>
      </c>
      <c r="B16" s="986" t="s">
        <v>2002</v>
      </c>
      <c r="C16" s="986" t="s">
        <v>2006</v>
      </c>
      <c r="D16" s="986" t="s">
        <v>1987</v>
      </c>
      <c r="E16" s="503" t="s">
        <v>1187</v>
      </c>
      <c r="F16" s="504" t="s">
        <v>2587</v>
      </c>
      <c r="G16" s="505">
        <v>24</v>
      </c>
      <c r="H16" s="506" t="s">
        <v>477</v>
      </c>
      <c r="I16" s="506" t="s">
        <v>477</v>
      </c>
      <c r="J16" s="506" t="s">
        <v>477</v>
      </c>
      <c r="K16" s="507"/>
      <c r="L16" s="508" t="s">
        <v>2084</v>
      </c>
      <c r="M16" s="509">
        <v>4800</v>
      </c>
      <c r="N16" s="509">
        <v>115200</v>
      </c>
      <c r="O16" s="509" t="s">
        <v>2042</v>
      </c>
      <c r="P16" s="1339"/>
    </row>
    <row r="17" spans="1:16" ht="18.5">
      <c r="A17" s="995" t="s">
        <v>1144</v>
      </c>
      <c r="B17" s="986" t="s">
        <v>2007</v>
      </c>
      <c r="C17" s="986" t="s">
        <v>2006</v>
      </c>
      <c r="D17" s="986" t="s">
        <v>1987</v>
      </c>
      <c r="E17" s="503" t="s">
        <v>2086</v>
      </c>
      <c r="F17" s="504" t="s">
        <v>2587</v>
      </c>
      <c r="G17" s="505">
        <v>48</v>
      </c>
      <c r="H17" s="506" t="s">
        <v>477</v>
      </c>
      <c r="I17" s="506" t="s">
        <v>477</v>
      </c>
      <c r="J17" s="506" t="s">
        <v>477</v>
      </c>
      <c r="K17" s="507"/>
      <c r="L17" s="508" t="s">
        <v>2084</v>
      </c>
      <c r="M17" s="509">
        <v>1150</v>
      </c>
      <c r="N17" s="509">
        <v>55200</v>
      </c>
      <c r="O17" s="509" t="s">
        <v>2042</v>
      </c>
      <c r="P17" s="1339"/>
    </row>
    <row r="18" spans="1:16" ht="18.5">
      <c r="A18" s="995" t="s">
        <v>1607</v>
      </c>
      <c r="B18" s="986" t="s">
        <v>2582</v>
      </c>
      <c r="C18" s="986" t="s">
        <v>2583</v>
      </c>
      <c r="D18" s="986" t="s">
        <v>2584</v>
      </c>
      <c r="E18" s="503" t="s">
        <v>1192</v>
      </c>
      <c r="F18" s="504" t="s">
        <v>2588</v>
      </c>
      <c r="G18" s="505">
        <v>1000</v>
      </c>
      <c r="H18" s="506" t="s">
        <v>477</v>
      </c>
      <c r="I18" s="506" t="s">
        <v>477</v>
      </c>
      <c r="J18" s="506" t="s">
        <v>477</v>
      </c>
      <c r="K18" s="507"/>
      <c r="L18" s="508" t="s">
        <v>2084</v>
      </c>
      <c r="M18" s="509">
        <v>5830</v>
      </c>
      <c r="N18" s="509">
        <v>5830000</v>
      </c>
      <c r="O18" s="509" t="s">
        <v>2042</v>
      </c>
      <c r="P18" s="1339"/>
    </row>
    <row r="19" spans="1:16" ht="18.5">
      <c r="A19" s="995" t="s">
        <v>1607</v>
      </c>
      <c r="B19" s="986" t="s">
        <v>2582</v>
      </c>
      <c r="C19" s="986" t="s">
        <v>2583</v>
      </c>
      <c r="D19" s="986" t="s">
        <v>2584</v>
      </c>
      <c r="E19" s="503" t="s">
        <v>1192</v>
      </c>
      <c r="F19" s="504" t="s">
        <v>2587</v>
      </c>
      <c r="G19" s="505">
        <v>600</v>
      </c>
      <c r="H19" s="506" t="s">
        <v>477</v>
      </c>
      <c r="I19" s="506" t="s">
        <v>477</v>
      </c>
      <c r="J19" s="506" t="s">
        <v>477</v>
      </c>
      <c r="K19" s="507"/>
      <c r="L19" s="508" t="s">
        <v>2084</v>
      </c>
      <c r="M19" s="509">
        <v>5830</v>
      </c>
      <c r="N19" s="509">
        <v>3498000</v>
      </c>
      <c r="O19" s="509" t="s">
        <v>2042</v>
      </c>
      <c r="P19" s="1339"/>
    </row>
    <row r="20" spans="1:16" ht="18.5">
      <c r="A20" s="995" t="s">
        <v>1611</v>
      </c>
      <c r="B20" s="986" t="s">
        <v>2585</v>
      </c>
      <c r="C20" s="986" t="s">
        <v>2583</v>
      </c>
      <c r="D20" s="986" t="s">
        <v>2586</v>
      </c>
      <c r="E20" s="503" t="s">
        <v>2087</v>
      </c>
      <c r="F20" s="504" t="s">
        <v>2587</v>
      </c>
      <c r="G20" s="505">
        <v>200</v>
      </c>
      <c r="H20" s="506" t="s">
        <v>477</v>
      </c>
      <c r="I20" s="506" t="s">
        <v>477</v>
      </c>
      <c r="J20" s="506" t="s">
        <v>477</v>
      </c>
      <c r="K20" s="507"/>
      <c r="L20" s="508" t="s">
        <v>2084</v>
      </c>
      <c r="M20" s="509">
        <v>36000</v>
      </c>
      <c r="N20" s="509">
        <v>7200000</v>
      </c>
      <c r="O20" s="509" t="s">
        <v>2042</v>
      </c>
      <c r="P20" s="1339"/>
    </row>
    <row r="21" spans="1:16" ht="18.5">
      <c r="A21" s="995" t="s">
        <v>1611</v>
      </c>
      <c r="B21" s="986" t="s">
        <v>2585</v>
      </c>
      <c r="C21" s="986" t="s">
        <v>2583</v>
      </c>
      <c r="D21" s="986" t="s">
        <v>2586</v>
      </c>
      <c r="E21" s="503" t="s">
        <v>2088</v>
      </c>
      <c r="F21" s="504" t="s">
        <v>2587</v>
      </c>
      <c r="G21" s="505">
        <v>200</v>
      </c>
      <c r="H21" s="506" t="s">
        <v>477</v>
      </c>
      <c r="I21" s="506" t="s">
        <v>477</v>
      </c>
      <c r="J21" s="506" t="s">
        <v>477</v>
      </c>
      <c r="K21" s="507"/>
      <c r="L21" s="508" t="s">
        <v>2084</v>
      </c>
      <c r="M21" s="509">
        <v>36000</v>
      </c>
      <c r="N21" s="509">
        <v>7200000</v>
      </c>
      <c r="O21" s="509" t="s">
        <v>2042</v>
      </c>
      <c r="P21" s="1339"/>
    </row>
    <row r="22" spans="1:16" s="518" customFormat="1" ht="35">
      <c r="A22" s="510"/>
      <c r="B22" s="511" t="s">
        <v>2107</v>
      </c>
      <c r="C22" s="512"/>
      <c r="D22" s="513"/>
      <c r="E22" s="513"/>
      <c r="F22" s="513"/>
      <c r="G22" s="513"/>
      <c r="H22" s="513"/>
      <c r="I22" s="514"/>
      <c r="J22" s="514"/>
      <c r="K22" s="514"/>
      <c r="L22" s="515"/>
      <c r="M22" s="516"/>
      <c r="N22" s="516"/>
      <c r="O22" s="516"/>
      <c r="P22" s="517"/>
    </row>
    <row r="23" spans="1:16" ht="15.5" hidden="1" customHeight="1">
      <c r="A23" s="519" t="s">
        <v>2108</v>
      </c>
      <c r="B23" s="520" t="s">
        <v>2109</v>
      </c>
      <c r="C23" s="521"/>
      <c r="D23" s="521"/>
      <c r="E23" s="521"/>
      <c r="F23" s="521"/>
      <c r="G23" s="521"/>
      <c r="H23" s="521"/>
      <c r="I23" s="507"/>
      <c r="J23" s="514"/>
      <c r="K23" s="514"/>
      <c r="L23" s="515"/>
      <c r="M23" s="522"/>
      <c r="N23" s="522"/>
      <c r="O23" s="522"/>
      <c r="P23" s="523"/>
    </row>
    <row r="24" spans="1:16" ht="15.5" hidden="1" customHeight="1">
      <c r="A24" s="524">
        <v>1</v>
      </c>
      <c r="B24" s="525" t="s">
        <v>2110</v>
      </c>
      <c r="C24" s="526" t="s">
        <v>1725</v>
      </c>
      <c r="D24" s="526"/>
      <c r="E24" s="526"/>
      <c r="F24" s="526"/>
      <c r="G24" s="526"/>
      <c r="H24" s="526"/>
      <c r="I24" s="507"/>
      <c r="J24" s="514"/>
      <c r="K24" s="514"/>
      <c r="L24" s="515"/>
      <c r="M24" s="522"/>
      <c r="N24" s="522"/>
      <c r="O24" s="522"/>
      <c r="P24" s="523"/>
    </row>
    <row r="25" spans="1:16" ht="15.5" hidden="1" customHeight="1">
      <c r="A25" s="524">
        <v>2</v>
      </c>
      <c r="B25" s="525" t="s">
        <v>2110</v>
      </c>
      <c r="C25" s="527"/>
      <c r="D25" s="527"/>
      <c r="E25" s="527"/>
      <c r="F25" s="527"/>
      <c r="G25" s="527"/>
      <c r="H25" s="527"/>
      <c r="I25" s="507"/>
      <c r="J25" s="514"/>
      <c r="K25" s="514"/>
      <c r="L25" s="515"/>
      <c r="M25" s="522"/>
      <c r="N25" s="522"/>
      <c r="O25" s="522"/>
      <c r="P25" s="523"/>
    </row>
    <row r="26" spans="1:16" ht="15.5" hidden="1" customHeight="1">
      <c r="A26" s="519" t="s">
        <v>2111</v>
      </c>
      <c r="B26" s="520" t="s">
        <v>2112</v>
      </c>
      <c r="C26" s="528" t="s">
        <v>2113</v>
      </c>
      <c r="D26" s="528" t="s">
        <v>2114</v>
      </c>
      <c r="E26" s="528"/>
      <c r="F26" s="528"/>
      <c r="G26" s="528"/>
      <c r="H26" s="528"/>
      <c r="I26" s="507"/>
      <c r="J26" s="514"/>
      <c r="K26" s="514"/>
      <c r="L26" s="515"/>
      <c r="M26" s="522"/>
      <c r="N26" s="522"/>
      <c r="O26" s="522"/>
      <c r="P26" s="523"/>
    </row>
    <row r="27" spans="1:16" ht="15.5" hidden="1" customHeight="1">
      <c r="A27" s="524">
        <v>1</v>
      </c>
      <c r="B27" s="525" t="s">
        <v>2115</v>
      </c>
      <c r="C27" s="527"/>
      <c r="D27" s="526"/>
      <c r="E27" s="526"/>
      <c r="F27" s="526"/>
      <c r="G27" s="526"/>
      <c r="H27" s="526"/>
      <c r="I27" s="507"/>
      <c r="J27" s="514"/>
      <c r="K27" s="514"/>
      <c r="L27" s="515"/>
      <c r="M27" s="522"/>
      <c r="N27" s="522"/>
      <c r="O27" s="522"/>
      <c r="P27" s="523"/>
    </row>
    <row r="28" spans="1:16" ht="15.5" hidden="1" customHeight="1">
      <c r="A28" s="524"/>
      <c r="B28" s="525"/>
      <c r="C28" s="527"/>
      <c r="D28" s="527"/>
      <c r="E28" s="527"/>
      <c r="F28" s="527"/>
      <c r="G28" s="527"/>
      <c r="H28" s="527"/>
      <c r="I28" s="507"/>
      <c r="J28" s="514"/>
      <c r="K28" s="514"/>
      <c r="L28" s="515"/>
      <c r="M28" s="522"/>
      <c r="N28" s="522"/>
      <c r="O28" s="522"/>
      <c r="P28" s="523"/>
    </row>
    <row r="29" spans="1:16" ht="35" hidden="1">
      <c r="A29" s="529" t="s">
        <v>2116</v>
      </c>
      <c r="B29" s="525" t="s">
        <v>2117</v>
      </c>
      <c r="C29" s="530"/>
      <c r="D29" s="530"/>
      <c r="E29" s="530"/>
      <c r="F29" s="530"/>
      <c r="G29" s="530"/>
      <c r="H29" s="530"/>
      <c r="I29" s="507"/>
      <c r="J29" s="514"/>
      <c r="K29" s="514"/>
      <c r="L29" s="515"/>
      <c r="M29" s="522"/>
      <c r="N29" s="522"/>
      <c r="O29" s="522"/>
      <c r="P29" s="523"/>
    </row>
    <row r="30" spans="1:16" ht="52.5" hidden="1">
      <c r="A30" s="524">
        <v>1</v>
      </c>
      <c r="B30" s="525" t="s">
        <v>2118</v>
      </c>
      <c r="C30" s="527"/>
      <c r="D30" s="526"/>
      <c r="E30" s="526"/>
      <c r="F30" s="526"/>
      <c r="G30" s="526"/>
      <c r="H30" s="526"/>
      <c r="I30" s="507"/>
      <c r="J30" s="514"/>
      <c r="K30" s="514"/>
      <c r="L30" s="515"/>
      <c r="M30" s="522"/>
      <c r="N30" s="522"/>
      <c r="O30" s="522"/>
      <c r="P30" s="523"/>
    </row>
    <row r="31" spans="1:16" hidden="1">
      <c r="A31" s="524"/>
      <c r="B31" s="525" t="s">
        <v>2115</v>
      </c>
      <c r="C31" s="527"/>
      <c r="D31" s="526"/>
      <c r="E31" s="526"/>
      <c r="F31" s="526"/>
      <c r="G31" s="526"/>
      <c r="H31" s="526"/>
      <c r="I31" s="507"/>
      <c r="J31" s="514"/>
      <c r="K31" s="514"/>
      <c r="L31" s="515"/>
      <c r="M31" s="522"/>
      <c r="N31" s="522"/>
      <c r="O31" s="522"/>
      <c r="P31" s="523"/>
    </row>
    <row r="32" spans="1:16" ht="157.5" hidden="1">
      <c r="A32" s="519" t="s">
        <v>2084</v>
      </c>
      <c r="B32" s="520" t="s">
        <v>2119</v>
      </c>
      <c r="C32" s="521"/>
      <c r="D32" s="521"/>
      <c r="E32" s="521"/>
      <c r="F32" s="521"/>
      <c r="G32" s="521"/>
      <c r="H32" s="521"/>
      <c r="I32" s="507"/>
      <c r="J32" s="514"/>
      <c r="K32" s="514"/>
      <c r="L32" s="515"/>
      <c r="M32" s="522"/>
      <c r="N32" s="522"/>
      <c r="O32" s="522"/>
      <c r="P32" s="523"/>
    </row>
    <row r="33" spans="1:16" s="518" customFormat="1">
      <c r="A33" s="510"/>
      <c r="B33" s="511" t="s">
        <v>2120</v>
      </c>
      <c r="C33" s="512"/>
      <c r="D33" s="513"/>
      <c r="E33" s="513"/>
      <c r="F33" s="513"/>
      <c r="G33" s="513"/>
      <c r="H33" s="513"/>
      <c r="I33" s="514"/>
      <c r="J33" s="514"/>
      <c r="K33" s="514"/>
      <c r="L33" s="515"/>
      <c r="M33" s="531">
        <v>1</v>
      </c>
      <c r="N33" s="531"/>
      <c r="O33" s="531"/>
      <c r="P33" s="517"/>
    </row>
    <row r="34" spans="1:16" ht="34.5" customHeight="1">
      <c r="A34" s="540" t="s">
        <v>2155</v>
      </c>
      <c r="P34" s="489"/>
    </row>
    <row r="35" spans="1:16" ht="55.25" customHeight="1">
      <c r="A35" s="1282" t="s">
        <v>2121</v>
      </c>
      <c r="B35" s="1278"/>
      <c r="C35" s="1349" t="s">
        <v>2122</v>
      </c>
      <c r="D35" s="1349"/>
      <c r="E35" s="532"/>
      <c r="F35" s="532"/>
      <c r="G35" s="1280" t="s">
        <v>2123</v>
      </c>
      <c r="H35" s="1280"/>
      <c r="I35" s="1280"/>
      <c r="J35" s="1280"/>
      <c r="K35" s="1280"/>
      <c r="L35" s="1280"/>
      <c r="M35" s="1280"/>
      <c r="N35" s="533"/>
      <c r="O35" s="533"/>
      <c r="P35" s="489"/>
    </row>
    <row r="36" spans="1:16" ht="14.4" customHeight="1">
      <c r="A36" s="490"/>
      <c r="B36" s="534"/>
      <c r="C36" s="534"/>
      <c r="D36" s="502"/>
      <c r="E36" s="502"/>
      <c r="F36" s="502"/>
      <c r="G36" s="1276" t="s">
        <v>2124</v>
      </c>
      <c r="H36" s="1276"/>
      <c r="I36" s="1277" t="s">
        <v>2125</v>
      </c>
      <c r="J36" s="1277"/>
      <c r="K36" s="535"/>
      <c r="L36" s="1276" t="s">
        <v>2126</v>
      </c>
      <c r="M36" s="1276"/>
      <c r="P36" s="489"/>
    </row>
    <row r="37" spans="1:16">
      <c r="A37" s="490"/>
      <c r="P37" s="489"/>
    </row>
    <row r="38" spans="1:16">
      <c r="A38" s="490"/>
      <c r="P38" s="489"/>
    </row>
    <row r="39" spans="1:16" ht="116.5" customHeight="1">
      <c r="A39" s="490"/>
      <c r="P39" s="489"/>
    </row>
    <row r="40" spans="1:16" ht="97" customHeight="1" thickBot="1">
      <c r="A40" s="536"/>
      <c r="B40" s="537"/>
      <c r="C40" s="537"/>
      <c r="D40" s="537"/>
      <c r="E40" s="537"/>
      <c r="F40" s="537"/>
      <c r="G40" s="537"/>
      <c r="H40" s="537"/>
      <c r="I40" s="537"/>
      <c r="J40" s="537"/>
      <c r="K40" s="537"/>
      <c r="L40" s="538"/>
      <c r="M40" s="537"/>
      <c r="N40" s="537"/>
      <c r="O40" s="537"/>
      <c r="P40" s="539"/>
    </row>
  </sheetData>
  <mergeCells count="26">
    <mergeCell ref="A1:P2"/>
    <mergeCell ref="B5:L6"/>
    <mergeCell ref="C8:G8"/>
    <mergeCell ref="H8:J8"/>
    <mergeCell ref="L8:N8"/>
    <mergeCell ref="O8:O10"/>
    <mergeCell ref="P8:P10"/>
    <mergeCell ref="A9:A10"/>
    <mergeCell ref="B9:B10"/>
    <mergeCell ref="C9:C10"/>
    <mergeCell ref="P12:P21"/>
    <mergeCell ref="A35:B35"/>
    <mergeCell ref="C35:D35"/>
    <mergeCell ref="G35:M35"/>
    <mergeCell ref="D9:D10"/>
    <mergeCell ref="E9:E10"/>
    <mergeCell ref="F9:F10"/>
    <mergeCell ref="G9:G10"/>
    <mergeCell ref="H9:H10"/>
    <mergeCell ref="I9:I10"/>
    <mergeCell ref="G36:H36"/>
    <mergeCell ref="I36:J36"/>
    <mergeCell ref="L36:M36"/>
    <mergeCell ref="J9:J10"/>
    <mergeCell ref="K9:K10"/>
    <mergeCell ref="L9:N9"/>
  </mergeCells>
  <pageMargins left="0.42" right="0.42" top="0.3" bottom="0.5" header="0.17" footer="0.17"/>
  <pageSetup paperSize="8" scale="78" fitToHeight="1111" orientation="landscape" r:id="rId1"/>
  <headerFooter>
    <oddFooter>Page &amp;P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A2E1-9268-4212-A5B0-D772DAA52DB9}">
  <sheetPr>
    <pageSetUpPr fitToPage="1"/>
  </sheetPr>
  <dimension ref="A1:P85"/>
  <sheetViews>
    <sheetView view="pageBreakPreview" zoomScale="55" zoomScaleNormal="55" zoomScaleSheetLayoutView="55" workbookViewId="0">
      <selection activeCell="G12" sqref="F12:L66"/>
    </sheetView>
  </sheetViews>
  <sheetFormatPr defaultColWidth="9.796875" defaultRowHeight="18"/>
  <cols>
    <col min="1" max="1" width="16.19921875" style="491" bestFit="1" customWidth="1"/>
    <col min="2" max="2" width="22.19921875" style="476" customWidth="1"/>
    <col min="3" max="3" width="25.69921875" style="476" customWidth="1"/>
    <col min="4" max="4" width="15.3984375" style="476" customWidth="1"/>
    <col min="5" max="5" width="20.5" style="476" bestFit="1" customWidth="1"/>
    <col min="6" max="6" width="11" style="476" customWidth="1"/>
    <col min="7" max="7" width="14.296875" style="476" customWidth="1"/>
    <col min="8" max="8" width="11" style="476" customWidth="1"/>
    <col min="9" max="9" width="12.5" style="476" customWidth="1"/>
    <col min="10" max="10" width="20.59765625" style="476" customWidth="1"/>
    <col min="11" max="11" width="23.19921875" style="476" customWidth="1"/>
    <col min="12" max="12" width="10.09765625" style="491" customWidth="1"/>
    <col min="13" max="13" width="11.19921875" style="476" bestFit="1" customWidth="1"/>
    <col min="14" max="14" width="17.59765625" style="476" customWidth="1"/>
    <col min="15" max="15" width="15.69921875" style="476" customWidth="1"/>
    <col min="16" max="16" width="21.8984375" style="476" customWidth="1"/>
    <col min="17" max="16384" width="9.796875" style="476"/>
  </cols>
  <sheetData>
    <row r="1" spans="1:16" ht="51.65" customHeight="1">
      <c r="A1" s="1285" t="s">
        <v>2065</v>
      </c>
      <c r="B1" s="1286"/>
      <c r="C1" s="1286"/>
      <c r="D1" s="1286"/>
      <c r="E1" s="1286"/>
      <c r="F1" s="1286"/>
      <c r="G1" s="1286"/>
      <c r="H1" s="1286"/>
      <c r="I1" s="1286"/>
      <c r="J1" s="1286"/>
      <c r="K1" s="1286"/>
      <c r="L1" s="1286"/>
      <c r="M1" s="1286"/>
      <c r="N1" s="1286"/>
      <c r="O1" s="1286"/>
      <c r="P1" s="1287"/>
    </row>
    <row r="2" spans="1:16">
      <c r="A2" s="1288"/>
      <c r="B2" s="1289"/>
      <c r="C2" s="1289"/>
      <c r="D2" s="1289"/>
      <c r="E2" s="1289"/>
      <c r="F2" s="1289"/>
      <c r="G2" s="1289"/>
      <c r="H2" s="1289"/>
      <c r="I2" s="1289"/>
      <c r="J2" s="1289"/>
      <c r="K2" s="1289"/>
      <c r="L2" s="1289"/>
      <c r="M2" s="1289"/>
      <c r="N2" s="1289"/>
      <c r="O2" s="1289"/>
      <c r="P2" s="1290"/>
    </row>
    <row r="3" spans="1:16" ht="15" customHeight="1">
      <c r="A3" s="477" t="s">
        <v>2066</v>
      </c>
      <c r="B3" s="478" t="s">
        <v>2156</v>
      </c>
      <c r="C3" s="479"/>
      <c r="D3" s="479"/>
      <c r="E3" s="479"/>
      <c r="F3" s="479"/>
      <c r="G3" s="479"/>
      <c r="H3" s="479"/>
      <c r="I3" s="480"/>
      <c r="J3" s="480"/>
      <c r="K3" s="480"/>
      <c r="L3" s="481"/>
      <c r="M3" s="480"/>
      <c r="N3" s="480"/>
      <c r="O3" s="480"/>
      <c r="P3" s="482"/>
    </row>
    <row r="4" spans="1:16" ht="15" customHeight="1">
      <c r="A4" s="483" t="s">
        <v>2067</v>
      </c>
      <c r="B4" s="484"/>
      <c r="C4" s="485"/>
      <c r="D4" s="485"/>
      <c r="E4" s="485"/>
      <c r="F4" s="485"/>
      <c r="G4" s="485"/>
      <c r="H4" s="485"/>
      <c r="I4" s="486"/>
      <c r="J4" s="486"/>
      <c r="K4" s="486"/>
      <c r="L4" s="487"/>
      <c r="M4" s="486"/>
      <c r="N4" s="486"/>
      <c r="O4" s="486"/>
      <c r="P4" s="488"/>
    </row>
    <row r="5" spans="1:16" ht="15" customHeight="1">
      <c r="A5" s="477" t="s">
        <v>2068</v>
      </c>
      <c r="B5" s="1291" t="s">
        <v>2157</v>
      </c>
      <c r="C5" s="1292"/>
      <c r="D5" s="1292"/>
      <c r="E5" s="1292"/>
      <c r="F5" s="1292"/>
      <c r="G5" s="1292"/>
      <c r="H5" s="1292"/>
      <c r="I5" s="1292"/>
      <c r="J5" s="1292"/>
      <c r="K5" s="1292"/>
      <c r="L5" s="1292"/>
      <c r="M5" s="480"/>
      <c r="P5" s="489"/>
    </row>
    <row r="6" spans="1:16" ht="15" customHeight="1">
      <c r="A6" s="483" t="s">
        <v>2069</v>
      </c>
      <c r="B6" s="1293"/>
      <c r="C6" s="1294"/>
      <c r="D6" s="1294"/>
      <c r="E6" s="1294"/>
      <c r="F6" s="1294"/>
      <c r="G6" s="1294"/>
      <c r="H6" s="1294"/>
      <c r="I6" s="1294"/>
      <c r="J6" s="1294"/>
      <c r="K6" s="1294"/>
      <c r="L6" s="1294"/>
      <c r="M6" s="486"/>
      <c r="N6" s="486"/>
      <c r="O6" s="486"/>
      <c r="P6" s="488"/>
    </row>
    <row r="7" spans="1:16">
      <c r="A7" s="490"/>
      <c r="P7" s="489"/>
    </row>
    <row r="8" spans="1:16" ht="62.5" customHeight="1">
      <c r="A8" s="492" t="s">
        <v>2070</v>
      </c>
      <c r="B8" s="493" t="s">
        <v>2071</v>
      </c>
      <c r="C8" s="1295" t="s">
        <v>2072</v>
      </c>
      <c r="D8" s="1295"/>
      <c r="E8" s="1295"/>
      <c r="F8" s="1295"/>
      <c r="G8" s="1295"/>
      <c r="H8" s="1295" t="s">
        <v>2073</v>
      </c>
      <c r="I8" s="1295"/>
      <c r="J8" s="1295"/>
      <c r="K8" s="493" t="s">
        <v>2074</v>
      </c>
      <c r="L8" s="1296" t="s">
        <v>2075</v>
      </c>
      <c r="M8" s="1296"/>
      <c r="N8" s="1296"/>
      <c r="O8" s="1297" t="s">
        <v>2076</v>
      </c>
      <c r="P8" s="1298" t="s">
        <v>1965</v>
      </c>
    </row>
    <row r="9" spans="1:16" ht="45" customHeight="1">
      <c r="A9" s="1299" t="s">
        <v>2077</v>
      </c>
      <c r="B9" s="1283" t="s">
        <v>2078</v>
      </c>
      <c r="C9" s="1283" t="s">
        <v>12</v>
      </c>
      <c r="D9" s="1283" t="s">
        <v>13</v>
      </c>
      <c r="E9" s="1283" t="s">
        <v>2079</v>
      </c>
      <c r="F9" s="1283" t="s">
        <v>227</v>
      </c>
      <c r="G9" s="1283" t="s">
        <v>229</v>
      </c>
      <c r="H9" s="1284" t="s">
        <v>1714</v>
      </c>
      <c r="I9" s="1284" t="s">
        <v>1715</v>
      </c>
      <c r="J9" s="1284" t="s">
        <v>1716</v>
      </c>
      <c r="K9" s="1284" t="s">
        <v>1716</v>
      </c>
      <c r="L9" s="1296" t="s">
        <v>2042</v>
      </c>
      <c r="M9" s="1296"/>
      <c r="N9" s="1296"/>
      <c r="O9" s="1297"/>
      <c r="P9" s="1298"/>
    </row>
    <row r="10" spans="1:16" ht="76.5" customHeight="1">
      <c r="A10" s="1299"/>
      <c r="B10" s="1283"/>
      <c r="C10" s="1283"/>
      <c r="D10" s="1283"/>
      <c r="E10" s="1283"/>
      <c r="F10" s="1283"/>
      <c r="G10" s="1283"/>
      <c r="H10" s="1284"/>
      <c r="I10" s="1284"/>
      <c r="J10" s="1284"/>
      <c r="K10" s="1284"/>
      <c r="L10" s="496" t="s">
        <v>2080</v>
      </c>
      <c r="M10" s="496" t="s">
        <v>2081</v>
      </c>
      <c r="N10" s="496" t="s">
        <v>2082</v>
      </c>
      <c r="O10" s="1297"/>
      <c r="P10" s="1298"/>
    </row>
    <row r="11" spans="1:16" s="502" customFormat="1" ht="26" customHeight="1">
      <c r="A11" s="494" t="s">
        <v>1961</v>
      </c>
      <c r="B11" s="495"/>
      <c r="C11" s="495"/>
      <c r="D11" s="495"/>
      <c r="E11" s="495"/>
      <c r="F11" s="495"/>
      <c r="G11" s="495"/>
      <c r="H11" s="497" t="s">
        <v>477</v>
      </c>
      <c r="I11" s="497" t="s">
        <v>477</v>
      </c>
      <c r="J11" s="498">
        <f>'DT04 (TM) 1 '!L17</f>
        <v>2538751590</v>
      </c>
      <c r="K11" s="498">
        <f>'Tổng hợp'!J16</f>
        <v>4227979301.8798904</v>
      </c>
      <c r="L11" s="499"/>
      <c r="M11" s="499"/>
      <c r="N11" s="499">
        <f>SUM(N12:N66)</f>
        <v>57863610</v>
      </c>
      <c r="O11" s="500"/>
      <c r="P11" s="501">
        <f>J11-K11-N11</f>
        <v>-1747091321.8798904</v>
      </c>
    </row>
    <row r="12" spans="1:16" ht="19" thickBot="1">
      <c r="A12" s="543" t="s">
        <v>1075</v>
      </c>
      <c r="B12" s="544" t="s">
        <v>1985</v>
      </c>
      <c r="C12" s="544" t="s">
        <v>1986</v>
      </c>
      <c r="D12" s="544" t="s">
        <v>1987</v>
      </c>
      <c r="E12" s="503" t="s">
        <v>1233</v>
      </c>
      <c r="F12" s="504" t="s">
        <v>2083</v>
      </c>
      <c r="G12" s="505">
        <v>788</v>
      </c>
      <c r="H12" s="506" t="s">
        <v>477</v>
      </c>
      <c r="I12" s="506" t="s">
        <v>477</v>
      </c>
      <c r="J12" s="506" t="s">
        <v>477</v>
      </c>
      <c r="K12" s="507"/>
      <c r="L12" s="508" t="s">
        <v>2084</v>
      </c>
      <c r="M12" s="509">
        <v>4600</v>
      </c>
      <c r="N12" s="509">
        <f>M12*G12</f>
        <v>3624800</v>
      </c>
      <c r="O12" s="509" t="s">
        <v>2042</v>
      </c>
      <c r="P12" s="1338" t="s">
        <v>2154</v>
      </c>
    </row>
    <row r="13" spans="1:16" ht="19" thickBot="1">
      <c r="A13" s="543" t="s">
        <v>1076</v>
      </c>
      <c r="B13" s="544" t="s">
        <v>1985</v>
      </c>
      <c r="C13" s="544" t="s">
        <v>1990</v>
      </c>
      <c r="D13" s="544" t="s">
        <v>1987</v>
      </c>
      <c r="E13" s="503" t="s">
        <v>2085</v>
      </c>
      <c r="F13" s="504" t="s">
        <v>2083</v>
      </c>
      <c r="G13" s="505">
        <v>372</v>
      </c>
      <c r="H13" s="506" t="s">
        <v>477</v>
      </c>
      <c r="I13" s="506" t="s">
        <v>477</v>
      </c>
      <c r="J13" s="506" t="s">
        <v>477</v>
      </c>
      <c r="K13" s="507"/>
      <c r="L13" s="508" t="s">
        <v>2084</v>
      </c>
      <c r="M13" s="509">
        <v>5250</v>
      </c>
      <c r="N13" s="509">
        <f t="shared" ref="N13:N66" si="0">M13*G13</f>
        <v>1953000</v>
      </c>
      <c r="O13" s="509" t="s">
        <v>2042</v>
      </c>
      <c r="P13" s="1339"/>
    </row>
    <row r="14" spans="1:16" ht="19" thickBot="1">
      <c r="A14" s="543" t="s">
        <v>1079</v>
      </c>
      <c r="B14" s="544" t="s">
        <v>1985</v>
      </c>
      <c r="C14" s="544" t="s">
        <v>1991</v>
      </c>
      <c r="D14" s="544" t="s">
        <v>1987</v>
      </c>
      <c r="E14" s="503" t="s">
        <v>1183</v>
      </c>
      <c r="F14" s="504" t="s">
        <v>2083</v>
      </c>
      <c r="G14" s="505">
        <v>48</v>
      </c>
      <c r="H14" s="506" t="s">
        <v>477</v>
      </c>
      <c r="I14" s="506" t="s">
        <v>477</v>
      </c>
      <c r="J14" s="506" t="s">
        <v>477</v>
      </c>
      <c r="K14" s="507"/>
      <c r="L14" s="508" t="s">
        <v>2084</v>
      </c>
      <c r="M14" s="509">
        <v>5850</v>
      </c>
      <c r="N14" s="509">
        <f t="shared" si="0"/>
        <v>280800</v>
      </c>
      <c r="O14" s="509" t="s">
        <v>2042</v>
      </c>
      <c r="P14" s="1339"/>
    </row>
    <row r="15" spans="1:16" ht="19" thickBot="1">
      <c r="A15" s="543" t="s">
        <v>1080</v>
      </c>
      <c r="B15" s="544" t="s">
        <v>1985</v>
      </c>
      <c r="C15" s="544" t="s">
        <v>1992</v>
      </c>
      <c r="D15" s="544" t="s">
        <v>1987</v>
      </c>
      <c r="E15" s="503" t="s">
        <v>1185</v>
      </c>
      <c r="F15" s="504" t="s">
        <v>2083</v>
      </c>
      <c r="G15" s="505">
        <v>36</v>
      </c>
      <c r="H15" s="506" t="s">
        <v>477</v>
      </c>
      <c r="I15" s="506" t="s">
        <v>477</v>
      </c>
      <c r="J15" s="506" t="s">
        <v>477</v>
      </c>
      <c r="K15" s="507"/>
      <c r="L15" s="508" t="s">
        <v>2084</v>
      </c>
      <c r="M15" s="509">
        <v>6500</v>
      </c>
      <c r="N15" s="509">
        <f t="shared" si="0"/>
        <v>234000</v>
      </c>
      <c r="O15" s="509" t="s">
        <v>2042</v>
      </c>
      <c r="P15" s="1339"/>
    </row>
    <row r="16" spans="1:16" ht="19" thickBot="1">
      <c r="A16" s="543" t="s">
        <v>1081</v>
      </c>
      <c r="B16" s="544" t="s">
        <v>1985</v>
      </c>
      <c r="C16" s="544" t="s">
        <v>1993</v>
      </c>
      <c r="D16" s="544" t="s">
        <v>1987</v>
      </c>
      <c r="E16" s="503" t="s">
        <v>1187</v>
      </c>
      <c r="F16" s="504" t="s">
        <v>2083</v>
      </c>
      <c r="G16" s="505">
        <v>24</v>
      </c>
      <c r="H16" s="506" t="s">
        <v>477</v>
      </c>
      <c r="I16" s="506" t="s">
        <v>477</v>
      </c>
      <c r="J16" s="506" t="s">
        <v>477</v>
      </c>
      <c r="K16" s="507"/>
      <c r="L16" s="508" t="s">
        <v>2084</v>
      </c>
      <c r="M16" s="509">
        <v>7100</v>
      </c>
      <c r="N16" s="509">
        <f t="shared" si="0"/>
        <v>170400</v>
      </c>
      <c r="O16" s="509" t="s">
        <v>2042</v>
      </c>
      <c r="P16" s="1339"/>
    </row>
    <row r="17" spans="1:16" ht="19" thickBot="1">
      <c r="A17" s="543" t="s">
        <v>1087</v>
      </c>
      <c r="B17" s="544" t="s">
        <v>1985</v>
      </c>
      <c r="C17" s="544" t="s">
        <v>1994</v>
      </c>
      <c r="D17" s="544" t="s">
        <v>1987</v>
      </c>
      <c r="E17" s="503" t="s">
        <v>2086</v>
      </c>
      <c r="F17" s="504" t="s">
        <v>2083</v>
      </c>
      <c r="G17" s="505">
        <v>48</v>
      </c>
      <c r="H17" s="506" t="s">
        <v>477</v>
      </c>
      <c r="I17" s="506" t="s">
        <v>477</v>
      </c>
      <c r="J17" s="506" t="s">
        <v>477</v>
      </c>
      <c r="K17" s="507"/>
      <c r="L17" s="508" t="s">
        <v>2084</v>
      </c>
      <c r="M17" s="509">
        <v>8150</v>
      </c>
      <c r="N17" s="509">
        <f t="shared" si="0"/>
        <v>391200</v>
      </c>
      <c r="O17" s="509" t="s">
        <v>2042</v>
      </c>
      <c r="P17" s="1339"/>
    </row>
    <row r="18" spans="1:16" ht="19" thickBot="1">
      <c r="A18" s="543" t="s">
        <v>1088</v>
      </c>
      <c r="B18" s="544" t="s">
        <v>1985</v>
      </c>
      <c r="C18" s="544" t="s">
        <v>1995</v>
      </c>
      <c r="D18" s="544" t="s">
        <v>1987</v>
      </c>
      <c r="E18" s="503" t="s">
        <v>1192</v>
      </c>
      <c r="F18" s="504" t="s">
        <v>2083</v>
      </c>
      <c r="G18" s="505">
        <v>213</v>
      </c>
      <c r="H18" s="506" t="s">
        <v>477</v>
      </c>
      <c r="I18" s="506" t="s">
        <v>477</v>
      </c>
      <c r="J18" s="506" t="s">
        <v>477</v>
      </c>
      <c r="K18" s="507"/>
      <c r="L18" s="508" t="s">
        <v>2084</v>
      </c>
      <c r="M18" s="509">
        <v>9000</v>
      </c>
      <c r="N18" s="509">
        <f t="shared" si="0"/>
        <v>1917000</v>
      </c>
      <c r="O18" s="509" t="s">
        <v>2042</v>
      </c>
      <c r="P18" s="1339"/>
    </row>
    <row r="19" spans="1:16" ht="19" thickBot="1">
      <c r="A19" s="546" t="s">
        <v>1091</v>
      </c>
      <c r="B19" s="544" t="s">
        <v>1985</v>
      </c>
      <c r="C19" s="544" t="s">
        <v>1996</v>
      </c>
      <c r="D19" s="544" t="s">
        <v>1987</v>
      </c>
      <c r="E19" s="503" t="s">
        <v>1192</v>
      </c>
      <c r="F19" s="504" t="s">
        <v>2083</v>
      </c>
      <c r="G19" s="505">
        <v>272</v>
      </c>
      <c r="H19" s="506" t="s">
        <v>477</v>
      </c>
      <c r="I19" s="506" t="s">
        <v>477</v>
      </c>
      <c r="J19" s="506" t="s">
        <v>477</v>
      </c>
      <c r="K19" s="507"/>
      <c r="L19" s="508" t="s">
        <v>2084</v>
      </c>
      <c r="M19" s="509">
        <v>9000</v>
      </c>
      <c r="N19" s="509">
        <f t="shared" si="0"/>
        <v>2448000</v>
      </c>
      <c r="O19" s="509" t="s">
        <v>2042</v>
      </c>
      <c r="P19" s="1339"/>
    </row>
    <row r="20" spans="1:16" ht="19" thickBot="1">
      <c r="A20" s="543" t="s">
        <v>1094</v>
      </c>
      <c r="B20" s="544" t="s">
        <v>1985</v>
      </c>
      <c r="C20" s="544" t="s">
        <v>1997</v>
      </c>
      <c r="D20" s="544" t="s">
        <v>1987</v>
      </c>
      <c r="E20" s="503" t="s">
        <v>2087</v>
      </c>
      <c r="F20" s="504" t="s">
        <v>2083</v>
      </c>
      <c r="G20" s="505">
        <v>192</v>
      </c>
      <c r="H20" s="506" t="s">
        <v>477</v>
      </c>
      <c r="I20" s="506" t="s">
        <v>477</v>
      </c>
      <c r="J20" s="506" t="s">
        <v>477</v>
      </c>
      <c r="K20" s="507"/>
      <c r="L20" s="508" t="s">
        <v>2084</v>
      </c>
      <c r="M20" s="509">
        <v>9900</v>
      </c>
      <c r="N20" s="509">
        <f t="shared" si="0"/>
        <v>1900800</v>
      </c>
      <c r="O20" s="509" t="s">
        <v>2042</v>
      </c>
      <c r="P20" s="1339"/>
    </row>
    <row r="21" spans="1:16" ht="19" thickBot="1">
      <c r="A21" s="543" t="s">
        <v>1097</v>
      </c>
      <c r="B21" s="544" t="s">
        <v>1985</v>
      </c>
      <c r="C21" s="544" t="s">
        <v>1998</v>
      </c>
      <c r="D21" s="544" t="s">
        <v>1987</v>
      </c>
      <c r="E21" s="503" t="s">
        <v>2088</v>
      </c>
      <c r="F21" s="504" t="s">
        <v>2083</v>
      </c>
      <c r="G21" s="505">
        <v>120</v>
      </c>
      <c r="H21" s="506" t="s">
        <v>477</v>
      </c>
      <c r="I21" s="506" t="s">
        <v>477</v>
      </c>
      <c r="J21" s="506" t="s">
        <v>477</v>
      </c>
      <c r="K21" s="507"/>
      <c r="L21" s="508" t="s">
        <v>2084</v>
      </c>
      <c r="M21" s="509">
        <v>19400</v>
      </c>
      <c r="N21" s="509">
        <f t="shared" si="0"/>
        <v>2328000</v>
      </c>
      <c r="O21" s="509" t="s">
        <v>2042</v>
      </c>
      <c r="P21" s="1339"/>
    </row>
    <row r="22" spans="1:16" ht="19" thickBot="1">
      <c r="A22" s="543" t="s">
        <v>1101</v>
      </c>
      <c r="B22" s="544" t="s">
        <v>1985</v>
      </c>
      <c r="C22" s="544" t="s">
        <v>1999</v>
      </c>
      <c r="D22" s="544" t="s">
        <v>1987</v>
      </c>
      <c r="E22" s="503" t="s">
        <v>2089</v>
      </c>
      <c r="F22" s="504" t="s">
        <v>2083</v>
      </c>
      <c r="G22" s="505">
        <v>48</v>
      </c>
      <c r="H22" s="506" t="s">
        <v>477</v>
      </c>
      <c r="I22" s="506" t="s">
        <v>477</v>
      </c>
      <c r="J22" s="506" t="s">
        <v>477</v>
      </c>
      <c r="K22" s="507"/>
      <c r="L22" s="508" t="s">
        <v>2084</v>
      </c>
      <c r="M22" s="509">
        <v>20800</v>
      </c>
      <c r="N22" s="509">
        <f t="shared" si="0"/>
        <v>998400</v>
      </c>
      <c r="O22" s="509" t="s">
        <v>2042</v>
      </c>
      <c r="P22" s="1339"/>
    </row>
    <row r="23" spans="1:16" ht="19" thickBot="1">
      <c r="A23" s="543" t="s">
        <v>1105</v>
      </c>
      <c r="B23" s="544" t="s">
        <v>1985</v>
      </c>
      <c r="C23" s="544" t="s">
        <v>2000</v>
      </c>
      <c r="D23" s="544" t="s">
        <v>1987</v>
      </c>
      <c r="E23" s="503" t="s">
        <v>1195</v>
      </c>
      <c r="F23" s="504" t="s">
        <v>2083</v>
      </c>
      <c r="G23" s="505">
        <v>120</v>
      </c>
      <c r="H23" s="506" t="s">
        <v>477</v>
      </c>
      <c r="I23" s="506" t="s">
        <v>477</v>
      </c>
      <c r="J23" s="506" t="s">
        <v>477</v>
      </c>
      <c r="K23" s="507"/>
      <c r="L23" s="508" t="s">
        <v>2084</v>
      </c>
      <c r="M23" s="509">
        <v>17900</v>
      </c>
      <c r="N23" s="509">
        <f t="shared" si="0"/>
        <v>2148000</v>
      </c>
      <c r="O23" s="509" t="s">
        <v>2042</v>
      </c>
      <c r="P23" s="1339"/>
    </row>
    <row r="24" spans="1:16" ht="19" thickBot="1">
      <c r="A24" s="543" t="s">
        <v>1109</v>
      </c>
      <c r="B24" s="544" t="s">
        <v>1985</v>
      </c>
      <c r="C24" s="544" t="s">
        <v>2001</v>
      </c>
      <c r="D24" s="544" t="s">
        <v>1987</v>
      </c>
      <c r="E24" s="503" t="s">
        <v>1195</v>
      </c>
      <c r="F24" s="504" t="s">
        <v>2083</v>
      </c>
      <c r="G24" s="505">
        <v>96</v>
      </c>
      <c r="H24" s="506" t="s">
        <v>477</v>
      </c>
      <c r="I24" s="506" t="s">
        <v>477</v>
      </c>
      <c r="J24" s="506" t="s">
        <v>477</v>
      </c>
      <c r="K24" s="507"/>
      <c r="L24" s="508" t="s">
        <v>2084</v>
      </c>
      <c r="M24" s="509">
        <v>46000</v>
      </c>
      <c r="N24" s="509">
        <f t="shared" si="0"/>
        <v>4416000</v>
      </c>
      <c r="O24" s="509" t="s">
        <v>2042</v>
      </c>
      <c r="P24" s="1339"/>
    </row>
    <row r="25" spans="1:16" ht="19" thickBot="1">
      <c r="A25" s="543" t="s">
        <v>1113</v>
      </c>
      <c r="B25" s="544" t="s">
        <v>2002</v>
      </c>
      <c r="C25" s="544" t="s">
        <v>2003</v>
      </c>
      <c r="D25" s="544" t="s">
        <v>1987</v>
      </c>
      <c r="E25" s="503" t="s">
        <v>1196</v>
      </c>
      <c r="F25" s="504" t="s">
        <v>2083</v>
      </c>
      <c r="G25" s="505">
        <v>1326</v>
      </c>
      <c r="H25" s="506" t="s">
        <v>477</v>
      </c>
      <c r="I25" s="506" t="s">
        <v>477</v>
      </c>
      <c r="J25" s="506" t="s">
        <v>477</v>
      </c>
      <c r="K25" s="507"/>
      <c r="L25" s="508" t="s">
        <v>2084</v>
      </c>
      <c r="M25" s="509">
        <v>1590</v>
      </c>
      <c r="N25" s="509">
        <f t="shared" si="0"/>
        <v>2108340</v>
      </c>
      <c r="O25" s="509" t="s">
        <v>2042</v>
      </c>
      <c r="P25" s="1339"/>
    </row>
    <row r="26" spans="1:16" ht="19" thickBot="1">
      <c r="A26" s="546" t="s">
        <v>1117</v>
      </c>
      <c r="B26" s="544" t="s">
        <v>2002</v>
      </c>
      <c r="C26" s="544" t="s">
        <v>2005</v>
      </c>
      <c r="D26" s="544" t="s">
        <v>1987</v>
      </c>
      <c r="E26" s="503" t="s">
        <v>2090</v>
      </c>
      <c r="F26" s="504" t="s">
        <v>2083</v>
      </c>
      <c r="G26" s="505">
        <v>773</v>
      </c>
      <c r="H26" s="506" t="s">
        <v>477</v>
      </c>
      <c r="I26" s="506" t="s">
        <v>477</v>
      </c>
      <c r="J26" s="506" t="s">
        <v>477</v>
      </c>
      <c r="K26" s="507"/>
      <c r="L26" s="508" t="s">
        <v>2084</v>
      </c>
      <c r="M26" s="509">
        <v>2900</v>
      </c>
      <c r="N26" s="509">
        <f t="shared" si="0"/>
        <v>2241700</v>
      </c>
      <c r="O26" s="509" t="s">
        <v>2042</v>
      </c>
      <c r="P26" s="1339"/>
    </row>
    <row r="27" spans="1:16" ht="19" thickBot="1">
      <c r="A27" s="546" t="s">
        <v>1121</v>
      </c>
      <c r="B27" s="544" t="s">
        <v>2002</v>
      </c>
      <c r="C27" s="544" t="s">
        <v>2006</v>
      </c>
      <c r="D27" s="544" t="s">
        <v>1987</v>
      </c>
      <c r="E27" s="503" t="s">
        <v>1210</v>
      </c>
      <c r="F27" s="504" t="s">
        <v>2083</v>
      </c>
      <c r="G27" s="505">
        <v>288</v>
      </c>
      <c r="H27" s="506" t="s">
        <v>477</v>
      </c>
      <c r="I27" s="506" t="s">
        <v>477</v>
      </c>
      <c r="J27" s="506" t="s">
        <v>477</v>
      </c>
      <c r="K27" s="507"/>
      <c r="L27" s="508" t="s">
        <v>2084</v>
      </c>
      <c r="M27" s="509">
        <v>4800</v>
      </c>
      <c r="N27" s="509">
        <f t="shared" si="0"/>
        <v>1382400</v>
      </c>
      <c r="O27" s="509" t="s">
        <v>2042</v>
      </c>
      <c r="P27" s="1339"/>
    </row>
    <row r="28" spans="1:16" ht="19" thickBot="1">
      <c r="A28" s="543" t="s">
        <v>1131</v>
      </c>
      <c r="B28" s="544" t="s">
        <v>2007</v>
      </c>
      <c r="C28" s="544" t="s">
        <v>2003</v>
      </c>
      <c r="D28" s="544" t="s">
        <v>1987</v>
      </c>
      <c r="E28" s="503" t="s">
        <v>1211</v>
      </c>
      <c r="F28" s="504" t="s">
        <v>2083</v>
      </c>
      <c r="G28" s="505">
        <v>128</v>
      </c>
      <c r="H28" s="506" t="s">
        <v>477</v>
      </c>
      <c r="I28" s="506" t="s">
        <v>477</v>
      </c>
      <c r="J28" s="506" t="s">
        <v>477</v>
      </c>
      <c r="K28" s="507"/>
      <c r="L28" s="508" t="s">
        <v>2084</v>
      </c>
      <c r="M28" s="509">
        <v>710</v>
      </c>
      <c r="N28" s="509">
        <f t="shared" si="0"/>
        <v>90880</v>
      </c>
      <c r="O28" s="509" t="s">
        <v>2042</v>
      </c>
      <c r="P28" s="1339"/>
    </row>
    <row r="29" spans="1:16" ht="19" thickBot="1">
      <c r="A29" s="543" t="s">
        <v>1778</v>
      </c>
      <c r="B29" s="544" t="s">
        <v>1985</v>
      </c>
      <c r="C29" s="544" t="s">
        <v>2009</v>
      </c>
      <c r="D29" s="544" t="s">
        <v>1987</v>
      </c>
      <c r="E29" s="503" t="s">
        <v>1211</v>
      </c>
      <c r="F29" s="504" t="s">
        <v>2083</v>
      </c>
      <c r="G29" s="505">
        <v>280</v>
      </c>
      <c r="H29" s="506" t="s">
        <v>477</v>
      </c>
      <c r="I29" s="506" t="s">
        <v>477</v>
      </c>
      <c r="J29" s="506" t="s">
        <v>477</v>
      </c>
      <c r="K29" s="507"/>
      <c r="L29" s="508" t="s">
        <v>2084</v>
      </c>
      <c r="M29" s="509">
        <v>2100</v>
      </c>
      <c r="N29" s="509">
        <f t="shared" si="0"/>
        <v>588000</v>
      </c>
      <c r="O29" s="509" t="s">
        <v>2042</v>
      </c>
      <c r="P29" s="1339"/>
    </row>
    <row r="30" spans="1:16" ht="19" thickBot="1">
      <c r="A30" s="543" t="s">
        <v>1779</v>
      </c>
      <c r="B30" s="544" t="s">
        <v>1985</v>
      </c>
      <c r="C30" s="544" t="s">
        <v>2010</v>
      </c>
      <c r="D30" s="544" t="s">
        <v>1987</v>
      </c>
      <c r="E30" s="503" t="s">
        <v>1212</v>
      </c>
      <c r="F30" s="504" t="s">
        <v>2083</v>
      </c>
      <c r="G30" s="505">
        <v>104</v>
      </c>
      <c r="H30" s="506" t="s">
        <v>477</v>
      </c>
      <c r="I30" s="506" t="s">
        <v>477</v>
      </c>
      <c r="J30" s="506" t="s">
        <v>477</v>
      </c>
      <c r="K30" s="507"/>
      <c r="L30" s="508" t="s">
        <v>2084</v>
      </c>
      <c r="M30" s="509">
        <v>5800</v>
      </c>
      <c r="N30" s="509">
        <f t="shared" si="0"/>
        <v>603200</v>
      </c>
      <c r="O30" s="509" t="s">
        <v>2042</v>
      </c>
      <c r="P30" s="1339"/>
    </row>
    <row r="31" spans="1:16" ht="19" thickBot="1">
      <c r="A31" s="543" t="s">
        <v>1781</v>
      </c>
      <c r="B31" s="544" t="s">
        <v>1985</v>
      </c>
      <c r="C31" s="544" t="s">
        <v>1991</v>
      </c>
      <c r="D31" s="544" t="s">
        <v>1987</v>
      </c>
      <c r="E31" s="503" t="s">
        <v>1213</v>
      </c>
      <c r="F31" s="504" t="s">
        <v>2083</v>
      </c>
      <c r="G31" s="505">
        <v>51</v>
      </c>
      <c r="H31" s="506" t="s">
        <v>477</v>
      </c>
      <c r="I31" s="506" t="s">
        <v>477</v>
      </c>
      <c r="J31" s="506" t="s">
        <v>477</v>
      </c>
      <c r="K31" s="507"/>
      <c r="L31" s="508" t="s">
        <v>2084</v>
      </c>
      <c r="M31" s="509">
        <v>5800</v>
      </c>
      <c r="N31" s="509">
        <f t="shared" si="0"/>
        <v>295800</v>
      </c>
      <c r="O31" s="509" t="s">
        <v>2042</v>
      </c>
      <c r="P31" s="1339"/>
    </row>
    <row r="32" spans="1:16" ht="19" thickBot="1">
      <c r="A32" s="543" t="s">
        <v>1783</v>
      </c>
      <c r="B32" s="544" t="s">
        <v>1985</v>
      </c>
      <c r="C32" s="544" t="s">
        <v>2011</v>
      </c>
      <c r="D32" s="544" t="s">
        <v>1987</v>
      </c>
      <c r="E32" s="503" t="s">
        <v>2091</v>
      </c>
      <c r="F32" s="504" t="s">
        <v>2083</v>
      </c>
      <c r="G32" s="505">
        <v>24</v>
      </c>
      <c r="H32" s="506" t="s">
        <v>477</v>
      </c>
      <c r="I32" s="506" t="s">
        <v>477</v>
      </c>
      <c r="J32" s="506" t="s">
        <v>477</v>
      </c>
      <c r="K32" s="507"/>
      <c r="L32" s="508" t="s">
        <v>2084</v>
      </c>
      <c r="M32" s="509">
        <v>12700</v>
      </c>
      <c r="N32" s="509">
        <f t="shared" si="0"/>
        <v>304800</v>
      </c>
      <c r="O32" s="509" t="s">
        <v>2042</v>
      </c>
      <c r="P32" s="1339"/>
    </row>
    <row r="33" spans="1:16" ht="36.5" thickBot="1">
      <c r="A33" s="543" t="s">
        <v>1785</v>
      </c>
      <c r="B33" s="544" t="s">
        <v>1985</v>
      </c>
      <c r="C33" s="544" t="s">
        <v>2012</v>
      </c>
      <c r="D33" s="544" t="s">
        <v>1987</v>
      </c>
      <c r="E33" s="503" t="s">
        <v>1202</v>
      </c>
      <c r="F33" s="504" t="s">
        <v>2083</v>
      </c>
      <c r="G33" s="505">
        <v>192</v>
      </c>
      <c r="H33" s="506" t="s">
        <v>477</v>
      </c>
      <c r="I33" s="506" t="s">
        <v>477</v>
      </c>
      <c r="J33" s="506" t="s">
        <v>477</v>
      </c>
      <c r="K33" s="507"/>
      <c r="L33" s="508" t="s">
        <v>2084</v>
      </c>
      <c r="M33" s="509">
        <v>11000</v>
      </c>
      <c r="N33" s="509">
        <f t="shared" si="0"/>
        <v>2112000</v>
      </c>
      <c r="O33" s="509" t="s">
        <v>2042</v>
      </c>
      <c r="P33" s="1339"/>
    </row>
    <row r="34" spans="1:16" ht="36.5" thickBot="1">
      <c r="A34" s="543" t="s">
        <v>1787</v>
      </c>
      <c r="B34" s="544" t="s">
        <v>1985</v>
      </c>
      <c r="C34" s="544" t="s">
        <v>2013</v>
      </c>
      <c r="D34" s="544" t="s">
        <v>1987</v>
      </c>
      <c r="E34" s="503" t="s">
        <v>1205</v>
      </c>
      <c r="F34" s="504" t="s">
        <v>2083</v>
      </c>
      <c r="G34" s="505">
        <v>48</v>
      </c>
      <c r="H34" s="506" t="s">
        <v>477</v>
      </c>
      <c r="I34" s="506" t="s">
        <v>477</v>
      </c>
      <c r="J34" s="506" t="s">
        <v>477</v>
      </c>
      <c r="K34" s="507"/>
      <c r="L34" s="508" t="s">
        <v>2084</v>
      </c>
      <c r="M34" s="509">
        <v>12000</v>
      </c>
      <c r="N34" s="509">
        <f t="shared" si="0"/>
        <v>576000</v>
      </c>
      <c r="O34" s="509" t="s">
        <v>2042</v>
      </c>
      <c r="P34" s="1339"/>
    </row>
    <row r="35" spans="1:16" ht="36.5" thickBot="1">
      <c r="A35" s="543" t="s">
        <v>1789</v>
      </c>
      <c r="B35" s="544" t="s">
        <v>1985</v>
      </c>
      <c r="C35" s="544" t="s">
        <v>1999</v>
      </c>
      <c r="D35" s="544" t="s">
        <v>1987</v>
      </c>
      <c r="E35" s="503" t="s">
        <v>2092</v>
      </c>
      <c r="F35" s="504" t="s">
        <v>2083</v>
      </c>
      <c r="G35" s="505">
        <v>72</v>
      </c>
      <c r="H35" s="506" t="s">
        <v>477</v>
      </c>
      <c r="I35" s="506" t="s">
        <v>477</v>
      </c>
      <c r="J35" s="506" t="s">
        <v>477</v>
      </c>
      <c r="K35" s="507"/>
      <c r="L35" s="508" t="s">
        <v>2084</v>
      </c>
      <c r="M35" s="509">
        <v>20800</v>
      </c>
      <c r="N35" s="509">
        <f t="shared" si="0"/>
        <v>1497600</v>
      </c>
      <c r="O35" s="509" t="s">
        <v>2042</v>
      </c>
      <c r="P35" s="1339"/>
    </row>
    <row r="36" spans="1:16" ht="36.5" thickBot="1">
      <c r="A36" s="543" t="s">
        <v>1791</v>
      </c>
      <c r="B36" s="544" t="s">
        <v>1985</v>
      </c>
      <c r="C36" s="544" t="s">
        <v>2014</v>
      </c>
      <c r="D36" s="544" t="s">
        <v>1987</v>
      </c>
      <c r="E36" s="503" t="s">
        <v>2093</v>
      </c>
      <c r="F36" s="504" t="s">
        <v>2083</v>
      </c>
      <c r="G36" s="505">
        <v>72</v>
      </c>
      <c r="H36" s="506" t="s">
        <v>477</v>
      </c>
      <c r="I36" s="506" t="s">
        <v>477</v>
      </c>
      <c r="J36" s="506" t="s">
        <v>477</v>
      </c>
      <c r="K36" s="507"/>
      <c r="L36" s="508" t="s">
        <v>2084</v>
      </c>
      <c r="M36" s="509">
        <v>18000</v>
      </c>
      <c r="N36" s="509">
        <f t="shared" si="0"/>
        <v>1296000</v>
      </c>
      <c r="O36" s="509" t="s">
        <v>2042</v>
      </c>
      <c r="P36" s="1339"/>
    </row>
    <row r="37" spans="1:16" ht="36.5" thickBot="1">
      <c r="A37" s="543" t="s">
        <v>1793</v>
      </c>
      <c r="B37" s="544" t="s">
        <v>1985</v>
      </c>
      <c r="C37" s="544" t="s">
        <v>2000</v>
      </c>
      <c r="D37" s="544" t="s">
        <v>1987</v>
      </c>
      <c r="E37" s="503" t="s">
        <v>2094</v>
      </c>
      <c r="F37" s="504" t="s">
        <v>2083</v>
      </c>
      <c r="G37" s="505">
        <v>48</v>
      </c>
      <c r="H37" s="506" t="s">
        <v>477</v>
      </c>
      <c r="I37" s="506" t="s">
        <v>477</v>
      </c>
      <c r="J37" s="506" t="s">
        <v>477</v>
      </c>
      <c r="K37" s="507"/>
      <c r="L37" s="508" t="s">
        <v>2084</v>
      </c>
      <c r="M37" s="509">
        <v>18000</v>
      </c>
      <c r="N37" s="509">
        <f t="shared" si="0"/>
        <v>864000</v>
      </c>
      <c r="O37" s="509" t="s">
        <v>2042</v>
      </c>
      <c r="P37" s="1339"/>
    </row>
    <row r="38" spans="1:16" ht="36.5" thickBot="1">
      <c r="A38" s="543" t="s">
        <v>1795</v>
      </c>
      <c r="B38" s="544" t="s">
        <v>1985</v>
      </c>
      <c r="C38" s="544" t="s">
        <v>2015</v>
      </c>
      <c r="D38" s="544" t="s">
        <v>1987</v>
      </c>
      <c r="E38" s="503" t="s">
        <v>2095</v>
      </c>
      <c r="F38" s="504" t="s">
        <v>2083</v>
      </c>
      <c r="G38" s="505">
        <v>72</v>
      </c>
      <c r="H38" s="506" t="s">
        <v>477</v>
      </c>
      <c r="I38" s="506" t="s">
        <v>477</v>
      </c>
      <c r="J38" s="506" t="s">
        <v>477</v>
      </c>
      <c r="K38" s="507"/>
      <c r="L38" s="508" t="s">
        <v>2084</v>
      </c>
      <c r="M38" s="509">
        <v>44200</v>
      </c>
      <c r="N38" s="509">
        <f t="shared" si="0"/>
        <v>3182400</v>
      </c>
      <c r="O38" s="509" t="s">
        <v>2042</v>
      </c>
      <c r="P38" s="1339"/>
    </row>
    <row r="39" spans="1:16" ht="36.5" thickBot="1">
      <c r="A39" s="543" t="s">
        <v>1797</v>
      </c>
      <c r="B39" s="544" t="s">
        <v>1985</v>
      </c>
      <c r="C39" s="544" t="s">
        <v>2016</v>
      </c>
      <c r="D39" s="544" t="s">
        <v>1987</v>
      </c>
      <c r="E39" s="503" t="s">
        <v>2096</v>
      </c>
      <c r="F39" s="504" t="s">
        <v>2083</v>
      </c>
      <c r="G39" s="505">
        <v>48</v>
      </c>
      <c r="H39" s="506" t="s">
        <v>477</v>
      </c>
      <c r="I39" s="506" t="s">
        <v>477</v>
      </c>
      <c r="J39" s="506" t="s">
        <v>477</v>
      </c>
      <c r="K39" s="507"/>
      <c r="L39" s="508" t="s">
        <v>2084</v>
      </c>
      <c r="M39" s="509">
        <v>61000</v>
      </c>
      <c r="N39" s="509">
        <f t="shared" si="0"/>
        <v>2928000</v>
      </c>
      <c r="O39" s="509" t="s">
        <v>2042</v>
      </c>
      <c r="P39" s="1339"/>
    </row>
    <row r="40" spans="1:16" ht="36.5" thickBot="1">
      <c r="A40" s="543" t="s">
        <v>1799</v>
      </c>
      <c r="B40" s="544" t="s">
        <v>2002</v>
      </c>
      <c r="C40" s="544" t="s">
        <v>2017</v>
      </c>
      <c r="D40" s="544" t="s">
        <v>1987</v>
      </c>
      <c r="E40" s="503" t="s">
        <v>2096</v>
      </c>
      <c r="F40" s="504" t="s">
        <v>2083</v>
      </c>
      <c r="G40" s="505">
        <v>280</v>
      </c>
      <c r="H40" s="506" t="s">
        <v>477</v>
      </c>
      <c r="I40" s="506" t="s">
        <v>477</v>
      </c>
      <c r="J40" s="506" t="s">
        <v>477</v>
      </c>
      <c r="K40" s="507"/>
      <c r="L40" s="508" t="s">
        <v>2084</v>
      </c>
      <c r="M40" s="509">
        <v>690</v>
      </c>
      <c r="N40" s="509">
        <f t="shared" si="0"/>
        <v>193200</v>
      </c>
      <c r="O40" s="509" t="s">
        <v>2042</v>
      </c>
      <c r="P40" s="1339"/>
    </row>
    <row r="41" spans="1:16" ht="36.5" thickBot="1">
      <c r="A41" s="543" t="s">
        <v>1801</v>
      </c>
      <c r="B41" s="544" t="s">
        <v>2002</v>
      </c>
      <c r="C41" s="544" t="s">
        <v>2003</v>
      </c>
      <c r="D41" s="544" t="s">
        <v>1987</v>
      </c>
      <c r="E41" s="503" t="s">
        <v>2097</v>
      </c>
      <c r="F41" s="504" t="s">
        <v>2083</v>
      </c>
      <c r="G41" s="505">
        <v>51</v>
      </c>
      <c r="H41" s="506" t="s">
        <v>477</v>
      </c>
      <c r="I41" s="506" t="s">
        <v>477</v>
      </c>
      <c r="J41" s="506" t="s">
        <v>477</v>
      </c>
      <c r="K41" s="507"/>
      <c r="L41" s="508" t="s">
        <v>2084</v>
      </c>
      <c r="M41" s="509">
        <v>1590</v>
      </c>
      <c r="N41" s="509">
        <f t="shared" si="0"/>
        <v>81090</v>
      </c>
      <c r="O41" s="509" t="s">
        <v>2042</v>
      </c>
      <c r="P41" s="1339"/>
    </row>
    <row r="42" spans="1:16" ht="36.5" thickBot="1">
      <c r="A42" s="543" t="s">
        <v>1803</v>
      </c>
      <c r="B42" s="544" t="s">
        <v>2007</v>
      </c>
      <c r="C42" s="544" t="s">
        <v>2003</v>
      </c>
      <c r="D42" s="544" t="s">
        <v>1987</v>
      </c>
      <c r="E42" s="503" t="s">
        <v>2098</v>
      </c>
      <c r="F42" s="504" t="s">
        <v>2083</v>
      </c>
      <c r="G42" s="505">
        <v>432</v>
      </c>
      <c r="H42" s="506" t="s">
        <v>477</v>
      </c>
      <c r="I42" s="506" t="s">
        <v>477</v>
      </c>
      <c r="J42" s="506" t="s">
        <v>477</v>
      </c>
      <c r="K42" s="507"/>
      <c r="L42" s="508" t="s">
        <v>2084</v>
      </c>
      <c r="M42" s="509">
        <v>710</v>
      </c>
      <c r="N42" s="509">
        <f t="shared" si="0"/>
        <v>306720</v>
      </c>
      <c r="O42" s="509" t="s">
        <v>2042</v>
      </c>
      <c r="P42" s="1339"/>
    </row>
    <row r="43" spans="1:16" ht="36.5" thickBot="1">
      <c r="A43" s="543" t="s">
        <v>1805</v>
      </c>
      <c r="B43" s="544" t="s">
        <v>2002</v>
      </c>
      <c r="C43" s="544" t="s">
        <v>2005</v>
      </c>
      <c r="D43" s="544" t="s">
        <v>1987</v>
      </c>
      <c r="E43" s="503" t="s">
        <v>2099</v>
      </c>
      <c r="F43" s="504" t="s">
        <v>2083</v>
      </c>
      <c r="G43" s="505">
        <v>264</v>
      </c>
      <c r="H43" s="506" t="s">
        <v>477</v>
      </c>
      <c r="I43" s="506" t="s">
        <v>477</v>
      </c>
      <c r="J43" s="506" t="s">
        <v>477</v>
      </c>
      <c r="K43" s="507"/>
      <c r="L43" s="508" t="s">
        <v>2084</v>
      </c>
      <c r="M43" s="509">
        <v>2940</v>
      </c>
      <c r="N43" s="509">
        <f t="shared" si="0"/>
        <v>776160</v>
      </c>
      <c r="O43" s="509" t="s">
        <v>2042</v>
      </c>
      <c r="P43" s="1339"/>
    </row>
    <row r="44" spans="1:16" ht="19" thickBot="1">
      <c r="A44" s="543" t="s">
        <v>1807</v>
      </c>
      <c r="B44" s="544" t="s">
        <v>2007</v>
      </c>
      <c r="C44" s="544" t="s">
        <v>2005</v>
      </c>
      <c r="D44" s="544" t="s">
        <v>1987</v>
      </c>
      <c r="E44" s="503" t="s">
        <v>2100</v>
      </c>
      <c r="F44" s="504" t="s">
        <v>2083</v>
      </c>
      <c r="G44" s="505">
        <v>112</v>
      </c>
      <c r="H44" s="506" t="s">
        <v>477</v>
      </c>
      <c r="I44" s="506" t="s">
        <v>477</v>
      </c>
      <c r="J44" s="506" t="s">
        <v>477</v>
      </c>
      <c r="K44" s="507"/>
      <c r="L44" s="508" t="s">
        <v>2084</v>
      </c>
      <c r="M44" s="509">
        <v>1050</v>
      </c>
      <c r="N44" s="509">
        <f t="shared" si="0"/>
        <v>117600</v>
      </c>
      <c r="O44" s="509" t="s">
        <v>2042</v>
      </c>
      <c r="P44" s="1339"/>
    </row>
    <row r="45" spans="1:16" ht="19" thickBot="1">
      <c r="A45" s="543" t="s">
        <v>1809</v>
      </c>
      <c r="B45" s="544" t="s">
        <v>2002</v>
      </c>
      <c r="C45" s="544" t="s">
        <v>2006</v>
      </c>
      <c r="D45" s="544" t="s">
        <v>1987</v>
      </c>
      <c r="E45" s="503" t="s">
        <v>1259</v>
      </c>
      <c r="F45" s="504" t="s">
        <v>2083</v>
      </c>
      <c r="G45" s="505">
        <v>192</v>
      </c>
      <c r="H45" s="506" t="s">
        <v>477</v>
      </c>
      <c r="I45" s="506" t="s">
        <v>477</v>
      </c>
      <c r="J45" s="506" t="s">
        <v>477</v>
      </c>
      <c r="K45" s="507"/>
      <c r="L45" s="508" t="s">
        <v>2084</v>
      </c>
      <c r="M45" s="509">
        <v>4900</v>
      </c>
      <c r="N45" s="509">
        <f t="shared" si="0"/>
        <v>940800</v>
      </c>
      <c r="O45" s="509" t="s">
        <v>2042</v>
      </c>
      <c r="P45" s="1339"/>
    </row>
    <row r="46" spans="1:16" ht="19" thickBot="1">
      <c r="A46" s="543" t="s">
        <v>1811</v>
      </c>
      <c r="B46" s="544" t="s">
        <v>2002</v>
      </c>
      <c r="C46" s="544" t="s">
        <v>2018</v>
      </c>
      <c r="D46" s="544" t="s">
        <v>1987</v>
      </c>
      <c r="E46" s="503" t="s">
        <v>1237</v>
      </c>
      <c r="F46" s="504" t="s">
        <v>2083</v>
      </c>
      <c r="G46" s="505">
        <v>72</v>
      </c>
      <c r="H46" s="506" t="s">
        <v>477</v>
      </c>
      <c r="I46" s="506" t="s">
        <v>477</v>
      </c>
      <c r="J46" s="506" t="s">
        <v>477</v>
      </c>
      <c r="K46" s="507"/>
      <c r="L46" s="508" t="s">
        <v>2084</v>
      </c>
      <c r="M46" s="509">
        <v>9700</v>
      </c>
      <c r="N46" s="509">
        <f t="shared" si="0"/>
        <v>698400</v>
      </c>
      <c r="O46" s="509" t="s">
        <v>2042</v>
      </c>
      <c r="P46" s="1339"/>
    </row>
    <row r="47" spans="1:16" ht="19" thickBot="1">
      <c r="A47" s="543" t="s">
        <v>1813</v>
      </c>
      <c r="B47" s="544" t="s">
        <v>2002</v>
      </c>
      <c r="C47" s="544" t="s">
        <v>2018</v>
      </c>
      <c r="D47" s="544" t="s">
        <v>1987</v>
      </c>
      <c r="E47" s="503" t="s">
        <v>1239</v>
      </c>
      <c r="F47" s="504" t="s">
        <v>2083</v>
      </c>
      <c r="G47" s="505">
        <v>96</v>
      </c>
      <c r="H47" s="506" t="s">
        <v>477</v>
      </c>
      <c r="I47" s="506" t="s">
        <v>477</v>
      </c>
      <c r="J47" s="506" t="s">
        <v>477</v>
      </c>
      <c r="K47" s="507"/>
      <c r="L47" s="508" t="s">
        <v>2084</v>
      </c>
      <c r="M47" s="509">
        <v>9700</v>
      </c>
      <c r="N47" s="509">
        <f t="shared" si="0"/>
        <v>931200</v>
      </c>
      <c r="O47" s="509" t="s">
        <v>2042</v>
      </c>
      <c r="P47" s="1339"/>
    </row>
    <row r="48" spans="1:16" ht="19" thickBot="1">
      <c r="A48" s="543" t="s">
        <v>1815</v>
      </c>
      <c r="B48" s="544" t="s">
        <v>2002</v>
      </c>
      <c r="C48" s="544" t="s">
        <v>2019</v>
      </c>
      <c r="D48" s="544" t="s">
        <v>1987</v>
      </c>
      <c r="E48" s="503" t="s">
        <v>1242</v>
      </c>
      <c r="F48" s="504" t="s">
        <v>2083</v>
      </c>
      <c r="G48" s="505">
        <v>48</v>
      </c>
      <c r="H48" s="506" t="s">
        <v>477</v>
      </c>
      <c r="I48" s="506" t="s">
        <v>477</v>
      </c>
      <c r="J48" s="506" t="s">
        <v>477</v>
      </c>
      <c r="K48" s="507"/>
      <c r="L48" s="508" t="s">
        <v>2084</v>
      </c>
      <c r="M48" s="509">
        <v>16500</v>
      </c>
      <c r="N48" s="509">
        <f t="shared" si="0"/>
        <v>792000</v>
      </c>
      <c r="O48" s="509" t="s">
        <v>2042</v>
      </c>
      <c r="P48" s="1339"/>
    </row>
    <row r="49" spans="1:16" ht="19" thickBot="1">
      <c r="A49" s="543" t="s">
        <v>1817</v>
      </c>
      <c r="B49" s="544" t="s">
        <v>2007</v>
      </c>
      <c r="C49" s="544" t="s">
        <v>2017</v>
      </c>
      <c r="D49" s="544" t="s">
        <v>1987</v>
      </c>
      <c r="E49" s="503" t="s">
        <v>1245</v>
      </c>
      <c r="F49" s="504" t="s">
        <v>2083</v>
      </c>
      <c r="G49" s="505">
        <v>240</v>
      </c>
      <c r="H49" s="506" t="s">
        <v>477</v>
      </c>
      <c r="I49" s="506" t="s">
        <v>477</v>
      </c>
      <c r="J49" s="506" t="s">
        <v>477</v>
      </c>
      <c r="K49" s="507"/>
      <c r="L49" s="508" t="s">
        <v>2084</v>
      </c>
      <c r="M49" s="509">
        <v>440</v>
      </c>
      <c r="N49" s="509">
        <f t="shared" si="0"/>
        <v>105600</v>
      </c>
      <c r="O49" s="509" t="s">
        <v>2042</v>
      </c>
      <c r="P49" s="1339"/>
    </row>
    <row r="50" spans="1:16" ht="19" thickBot="1">
      <c r="A50" s="543" t="s">
        <v>1819</v>
      </c>
      <c r="B50" s="544" t="s">
        <v>2007</v>
      </c>
      <c r="C50" s="544" t="s">
        <v>2003</v>
      </c>
      <c r="D50" s="544" t="s">
        <v>1987</v>
      </c>
      <c r="E50" s="503" t="s">
        <v>1249</v>
      </c>
      <c r="F50" s="504" t="s">
        <v>2083</v>
      </c>
      <c r="G50" s="505">
        <v>1926</v>
      </c>
      <c r="H50" s="506" t="s">
        <v>477</v>
      </c>
      <c r="I50" s="506" t="s">
        <v>477</v>
      </c>
      <c r="J50" s="506" t="s">
        <v>477</v>
      </c>
      <c r="K50" s="507"/>
      <c r="L50" s="508" t="s">
        <v>2084</v>
      </c>
      <c r="M50" s="509">
        <v>710</v>
      </c>
      <c r="N50" s="509">
        <f t="shared" si="0"/>
        <v>1367460</v>
      </c>
      <c r="O50" s="509" t="s">
        <v>2042</v>
      </c>
      <c r="P50" s="1339"/>
    </row>
    <row r="51" spans="1:16" ht="36.5" thickBot="1">
      <c r="A51" s="543" t="s">
        <v>1821</v>
      </c>
      <c r="B51" s="544" t="s">
        <v>2007</v>
      </c>
      <c r="C51" s="544" t="s">
        <v>2003</v>
      </c>
      <c r="D51" s="544" t="s">
        <v>1987</v>
      </c>
      <c r="E51" s="503" t="s">
        <v>2101</v>
      </c>
      <c r="F51" s="504" t="s">
        <v>2083</v>
      </c>
      <c r="G51" s="505">
        <v>24</v>
      </c>
      <c r="H51" s="506" t="s">
        <v>477</v>
      </c>
      <c r="I51" s="506" t="s">
        <v>477</v>
      </c>
      <c r="J51" s="506" t="s">
        <v>477</v>
      </c>
      <c r="K51" s="507"/>
      <c r="L51" s="508" t="s">
        <v>2084</v>
      </c>
      <c r="M51" s="509">
        <v>710</v>
      </c>
      <c r="N51" s="509">
        <f t="shared" si="0"/>
        <v>17040</v>
      </c>
      <c r="O51" s="509" t="s">
        <v>2042</v>
      </c>
      <c r="P51" s="1339"/>
    </row>
    <row r="52" spans="1:16" ht="35" customHeight="1" thickBot="1">
      <c r="A52" s="543" t="s">
        <v>1823</v>
      </c>
      <c r="B52" s="544" t="s">
        <v>2020</v>
      </c>
      <c r="C52" s="544" t="s">
        <v>2021</v>
      </c>
      <c r="D52" s="544" t="s">
        <v>1987</v>
      </c>
      <c r="E52" s="503" t="s">
        <v>2102</v>
      </c>
      <c r="F52" s="504" t="s">
        <v>2083</v>
      </c>
      <c r="G52" s="505">
        <v>32</v>
      </c>
      <c r="H52" s="506" t="s">
        <v>477</v>
      </c>
      <c r="I52" s="506" t="s">
        <v>477</v>
      </c>
      <c r="J52" s="506" t="s">
        <v>477</v>
      </c>
      <c r="K52" s="507"/>
      <c r="L52" s="508" t="s">
        <v>2084</v>
      </c>
      <c r="M52" s="509">
        <v>14300</v>
      </c>
      <c r="N52" s="509">
        <f t="shared" si="0"/>
        <v>457600</v>
      </c>
      <c r="O52" s="509" t="s">
        <v>2042</v>
      </c>
      <c r="P52" s="1339"/>
    </row>
    <row r="53" spans="1:16" ht="19" thickBot="1">
      <c r="A53" s="543" t="s">
        <v>1824</v>
      </c>
      <c r="B53" s="544" t="s">
        <v>2020</v>
      </c>
      <c r="C53" s="544" t="s">
        <v>2021</v>
      </c>
      <c r="D53" s="544" t="s">
        <v>1987</v>
      </c>
      <c r="E53" s="503" t="s">
        <v>2103</v>
      </c>
      <c r="F53" s="504" t="s">
        <v>2083</v>
      </c>
      <c r="G53" s="505">
        <v>32</v>
      </c>
      <c r="H53" s="506" t="s">
        <v>477</v>
      </c>
      <c r="I53" s="506" t="s">
        <v>477</v>
      </c>
      <c r="J53" s="506" t="s">
        <v>477</v>
      </c>
      <c r="K53" s="507"/>
      <c r="L53" s="508" t="s">
        <v>2084</v>
      </c>
      <c r="M53" s="509">
        <v>14300</v>
      </c>
      <c r="N53" s="509">
        <f t="shared" si="0"/>
        <v>457600</v>
      </c>
      <c r="O53" s="509" t="s">
        <v>2042</v>
      </c>
      <c r="P53" s="1339"/>
    </row>
    <row r="54" spans="1:16" ht="36.5" thickBot="1">
      <c r="A54" s="543" t="s">
        <v>1826</v>
      </c>
      <c r="B54" s="544" t="s">
        <v>2007</v>
      </c>
      <c r="C54" s="544" t="s">
        <v>2005</v>
      </c>
      <c r="D54" s="544" t="s">
        <v>1987</v>
      </c>
      <c r="E54" s="503" t="s">
        <v>1287</v>
      </c>
      <c r="F54" s="504" t="s">
        <v>2083</v>
      </c>
      <c r="G54" s="505">
        <v>1362</v>
      </c>
      <c r="H54" s="506" t="s">
        <v>477</v>
      </c>
      <c r="I54" s="506" t="s">
        <v>477</v>
      </c>
      <c r="J54" s="506" t="s">
        <v>477</v>
      </c>
      <c r="K54" s="507"/>
      <c r="L54" s="508" t="s">
        <v>2084</v>
      </c>
      <c r="M54" s="509">
        <v>550</v>
      </c>
      <c r="N54" s="509">
        <f t="shared" si="0"/>
        <v>749100</v>
      </c>
      <c r="O54" s="509" t="s">
        <v>2042</v>
      </c>
      <c r="P54" s="1339"/>
    </row>
    <row r="55" spans="1:16" ht="36.5" thickBot="1">
      <c r="A55" s="543" t="s">
        <v>1828</v>
      </c>
      <c r="B55" s="544" t="s">
        <v>2020</v>
      </c>
      <c r="C55" s="544" t="s">
        <v>2023</v>
      </c>
      <c r="D55" s="544" t="s">
        <v>1987</v>
      </c>
      <c r="E55" s="503" t="s">
        <v>2104</v>
      </c>
      <c r="F55" s="504" t="s">
        <v>2083</v>
      </c>
      <c r="G55" s="505">
        <v>16</v>
      </c>
      <c r="H55" s="506" t="s">
        <v>477</v>
      </c>
      <c r="I55" s="506" t="s">
        <v>477</v>
      </c>
      <c r="J55" s="506" t="s">
        <v>477</v>
      </c>
      <c r="K55" s="507"/>
      <c r="L55" s="508" t="s">
        <v>2084</v>
      </c>
      <c r="M55" s="509">
        <v>28800</v>
      </c>
      <c r="N55" s="509">
        <f t="shared" si="0"/>
        <v>460800</v>
      </c>
      <c r="O55" s="509" t="s">
        <v>2042</v>
      </c>
      <c r="P55" s="1339"/>
    </row>
    <row r="56" spans="1:16" ht="36.5" thickBot="1">
      <c r="A56" s="543" t="s">
        <v>1829</v>
      </c>
      <c r="B56" s="544" t="s">
        <v>2020</v>
      </c>
      <c r="C56" s="544" t="s">
        <v>2023</v>
      </c>
      <c r="D56" s="544" t="s">
        <v>1987</v>
      </c>
      <c r="E56" s="503" t="s">
        <v>2105</v>
      </c>
      <c r="F56" s="504" t="s">
        <v>2083</v>
      </c>
      <c r="G56" s="505">
        <v>12</v>
      </c>
      <c r="H56" s="506" t="s">
        <v>477</v>
      </c>
      <c r="I56" s="506" t="s">
        <v>477</v>
      </c>
      <c r="J56" s="506" t="s">
        <v>477</v>
      </c>
      <c r="K56" s="507"/>
      <c r="L56" s="508" t="s">
        <v>2084</v>
      </c>
      <c r="M56" s="509">
        <v>28800</v>
      </c>
      <c r="N56" s="509">
        <f t="shared" si="0"/>
        <v>345600</v>
      </c>
      <c r="O56" s="509" t="s">
        <v>2042</v>
      </c>
      <c r="P56" s="1339"/>
    </row>
    <row r="57" spans="1:16" ht="36.5" thickBot="1">
      <c r="A57" s="543" t="s">
        <v>1831</v>
      </c>
      <c r="B57" s="544" t="s">
        <v>2007</v>
      </c>
      <c r="C57" s="548" t="s">
        <v>2006</v>
      </c>
      <c r="D57" s="544" t="s">
        <v>1987</v>
      </c>
      <c r="E57" s="503" t="s">
        <v>1271</v>
      </c>
      <c r="F57" s="504" t="s">
        <v>2083</v>
      </c>
      <c r="G57" s="505">
        <v>576</v>
      </c>
      <c r="H57" s="506" t="s">
        <v>477</v>
      </c>
      <c r="I57" s="506" t="s">
        <v>477</v>
      </c>
      <c r="J57" s="506" t="s">
        <v>477</v>
      </c>
      <c r="K57" s="507"/>
      <c r="L57" s="508" t="s">
        <v>2084</v>
      </c>
      <c r="M57" s="509">
        <v>1150</v>
      </c>
      <c r="N57" s="509">
        <f t="shared" si="0"/>
        <v>662400</v>
      </c>
      <c r="O57" s="509" t="s">
        <v>2042</v>
      </c>
      <c r="P57" s="1339"/>
    </row>
    <row r="58" spans="1:16" ht="36.5" thickBot="1">
      <c r="A58" s="543" t="s">
        <v>1833</v>
      </c>
      <c r="B58" s="544" t="s">
        <v>2007</v>
      </c>
      <c r="C58" s="548" t="s">
        <v>2018</v>
      </c>
      <c r="D58" s="544" t="s">
        <v>1987</v>
      </c>
      <c r="E58" s="503" t="s">
        <v>1273</v>
      </c>
      <c r="F58" s="504" t="s">
        <v>2083</v>
      </c>
      <c r="G58" s="505">
        <v>192</v>
      </c>
      <c r="H58" s="506" t="s">
        <v>477</v>
      </c>
      <c r="I58" s="506" t="s">
        <v>477</v>
      </c>
      <c r="J58" s="506" t="s">
        <v>477</v>
      </c>
      <c r="K58" s="507"/>
      <c r="L58" s="508" t="s">
        <v>2084</v>
      </c>
      <c r="M58" s="509">
        <v>1880</v>
      </c>
      <c r="N58" s="509">
        <f t="shared" si="0"/>
        <v>360960</v>
      </c>
      <c r="O58" s="509" t="s">
        <v>2042</v>
      </c>
      <c r="P58" s="1339"/>
    </row>
    <row r="59" spans="1:16" ht="36.5" thickBot="1">
      <c r="A59" s="543" t="s">
        <v>1835</v>
      </c>
      <c r="B59" s="544" t="s">
        <v>2024</v>
      </c>
      <c r="C59" s="548" t="s">
        <v>2003</v>
      </c>
      <c r="D59" s="544" t="s">
        <v>1987</v>
      </c>
      <c r="E59" s="503" t="s">
        <v>1273</v>
      </c>
      <c r="F59" s="504" t="s">
        <v>2083</v>
      </c>
      <c r="G59" s="505">
        <v>102</v>
      </c>
      <c r="H59" s="506" t="s">
        <v>477</v>
      </c>
      <c r="I59" s="506" t="s">
        <v>477</v>
      </c>
      <c r="J59" s="506" t="s">
        <v>477</v>
      </c>
      <c r="K59" s="507"/>
      <c r="L59" s="508" t="s">
        <v>2084</v>
      </c>
      <c r="M59" s="509">
        <v>420</v>
      </c>
      <c r="N59" s="509">
        <f t="shared" si="0"/>
        <v>42840</v>
      </c>
      <c r="O59" s="509" t="s">
        <v>2042</v>
      </c>
      <c r="P59" s="1339"/>
    </row>
    <row r="60" spans="1:16" ht="36.5" thickBot="1">
      <c r="A60" s="543" t="s">
        <v>1837</v>
      </c>
      <c r="B60" s="544" t="s">
        <v>2024</v>
      </c>
      <c r="C60" s="548" t="s">
        <v>2005</v>
      </c>
      <c r="D60" s="544" t="s">
        <v>1987</v>
      </c>
      <c r="E60" s="503" t="s">
        <v>1273</v>
      </c>
      <c r="F60" s="504" t="s">
        <v>2083</v>
      </c>
      <c r="G60" s="505">
        <v>528</v>
      </c>
      <c r="H60" s="506" t="s">
        <v>477</v>
      </c>
      <c r="I60" s="506" t="s">
        <v>477</v>
      </c>
      <c r="J60" s="506" t="s">
        <v>477</v>
      </c>
      <c r="K60" s="507"/>
      <c r="L60" s="508" t="s">
        <v>2084</v>
      </c>
      <c r="M60" s="509">
        <v>640</v>
      </c>
      <c r="N60" s="509">
        <f t="shared" si="0"/>
        <v>337920</v>
      </c>
      <c r="O60" s="509" t="s">
        <v>2042</v>
      </c>
      <c r="P60" s="1339"/>
    </row>
    <row r="61" spans="1:16" ht="36.5" thickBot="1">
      <c r="A61" s="543" t="s">
        <v>1839</v>
      </c>
      <c r="B61" s="544" t="s">
        <v>2024</v>
      </c>
      <c r="C61" s="548" t="s">
        <v>2006</v>
      </c>
      <c r="D61" s="544" t="s">
        <v>1987</v>
      </c>
      <c r="E61" s="503" t="s">
        <v>1277</v>
      </c>
      <c r="F61" s="504" t="s">
        <v>2083</v>
      </c>
      <c r="G61" s="505">
        <v>384</v>
      </c>
      <c r="H61" s="506" t="s">
        <v>477</v>
      </c>
      <c r="I61" s="506" t="s">
        <v>477</v>
      </c>
      <c r="J61" s="506" t="s">
        <v>477</v>
      </c>
      <c r="K61" s="507"/>
      <c r="L61" s="508" t="s">
        <v>2084</v>
      </c>
      <c r="M61" s="509">
        <v>1220</v>
      </c>
      <c r="N61" s="509">
        <f t="shared" si="0"/>
        <v>468480</v>
      </c>
      <c r="O61" s="509" t="s">
        <v>2042</v>
      </c>
      <c r="P61" s="1339"/>
    </row>
    <row r="62" spans="1:16" ht="36.5" thickBot="1">
      <c r="A62" s="543" t="s">
        <v>1841</v>
      </c>
      <c r="B62" s="544" t="s">
        <v>2024</v>
      </c>
      <c r="C62" s="548" t="s">
        <v>2018</v>
      </c>
      <c r="D62" s="544" t="s">
        <v>1987</v>
      </c>
      <c r="E62" s="503" t="s">
        <v>1279</v>
      </c>
      <c r="F62" s="504" t="s">
        <v>2083</v>
      </c>
      <c r="G62" s="505">
        <v>144</v>
      </c>
      <c r="H62" s="506" t="s">
        <v>477</v>
      </c>
      <c r="I62" s="506" t="s">
        <v>477</v>
      </c>
      <c r="J62" s="506" t="s">
        <v>477</v>
      </c>
      <c r="K62" s="507"/>
      <c r="L62" s="508" t="s">
        <v>2084</v>
      </c>
      <c r="M62" s="509">
        <v>1780</v>
      </c>
      <c r="N62" s="509">
        <f t="shared" si="0"/>
        <v>256320</v>
      </c>
      <c r="O62" s="509" t="s">
        <v>2042</v>
      </c>
      <c r="P62" s="1339"/>
    </row>
    <row r="63" spans="1:16" ht="36.5" thickBot="1">
      <c r="A63" s="543" t="s">
        <v>1843</v>
      </c>
      <c r="B63" s="544" t="s">
        <v>2024</v>
      </c>
      <c r="C63" s="548" t="s">
        <v>2019</v>
      </c>
      <c r="D63" s="544" t="s">
        <v>1987</v>
      </c>
      <c r="E63" s="503" t="s">
        <v>1280</v>
      </c>
      <c r="F63" s="504" t="s">
        <v>2083</v>
      </c>
      <c r="G63" s="505">
        <v>96</v>
      </c>
      <c r="H63" s="506" t="s">
        <v>477</v>
      </c>
      <c r="I63" s="506" t="s">
        <v>477</v>
      </c>
      <c r="J63" s="506" t="s">
        <v>477</v>
      </c>
      <c r="K63" s="507"/>
      <c r="L63" s="508" t="s">
        <v>2084</v>
      </c>
      <c r="M63" s="509">
        <v>2750</v>
      </c>
      <c r="N63" s="509">
        <f t="shared" si="0"/>
        <v>264000</v>
      </c>
      <c r="O63" s="509" t="s">
        <v>2042</v>
      </c>
      <c r="P63" s="1339"/>
    </row>
    <row r="64" spans="1:16" ht="36.5" thickBot="1">
      <c r="A64" s="543" t="s">
        <v>1845</v>
      </c>
      <c r="B64" s="544" t="s">
        <v>2024</v>
      </c>
      <c r="C64" s="548" t="s">
        <v>2017</v>
      </c>
      <c r="D64" s="544" t="s">
        <v>1987</v>
      </c>
      <c r="E64" s="503" t="s">
        <v>1290</v>
      </c>
      <c r="F64" s="504" t="s">
        <v>2083</v>
      </c>
      <c r="G64" s="505">
        <v>320</v>
      </c>
      <c r="H64" s="506" t="s">
        <v>477</v>
      </c>
      <c r="I64" s="506" t="s">
        <v>477</v>
      </c>
      <c r="J64" s="506" t="s">
        <v>477</v>
      </c>
      <c r="K64" s="507"/>
      <c r="L64" s="508" t="s">
        <v>2084</v>
      </c>
      <c r="M64" s="509">
        <v>230</v>
      </c>
      <c r="N64" s="509">
        <f t="shared" si="0"/>
        <v>73600</v>
      </c>
      <c r="O64" s="509" t="s">
        <v>2042</v>
      </c>
      <c r="P64" s="1339"/>
    </row>
    <row r="65" spans="1:16" ht="36.5" thickBot="1">
      <c r="A65" s="543" t="s">
        <v>1847</v>
      </c>
      <c r="B65" s="544" t="s">
        <v>2020</v>
      </c>
      <c r="C65" s="548" t="s">
        <v>2003</v>
      </c>
      <c r="D65" s="544" t="s">
        <v>1987</v>
      </c>
      <c r="E65" s="503" t="s">
        <v>1278</v>
      </c>
      <c r="F65" s="504" t="s">
        <v>2083</v>
      </c>
      <c r="G65" s="505">
        <v>252</v>
      </c>
      <c r="H65" s="506" t="s">
        <v>477</v>
      </c>
      <c r="I65" s="506" t="s">
        <v>477</v>
      </c>
      <c r="J65" s="506" t="s">
        <v>477</v>
      </c>
      <c r="K65" s="507"/>
      <c r="L65" s="508" t="s">
        <v>2084</v>
      </c>
      <c r="M65" s="509">
        <v>14100</v>
      </c>
      <c r="N65" s="509">
        <f t="shared" si="0"/>
        <v>3553200</v>
      </c>
      <c r="O65" s="509" t="s">
        <v>2042</v>
      </c>
      <c r="P65" s="1339"/>
    </row>
    <row r="66" spans="1:16" ht="36">
      <c r="A66" s="556" t="s">
        <v>1849</v>
      </c>
      <c r="B66" s="552" t="s">
        <v>1599</v>
      </c>
      <c r="C66" s="557" t="s">
        <v>2026</v>
      </c>
      <c r="D66" s="552" t="s">
        <v>1987</v>
      </c>
      <c r="E66" s="503" t="s">
        <v>2106</v>
      </c>
      <c r="F66" s="504" t="s">
        <v>2083</v>
      </c>
      <c r="G66" s="505">
        <v>12</v>
      </c>
      <c r="H66" s="506" t="s">
        <v>477</v>
      </c>
      <c r="I66" s="506" t="s">
        <v>477</v>
      </c>
      <c r="J66" s="506" t="s">
        <v>477</v>
      </c>
      <c r="K66" s="507"/>
      <c r="L66" s="508" t="s">
        <v>2084</v>
      </c>
      <c r="M66" s="509">
        <v>13700</v>
      </c>
      <c r="N66" s="509">
        <f t="shared" si="0"/>
        <v>164400</v>
      </c>
      <c r="O66" s="509" t="s">
        <v>2042</v>
      </c>
      <c r="P66" s="1339"/>
    </row>
    <row r="67" spans="1:16" s="518" customFormat="1" ht="35">
      <c r="A67" s="510"/>
      <c r="B67" s="511" t="s">
        <v>2107</v>
      </c>
      <c r="C67" s="512"/>
      <c r="D67" s="513"/>
      <c r="E67" s="513"/>
      <c r="F67" s="513"/>
      <c r="G67" s="513"/>
      <c r="H67" s="513"/>
      <c r="I67" s="514"/>
      <c r="J67" s="514"/>
      <c r="K67" s="514"/>
      <c r="L67" s="515"/>
      <c r="M67" s="516"/>
      <c r="N67" s="516"/>
      <c r="O67" s="516"/>
      <c r="P67" s="517"/>
    </row>
    <row r="68" spans="1:16" ht="15.5" hidden="1" customHeight="1">
      <c r="A68" s="519" t="s">
        <v>2108</v>
      </c>
      <c r="B68" s="520" t="s">
        <v>2109</v>
      </c>
      <c r="C68" s="521"/>
      <c r="D68" s="521"/>
      <c r="E68" s="521"/>
      <c r="F68" s="521"/>
      <c r="G68" s="521"/>
      <c r="H68" s="521"/>
      <c r="I68" s="507"/>
      <c r="J68" s="514"/>
      <c r="K68" s="514"/>
      <c r="L68" s="515"/>
      <c r="M68" s="522"/>
      <c r="N68" s="522"/>
      <c r="O68" s="522"/>
      <c r="P68" s="523"/>
    </row>
    <row r="69" spans="1:16" ht="15.5" hidden="1" customHeight="1">
      <c r="A69" s="524">
        <v>1</v>
      </c>
      <c r="B69" s="525" t="s">
        <v>2110</v>
      </c>
      <c r="C69" s="526" t="s">
        <v>1725</v>
      </c>
      <c r="D69" s="526"/>
      <c r="E69" s="526"/>
      <c r="F69" s="526"/>
      <c r="G69" s="526"/>
      <c r="H69" s="526"/>
      <c r="I69" s="507"/>
      <c r="J69" s="514"/>
      <c r="K69" s="514"/>
      <c r="L69" s="515"/>
      <c r="M69" s="522"/>
      <c r="N69" s="522"/>
      <c r="O69" s="522"/>
      <c r="P69" s="523"/>
    </row>
    <row r="70" spans="1:16" ht="15.5" hidden="1" customHeight="1">
      <c r="A70" s="524">
        <v>2</v>
      </c>
      <c r="B70" s="525" t="s">
        <v>2110</v>
      </c>
      <c r="C70" s="527"/>
      <c r="D70" s="527"/>
      <c r="E70" s="527"/>
      <c r="F70" s="527"/>
      <c r="G70" s="527"/>
      <c r="H70" s="527"/>
      <c r="I70" s="507"/>
      <c r="J70" s="514"/>
      <c r="K70" s="514"/>
      <c r="L70" s="515"/>
      <c r="M70" s="522"/>
      <c r="N70" s="522"/>
      <c r="O70" s="522"/>
      <c r="P70" s="523"/>
    </row>
    <row r="71" spans="1:16" ht="15.5" hidden="1" customHeight="1">
      <c r="A71" s="519" t="s">
        <v>2111</v>
      </c>
      <c r="B71" s="520" t="s">
        <v>2112</v>
      </c>
      <c r="C71" s="528" t="s">
        <v>2113</v>
      </c>
      <c r="D71" s="528" t="s">
        <v>2114</v>
      </c>
      <c r="E71" s="528"/>
      <c r="F71" s="528"/>
      <c r="G71" s="528"/>
      <c r="H71" s="528"/>
      <c r="I71" s="507"/>
      <c r="J71" s="514"/>
      <c r="K71" s="514"/>
      <c r="L71" s="515"/>
      <c r="M71" s="522"/>
      <c r="N71" s="522"/>
      <c r="O71" s="522"/>
      <c r="P71" s="523"/>
    </row>
    <row r="72" spans="1:16" ht="15.5" hidden="1" customHeight="1">
      <c r="A72" s="524">
        <v>1</v>
      </c>
      <c r="B72" s="525" t="s">
        <v>2115</v>
      </c>
      <c r="C72" s="527"/>
      <c r="D72" s="526"/>
      <c r="E72" s="526"/>
      <c r="F72" s="526"/>
      <c r="G72" s="526"/>
      <c r="H72" s="526"/>
      <c r="I72" s="507"/>
      <c r="J72" s="514"/>
      <c r="K72" s="514"/>
      <c r="L72" s="515"/>
      <c r="M72" s="522"/>
      <c r="N72" s="522"/>
      <c r="O72" s="522"/>
      <c r="P72" s="523"/>
    </row>
    <row r="73" spans="1:16" ht="15.5" hidden="1" customHeight="1">
      <c r="A73" s="524"/>
      <c r="B73" s="525"/>
      <c r="C73" s="527"/>
      <c r="D73" s="527"/>
      <c r="E73" s="527"/>
      <c r="F73" s="527"/>
      <c r="G73" s="527"/>
      <c r="H73" s="527"/>
      <c r="I73" s="507"/>
      <c r="J73" s="514"/>
      <c r="K73" s="514"/>
      <c r="L73" s="515"/>
      <c r="M73" s="522"/>
      <c r="N73" s="522"/>
      <c r="O73" s="522"/>
      <c r="P73" s="523"/>
    </row>
    <row r="74" spans="1:16" ht="35" hidden="1">
      <c r="A74" s="529" t="s">
        <v>2116</v>
      </c>
      <c r="B74" s="525" t="s">
        <v>2117</v>
      </c>
      <c r="C74" s="530"/>
      <c r="D74" s="530"/>
      <c r="E74" s="530"/>
      <c r="F74" s="530"/>
      <c r="G74" s="530"/>
      <c r="H74" s="530"/>
      <c r="I74" s="507"/>
      <c r="J74" s="514"/>
      <c r="K74" s="514"/>
      <c r="L74" s="515"/>
      <c r="M74" s="522"/>
      <c r="N74" s="522"/>
      <c r="O74" s="522"/>
      <c r="P74" s="523"/>
    </row>
    <row r="75" spans="1:16" ht="52.5" hidden="1">
      <c r="A75" s="524">
        <v>1</v>
      </c>
      <c r="B75" s="525" t="s">
        <v>2118</v>
      </c>
      <c r="C75" s="527"/>
      <c r="D75" s="526"/>
      <c r="E75" s="526"/>
      <c r="F75" s="526"/>
      <c r="G75" s="526"/>
      <c r="H75" s="526"/>
      <c r="I75" s="507"/>
      <c r="J75" s="514"/>
      <c r="K75" s="514"/>
      <c r="L75" s="515"/>
      <c r="M75" s="522"/>
      <c r="N75" s="522"/>
      <c r="O75" s="522"/>
      <c r="P75" s="523"/>
    </row>
    <row r="76" spans="1:16" hidden="1">
      <c r="A76" s="524"/>
      <c r="B76" s="525" t="s">
        <v>2115</v>
      </c>
      <c r="C76" s="527"/>
      <c r="D76" s="526"/>
      <c r="E76" s="526"/>
      <c r="F76" s="526"/>
      <c r="G76" s="526"/>
      <c r="H76" s="526"/>
      <c r="I76" s="507"/>
      <c r="J76" s="514"/>
      <c r="K76" s="514"/>
      <c r="L76" s="515"/>
      <c r="M76" s="522"/>
      <c r="N76" s="522"/>
      <c r="O76" s="522"/>
      <c r="P76" s="523"/>
    </row>
    <row r="77" spans="1:16" ht="157.5" hidden="1">
      <c r="A77" s="519" t="s">
        <v>2084</v>
      </c>
      <c r="B77" s="520" t="s">
        <v>2119</v>
      </c>
      <c r="C77" s="521"/>
      <c r="D77" s="521"/>
      <c r="E77" s="521"/>
      <c r="F77" s="521"/>
      <c r="G77" s="521"/>
      <c r="H77" s="521"/>
      <c r="I77" s="507"/>
      <c r="J77" s="514"/>
      <c r="K77" s="514"/>
      <c r="L77" s="515"/>
      <c r="M77" s="522"/>
      <c r="N77" s="522"/>
      <c r="O77" s="522"/>
      <c r="P77" s="523"/>
    </row>
    <row r="78" spans="1:16" s="518" customFormat="1">
      <c r="A78" s="510"/>
      <c r="B78" s="511" t="s">
        <v>2120</v>
      </c>
      <c r="C78" s="512"/>
      <c r="D78" s="513"/>
      <c r="E78" s="513"/>
      <c r="F78" s="513"/>
      <c r="G78" s="513"/>
      <c r="H78" s="513"/>
      <c r="I78" s="514"/>
      <c r="J78" s="514"/>
      <c r="K78" s="514"/>
      <c r="L78" s="515"/>
      <c r="M78" s="531">
        <v>1</v>
      </c>
      <c r="N78" s="531"/>
      <c r="O78" s="531"/>
      <c r="P78" s="517"/>
    </row>
    <row r="79" spans="1:16" ht="34.5" customHeight="1">
      <c r="A79" s="540" t="s">
        <v>2155</v>
      </c>
    </row>
    <row r="80" spans="1:16" ht="55.25" customHeight="1">
      <c r="A80" s="1282" t="s">
        <v>2121</v>
      </c>
      <c r="B80" s="1278"/>
      <c r="C80" s="1349" t="s">
        <v>2122</v>
      </c>
      <c r="D80" s="1349"/>
      <c r="E80" s="532"/>
      <c r="F80" s="532"/>
      <c r="G80" s="1280" t="s">
        <v>2123</v>
      </c>
      <c r="H80" s="1280"/>
      <c r="I80" s="1280"/>
      <c r="J80" s="1280"/>
      <c r="K80" s="1280"/>
      <c r="L80" s="1280"/>
      <c r="M80" s="1280"/>
      <c r="N80" s="533"/>
      <c r="O80" s="533"/>
      <c r="P80" s="489"/>
    </row>
    <row r="81" spans="1:16" ht="14.4" customHeight="1">
      <c r="A81" s="490"/>
      <c r="B81" s="534"/>
      <c r="C81" s="534"/>
      <c r="D81" s="502"/>
      <c r="E81" s="502"/>
      <c r="F81" s="502"/>
      <c r="G81" s="1276" t="s">
        <v>2124</v>
      </c>
      <c r="H81" s="1276"/>
      <c r="I81" s="1277" t="s">
        <v>2125</v>
      </c>
      <c r="J81" s="1277"/>
      <c r="K81" s="535"/>
      <c r="L81" s="1276" t="s">
        <v>2126</v>
      </c>
      <c r="M81" s="1276"/>
      <c r="P81" s="489"/>
    </row>
    <row r="82" spans="1:16">
      <c r="A82" s="490"/>
      <c r="P82" s="489"/>
    </row>
    <row r="83" spans="1:16">
      <c r="A83" s="490"/>
      <c r="P83" s="489"/>
    </row>
    <row r="84" spans="1:16" ht="234.5" customHeight="1">
      <c r="A84" s="490"/>
      <c r="P84" s="489"/>
    </row>
    <row r="85" spans="1:16" ht="167" customHeight="1" thickBot="1">
      <c r="A85" s="536"/>
      <c r="B85" s="537"/>
      <c r="C85" s="537"/>
      <c r="D85" s="537"/>
      <c r="E85" s="537"/>
      <c r="F85" s="537"/>
      <c r="G85" s="537"/>
      <c r="H85" s="537"/>
      <c r="I85" s="537"/>
      <c r="J85" s="537"/>
      <c r="K85" s="537"/>
      <c r="L85" s="538"/>
      <c r="M85" s="537"/>
      <c r="N85" s="537"/>
      <c r="O85" s="537"/>
      <c r="P85" s="539"/>
    </row>
  </sheetData>
  <mergeCells count="26">
    <mergeCell ref="G81:H81"/>
    <mergeCell ref="I81:J81"/>
    <mergeCell ref="L81:M81"/>
    <mergeCell ref="J9:J10"/>
    <mergeCell ref="K9:K10"/>
    <mergeCell ref="L9:N9"/>
    <mergeCell ref="P12:P66"/>
    <mergeCell ref="A80:B80"/>
    <mergeCell ref="C80:D80"/>
    <mergeCell ref="G80:M80"/>
    <mergeCell ref="D9:D10"/>
    <mergeCell ref="E9:E10"/>
    <mergeCell ref="F9:F10"/>
    <mergeCell ref="G9:G10"/>
    <mergeCell ref="H9:H10"/>
    <mergeCell ref="I9:I10"/>
    <mergeCell ref="A1:P2"/>
    <mergeCell ref="B5:L6"/>
    <mergeCell ref="C8:G8"/>
    <mergeCell ref="H8:J8"/>
    <mergeCell ref="L8:N8"/>
    <mergeCell ref="O8:O10"/>
    <mergeCell ref="P8:P10"/>
    <mergeCell ref="A9:A10"/>
    <mergeCell ref="B9:B10"/>
    <mergeCell ref="C9:C10"/>
  </mergeCells>
  <pageMargins left="0.42" right="0.42" top="0.3" bottom="0.5" header="0.17" footer="0.17"/>
  <pageSetup paperSize="9" scale="57" fitToHeight="1111" orientation="landscape" r:id="rId1"/>
  <headerFoot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0893-30FD-4484-814C-F1172976BCDC}">
  <sheetPr>
    <pageSetUpPr fitToPage="1"/>
  </sheetPr>
  <dimension ref="A1:X49"/>
  <sheetViews>
    <sheetView topLeftCell="D2" zoomScale="55" zoomScaleNormal="55" workbookViewId="0">
      <selection activeCell="K17" sqref="K17"/>
    </sheetView>
  </sheetViews>
  <sheetFormatPr defaultColWidth="10" defaultRowHeight="15.5"/>
  <cols>
    <col min="1" max="1" width="5.59765625" style="297" bestFit="1" customWidth="1"/>
    <col min="2" max="2" width="15.296875" style="297" customWidth="1"/>
    <col min="3" max="3" width="12.59765625" style="297" customWidth="1"/>
    <col min="4" max="4" width="42.8984375" style="330" customWidth="1"/>
    <col min="5" max="5" width="12.5" style="297" bestFit="1" customWidth="1"/>
    <col min="6" max="6" width="18.296875" style="297" bestFit="1" customWidth="1"/>
    <col min="7" max="9" width="11.5" style="297" customWidth="1"/>
    <col min="10" max="10" width="19.796875" style="334" customWidth="1"/>
    <col min="11" max="11" width="17.69921875" style="334" bestFit="1" customWidth="1"/>
    <col min="12" max="12" width="26.59765625" style="346" bestFit="1" customWidth="1"/>
    <col min="13" max="13" width="15.8984375" style="297" customWidth="1"/>
    <col min="14" max="14" width="16.19921875" style="335" customWidth="1"/>
    <col min="15" max="15" width="34.3984375" style="297" customWidth="1"/>
    <col min="16" max="16" width="33.5" style="297" customWidth="1"/>
    <col min="17" max="17" width="27.8984375" style="297" customWidth="1"/>
    <col min="18" max="18" width="22.09765625" style="297" bestFit="1" customWidth="1"/>
    <col min="19" max="19" width="15.3984375" style="297" customWidth="1"/>
    <col min="20" max="20" width="18.796875" style="297" customWidth="1"/>
    <col min="21" max="21" width="20.19921875" style="297" customWidth="1"/>
    <col min="22" max="16384" width="10" style="297"/>
  </cols>
  <sheetData>
    <row r="1" spans="1:24" ht="76.5" hidden="1" customHeight="1">
      <c r="A1" s="295"/>
      <c r="B1" s="295"/>
      <c r="C1" s="295"/>
      <c r="D1" s="1356" t="s">
        <v>1704</v>
      </c>
      <c r="E1" s="1356"/>
      <c r="F1" s="1356"/>
      <c r="G1" s="1356"/>
      <c r="H1" s="1356"/>
      <c r="I1" s="1356"/>
      <c r="J1" s="1356"/>
      <c r="K1" s="1356"/>
      <c r="L1" s="1356"/>
      <c r="M1" s="295"/>
      <c r="N1" s="296"/>
      <c r="O1" s="295"/>
      <c r="P1" s="295"/>
    </row>
    <row r="2" spans="1:24" s="299" customFormat="1" ht="28.75" customHeight="1" thickBot="1">
      <c r="A2" s="1357" t="s">
        <v>1705</v>
      </c>
      <c r="B2" s="1357"/>
      <c r="C2" s="1357"/>
      <c r="D2" s="1357"/>
      <c r="E2" s="1357"/>
      <c r="F2" s="1357"/>
      <c r="G2" s="1357"/>
      <c r="H2" s="1357"/>
      <c r="I2" s="1357"/>
      <c r="J2" s="1357"/>
      <c r="K2" s="1357"/>
      <c r="L2" s="1357"/>
      <c r="M2" s="298"/>
      <c r="N2" s="298"/>
      <c r="O2" s="298"/>
      <c r="P2" s="298"/>
    </row>
    <row r="3" spans="1:24" s="300" customFormat="1" ht="67" customHeight="1">
      <c r="A3" s="1371" t="s">
        <v>1706</v>
      </c>
      <c r="B3" s="1371"/>
      <c r="C3" s="1371"/>
      <c r="D3" s="1371"/>
      <c r="E3" s="1371"/>
      <c r="F3" s="1371"/>
      <c r="G3" s="1371"/>
      <c r="H3" s="1371"/>
      <c r="I3" s="1371"/>
      <c r="J3" s="1371"/>
      <c r="K3" s="1371"/>
      <c r="L3" s="1372"/>
      <c r="M3" s="1358" t="s">
        <v>1707</v>
      </c>
      <c r="N3" s="1359"/>
      <c r="O3" s="1359"/>
      <c r="P3" s="1359"/>
      <c r="Q3" s="1359"/>
      <c r="R3" s="1360"/>
      <c r="S3" s="472"/>
      <c r="T3" s="473"/>
      <c r="U3" s="472" t="s">
        <v>2038</v>
      </c>
      <c r="V3" s="472"/>
      <c r="W3" s="473"/>
      <c r="X3" s="473"/>
    </row>
    <row r="4" spans="1:24" s="300" customFormat="1" ht="46.5" customHeight="1">
      <c r="A4" s="1361" t="s">
        <v>85</v>
      </c>
      <c r="B4" s="1361" t="s">
        <v>1708</v>
      </c>
      <c r="C4" s="1361" t="s">
        <v>1709</v>
      </c>
      <c r="D4" s="1361" t="s">
        <v>1710</v>
      </c>
      <c r="E4" s="1361" t="s">
        <v>1711</v>
      </c>
      <c r="F4" s="1363" t="s">
        <v>1712</v>
      </c>
      <c r="G4" s="1365" t="s">
        <v>1713</v>
      </c>
      <c r="H4" s="1365"/>
      <c r="I4" s="1365"/>
      <c r="J4" s="1352" t="s">
        <v>1714</v>
      </c>
      <c r="K4" s="1352" t="s">
        <v>1715</v>
      </c>
      <c r="L4" s="1354" t="s">
        <v>1716</v>
      </c>
      <c r="M4" s="1367" t="s">
        <v>382</v>
      </c>
      <c r="N4" s="1368"/>
      <c r="O4" s="1369" t="s">
        <v>383</v>
      </c>
      <c r="P4" s="1369"/>
      <c r="Q4" s="1370" t="s">
        <v>1717</v>
      </c>
      <c r="R4" s="1366" t="s">
        <v>1718</v>
      </c>
      <c r="S4" s="474" t="s">
        <v>2039</v>
      </c>
      <c r="T4" s="475" t="s">
        <v>1965</v>
      </c>
      <c r="U4" s="474" t="s">
        <v>2040</v>
      </c>
      <c r="V4" s="474" t="s">
        <v>1319</v>
      </c>
      <c r="W4" s="475" t="s">
        <v>2041</v>
      </c>
      <c r="X4" s="475" t="s">
        <v>1965</v>
      </c>
    </row>
    <row r="5" spans="1:24" s="304" customFormat="1" ht="60">
      <c r="A5" s="1362"/>
      <c r="B5" s="1362"/>
      <c r="C5" s="1362"/>
      <c r="D5" s="1362"/>
      <c r="E5" s="1362"/>
      <c r="F5" s="1364"/>
      <c r="G5" s="301" t="s">
        <v>1719</v>
      </c>
      <c r="H5" s="301" t="s">
        <v>1720</v>
      </c>
      <c r="I5" s="301" t="s">
        <v>1721</v>
      </c>
      <c r="J5" s="1353"/>
      <c r="K5" s="1353"/>
      <c r="L5" s="1355"/>
      <c r="M5" s="302" t="s">
        <v>384</v>
      </c>
      <c r="N5" s="303" t="s">
        <v>385</v>
      </c>
      <c r="O5" s="303" t="s">
        <v>387</v>
      </c>
      <c r="P5" s="303" t="s">
        <v>388</v>
      </c>
      <c r="Q5" s="1370"/>
      <c r="R5" s="1366"/>
    </row>
    <row r="6" spans="1:24" s="300" customFormat="1" ht="25.4" customHeight="1">
      <c r="A6" s="336" t="s">
        <v>1722</v>
      </c>
      <c r="B6" s="336" t="s">
        <v>1723</v>
      </c>
      <c r="C6" s="336"/>
      <c r="D6" s="336" t="s">
        <v>1733</v>
      </c>
      <c r="E6" s="336"/>
      <c r="F6" s="336"/>
      <c r="G6" s="336"/>
      <c r="H6" s="336"/>
      <c r="I6" s="336"/>
      <c r="J6" s="336"/>
      <c r="K6" s="336"/>
      <c r="L6" s="353">
        <f>SUM(L7:L26)</f>
        <v>39012966875.164795</v>
      </c>
      <c r="M6" s="306"/>
      <c r="N6" s="307"/>
      <c r="O6" s="307"/>
      <c r="P6" s="307"/>
      <c r="Q6" s="305"/>
      <c r="R6" s="308" t="str">
        <f>IF(L6&gt;Q6," OKE MUA TIẾP","BÁO CÁO BOM")</f>
        <v xml:space="preserve"> OKE MUA TIẾP</v>
      </c>
    </row>
    <row r="7" spans="1:24" s="352" customFormat="1" ht="38" customHeight="1">
      <c r="A7" s="347">
        <v>1</v>
      </c>
      <c r="B7" s="347"/>
      <c r="C7" s="347"/>
      <c r="D7" s="348" t="s">
        <v>1724</v>
      </c>
      <c r="E7" s="348" t="s">
        <v>1725</v>
      </c>
      <c r="F7" s="348"/>
      <c r="G7" s="348"/>
      <c r="H7" s="348"/>
      <c r="I7" s="348"/>
      <c r="J7" s="348"/>
      <c r="K7" s="348"/>
      <c r="L7" s="354"/>
      <c r="M7" s="349"/>
      <c r="N7" s="350"/>
      <c r="O7" s="350"/>
      <c r="P7" s="350"/>
      <c r="Q7" s="350"/>
      <c r="R7" s="351" t="str">
        <f>IF(L7&gt;Q7," OKE MUA TIẾP","BÁO CÁO BOM")</f>
        <v>BÁO CÁO BOM</v>
      </c>
    </row>
    <row r="8" spans="1:24" s="312" customFormat="1">
      <c r="A8" s="338">
        <v>1.1000000000000001</v>
      </c>
      <c r="B8" s="338"/>
      <c r="C8" s="338"/>
      <c r="D8" s="343" t="s">
        <v>1734</v>
      </c>
      <c r="E8" s="343" t="s">
        <v>1725</v>
      </c>
      <c r="F8" s="343"/>
      <c r="G8" s="343"/>
      <c r="H8" s="343"/>
      <c r="I8" s="343"/>
      <c r="J8" s="343">
        <v>1225.1659999999999</v>
      </c>
      <c r="K8" s="343"/>
      <c r="L8" s="355">
        <v>26838358652.707893</v>
      </c>
      <c r="M8" s="310">
        <f>'Tổng hợp'!F14</f>
        <v>1371496.7500000002</v>
      </c>
      <c r="N8" s="310">
        <f>'Tổng hợp'!G14</f>
        <v>33222.762749999994</v>
      </c>
      <c r="O8" s="310">
        <f>'Tổng hợp'!H14</f>
        <v>11796.060064946912</v>
      </c>
      <c r="P8" s="310">
        <f>'Tổng hợp'!I14</f>
        <v>141.974895</v>
      </c>
      <c r="Q8" s="310">
        <f>'Tổng hợp'!J14</f>
        <v>28199092950.43084</v>
      </c>
      <c r="R8" s="351" t="str">
        <f>IF(L8&gt;Q8," OKE MUA TIẾP","BÁO CÁO BOM")</f>
        <v>BÁO CÁO BOM</v>
      </c>
    </row>
    <row r="9" spans="1:24" s="312" customFormat="1">
      <c r="A9" s="338">
        <v>1.2</v>
      </c>
      <c r="B9" s="338"/>
      <c r="C9" s="338"/>
      <c r="D9" s="344" t="s">
        <v>1735</v>
      </c>
      <c r="E9" s="344" t="s">
        <v>1725</v>
      </c>
      <c r="F9" s="344"/>
      <c r="G9" s="344"/>
      <c r="H9" s="344"/>
      <c r="I9" s="344"/>
      <c r="J9" s="344">
        <v>241.91200000000001</v>
      </c>
      <c r="K9" s="344"/>
      <c r="L9" s="356"/>
      <c r="M9" s="313"/>
      <c r="N9" s="309"/>
      <c r="O9" s="309"/>
      <c r="P9" s="309"/>
      <c r="Q9" s="309"/>
      <c r="R9" s="314"/>
    </row>
    <row r="10" spans="1:24" s="312" customFormat="1">
      <c r="A10" s="338">
        <v>1.3</v>
      </c>
      <c r="B10" s="338"/>
      <c r="C10" s="338"/>
      <c r="D10" s="344" t="s">
        <v>1736</v>
      </c>
      <c r="E10" s="344" t="s">
        <v>1725</v>
      </c>
      <c r="F10" s="344"/>
      <c r="G10" s="344"/>
      <c r="H10" s="344"/>
      <c r="I10" s="344"/>
      <c r="J10" s="344">
        <v>120</v>
      </c>
      <c r="K10" s="344"/>
      <c r="L10" s="356">
        <v>537408000</v>
      </c>
      <c r="M10" s="313"/>
      <c r="N10" s="309"/>
      <c r="O10" s="309"/>
      <c r="P10" s="309"/>
      <c r="Q10" s="309"/>
      <c r="R10" s="314"/>
    </row>
    <row r="11" spans="1:24" s="312" customFormat="1">
      <c r="A11" s="338">
        <v>1.4</v>
      </c>
      <c r="B11" s="338"/>
      <c r="C11" s="338"/>
      <c r="D11" s="344" t="s">
        <v>1737</v>
      </c>
      <c r="E11" s="344"/>
      <c r="F11" s="344"/>
      <c r="G11" s="344"/>
      <c r="H11" s="344"/>
      <c r="I11" s="344"/>
      <c r="J11" s="344">
        <v>10245.516</v>
      </c>
      <c r="K11" s="344"/>
      <c r="L11" s="356"/>
      <c r="M11" s="313"/>
      <c r="N11" s="309"/>
      <c r="O11" s="309"/>
      <c r="P11" s="309"/>
      <c r="Q11" s="309"/>
      <c r="R11" s="314"/>
    </row>
    <row r="12" spans="1:24" s="312" customFormat="1">
      <c r="A12" s="338">
        <v>1.5</v>
      </c>
      <c r="B12" s="338"/>
      <c r="C12" s="338"/>
      <c r="D12" s="343" t="s">
        <v>1738</v>
      </c>
      <c r="E12" s="343" t="s">
        <v>1725</v>
      </c>
      <c r="F12" s="343"/>
      <c r="G12" s="343"/>
      <c r="H12" s="343"/>
      <c r="I12" s="343"/>
      <c r="J12" s="343"/>
      <c r="K12" s="343"/>
      <c r="L12" s="355"/>
      <c r="M12" s="310"/>
      <c r="N12" s="311"/>
      <c r="O12" s="311"/>
      <c r="P12" s="311"/>
      <c r="Q12" s="311"/>
      <c r="R12" s="308"/>
    </row>
    <row r="13" spans="1:24" s="312" customFormat="1">
      <c r="A13" s="338">
        <v>1.6</v>
      </c>
      <c r="B13" s="338"/>
      <c r="C13" s="338"/>
      <c r="D13" s="343" t="s">
        <v>1739</v>
      </c>
      <c r="E13" s="343" t="s">
        <v>1725</v>
      </c>
      <c r="F13" s="343"/>
      <c r="G13" s="343"/>
      <c r="H13" s="343"/>
      <c r="I13" s="343"/>
      <c r="J13" s="343"/>
      <c r="K13" s="343"/>
      <c r="L13" s="355">
        <v>1703348999.9999998</v>
      </c>
      <c r="M13" s="310">
        <f>'Tổng hợp'!F15</f>
        <v>174616.49999999994</v>
      </c>
      <c r="N13" s="310">
        <f>'Tổng hợp'!G15</f>
        <v>169496.55</v>
      </c>
      <c r="O13" s="310">
        <f>'Tổng hợp'!H15</f>
        <v>6861.4896000000008</v>
      </c>
      <c r="P13" s="310">
        <f>'Tổng hợp'!I15</f>
        <v>14559.671200000001</v>
      </c>
      <c r="Q13" s="310">
        <f>'Tổng hợp'!J15</f>
        <v>4949333931.8798904</v>
      </c>
      <c r="R13" s="351" t="str">
        <f>IF(L13&gt;Q13," OKE MUA TIẾP","BÁO CÁO BOM")</f>
        <v>BÁO CÁO BOM</v>
      </c>
    </row>
    <row r="14" spans="1:24" s="312" customFormat="1">
      <c r="A14" s="337">
        <v>2</v>
      </c>
      <c r="B14" s="337"/>
      <c r="C14" s="337"/>
      <c r="D14" s="342" t="s">
        <v>1740</v>
      </c>
      <c r="E14" s="342"/>
      <c r="F14" s="342"/>
      <c r="G14" s="342"/>
      <c r="H14" s="342"/>
      <c r="I14" s="342"/>
      <c r="J14" s="342"/>
      <c r="K14" s="342"/>
      <c r="L14" s="357"/>
      <c r="M14" s="313"/>
      <c r="N14" s="309"/>
      <c r="O14" s="309"/>
      <c r="P14" s="309"/>
      <c r="Q14" s="309"/>
      <c r="R14" s="314"/>
    </row>
    <row r="15" spans="1:24" s="312" customFormat="1">
      <c r="A15" s="338">
        <v>2.1</v>
      </c>
      <c r="B15" s="338"/>
      <c r="C15" s="338"/>
      <c r="D15" s="344" t="s">
        <v>1741</v>
      </c>
      <c r="E15" s="344"/>
      <c r="F15" s="344"/>
      <c r="G15" s="344"/>
      <c r="H15" s="344"/>
      <c r="I15" s="344"/>
      <c r="J15" s="344">
        <v>8766.2739999999994</v>
      </c>
      <c r="K15" s="344"/>
      <c r="L15" s="356">
        <v>1615416984.4568963</v>
      </c>
      <c r="M15" s="313"/>
      <c r="N15" s="309"/>
      <c r="O15" s="309">
        <f>'Vật tư sơn BRA090'!AE7</f>
        <v>8374.56</v>
      </c>
      <c r="P15" s="309"/>
      <c r="Q15" s="309">
        <f>'Vật tư sơn BRA090'!AH7</f>
        <v>2346421600</v>
      </c>
      <c r="R15" s="351" t="str">
        <f>IF(L15&gt;Q15," OKE MUA TIẾP","BÁO CÁO BOM")</f>
        <v>BÁO CÁO BOM</v>
      </c>
    </row>
    <row r="16" spans="1:24" s="312" customFormat="1">
      <c r="A16" s="338"/>
      <c r="B16" s="338"/>
      <c r="C16" s="338"/>
      <c r="D16" s="344"/>
      <c r="E16" s="344"/>
      <c r="F16" s="344"/>
      <c r="G16" s="344"/>
      <c r="H16" s="344"/>
      <c r="I16" s="344"/>
      <c r="J16" s="344"/>
      <c r="K16" s="344"/>
      <c r="L16" s="356"/>
      <c r="M16" s="313"/>
      <c r="N16" s="309"/>
      <c r="O16" s="309"/>
      <c r="P16" s="309"/>
      <c r="Q16" s="309"/>
      <c r="R16" s="314"/>
    </row>
    <row r="17" spans="1:19" s="352" customFormat="1">
      <c r="A17" s="347">
        <v>3</v>
      </c>
      <c r="B17" s="347"/>
      <c r="C17" s="347"/>
      <c r="D17" s="348" t="s">
        <v>1742</v>
      </c>
      <c r="E17" s="348" t="s">
        <v>1725</v>
      </c>
      <c r="F17" s="348"/>
      <c r="G17" s="348"/>
      <c r="H17" s="348"/>
      <c r="I17" s="348"/>
      <c r="J17" s="348"/>
      <c r="K17" s="348"/>
      <c r="L17" s="354">
        <f>SUM(L18:L20)</f>
        <v>2538751590</v>
      </c>
      <c r="M17" s="349">
        <f>'Tổng hợp'!F16</f>
        <v>174616.49999999994</v>
      </c>
      <c r="N17" s="349">
        <f>'Tổng hợp'!G16</f>
        <v>48456.55</v>
      </c>
      <c r="O17" s="349">
        <f>'Tổng hợp'!H16</f>
        <v>6861.4896000000008</v>
      </c>
      <c r="P17" s="349">
        <f>'Tổng hợp'!I16</f>
        <v>14559.671200000001</v>
      </c>
      <c r="Q17" s="349">
        <f>'Tổng hợp'!J16</f>
        <v>4227979301.8798904</v>
      </c>
      <c r="R17" s="351" t="str">
        <f>IF(L17&gt;Q17," OKE MUA TIẾP","BÁO CÁO BOM")</f>
        <v>BÁO CÁO BOM</v>
      </c>
    </row>
    <row r="18" spans="1:19" s="312" customFormat="1">
      <c r="A18" s="338">
        <v>3.1</v>
      </c>
      <c r="B18" s="338"/>
      <c r="C18" s="338"/>
      <c r="D18" s="344" t="s">
        <v>1743</v>
      </c>
      <c r="E18" s="344"/>
      <c r="F18" s="344"/>
      <c r="G18" s="344"/>
      <c r="H18" s="344"/>
      <c r="I18" s="344"/>
      <c r="J18" s="344"/>
      <c r="K18" s="344"/>
      <c r="L18" s="356">
        <v>839587140</v>
      </c>
      <c r="M18" s="313"/>
      <c r="N18" s="309"/>
      <c r="O18" s="309"/>
      <c r="P18" s="309"/>
      <c r="Q18" s="309"/>
      <c r="R18" s="314"/>
    </row>
    <row r="19" spans="1:19" s="312" customFormat="1">
      <c r="A19" s="338">
        <v>3.2</v>
      </c>
      <c r="B19" s="338"/>
      <c r="C19" s="338"/>
      <c r="D19" s="344" t="s">
        <v>1728</v>
      </c>
      <c r="E19" s="344"/>
      <c r="F19" s="344"/>
      <c r="G19" s="344"/>
      <c r="H19" s="344"/>
      <c r="I19" s="344"/>
      <c r="J19" s="344"/>
      <c r="K19" s="344"/>
      <c r="L19" s="356">
        <v>399803400.00000006</v>
      </c>
      <c r="M19" s="313"/>
      <c r="N19" s="309"/>
      <c r="O19" s="309"/>
      <c r="P19" s="309"/>
      <c r="Q19" s="309"/>
      <c r="R19" s="314"/>
    </row>
    <row r="20" spans="1:19" s="312" customFormat="1">
      <c r="A20" s="338">
        <v>3.3</v>
      </c>
      <c r="B20" s="338"/>
      <c r="C20" s="338"/>
      <c r="D20" s="344" t="s">
        <v>1744</v>
      </c>
      <c r="E20" s="344" t="s">
        <v>1725</v>
      </c>
      <c r="F20" s="344"/>
      <c r="G20" s="344"/>
      <c r="H20" s="344"/>
      <c r="I20" s="344"/>
      <c r="J20" s="344"/>
      <c r="K20" s="344"/>
      <c r="L20" s="356">
        <v>1299361050</v>
      </c>
      <c r="M20" s="310"/>
      <c r="N20" s="311"/>
      <c r="O20" s="311"/>
      <c r="P20" s="311"/>
      <c r="Q20" s="311"/>
      <c r="R20" s="308"/>
    </row>
    <row r="21" spans="1:19" s="352" customFormat="1">
      <c r="A21" s="347">
        <v>4</v>
      </c>
      <c r="B21" s="347"/>
      <c r="C21" s="347"/>
      <c r="D21" s="348" t="s">
        <v>1729</v>
      </c>
      <c r="E21" s="348"/>
      <c r="F21" s="348"/>
      <c r="G21" s="348"/>
      <c r="H21" s="348"/>
      <c r="I21" s="348"/>
      <c r="J21" s="348"/>
      <c r="K21" s="348"/>
      <c r="L21" s="354"/>
      <c r="M21" s="349"/>
      <c r="N21" s="349"/>
      <c r="O21" s="349"/>
      <c r="P21" s="349"/>
      <c r="Q21" s="349"/>
      <c r="R21" s="351"/>
    </row>
    <row r="22" spans="1:19" s="312" customFormat="1">
      <c r="A22" s="338">
        <v>4.0999999999999996</v>
      </c>
      <c r="B22" s="338"/>
      <c r="C22" s="338"/>
      <c r="D22" s="344" t="s">
        <v>1745</v>
      </c>
      <c r="E22" s="344"/>
      <c r="F22" s="344"/>
      <c r="G22" s="344"/>
      <c r="H22" s="344"/>
      <c r="I22" s="344"/>
      <c r="J22" s="344"/>
      <c r="K22" s="344"/>
      <c r="L22" s="356">
        <v>1652821140</v>
      </c>
      <c r="M22" s="313"/>
      <c r="N22" s="309"/>
      <c r="O22" s="309">
        <f>'Vat lieu han -BRA090'!AI7</f>
        <v>12225</v>
      </c>
      <c r="P22" s="309"/>
      <c r="Q22" s="309">
        <f>'Vat lieu han -BRA090'!AL7</f>
        <v>775765000</v>
      </c>
      <c r="R22" s="351" t="str">
        <f>IF(L22&gt;Q22," OKE MUA TIẾP","BÁO CÁO BOM")</f>
        <v xml:space="preserve"> OKE MUA TIẾP</v>
      </c>
      <c r="S22" s="312" t="s">
        <v>2535</v>
      </c>
    </row>
    <row r="23" spans="1:19" s="300" customFormat="1" ht="25.4" customHeight="1">
      <c r="A23" s="339">
        <v>4.2</v>
      </c>
      <c r="B23" s="339"/>
      <c r="C23" s="339"/>
      <c r="D23" s="344" t="s">
        <v>1746</v>
      </c>
      <c r="E23" s="344"/>
      <c r="F23" s="344"/>
      <c r="G23" s="344"/>
      <c r="H23" s="344"/>
      <c r="I23" s="344"/>
      <c r="J23" s="344"/>
      <c r="K23" s="344"/>
      <c r="L23" s="356">
        <v>1103344740.0000002</v>
      </c>
      <c r="M23" s="316"/>
      <c r="N23" s="317"/>
      <c r="O23" s="317"/>
      <c r="P23" s="317"/>
      <c r="Q23" s="317"/>
      <c r="R23" s="308"/>
    </row>
    <row r="24" spans="1:19" s="312" customFormat="1">
      <c r="A24" s="339">
        <v>4.3</v>
      </c>
      <c r="B24" s="339"/>
      <c r="C24" s="339"/>
      <c r="D24" s="344" t="s">
        <v>1747</v>
      </c>
      <c r="E24" s="344"/>
      <c r="F24" s="344"/>
      <c r="G24" s="344"/>
      <c r="H24" s="344"/>
      <c r="I24" s="344"/>
      <c r="J24" s="344"/>
      <c r="K24" s="344"/>
      <c r="L24" s="356">
        <v>163458480.00000003</v>
      </c>
      <c r="M24" s="313"/>
      <c r="N24" s="309"/>
      <c r="O24" s="309"/>
      <c r="P24" s="309"/>
      <c r="Q24" s="309"/>
      <c r="R24" s="314"/>
    </row>
    <row r="25" spans="1:19" s="312" customFormat="1">
      <c r="A25" s="339">
        <v>4.4000000000000004</v>
      </c>
      <c r="B25" s="339"/>
      <c r="C25" s="339"/>
      <c r="D25" s="344" t="s">
        <v>1748</v>
      </c>
      <c r="E25" s="344"/>
      <c r="F25" s="344"/>
      <c r="G25" s="344"/>
      <c r="H25" s="344"/>
      <c r="I25" s="344"/>
      <c r="J25" s="344"/>
      <c r="K25" s="344"/>
      <c r="L25" s="356">
        <v>175325480</v>
      </c>
      <c r="M25" s="313"/>
      <c r="N25" s="309"/>
      <c r="O25" s="309"/>
      <c r="P25" s="309"/>
      <c r="Q25" s="309"/>
      <c r="R25" s="314"/>
    </row>
    <row r="26" spans="1:19" s="312" customFormat="1">
      <c r="A26" s="340">
        <v>5</v>
      </c>
      <c r="B26" s="340"/>
      <c r="C26" s="340"/>
      <c r="D26" s="342" t="s">
        <v>1749</v>
      </c>
      <c r="E26" s="342"/>
      <c r="F26" s="342"/>
      <c r="G26" s="342"/>
      <c r="H26" s="342"/>
      <c r="I26" s="342"/>
      <c r="J26" s="342"/>
      <c r="K26" s="342"/>
      <c r="L26" s="357">
        <v>145981218</v>
      </c>
      <c r="M26" s="313"/>
      <c r="N26" s="309"/>
      <c r="O26" s="309"/>
      <c r="P26" s="309"/>
      <c r="Q26" s="309"/>
      <c r="R26" s="314"/>
    </row>
    <row r="27" spans="1:19" s="312" customFormat="1">
      <c r="A27" s="341" t="s">
        <v>1726</v>
      </c>
      <c r="B27" s="341"/>
      <c r="C27" s="341"/>
      <c r="D27" s="345" t="s">
        <v>1750</v>
      </c>
      <c r="E27" s="345"/>
      <c r="F27" s="345"/>
      <c r="G27" s="345"/>
      <c r="H27" s="345"/>
      <c r="I27" s="345"/>
      <c r="J27" s="345">
        <f>SUM(J28:J36)</f>
        <v>21590.065999999999</v>
      </c>
      <c r="K27" s="345"/>
      <c r="L27" s="358">
        <f>SUM(L28:L36)</f>
        <v>23676403462.5</v>
      </c>
      <c r="M27" s="313"/>
      <c r="N27" s="309"/>
      <c r="O27" s="309"/>
      <c r="P27" s="309"/>
      <c r="Q27" s="309"/>
      <c r="R27" s="314"/>
    </row>
    <row r="28" spans="1:19" s="312" customFormat="1">
      <c r="A28" s="339">
        <v>1</v>
      </c>
      <c r="B28" s="339"/>
      <c r="C28" s="339"/>
      <c r="D28" s="344" t="s">
        <v>1751</v>
      </c>
      <c r="E28" s="344"/>
      <c r="F28" s="344"/>
      <c r="G28" s="344"/>
      <c r="H28" s="344"/>
      <c r="I28" s="344"/>
      <c r="J28" s="344">
        <v>1362.154</v>
      </c>
      <c r="K28" s="344"/>
      <c r="L28" s="356">
        <v>1572005500</v>
      </c>
      <c r="M28" s="310"/>
      <c r="N28" s="311"/>
      <c r="O28" s="311"/>
      <c r="P28" s="311"/>
      <c r="Q28" s="311"/>
      <c r="R28" s="308"/>
    </row>
    <row r="29" spans="1:19" s="300" customFormat="1">
      <c r="A29" s="339">
        <v>2</v>
      </c>
      <c r="B29" s="339"/>
      <c r="C29" s="339"/>
      <c r="D29" s="344" t="s">
        <v>1752</v>
      </c>
      <c r="E29" s="344"/>
      <c r="F29" s="344"/>
      <c r="G29" s="344"/>
      <c r="H29" s="344"/>
      <c r="I29" s="344"/>
      <c r="J29" s="344">
        <v>573.38800000000003</v>
      </c>
      <c r="K29" s="344"/>
      <c r="L29" s="356">
        <v>997070000</v>
      </c>
      <c r="M29" s="318"/>
      <c r="N29" s="319"/>
      <c r="O29" s="320"/>
      <c r="P29" s="320"/>
      <c r="Q29" s="320"/>
      <c r="R29" s="321"/>
    </row>
    <row r="30" spans="1:19" s="312" customFormat="1">
      <c r="A30" s="339">
        <v>3</v>
      </c>
      <c r="B30" s="339"/>
      <c r="C30" s="339"/>
      <c r="D30" s="344" t="s">
        <v>1753</v>
      </c>
      <c r="E30" s="344"/>
      <c r="F30" s="344"/>
      <c r="G30" s="344"/>
      <c r="H30" s="344"/>
      <c r="I30" s="344"/>
      <c r="J30" s="344">
        <v>1362.1540000000002</v>
      </c>
      <c r="K30" s="344"/>
      <c r="L30" s="356">
        <v>13134527000</v>
      </c>
      <c r="M30" s="313"/>
      <c r="N30" s="322"/>
      <c r="O30" s="315"/>
      <c r="P30" s="315"/>
      <c r="Q30" s="315"/>
      <c r="R30" s="314"/>
    </row>
    <row r="31" spans="1:19" s="312" customFormat="1">
      <c r="A31" s="339">
        <v>4</v>
      </c>
      <c r="B31" s="339"/>
      <c r="C31" s="339"/>
      <c r="D31" s="344" t="s">
        <v>1754</v>
      </c>
      <c r="E31" s="344"/>
      <c r="F31" s="344"/>
      <c r="G31" s="344"/>
      <c r="H31" s="344"/>
      <c r="I31" s="344"/>
      <c r="J31" s="344">
        <v>1332.6779999999999</v>
      </c>
      <c r="K31" s="344"/>
      <c r="L31" s="356">
        <v>3314816000</v>
      </c>
      <c r="M31" s="313"/>
      <c r="N31" s="322"/>
      <c r="O31" s="315"/>
      <c r="P31" s="315"/>
      <c r="Q31" s="315"/>
      <c r="R31" s="314"/>
    </row>
    <row r="32" spans="1:19" s="312" customFormat="1">
      <c r="A32" s="339">
        <v>5</v>
      </c>
      <c r="B32" s="339"/>
      <c r="C32" s="339"/>
      <c r="D32" s="344" t="s">
        <v>1755</v>
      </c>
      <c r="E32" s="344"/>
      <c r="F32" s="344"/>
      <c r="G32" s="344"/>
      <c r="H32" s="344"/>
      <c r="I32" s="344"/>
      <c r="J32" s="344">
        <v>824.0619999999999</v>
      </c>
      <c r="K32" s="344"/>
      <c r="L32" s="356">
        <v>1150986000</v>
      </c>
      <c r="M32" s="313"/>
      <c r="N32" s="322"/>
      <c r="O32" s="315"/>
      <c r="P32" s="315"/>
      <c r="Q32" s="315"/>
      <c r="R32" s="314"/>
    </row>
    <row r="33" spans="1:18" s="312" customFormat="1">
      <c r="A33" s="339">
        <v>6</v>
      </c>
      <c r="B33" s="339"/>
      <c r="C33" s="339"/>
      <c r="D33" s="344" t="s">
        <v>1756</v>
      </c>
      <c r="E33" s="344"/>
      <c r="F33" s="344"/>
      <c r="G33" s="344"/>
      <c r="H33" s="344"/>
      <c r="I33" s="344"/>
      <c r="J33" s="344">
        <v>13470.273999999999</v>
      </c>
      <c r="K33" s="344"/>
      <c r="L33" s="356">
        <v>869150550</v>
      </c>
      <c r="M33" s="313"/>
      <c r="N33" s="322"/>
      <c r="O33" s="315"/>
      <c r="P33" s="315"/>
      <c r="Q33" s="315"/>
      <c r="R33" s="314"/>
    </row>
    <row r="34" spans="1:18" s="312" customFormat="1">
      <c r="A34" s="339">
        <v>7</v>
      </c>
      <c r="B34" s="339"/>
      <c r="C34" s="339"/>
      <c r="D34" s="344" t="s">
        <v>1757</v>
      </c>
      <c r="E34" s="344"/>
      <c r="F34" s="344"/>
      <c r="G34" s="344"/>
      <c r="H34" s="344"/>
      <c r="I34" s="344"/>
      <c r="J34" s="344">
        <v>1332.6780000000001</v>
      </c>
      <c r="K34" s="344"/>
      <c r="L34" s="356">
        <v>932874600.00000012</v>
      </c>
      <c r="M34" s="313"/>
      <c r="N34" s="322"/>
      <c r="O34" s="315"/>
      <c r="P34" s="315"/>
      <c r="Q34" s="315"/>
      <c r="R34" s="308"/>
    </row>
    <row r="35" spans="1:18" s="300" customFormat="1">
      <c r="A35" s="339">
        <v>8</v>
      </c>
      <c r="B35" s="339"/>
      <c r="C35" s="339"/>
      <c r="D35" s="344" t="s">
        <v>1758</v>
      </c>
      <c r="E35" s="344"/>
      <c r="F35" s="344"/>
      <c r="G35" s="344"/>
      <c r="H35" s="344"/>
      <c r="I35" s="344"/>
      <c r="J35" s="344">
        <v>1332.6780000000001</v>
      </c>
      <c r="K35" s="344"/>
      <c r="L35" s="356">
        <v>199901700.00000003</v>
      </c>
      <c r="M35" s="318"/>
      <c r="N35" s="319"/>
      <c r="O35" s="320"/>
      <c r="P35" s="320"/>
      <c r="Q35" s="320"/>
      <c r="R35" s="321"/>
    </row>
    <row r="36" spans="1:18" s="300" customFormat="1">
      <c r="A36" s="339">
        <v>9</v>
      </c>
      <c r="B36" s="339"/>
      <c r="C36" s="339"/>
      <c r="D36" s="344" t="s">
        <v>1759</v>
      </c>
      <c r="E36" s="344"/>
      <c r="F36" s="344"/>
      <c r="G36" s="344"/>
      <c r="H36" s="344"/>
      <c r="I36" s="344"/>
      <c r="J36" s="344"/>
      <c r="K36" s="344"/>
      <c r="L36" s="356">
        <v>1505072112.5</v>
      </c>
      <c r="M36" s="318"/>
      <c r="N36" s="319"/>
      <c r="O36" s="320"/>
      <c r="P36" s="320"/>
      <c r="Q36" s="320"/>
      <c r="R36" s="321"/>
    </row>
    <row r="37" spans="1:18" s="300" customFormat="1">
      <c r="A37" s="341" t="s">
        <v>1727</v>
      </c>
      <c r="B37" s="341"/>
      <c r="C37" s="341"/>
      <c r="D37" s="345" t="s">
        <v>1760</v>
      </c>
      <c r="E37" s="345"/>
      <c r="F37" s="345"/>
      <c r="G37" s="345"/>
      <c r="H37" s="345"/>
      <c r="I37" s="345"/>
      <c r="J37" s="345"/>
      <c r="K37" s="345"/>
      <c r="L37" s="358">
        <f>SUM(L38:L45)</f>
        <v>10721526300</v>
      </c>
      <c r="M37" s="318"/>
      <c r="N37" s="319"/>
      <c r="O37" s="320"/>
      <c r="P37" s="320"/>
      <c r="Q37" s="320"/>
      <c r="R37" s="321"/>
    </row>
    <row r="38" spans="1:18" s="312" customFormat="1">
      <c r="A38" s="339">
        <v>1</v>
      </c>
      <c r="B38" s="339"/>
      <c r="C38" s="339"/>
      <c r="D38" s="344" t="s">
        <v>1761</v>
      </c>
      <c r="E38" s="344"/>
      <c r="F38" s="344"/>
      <c r="G38" s="344"/>
      <c r="H38" s="344"/>
      <c r="I38" s="344"/>
      <c r="J38" s="344"/>
      <c r="K38" s="344"/>
      <c r="L38" s="356">
        <v>732972900</v>
      </c>
      <c r="M38" s="313"/>
      <c r="N38" s="322"/>
      <c r="O38" s="315"/>
      <c r="P38" s="315"/>
      <c r="Q38" s="315"/>
      <c r="R38" s="314"/>
    </row>
    <row r="39" spans="1:18" s="312" customFormat="1">
      <c r="A39" s="339">
        <v>2</v>
      </c>
      <c r="B39" s="339"/>
      <c r="C39" s="339"/>
      <c r="D39" s="344" t="s">
        <v>1762</v>
      </c>
      <c r="E39" s="344"/>
      <c r="F39" s="344"/>
      <c r="G39" s="344"/>
      <c r="H39" s="344"/>
      <c r="I39" s="344"/>
      <c r="J39" s="344">
        <v>74</v>
      </c>
      <c r="K39" s="344"/>
      <c r="L39" s="356">
        <v>888000000</v>
      </c>
      <c r="M39" s="313"/>
      <c r="N39" s="322"/>
      <c r="O39" s="315"/>
      <c r="P39" s="315"/>
      <c r="Q39" s="315"/>
      <c r="R39" s="314"/>
    </row>
    <row r="40" spans="1:18" s="312" customFormat="1">
      <c r="A40" s="339">
        <v>3</v>
      </c>
      <c r="B40" s="339"/>
      <c r="C40" s="339"/>
      <c r="D40" s="344" t="s">
        <v>1763</v>
      </c>
      <c r="E40" s="344"/>
      <c r="F40" s="344"/>
      <c r="G40" s="344"/>
      <c r="H40" s="344"/>
      <c r="I40" s="344"/>
      <c r="J40" s="344">
        <v>602.06200000000001</v>
      </c>
      <c r="K40" s="344"/>
      <c r="L40" s="356">
        <v>2500000000</v>
      </c>
      <c r="M40" s="313"/>
      <c r="N40" s="322"/>
      <c r="O40" s="315"/>
      <c r="P40" s="315"/>
      <c r="Q40" s="315"/>
      <c r="R40" s="314"/>
    </row>
    <row r="41" spans="1:18" s="312" customFormat="1">
      <c r="A41" s="339">
        <v>4</v>
      </c>
      <c r="B41" s="339"/>
      <c r="C41" s="339"/>
      <c r="D41" s="344" t="s">
        <v>1737</v>
      </c>
      <c r="E41" s="344"/>
      <c r="F41" s="344"/>
      <c r="G41" s="344"/>
      <c r="H41" s="344"/>
      <c r="I41" s="344"/>
      <c r="J41" s="344">
        <v>10245.516</v>
      </c>
      <c r="K41" s="344"/>
      <c r="L41" s="356">
        <v>4610482200</v>
      </c>
      <c r="M41" s="313"/>
      <c r="N41" s="322"/>
      <c r="O41" s="315"/>
      <c r="P41" s="315"/>
      <c r="Q41" s="315"/>
      <c r="R41" s="308"/>
    </row>
    <row r="42" spans="1:18" s="300" customFormat="1" ht="29">
      <c r="A42" s="339">
        <v>5</v>
      </c>
      <c r="B42" s="339"/>
      <c r="C42" s="339"/>
      <c r="D42" s="343" t="s">
        <v>1764</v>
      </c>
      <c r="E42" s="343"/>
      <c r="F42" s="343"/>
      <c r="G42" s="343"/>
      <c r="H42" s="343"/>
      <c r="I42" s="343"/>
      <c r="J42" s="343"/>
      <c r="K42" s="343"/>
      <c r="L42" s="355">
        <v>974999999.99999988</v>
      </c>
      <c r="M42" s="318"/>
      <c r="N42" s="319"/>
      <c r="O42" s="320"/>
      <c r="P42" s="320"/>
      <c r="Q42" s="320"/>
      <c r="R42" s="321"/>
    </row>
    <row r="43" spans="1:18" s="300" customFormat="1">
      <c r="A43" s="339">
        <v>6</v>
      </c>
      <c r="B43" s="339"/>
      <c r="C43" s="339"/>
      <c r="D43" s="344" t="s">
        <v>1765</v>
      </c>
      <c r="E43" s="344"/>
      <c r="F43" s="344"/>
      <c r="G43" s="344"/>
      <c r="H43" s="344"/>
      <c r="I43" s="344"/>
      <c r="J43" s="344"/>
      <c r="K43" s="344"/>
      <c r="L43" s="356">
        <v>200000000</v>
      </c>
      <c r="M43" s="318"/>
      <c r="N43" s="319"/>
      <c r="O43" s="320"/>
      <c r="P43" s="320"/>
      <c r="Q43" s="320"/>
      <c r="R43" s="321"/>
    </row>
    <row r="44" spans="1:18" s="300" customFormat="1">
      <c r="A44" s="339">
        <v>7</v>
      </c>
      <c r="B44" s="339"/>
      <c r="C44" s="339"/>
      <c r="D44" s="344" t="s">
        <v>1766</v>
      </c>
      <c r="E44" s="344"/>
      <c r="F44" s="344"/>
      <c r="G44" s="344"/>
      <c r="H44" s="344"/>
      <c r="I44" s="344"/>
      <c r="J44" s="344"/>
      <c r="K44" s="344"/>
      <c r="L44" s="356">
        <v>282000000</v>
      </c>
      <c r="M44" s="318"/>
      <c r="N44" s="319"/>
      <c r="O44" s="320"/>
      <c r="P44" s="320"/>
      <c r="Q44" s="320"/>
      <c r="R44" s="321"/>
    </row>
    <row r="45" spans="1:18" s="300" customFormat="1">
      <c r="A45" s="339">
        <v>8</v>
      </c>
      <c r="B45" s="339"/>
      <c r="C45" s="339"/>
      <c r="D45" s="344" t="s">
        <v>1767</v>
      </c>
      <c r="E45" s="344"/>
      <c r="F45" s="344"/>
      <c r="G45" s="344"/>
      <c r="H45" s="344"/>
      <c r="I45" s="344"/>
      <c r="J45" s="344"/>
      <c r="K45" s="344"/>
      <c r="L45" s="356">
        <v>533071200</v>
      </c>
      <c r="M45" s="318"/>
      <c r="N45" s="319"/>
      <c r="O45" s="320"/>
      <c r="P45" s="320"/>
      <c r="Q45" s="320"/>
      <c r="R45" s="321"/>
    </row>
    <row r="46" spans="1:18" ht="22.4" customHeight="1" thickBot="1">
      <c r="A46" s="323"/>
      <c r="B46" s="324"/>
      <c r="C46" s="324"/>
      <c r="D46" s="325" t="s">
        <v>1730</v>
      </c>
      <c r="E46" s="325"/>
      <c r="F46" s="325"/>
      <c r="G46" s="325"/>
      <c r="H46" s="325"/>
      <c r="I46" s="325"/>
      <c r="J46" s="326"/>
      <c r="K46" s="327"/>
      <c r="L46" s="359">
        <f>SUM(L38:L45)+SUM(L28:L36)+SUM(L22:L26)+SUM(L18:L20)+SUM(L8:L16)</f>
        <v>70872145047.664795</v>
      </c>
      <c r="M46" s="360"/>
      <c r="N46" s="361"/>
      <c r="O46" s="362"/>
      <c r="P46" s="362"/>
      <c r="Q46" s="363">
        <f>SUM(Q38:Q45)+SUM(Q28:Q36)+SUM(Q22:Q26)+SUM(Q18:Q20)+SUM(Q8:Q16)</f>
        <v>36270613482.31073</v>
      </c>
      <c r="R46" s="351" t="str">
        <f>IF(L46&gt;Q46," OKE MUA TIẾP","BÁO CÁO BOM")</f>
        <v xml:space="preserve"> OKE MUA TIẾP</v>
      </c>
    </row>
    <row r="48" spans="1:18">
      <c r="A48" s="328"/>
      <c r="B48" s="329"/>
      <c r="C48" s="329"/>
      <c r="J48" s="1350" t="s">
        <v>1731</v>
      </c>
      <c r="K48" s="1350"/>
      <c r="L48" s="1350"/>
      <c r="N48" s="297"/>
    </row>
    <row r="49" spans="1:12" s="333" customFormat="1" ht="15">
      <c r="A49" s="331"/>
      <c r="B49" s="332"/>
      <c r="C49" s="332"/>
      <c r="J49" s="1351" t="s">
        <v>1732</v>
      </c>
      <c r="K49" s="1351"/>
      <c r="L49" s="1351"/>
    </row>
  </sheetData>
  <autoFilter ref="A4:L4" xr:uid="{00000000-0001-0000-0600-000000000000}"/>
  <mergeCells count="20">
    <mergeCell ref="D1:L1"/>
    <mergeCell ref="A2:L2"/>
    <mergeCell ref="M3:R3"/>
    <mergeCell ref="A4:A5"/>
    <mergeCell ref="B4:B5"/>
    <mergeCell ref="C4:C5"/>
    <mergeCell ref="D4:D5"/>
    <mergeCell ref="E4:E5"/>
    <mergeCell ref="F4:F5"/>
    <mergeCell ref="G4:I4"/>
    <mergeCell ref="R4:R5"/>
    <mergeCell ref="M4:N4"/>
    <mergeCell ref="O4:P4"/>
    <mergeCell ref="Q4:Q5"/>
    <mergeCell ref="A3:L3"/>
    <mergeCell ref="J48:L48"/>
    <mergeCell ref="J49:L49"/>
    <mergeCell ref="J4:J5"/>
    <mergeCell ref="K4:K5"/>
    <mergeCell ref="L4:L5"/>
  </mergeCells>
  <conditionalFormatting sqref="R1:R1048576">
    <cfRule type="cellIs" dxfId="44" priority="1" operator="equal">
      <formula>"BÁO CÁO BOM"</formula>
    </cfRule>
  </conditionalFormatting>
  <pageMargins left="0.15748031496062992" right="0.23622047244094491" top="0.49" bottom="0.15748031496062992" header="0.19685039370078741" footer="0.11811023622047245"/>
  <pageSetup paperSize="9" scale="94"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4646-9289-4F4B-B7C9-BF2BD4827E87}">
  <sheetPr>
    <pageSetUpPr fitToPage="1"/>
  </sheetPr>
  <dimension ref="A1:AT34"/>
  <sheetViews>
    <sheetView showGridLines="0" view="pageBreakPreview" topLeftCell="A4" zoomScale="40" zoomScaleNormal="85" zoomScaleSheetLayoutView="40" workbookViewId="0">
      <pane xSplit="2" ySplit="4" topLeftCell="S8" activePane="bottomRight" state="frozen"/>
      <selection activeCell="A4" sqref="A4"/>
      <selection pane="topRight" activeCell="J4" sqref="J4"/>
      <selection pane="bottomLeft" activeCell="A8" sqref="A8"/>
      <selection pane="bottomRight" activeCell="AL7" sqref="AL7"/>
    </sheetView>
  </sheetViews>
  <sheetFormatPr defaultColWidth="9" defaultRowHeight="15" customHeight="1" outlineLevelCol="1"/>
  <cols>
    <col min="1" max="1" width="24.59765625" style="806" customWidth="1"/>
    <col min="2" max="2" width="41.69921875" style="806" customWidth="1"/>
    <col min="3" max="3" width="14.3984375" style="806" customWidth="1"/>
    <col min="4" max="4" width="17.296875" style="914" customWidth="1" outlineLevel="1"/>
    <col min="5" max="17" width="17.296875" style="806" customWidth="1" outlineLevel="1"/>
    <col min="18" max="18" width="13.59765625" style="806" customWidth="1" outlineLevel="1"/>
    <col min="19" max="19" width="15.69921875" style="806" customWidth="1" outlineLevel="1"/>
    <col min="20" max="20" width="31.8984375" style="806" customWidth="1" outlineLevel="1"/>
    <col min="21" max="21" width="17.3984375" style="806" hidden="1" customWidth="1" outlineLevel="1"/>
    <col min="22" max="22" width="13" style="806" hidden="1" customWidth="1"/>
    <col min="23" max="23" width="17.3984375" style="806" hidden="1" customWidth="1"/>
    <col min="24" max="24" width="22.09765625" style="806" hidden="1" customWidth="1"/>
    <col min="25" max="25" width="17.69921875" style="806" hidden="1" customWidth="1"/>
    <col min="26" max="26" width="13.8984375" style="806" customWidth="1"/>
    <col min="27" max="27" width="16" style="806" customWidth="1"/>
    <col min="28" max="28" width="18.69921875" style="915" customWidth="1"/>
    <col min="29" max="29" width="26.69921875" style="916" customWidth="1" outlineLevel="1"/>
    <col min="30" max="30" width="20.8984375" style="916" customWidth="1" outlineLevel="1"/>
    <col min="31" max="31" width="47.8984375" style="806" customWidth="1" outlineLevel="1"/>
    <col min="32" max="32" width="37.09765625" style="806" hidden="1" customWidth="1" outlineLevel="1"/>
    <col min="33" max="33" width="15.69921875" style="806" customWidth="1" outlineLevel="1"/>
    <col min="34" max="34" width="13.59765625" style="806" customWidth="1" outlineLevel="1"/>
    <col min="35" max="35" width="25.59765625" style="806" customWidth="1" outlineLevel="1"/>
    <col min="36" max="36" width="15" style="806" customWidth="1" outlineLevel="1"/>
    <col min="37" max="37" width="18.8984375" style="806" customWidth="1" outlineLevel="1"/>
    <col min="38" max="38" width="28.3984375" style="806" customWidth="1" outlineLevel="1"/>
    <col min="39" max="39" width="20.296875" style="806" customWidth="1" outlineLevel="1"/>
    <col min="40" max="41" width="16.09765625" style="806" customWidth="1"/>
    <col min="42" max="42" width="22.3984375" style="806" customWidth="1" outlineLevel="1"/>
    <col min="43" max="43" width="13.69921875" style="806" customWidth="1" outlineLevel="1"/>
    <col min="44" max="44" width="18" style="806" customWidth="1" outlineLevel="1"/>
    <col min="45" max="45" width="21" style="806" customWidth="1"/>
    <col min="46" max="46" width="15.69921875" style="806" customWidth="1"/>
    <col min="47" max="16206" width="9" style="806" customWidth="1"/>
    <col min="16207" max="16384" width="9" style="806"/>
  </cols>
  <sheetData>
    <row r="1" spans="1:46" ht="40.5" customHeight="1">
      <c r="A1" s="800" t="s">
        <v>0</v>
      </c>
      <c r="B1" s="801"/>
      <c r="C1" s="801"/>
      <c r="D1" s="802"/>
      <c r="E1" s="803" t="s">
        <v>2</v>
      </c>
      <c r="F1" s="803"/>
      <c r="G1" s="803"/>
      <c r="H1" s="803"/>
      <c r="I1" s="803"/>
      <c r="J1" s="803"/>
      <c r="K1" s="803"/>
      <c r="L1" s="803"/>
      <c r="M1" s="803"/>
      <c r="N1" s="803"/>
      <c r="O1" s="803"/>
      <c r="P1" s="803"/>
      <c r="Q1" s="803"/>
      <c r="R1" s="801"/>
      <c r="S1" s="801"/>
      <c r="T1" s="801"/>
      <c r="U1" s="801"/>
      <c r="V1" s="801"/>
      <c r="W1" s="801"/>
      <c r="X1" s="801"/>
      <c r="Y1" s="801"/>
      <c r="Z1" s="801"/>
      <c r="AA1" s="801"/>
      <c r="AB1" s="804"/>
      <c r="AC1" s="805"/>
      <c r="AD1" s="805"/>
      <c r="AE1" s="801"/>
      <c r="AF1" s="801"/>
      <c r="AG1" s="801"/>
      <c r="AH1" s="801"/>
      <c r="AI1" s="801"/>
      <c r="AJ1" s="801"/>
      <c r="AK1" s="801"/>
      <c r="AL1" s="801"/>
      <c r="AM1" s="801"/>
      <c r="AN1" s="801"/>
      <c r="AO1" s="801"/>
      <c r="AP1" s="801"/>
      <c r="AQ1" s="801"/>
      <c r="AR1" s="801"/>
      <c r="AS1" s="801"/>
      <c r="AT1" s="801"/>
    </row>
    <row r="2" spans="1:46" ht="30" customHeight="1">
      <c r="A2" s="800" t="s">
        <v>2459</v>
      </c>
      <c r="B2" s="807"/>
      <c r="C2" s="807"/>
      <c r="D2" s="808"/>
      <c r="E2" s="809" t="s">
        <v>5</v>
      </c>
      <c r="F2" s="810"/>
      <c r="G2" s="810"/>
      <c r="H2" s="810"/>
      <c r="I2" s="810"/>
      <c r="J2" s="810"/>
      <c r="K2" s="810"/>
      <c r="L2" s="810"/>
      <c r="M2" s="810"/>
      <c r="N2" s="810"/>
      <c r="O2" s="810"/>
      <c r="P2" s="810"/>
      <c r="Q2" s="810"/>
      <c r="R2" s="811"/>
      <c r="S2" s="811"/>
      <c r="T2" s="807"/>
      <c r="U2" s="807"/>
      <c r="V2" s="807"/>
      <c r="W2" s="807"/>
      <c r="X2" s="807"/>
      <c r="Y2" s="807"/>
      <c r="Z2" s="807"/>
      <c r="AA2" s="807"/>
      <c r="AB2" s="812"/>
      <c r="AC2" s="813"/>
      <c r="AD2" s="813"/>
      <c r="AE2" s="807"/>
      <c r="AF2" s="807"/>
      <c r="AG2" s="807"/>
      <c r="AH2" s="807"/>
      <c r="AI2" s="807"/>
      <c r="AJ2" s="807"/>
      <c r="AK2" s="807"/>
      <c r="AL2" s="807"/>
      <c r="AM2" s="807"/>
      <c r="AN2" s="807"/>
      <c r="AO2" s="807"/>
      <c r="AP2" s="807"/>
      <c r="AQ2" s="807"/>
      <c r="AR2" s="807"/>
      <c r="AS2" s="807"/>
      <c r="AT2" s="807"/>
    </row>
    <row r="3" spans="1:46" ht="27.75" customHeight="1">
      <c r="A3" s="814" t="s">
        <v>6</v>
      </c>
      <c r="B3" s="815"/>
      <c r="C3" s="813"/>
      <c r="D3" s="816"/>
      <c r="E3" s="809" t="s">
        <v>9</v>
      </c>
      <c r="F3" s="810"/>
      <c r="G3" s="810"/>
      <c r="H3" s="810"/>
      <c r="I3" s="810"/>
      <c r="J3" s="810"/>
      <c r="K3" s="810"/>
      <c r="L3" s="810"/>
      <c r="M3" s="810"/>
      <c r="N3" s="810"/>
      <c r="O3" s="810"/>
      <c r="P3" s="810"/>
      <c r="Q3" s="810"/>
      <c r="R3" s="815"/>
      <c r="S3" s="815"/>
      <c r="T3" s="815"/>
      <c r="U3" s="815"/>
      <c r="V3" s="815"/>
      <c r="W3" s="815"/>
      <c r="X3" s="815"/>
      <c r="Y3" s="815"/>
      <c r="Z3" s="815"/>
      <c r="AA3" s="815"/>
      <c r="AB3" s="817"/>
      <c r="AC3" s="818"/>
      <c r="AD3" s="818"/>
      <c r="AE3" s="814"/>
      <c r="AF3" s="814"/>
      <c r="AG3" s="814"/>
      <c r="AH3" s="814"/>
      <c r="AI3" s="814"/>
      <c r="AJ3" s="814"/>
      <c r="AK3" s="814"/>
      <c r="AL3" s="814"/>
      <c r="AM3" s="814"/>
      <c r="AN3" s="814"/>
      <c r="AO3" s="814"/>
      <c r="AP3" s="814"/>
      <c r="AQ3" s="814"/>
      <c r="AR3" s="814"/>
      <c r="AS3" s="814"/>
      <c r="AT3" s="814"/>
    </row>
    <row r="4" spans="1:46" s="826" customFormat="1" ht="51.75" customHeight="1">
      <c r="A4" s="1385" t="s">
        <v>10</v>
      </c>
      <c r="B4" s="1385" t="s">
        <v>11</v>
      </c>
      <c r="C4" s="1385" t="s">
        <v>14</v>
      </c>
      <c r="D4" s="1385" t="s">
        <v>2494</v>
      </c>
      <c r="E4" s="1386"/>
      <c r="F4" s="1374" t="s">
        <v>2495</v>
      </c>
      <c r="G4" s="1375"/>
      <c r="H4" s="1374" t="s">
        <v>2496</v>
      </c>
      <c r="I4" s="1375"/>
      <c r="J4" s="1374" t="s">
        <v>2497</v>
      </c>
      <c r="K4" s="1375"/>
      <c r="L4" s="1374" t="s">
        <v>2498</v>
      </c>
      <c r="M4" s="1375"/>
      <c r="N4" s="1374" t="s">
        <v>2499</v>
      </c>
      <c r="O4" s="1375"/>
      <c r="P4" s="1374" t="s">
        <v>2500</v>
      </c>
      <c r="Q4" s="1375"/>
      <c r="R4" s="1376" t="s">
        <v>17</v>
      </c>
      <c r="S4" s="1377"/>
      <c r="T4" s="1378" t="s">
        <v>22</v>
      </c>
      <c r="U4" s="1379" t="s">
        <v>18</v>
      </c>
      <c r="V4" s="1380"/>
      <c r="W4" s="1380"/>
      <c r="X4" s="1380"/>
      <c r="Y4" s="1381"/>
      <c r="Z4" s="1374" t="s">
        <v>19</v>
      </c>
      <c r="AA4" s="1375"/>
      <c r="AB4" s="1382" t="s">
        <v>93</v>
      </c>
      <c r="AC4" s="1383" t="s">
        <v>94</v>
      </c>
      <c r="AD4" s="1383"/>
      <c r="AE4" s="1383"/>
      <c r="AF4" s="1383"/>
      <c r="AG4" s="1383"/>
      <c r="AH4" s="1383"/>
      <c r="AI4" s="1383"/>
      <c r="AJ4" s="1383"/>
      <c r="AK4" s="1383"/>
      <c r="AL4" s="1383"/>
      <c r="AM4" s="1383"/>
      <c r="AN4" s="1384" t="s">
        <v>89</v>
      </c>
      <c r="AO4" s="1384"/>
      <c r="AP4" s="1373" t="s">
        <v>20</v>
      </c>
      <c r="AQ4" s="1373"/>
      <c r="AR4" s="1373"/>
      <c r="AS4" s="1373"/>
      <c r="AT4" s="825" t="s">
        <v>22</v>
      </c>
    </row>
    <row r="5" spans="1:46" s="826" customFormat="1" ht="55.9" customHeight="1">
      <c r="A5" s="1385"/>
      <c r="B5" s="1385"/>
      <c r="C5" s="1385"/>
      <c r="D5" s="827" t="s">
        <v>98</v>
      </c>
      <c r="E5" s="819" t="s">
        <v>97</v>
      </c>
      <c r="F5" s="828" t="s">
        <v>98</v>
      </c>
      <c r="G5" s="821" t="s">
        <v>97</v>
      </c>
      <c r="H5" s="828" t="s">
        <v>98</v>
      </c>
      <c r="I5" s="821" t="s">
        <v>97</v>
      </c>
      <c r="J5" s="828" t="s">
        <v>98</v>
      </c>
      <c r="K5" s="821" t="s">
        <v>97</v>
      </c>
      <c r="L5" s="828" t="s">
        <v>98</v>
      </c>
      <c r="M5" s="821" t="s">
        <v>97</v>
      </c>
      <c r="N5" s="828" t="s">
        <v>98</v>
      </c>
      <c r="O5" s="821" t="s">
        <v>97</v>
      </c>
      <c r="P5" s="828" t="s">
        <v>98</v>
      </c>
      <c r="Q5" s="821" t="s">
        <v>97</v>
      </c>
      <c r="R5" s="819" t="s">
        <v>98</v>
      </c>
      <c r="S5" s="819" t="s">
        <v>97</v>
      </c>
      <c r="T5" s="1378"/>
      <c r="U5" s="829" t="s">
        <v>88</v>
      </c>
      <c r="V5" s="829" t="s">
        <v>98</v>
      </c>
      <c r="W5" s="829" t="s">
        <v>97</v>
      </c>
      <c r="X5" s="829" t="s">
        <v>221</v>
      </c>
      <c r="Y5" s="829" t="s">
        <v>22</v>
      </c>
      <c r="Z5" s="821" t="s">
        <v>98</v>
      </c>
      <c r="AA5" s="821" t="s">
        <v>97</v>
      </c>
      <c r="AB5" s="1382"/>
      <c r="AC5" s="822" t="s">
        <v>24</v>
      </c>
      <c r="AD5" s="822" t="s">
        <v>26</v>
      </c>
      <c r="AE5" s="822" t="s">
        <v>12</v>
      </c>
      <c r="AF5" s="822" t="s">
        <v>13</v>
      </c>
      <c r="AG5" s="822" t="s">
        <v>99</v>
      </c>
      <c r="AH5" s="822" t="s">
        <v>27</v>
      </c>
      <c r="AI5" s="823" t="s">
        <v>100</v>
      </c>
      <c r="AJ5" s="823" t="s">
        <v>101</v>
      </c>
      <c r="AK5" s="830" t="s">
        <v>102</v>
      </c>
      <c r="AL5" s="830" t="s">
        <v>2465</v>
      </c>
      <c r="AM5" s="822" t="s">
        <v>32</v>
      </c>
      <c r="AN5" s="821" t="s">
        <v>98</v>
      </c>
      <c r="AO5" s="821" t="s">
        <v>97</v>
      </c>
      <c r="AP5" s="824" t="s">
        <v>88</v>
      </c>
      <c r="AQ5" s="824" t="s">
        <v>29</v>
      </c>
      <c r="AR5" s="831" t="s">
        <v>30</v>
      </c>
      <c r="AS5" s="824" t="s">
        <v>31</v>
      </c>
      <c r="AT5" s="832"/>
    </row>
    <row r="6" spans="1:46" s="826" customFormat="1" ht="45" customHeight="1">
      <c r="A6" s="833">
        <v>1</v>
      </c>
      <c r="B6" s="833">
        <f>A6+1</f>
        <v>2</v>
      </c>
      <c r="C6" s="833">
        <v>2</v>
      </c>
      <c r="D6" s="833">
        <f t="shared" ref="D6" si="0">C6+1</f>
        <v>3</v>
      </c>
      <c r="E6" s="833">
        <v>3</v>
      </c>
      <c r="F6" s="833">
        <f t="shared" ref="F6" si="1">E6+1</f>
        <v>4</v>
      </c>
      <c r="G6" s="833">
        <v>4</v>
      </c>
      <c r="H6" s="833">
        <f t="shared" ref="H6" si="2">G6+1</f>
        <v>5</v>
      </c>
      <c r="I6" s="833">
        <v>5</v>
      </c>
      <c r="J6" s="833">
        <f t="shared" ref="J6" si="3">I6+1</f>
        <v>6</v>
      </c>
      <c r="K6" s="833">
        <v>5</v>
      </c>
      <c r="L6" s="833">
        <f t="shared" ref="L6" si="4">K6+1</f>
        <v>6</v>
      </c>
      <c r="M6" s="833">
        <v>5</v>
      </c>
      <c r="N6" s="833">
        <f t="shared" ref="N6" si="5">M6+1</f>
        <v>6</v>
      </c>
      <c r="O6" s="833">
        <v>5</v>
      </c>
      <c r="P6" s="833">
        <f t="shared" ref="P6" si="6">O6+1</f>
        <v>6</v>
      </c>
      <c r="Q6" s="833">
        <v>5</v>
      </c>
      <c r="R6" s="833">
        <f t="shared" ref="R6" si="7">I6+1</f>
        <v>6</v>
      </c>
      <c r="S6" s="833">
        <v>6</v>
      </c>
      <c r="T6" s="833">
        <f t="shared" ref="T6" si="8">S6+1</f>
        <v>7</v>
      </c>
      <c r="U6" s="833">
        <v>7</v>
      </c>
      <c r="V6" s="833">
        <f t="shared" ref="V6" si="9">U6+1</f>
        <v>8</v>
      </c>
      <c r="W6" s="833">
        <v>8</v>
      </c>
      <c r="X6" s="833">
        <f t="shared" ref="X6" si="10">W6+1</f>
        <v>9</v>
      </c>
      <c r="Y6" s="833">
        <v>9</v>
      </c>
      <c r="Z6" s="833">
        <f t="shared" ref="Z6" si="11">Y6+1</f>
        <v>10</v>
      </c>
      <c r="AA6" s="833">
        <v>10</v>
      </c>
      <c r="AB6" s="833">
        <f t="shared" ref="AB6" si="12">AA6+1</f>
        <v>11</v>
      </c>
      <c r="AC6" s="833">
        <v>11</v>
      </c>
      <c r="AD6" s="833">
        <f t="shared" ref="AD6" si="13">AC6+1</f>
        <v>12</v>
      </c>
      <c r="AE6" s="833">
        <v>12</v>
      </c>
      <c r="AF6" s="833">
        <f t="shared" ref="AF6" si="14">AE6+1</f>
        <v>13</v>
      </c>
      <c r="AG6" s="833">
        <v>13</v>
      </c>
      <c r="AH6" s="833">
        <f t="shared" ref="AH6" si="15">AG6+1</f>
        <v>14</v>
      </c>
      <c r="AI6" s="833">
        <v>14</v>
      </c>
      <c r="AJ6" s="833">
        <f t="shared" ref="AJ6" si="16">AI6+1</f>
        <v>15</v>
      </c>
      <c r="AK6" s="833">
        <v>15</v>
      </c>
      <c r="AL6" s="833">
        <f t="shared" ref="AL6" si="17">AK6+1</f>
        <v>16</v>
      </c>
      <c r="AM6" s="833">
        <v>16</v>
      </c>
      <c r="AN6" s="833">
        <f t="shared" ref="AN6" si="18">AM6+1</f>
        <v>17</v>
      </c>
      <c r="AO6" s="833">
        <v>17</v>
      </c>
      <c r="AP6" s="833">
        <f t="shared" ref="AP6" si="19">AO6+1</f>
        <v>18</v>
      </c>
      <c r="AQ6" s="833">
        <v>18</v>
      </c>
      <c r="AR6" s="833">
        <f t="shared" ref="AR6" si="20">AQ6+1</f>
        <v>19</v>
      </c>
      <c r="AS6" s="833">
        <v>19</v>
      </c>
      <c r="AT6" s="833">
        <v>34</v>
      </c>
    </row>
    <row r="7" spans="1:46" ht="30" customHeight="1">
      <c r="A7" s="834" t="s">
        <v>41</v>
      </c>
      <c r="B7" s="834" t="s">
        <v>42</v>
      </c>
      <c r="C7" s="835"/>
      <c r="D7" s="836"/>
      <c r="E7" s="837"/>
      <c r="F7" s="838">
        <f t="shared" ref="F7:S7" si="21">SUM(F8:F32)</f>
        <v>1950</v>
      </c>
      <c r="G7" s="838">
        <f t="shared" si="21"/>
        <v>0</v>
      </c>
      <c r="H7" s="838">
        <f t="shared" si="21"/>
        <v>200</v>
      </c>
      <c r="I7" s="838">
        <f t="shared" si="21"/>
        <v>0</v>
      </c>
      <c r="J7" s="838">
        <f t="shared" ref="J7:Q7" si="22">SUM(J8:J32)</f>
        <v>40</v>
      </c>
      <c r="K7" s="838">
        <f t="shared" si="22"/>
        <v>0</v>
      </c>
      <c r="L7" s="838">
        <f t="shared" si="22"/>
        <v>70</v>
      </c>
      <c r="M7" s="838">
        <f t="shared" si="22"/>
        <v>0</v>
      </c>
      <c r="N7" s="838">
        <f t="shared" si="22"/>
        <v>315</v>
      </c>
      <c r="O7" s="838">
        <f t="shared" si="22"/>
        <v>0</v>
      </c>
      <c r="P7" s="838">
        <f t="shared" si="22"/>
        <v>110</v>
      </c>
      <c r="Q7" s="838">
        <f t="shared" si="22"/>
        <v>0</v>
      </c>
      <c r="R7" s="838">
        <f t="shared" si="21"/>
        <v>13855</v>
      </c>
      <c r="S7" s="838">
        <f t="shared" si="21"/>
        <v>0</v>
      </c>
      <c r="T7" s="839"/>
      <c r="U7" s="839"/>
      <c r="V7" s="838">
        <f>SUM(V8:V32)</f>
        <v>0</v>
      </c>
      <c r="W7" s="838">
        <f>SUM(W8:W32)</f>
        <v>0</v>
      </c>
      <c r="X7" s="823"/>
      <c r="Y7" s="823"/>
      <c r="Z7" s="838">
        <f>SUM(Z8:Z32)</f>
        <v>13855</v>
      </c>
      <c r="AA7" s="838">
        <f>SUM(AA8:AA32)</f>
        <v>0</v>
      </c>
      <c r="AB7" s="838"/>
      <c r="AC7" s="838">
        <f t="shared" ref="AC7:AT7" si="23">SUM(AC8:AC32)</f>
        <v>0</v>
      </c>
      <c r="AD7" s="838">
        <f t="shared" si="23"/>
        <v>0</v>
      </c>
      <c r="AE7" s="838">
        <f t="shared" si="23"/>
        <v>0</v>
      </c>
      <c r="AF7" s="838">
        <f t="shared" si="23"/>
        <v>0</v>
      </c>
      <c r="AG7" s="838">
        <f t="shared" si="23"/>
        <v>30435</v>
      </c>
      <c r="AH7" s="838"/>
      <c r="AI7" s="838">
        <f>SUM(AI8:AI32)</f>
        <v>12225</v>
      </c>
      <c r="AJ7" s="838">
        <f>SUM(AJ8:AJ32)</f>
        <v>0</v>
      </c>
      <c r="AK7" s="838"/>
      <c r="AL7" s="838">
        <f>SUM(AL8:AL32)</f>
        <v>775765000</v>
      </c>
      <c r="AM7" s="838"/>
      <c r="AN7" s="838">
        <f t="shared" si="23"/>
        <v>11184</v>
      </c>
      <c r="AO7" s="838">
        <f t="shared" si="23"/>
        <v>15</v>
      </c>
      <c r="AP7" s="838">
        <f t="shared" si="23"/>
        <v>0</v>
      </c>
      <c r="AQ7" s="838">
        <f t="shared" si="23"/>
        <v>0</v>
      </c>
      <c r="AR7" s="838">
        <f t="shared" si="23"/>
        <v>0</v>
      </c>
      <c r="AS7" s="838">
        <f t="shared" si="23"/>
        <v>0</v>
      </c>
      <c r="AT7" s="838">
        <f t="shared" si="23"/>
        <v>0</v>
      </c>
    </row>
    <row r="8" spans="1:46" s="862" customFormat="1" ht="51.75" customHeight="1">
      <c r="A8" s="918">
        <v>1</v>
      </c>
      <c r="B8" s="919" t="s">
        <v>2501</v>
      </c>
      <c r="C8" s="854" t="s">
        <v>1725</v>
      </c>
      <c r="D8" s="920">
        <v>10000</v>
      </c>
      <c r="E8" s="879"/>
      <c r="F8" s="879">
        <v>1500</v>
      </c>
      <c r="G8" s="879"/>
      <c r="H8" s="879"/>
      <c r="I8" s="879"/>
      <c r="J8" s="879"/>
      <c r="K8" s="879"/>
      <c r="L8" s="879"/>
      <c r="M8" s="879"/>
      <c r="N8" s="879"/>
      <c r="O8" s="879"/>
      <c r="P8" s="879"/>
      <c r="Q8" s="879"/>
      <c r="R8" s="846">
        <f>D8+F8+H8+J8+L8+N8+P8</f>
        <v>11500</v>
      </c>
      <c r="S8" s="846">
        <f t="shared" ref="S8:S32" si="24">E8+G8</f>
        <v>0</v>
      </c>
      <c r="T8" s="921" t="s">
        <v>2502</v>
      </c>
      <c r="U8" s="848"/>
      <c r="V8" s="849"/>
      <c r="W8" s="849"/>
      <c r="X8" s="850"/>
      <c r="Y8" s="922"/>
      <c r="Z8" s="849">
        <f t="shared" ref="Z8:AA32" si="25">IF(R8&gt;V8,R8-V8,"0")</f>
        <v>11500</v>
      </c>
      <c r="AA8" s="849" t="str">
        <f t="shared" si="25"/>
        <v>0</v>
      </c>
      <c r="AB8" s="852" t="s">
        <v>2503</v>
      </c>
      <c r="AC8" s="852" t="s">
        <v>2504</v>
      </c>
      <c r="AD8" s="852" t="s">
        <v>2505</v>
      </c>
      <c r="AE8" s="820" t="s">
        <v>2506</v>
      </c>
      <c r="AF8" s="854"/>
      <c r="AG8" s="923">
        <f>1065+23760</f>
        <v>24825</v>
      </c>
      <c r="AH8" s="852">
        <v>45793</v>
      </c>
      <c r="AI8" s="856">
        <v>10000</v>
      </c>
      <c r="AJ8" s="856"/>
      <c r="AK8" s="923">
        <v>33000</v>
      </c>
      <c r="AL8" s="857">
        <f>+AI8*AK8</f>
        <v>330000000</v>
      </c>
      <c r="AM8" s="858"/>
      <c r="AN8" s="849">
        <f t="shared" ref="AN8:AN32" si="26">SUMIF($A:$A,A8,$AI:$AI)</f>
        <v>10014</v>
      </c>
      <c r="AO8" s="849">
        <f t="shared" ref="AO8:AO32" si="27">SUMIF($A:$A,A8,$AJ:$AJ)</f>
        <v>15</v>
      </c>
      <c r="AP8" s="859"/>
      <c r="AQ8" s="859"/>
      <c r="AR8" s="860"/>
      <c r="AS8" s="848"/>
      <c r="AT8" s="861"/>
    </row>
    <row r="9" spans="1:46" s="862" customFormat="1" ht="51.75" customHeight="1">
      <c r="A9" s="918">
        <v>2</v>
      </c>
      <c r="B9" s="919" t="s">
        <v>2507</v>
      </c>
      <c r="C9" s="854" t="s">
        <v>1725</v>
      </c>
      <c r="D9" s="924">
        <v>100</v>
      </c>
      <c r="E9" s="879"/>
      <c r="F9" s="879">
        <v>50</v>
      </c>
      <c r="G9" s="879"/>
      <c r="H9" s="879"/>
      <c r="I9" s="879"/>
      <c r="J9" s="879"/>
      <c r="K9" s="879"/>
      <c r="L9" s="879"/>
      <c r="M9" s="879"/>
      <c r="N9" s="879"/>
      <c r="O9" s="879"/>
      <c r="P9" s="879"/>
      <c r="Q9" s="879"/>
      <c r="R9" s="846">
        <f t="shared" ref="R9:R22" si="28">D9+F9+H9+J9+L9+N9+P9</f>
        <v>150</v>
      </c>
      <c r="S9" s="846">
        <f t="shared" si="24"/>
        <v>0</v>
      </c>
      <c r="T9" s="921"/>
      <c r="U9" s="848"/>
      <c r="V9" s="849"/>
      <c r="W9" s="849"/>
      <c r="X9" s="850"/>
      <c r="Y9" s="922"/>
      <c r="Z9" s="849">
        <f t="shared" si="25"/>
        <v>150</v>
      </c>
      <c r="AA9" s="849" t="str">
        <f t="shared" si="25"/>
        <v>0</v>
      </c>
      <c r="AB9" s="852">
        <v>45784</v>
      </c>
      <c r="AC9" s="852" t="s">
        <v>2508</v>
      </c>
      <c r="AD9" s="852" t="s">
        <v>2509</v>
      </c>
      <c r="AE9" s="925" t="s">
        <v>2510</v>
      </c>
      <c r="AF9" s="860"/>
      <c r="AG9" s="923">
        <v>960</v>
      </c>
      <c r="AH9" s="852">
        <v>45793</v>
      </c>
      <c r="AI9" s="856">
        <v>500</v>
      </c>
      <c r="AJ9" s="856"/>
      <c r="AK9" s="923">
        <v>240000</v>
      </c>
      <c r="AL9" s="857">
        <f t="shared" ref="AL9:AL20" si="29">+AI9*AK9</f>
        <v>120000000</v>
      </c>
      <c r="AM9" s="858"/>
      <c r="AN9" s="849">
        <f t="shared" si="26"/>
        <v>500</v>
      </c>
      <c r="AO9" s="849">
        <f t="shared" si="27"/>
        <v>0</v>
      </c>
      <c r="AP9" s="859"/>
      <c r="AQ9" s="859"/>
      <c r="AR9" s="860"/>
      <c r="AS9" s="848"/>
      <c r="AT9" s="861"/>
    </row>
    <row r="10" spans="1:46" s="862" customFormat="1" ht="51.75" customHeight="1">
      <c r="A10" s="918">
        <v>3</v>
      </c>
      <c r="B10" s="919" t="s">
        <v>2511</v>
      </c>
      <c r="C10" s="854" t="s">
        <v>1725</v>
      </c>
      <c r="D10" s="924">
        <v>500</v>
      </c>
      <c r="E10" s="879"/>
      <c r="F10" s="879"/>
      <c r="G10" s="879"/>
      <c r="H10" s="879"/>
      <c r="I10" s="879"/>
      <c r="J10" s="879"/>
      <c r="K10" s="879"/>
      <c r="L10" s="879"/>
      <c r="M10" s="879"/>
      <c r="N10" s="879"/>
      <c r="O10" s="879"/>
      <c r="P10" s="879"/>
      <c r="Q10" s="879"/>
      <c r="R10" s="846">
        <f t="shared" si="28"/>
        <v>500</v>
      </c>
      <c r="S10" s="846">
        <f t="shared" si="24"/>
        <v>0</v>
      </c>
      <c r="T10" s="921"/>
      <c r="U10" s="848"/>
      <c r="V10" s="849"/>
      <c r="W10" s="849"/>
      <c r="X10" s="850"/>
      <c r="Y10" s="922"/>
      <c r="Z10" s="849">
        <f t="shared" si="25"/>
        <v>500</v>
      </c>
      <c r="AA10" s="849" t="str">
        <f t="shared" si="25"/>
        <v>0</v>
      </c>
      <c r="AB10" s="852">
        <v>45784</v>
      </c>
      <c r="AC10" s="852" t="s">
        <v>2508</v>
      </c>
      <c r="AD10" s="852" t="s">
        <v>2509</v>
      </c>
      <c r="AE10" s="925" t="s">
        <v>2512</v>
      </c>
      <c r="AF10" s="854"/>
      <c r="AG10" s="856">
        <v>240</v>
      </c>
      <c r="AH10" s="852">
        <v>45793</v>
      </c>
      <c r="AI10" s="856">
        <v>100</v>
      </c>
      <c r="AJ10" s="856"/>
      <c r="AK10" s="923">
        <v>200000</v>
      </c>
      <c r="AL10" s="857">
        <f t="shared" si="29"/>
        <v>20000000</v>
      </c>
      <c r="AM10" s="858"/>
      <c r="AN10" s="849">
        <f t="shared" si="26"/>
        <v>100</v>
      </c>
      <c r="AO10" s="849">
        <f t="shared" si="27"/>
        <v>0</v>
      </c>
      <c r="AP10" s="859"/>
      <c r="AQ10" s="859"/>
      <c r="AR10" s="860"/>
      <c r="AS10" s="848"/>
      <c r="AT10" s="861"/>
    </row>
    <row r="11" spans="1:46" s="864" customFormat="1" ht="51.75" customHeight="1">
      <c r="A11" s="918">
        <v>4</v>
      </c>
      <c r="B11" s="919" t="s">
        <v>2513</v>
      </c>
      <c r="C11" s="854" t="s">
        <v>1725</v>
      </c>
      <c r="D11" s="924">
        <v>500</v>
      </c>
      <c r="E11" s="879"/>
      <c r="F11" s="879">
        <v>250</v>
      </c>
      <c r="G11" s="879"/>
      <c r="H11" s="879"/>
      <c r="I11" s="879"/>
      <c r="J11" s="879"/>
      <c r="K11" s="879"/>
      <c r="L11" s="879"/>
      <c r="M11" s="879"/>
      <c r="N11" s="879"/>
      <c r="O11" s="879"/>
      <c r="P11" s="879"/>
      <c r="Q11" s="879"/>
      <c r="R11" s="846">
        <f t="shared" si="28"/>
        <v>750</v>
      </c>
      <c r="S11" s="846">
        <f t="shared" si="24"/>
        <v>0</v>
      </c>
      <c r="T11" s="921"/>
      <c r="U11" s="848"/>
      <c r="V11" s="849"/>
      <c r="W11" s="849"/>
      <c r="X11" s="850"/>
      <c r="Y11" s="922"/>
      <c r="Z11" s="849">
        <f t="shared" si="25"/>
        <v>750</v>
      </c>
      <c r="AA11" s="849" t="str">
        <f t="shared" si="25"/>
        <v>0</v>
      </c>
      <c r="AB11" s="852">
        <v>45769</v>
      </c>
      <c r="AC11" s="852" t="s">
        <v>2514</v>
      </c>
      <c r="AD11" s="852" t="s">
        <v>2515</v>
      </c>
      <c r="AE11" s="926"/>
      <c r="AF11" s="854"/>
      <c r="AG11" s="856">
        <v>3600</v>
      </c>
      <c r="AH11" s="852">
        <v>45750</v>
      </c>
      <c r="AI11" s="856">
        <v>500</v>
      </c>
      <c r="AJ11" s="856"/>
      <c r="AK11" s="857">
        <v>260000</v>
      </c>
      <c r="AL11" s="857">
        <f t="shared" si="29"/>
        <v>130000000</v>
      </c>
      <c r="AM11" s="858"/>
      <c r="AN11" s="849">
        <f t="shared" si="26"/>
        <v>500</v>
      </c>
      <c r="AO11" s="849">
        <f t="shared" si="27"/>
        <v>0</v>
      </c>
      <c r="AP11" s="859"/>
      <c r="AQ11" s="859"/>
      <c r="AR11" s="860"/>
      <c r="AS11" s="848"/>
      <c r="AT11" s="861"/>
    </row>
    <row r="12" spans="1:46" s="862" customFormat="1" ht="51.75" customHeight="1">
      <c r="A12" s="918">
        <v>5</v>
      </c>
      <c r="B12" s="919" t="s">
        <v>2516</v>
      </c>
      <c r="C12" s="854" t="s">
        <v>1725</v>
      </c>
      <c r="D12" s="920">
        <v>20</v>
      </c>
      <c r="E12" s="879"/>
      <c r="F12" s="879"/>
      <c r="G12" s="879"/>
      <c r="H12" s="879"/>
      <c r="I12" s="879"/>
      <c r="J12" s="879"/>
      <c r="K12" s="879"/>
      <c r="L12" s="879"/>
      <c r="M12" s="879"/>
      <c r="N12" s="879"/>
      <c r="O12" s="879"/>
      <c r="P12" s="879"/>
      <c r="Q12" s="879"/>
      <c r="R12" s="846">
        <f t="shared" si="28"/>
        <v>20</v>
      </c>
      <c r="S12" s="846">
        <f t="shared" si="24"/>
        <v>0</v>
      </c>
      <c r="T12" s="921"/>
      <c r="U12" s="848"/>
      <c r="V12" s="849"/>
      <c r="W12" s="849"/>
      <c r="X12" s="858"/>
      <c r="Y12" s="866"/>
      <c r="Z12" s="849">
        <f t="shared" si="25"/>
        <v>20</v>
      </c>
      <c r="AA12" s="849" t="str">
        <f t="shared" si="25"/>
        <v>0</v>
      </c>
      <c r="AB12" s="852">
        <v>45784</v>
      </c>
      <c r="AC12" s="852" t="s">
        <v>2508</v>
      </c>
      <c r="AD12" s="852" t="s">
        <v>2509</v>
      </c>
      <c r="AE12" s="925" t="s">
        <v>2517</v>
      </c>
      <c r="AF12" s="854"/>
      <c r="AG12" s="923">
        <v>200</v>
      </c>
      <c r="AH12" s="852">
        <v>45793</v>
      </c>
      <c r="AI12" s="856">
        <v>20</v>
      </c>
      <c r="AJ12" s="856"/>
      <c r="AK12" s="923">
        <v>200000</v>
      </c>
      <c r="AL12" s="857">
        <f t="shared" si="29"/>
        <v>4000000</v>
      </c>
      <c r="AM12" s="858"/>
      <c r="AN12" s="849">
        <f t="shared" si="26"/>
        <v>20</v>
      </c>
      <c r="AO12" s="849">
        <f t="shared" si="27"/>
        <v>0</v>
      </c>
      <c r="AP12" s="859"/>
      <c r="AQ12" s="858"/>
      <c r="AR12" s="860"/>
      <c r="AS12" s="848"/>
      <c r="AT12" s="861"/>
    </row>
    <row r="13" spans="1:46" s="862" customFormat="1" ht="51.75" customHeight="1">
      <c r="A13" s="918">
        <v>6</v>
      </c>
      <c r="B13" s="919" t="s">
        <v>2518</v>
      </c>
      <c r="C13" s="854" t="s">
        <v>1725</v>
      </c>
      <c r="D13" s="920">
        <v>50</v>
      </c>
      <c r="E13" s="879"/>
      <c r="F13" s="927"/>
      <c r="G13" s="879"/>
      <c r="H13" s="927"/>
      <c r="I13" s="879"/>
      <c r="J13" s="927"/>
      <c r="K13" s="879"/>
      <c r="L13" s="927"/>
      <c r="M13" s="879"/>
      <c r="N13" s="927"/>
      <c r="O13" s="879"/>
      <c r="P13" s="927"/>
      <c r="Q13" s="879"/>
      <c r="R13" s="846">
        <f t="shared" si="28"/>
        <v>50</v>
      </c>
      <c r="S13" s="846">
        <f t="shared" si="24"/>
        <v>0</v>
      </c>
      <c r="T13" s="921"/>
      <c r="U13" s="848"/>
      <c r="V13" s="849"/>
      <c r="W13" s="849"/>
      <c r="X13" s="850"/>
      <c r="Y13" s="850"/>
      <c r="Z13" s="849">
        <f t="shared" si="25"/>
        <v>50</v>
      </c>
      <c r="AA13" s="849" t="str">
        <f t="shared" si="25"/>
        <v>0</v>
      </c>
      <c r="AB13" s="852">
        <v>45784</v>
      </c>
      <c r="AC13" s="852" t="s">
        <v>2508</v>
      </c>
      <c r="AD13" s="852" t="s">
        <v>2509</v>
      </c>
      <c r="AE13" s="925" t="s">
        <v>2519</v>
      </c>
      <c r="AF13" s="854"/>
      <c r="AG13" s="923">
        <v>150</v>
      </c>
      <c r="AH13" s="852">
        <v>45793</v>
      </c>
      <c r="AI13" s="856">
        <v>50</v>
      </c>
      <c r="AJ13" s="856"/>
      <c r="AK13" s="923">
        <v>252000</v>
      </c>
      <c r="AL13" s="857">
        <f t="shared" si="29"/>
        <v>12600000</v>
      </c>
      <c r="AM13" s="858"/>
      <c r="AN13" s="849">
        <f t="shared" si="26"/>
        <v>50</v>
      </c>
      <c r="AO13" s="849">
        <f t="shared" si="27"/>
        <v>0</v>
      </c>
      <c r="AP13" s="859"/>
      <c r="AQ13" s="858"/>
      <c r="AR13" s="860"/>
      <c r="AS13" s="848"/>
      <c r="AT13" s="861"/>
    </row>
    <row r="14" spans="1:46" s="862" customFormat="1" ht="51.75" customHeight="1">
      <c r="A14" s="918"/>
      <c r="B14" s="928" t="s">
        <v>2520</v>
      </c>
      <c r="C14" s="854" t="s">
        <v>1725</v>
      </c>
      <c r="D14" s="927"/>
      <c r="E14" s="879"/>
      <c r="F14" s="927">
        <v>150</v>
      </c>
      <c r="G14" s="879"/>
      <c r="H14" s="927"/>
      <c r="I14" s="879"/>
      <c r="J14" s="927"/>
      <c r="K14" s="879"/>
      <c r="L14" s="927"/>
      <c r="M14" s="879"/>
      <c r="N14" s="927"/>
      <c r="O14" s="879"/>
      <c r="P14" s="927">
        <v>110</v>
      </c>
      <c r="Q14" s="879"/>
      <c r="R14" s="846">
        <f t="shared" si="28"/>
        <v>260</v>
      </c>
      <c r="S14" s="846">
        <f t="shared" si="24"/>
        <v>0</v>
      </c>
      <c r="T14" s="929"/>
      <c r="U14" s="848"/>
      <c r="V14" s="849"/>
      <c r="W14" s="849"/>
      <c r="X14" s="850"/>
      <c r="Y14" s="850"/>
      <c r="Z14" s="849">
        <f t="shared" si="25"/>
        <v>260</v>
      </c>
      <c r="AA14" s="849" t="str">
        <f t="shared" si="25"/>
        <v>0</v>
      </c>
      <c r="AB14" s="852">
        <v>45912</v>
      </c>
      <c r="AC14" s="852" t="s">
        <v>2515</v>
      </c>
      <c r="AD14" s="852" t="s">
        <v>2515</v>
      </c>
      <c r="AE14" s="930" t="s">
        <v>2521</v>
      </c>
      <c r="AF14" s="854"/>
      <c r="AG14" s="923">
        <v>260</v>
      </c>
      <c r="AH14" s="852">
        <v>45894</v>
      </c>
      <c r="AI14" s="931">
        <f>60+200</f>
        <v>260</v>
      </c>
      <c r="AJ14" s="931"/>
      <c r="AK14" s="923">
        <v>280000</v>
      </c>
      <c r="AL14" s="857">
        <f t="shared" si="29"/>
        <v>72800000</v>
      </c>
      <c r="AM14" s="858"/>
      <c r="AN14" s="849">
        <f t="shared" si="26"/>
        <v>0</v>
      </c>
      <c r="AO14" s="849">
        <f t="shared" si="27"/>
        <v>0</v>
      </c>
      <c r="AP14" s="859"/>
      <c r="AQ14" s="858"/>
      <c r="AR14" s="860"/>
      <c r="AS14" s="848"/>
      <c r="AT14" s="861"/>
    </row>
    <row r="15" spans="1:46" s="862" customFormat="1" ht="30" customHeight="1">
      <c r="A15" s="918"/>
      <c r="B15" s="925" t="s">
        <v>2522</v>
      </c>
      <c r="C15" s="854"/>
      <c r="D15" s="927"/>
      <c r="E15" s="879"/>
      <c r="F15" s="927"/>
      <c r="G15" s="879"/>
      <c r="H15" s="927">
        <v>200</v>
      </c>
      <c r="I15" s="879"/>
      <c r="J15" s="927"/>
      <c r="K15" s="879"/>
      <c r="L15" s="927"/>
      <c r="M15" s="879"/>
      <c r="N15" s="927"/>
      <c r="O15" s="879"/>
      <c r="P15" s="927"/>
      <c r="Q15" s="879"/>
      <c r="R15" s="846">
        <f t="shared" si="28"/>
        <v>200</v>
      </c>
      <c r="S15" s="846">
        <f t="shared" si="24"/>
        <v>0</v>
      </c>
      <c r="T15" s="929"/>
      <c r="U15" s="848"/>
      <c r="V15" s="849"/>
      <c r="W15" s="849"/>
      <c r="X15" s="850"/>
      <c r="Y15" s="850"/>
      <c r="Z15" s="849">
        <f t="shared" si="25"/>
        <v>200</v>
      </c>
      <c r="AA15" s="849" t="str">
        <f t="shared" si="25"/>
        <v>0</v>
      </c>
      <c r="AB15" s="852">
        <v>45890</v>
      </c>
      <c r="AC15" s="852" t="s">
        <v>2515</v>
      </c>
      <c r="AD15" s="852" t="s">
        <v>2515</v>
      </c>
      <c r="AE15" s="930" t="s">
        <v>2523</v>
      </c>
      <c r="AF15" s="854"/>
      <c r="AG15" s="923">
        <v>200</v>
      </c>
      <c r="AH15" s="852">
        <v>45894</v>
      </c>
      <c r="AI15" s="931">
        <v>200</v>
      </c>
      <c r="AJ15" s="931"/>
      <c r="AK15" s="923">
        <v>26000</v>
      </c>
      <c r="AL15" s="857">
        <f t="shared" si="29"/>
        <v>5200000</v>
      </c>
      <c r="AM15" s="858"/>
      <c r="AN15" s="849">
        <f t="shared" si="26"/>
        <v>0</v>
      </c>
      <c r="AO15" s="849">
        <f t="shared" si="27"/>
        <v>0</v>
      </c>
      <c r="AP15" s="848"/>
      <c r="AQ15" s="874"/>
      <c r="AR15" s="860"/>
      <c r="AS15" s="848"/>
      <c r="AT15" s="861"/>
    </row>
    <row r="16" spans="1:46" s="862" customFormat="1" ht="49" customHeight="1">
      <c r="A16" s="918"/>
      <c r="B16" s="930" t="s">
        <v>2524</v>
      </c>
      <c r="C16" s="932"/>
      <c r="D16" s="927"/>
      <c r="E16" s="879"/>
      <c r="F16" s="879"/>
      <c r="G16" s="879"/>
      <c r="H16" s="879"/>
      <c r="I16" s="879"/>
      <c r="J16" s="879">
        <v>40</v>
      </c>
      <c r="K16" s="879"/>
      <c r="L16" s="879"/>
      <c r="M16" s="879"/>
      <c r="N16" s="879"/>
      <c r="O16" s="879"/>
      <c r="P16" s="879"/>
      <c r="Q16" s="879"/>
      <c r="R16" s="846">
        <f t="shared" si="28"/>
        <v>40</v>
      </c>
      <c r="S16" s="846">
        <f t="shared" si="24"/>
        <v>0</v>
      </c>
      <c r="T16" s="921"/>
      <c r="U16" s="848"/>
      <c r="V16" s="849"/>
      <c r="W16" s="849"/>
      <c r="X16" s="858"/>
      <c r="Y16" s="850"/>
      <c r="Z16" s="849">
        <f t="shared" si="25"/>
        <v>40</v>
      </c>
      <c r="AA16" s="849" t="str">
        <f t="shared" si="25"/>
        <v>0</v>
      </c>
      <c r="AB16" s="933" t="s">
        <v>2525</v>
      </c>
      <c r="AC16" s="852" t="s">
        <v>2515</v>
      </c>
      <c r="AD16" s="852"/>
      <c r="AE16" s="851"/>
      <c r="AF16" s="854"/>
      <c r="AG16" s="923"/>
      <c r="AH16" s="852"/>
      <c r="AI16" s="931">
        <v>40</v>
      </c>
      <c r="AJ16" s="856"/>
      <c r="AK16" s="923">
        <v>280000</v>
      </c>
      <c r="AL16" s="857">
        <f t="shared" si="29"/>
        <v>11200000</v>
      </c>
      <c r="AM16" s="858"/>
      <c r="AN16" s="849">
        <f t="shared" si="26"/>
        <v>0</v>
      </c>
      <c r="AO16" s="849">
        <f t="shared" si="27"/>
        <v>0</v>
      </c>
      <c r="AP16" s="859"/>
      <c r="AQ16" s="858"/>
      <c r="AR16" s="860"/>
      <c r="AS16" s="848"/>
      <c r="AT16" s="861"/>
    </row>
    <row r="17" spans="1:46" s="862" customFormat="1" ht="41.15" customHeight="1">
      <c r="A17" s="918"/>
      <c r="B17" s="934" t="s">
        <v>2526</v>
      </c>
      <c r="C17" s="932"/>
      <c r="D17" s="927"/>
      <c r="E17" s="879"/>
      <c r="F17" s="879"/>
      <c r="G17" s="879"/>
      <c r="H17" s="879"/>
      <c r="I17" s="879"/>
      <c r="J17" s="879"/>
      <c r="K17" s="879"/>
      <c r="L17" s="879"/>
      <c r="M17" s="879"/>
      <c r="N17" s="879"/>
      <c r="O17" s="879"/>
      <c r="P17" s="879"/>
      <c r="Q17" s="879"/>
      <c r="R17" s="846">
        <f t="shared" si="28"/>
        <v>0</v>
      </c>
      <c r="S17" s="846">
        <f t="shared" si="24"/>
        <v>0</v>
      </c>
      <c r="T17" s="921"/>
      <c r="U17" s="848"/>
      <c r="V17" s="849"/>
      <c r="W17" s="849"/>
      <c r="X17" s="850"/>
      <c r="Y17" s="850"/>
      <c r="Z17" s="849" t="str">
        <f t="shared" si="25"/>
        <v>0</v>
      </c>
      <c r="AA17" s="849" t="str">
        <f t="shared" si="25"/>
        <v>0</v>
      </c>
      <c r="AB17" s="935" t="s">
        <v>2527</v>
      </c>
      <c r="AC17" s="852" t="s">
        <v>2515</v>
      </c>
      <c r="AD17" s="852"/>
      <c r="AE17" s="930"/>
      <c r="AF17" s="854"/>
      <c r="AG17" s="923"/>
      <c r="AH17" s="852"/>
      <c r="AI17" s="936">
        <v>200</v>
      </c>
      <c r="AJ17" s="856"/>
      <c r="AK17" s="923">
        <v>135000</v>
      </c>
      <c r="AL17" s="857">
        <f t="shared" si="29"/>
        <v>27000000</v>
      </c>
      <c r="AM17" s="858"/>
      <c r="AN17" s="849">
        <f t="shared" si="26"/>
        <v>0</v>
      </c>
      <c r="AO17" s="849">
        <f t="shared" si="27"/>
        <v>0</v>
      </c>
      <c r="AP17" s="859"/>
      <c r="AQ17" s="858"/>
      <c r="AR17" s="860"/>
      <c r="AS17" s="848"/>
      <c r="AT17" s="861"/>
    </row>
    <row r="18" spans="1:46" s="862" customFormat="1" ht="30" customHeight="1">
      <c r="A18" s="918"/>
      <c r="B18" s="934" t="s">
        <v>2528</v>
      </c>
      <c r="C18" s="937"/>
      <c r="D18" s="927"/>
      <c r="E18" s="879"/>
      <c r="F18" s="879"/>
      <c r="G18" s="879"/>
      <c r="H18" s="879"/>
      <c r="I18" s="879"/>
      <c r="J18" s="879"/>
      <c r="K18" s="879"/>
      <c r="L18" s="879"/>
      <c r="M18" s="879"/>
      <c r="N18" s="879">
        <v>315</v>
      </c>
      <c r="O18" s="879"/>
      <c r="P18" s="879"/>
      <c r="Q18" s="879"/>
      <c r="R18" s="846">
        <f t="shared" si="28"/>
        <v>315</v>
      </c>
      <c r="S18" s="846">
        <f t="shared" si="24"/>
        <v>0</v>
      </c>
      <c r="T18" s="938"/>
      <c r="U18" s="848"/>
      <c r="V18" s="849"/>
      <c r="W18" s="849"/>
      <c r="X18" s="858"/>
      <c r="Y18" s="850"/>
      <c r="Z18" s="849">
        <f t="shared" si="25"/>
        <v>315</v>
      </c>
      <c r="AA18" s="849" t="str">
        <f t="shared" si="25"/>
        <v>0</v>
      </c>
      <c r="AB18" s="935" t="s">
        <v>2529</v>
      </c>
      <c r="AC18" s="852" t="s">
        <v>2530</v>
      </c>
      <c r="AD18" s="852"/>
      <c r="AE18" s="926"/>
      <c r="AF18" s="854"/>
      <c r="AG18" s="856"/>
      <c r="AH18" s="852"/>
      <c r="AI18" s="936">
        <f>105+210</f>
        <v>315</v>
      </c>
      <c r="AJ18" s="856"/>
      <c r="AK18" s="923">
        <v>125000</v>
      </c>
      <c r="AL18" s="857">
        <f t="shared" si="29"/>
        <v>39375000</v>
      </c>
      <c r="AM18" s="858"/>
      <c r="AN18" s="849">
        <f t="shared" si="26"/>
        <v>0</v>
      </c>
      <c r="AO18" s="849">
        <f t="shared" si="27"/>
        <v>0</v>
      </c>
      <c r="AP18" s="859"/>
      <c r="AQ18" s="858"/>
      <c r="AR18" s="860"/>
      <c r="AS18" s="848"/>
      <c r="AT18" s="861"/>
    </row>
    <row r="19" spans="1:46" s="900" customFormat="1" ht="30" customHeight="1">
      <c r="A19" s="908"/>
      <c r="B19" s="934" t="s">
        <v>2531</v>
      </c>
      <c r="C19" s="883" t="s">
        <v>2532</v>
      </c>
      <c r="D19" s="902"/>
      <c r="E19" s="885"/>
      <c r="F19" s="885"/>
      <c r="G19" s="885"/>
      <c r="H19" s="885"/>
      <c r="I19" s="885"/>
      <c r="J19" s="885"/>
      <c r="K19" s="885"/>
      <c r="L19" s="885">
        <v>30</v>
      </c>
      <c r="M19" s="885"/>
      <c r="N19" s="885"/>
      <c r="O19" s="885"/>
      <c r="P19" s="885"/>
      <c r="Q19" s="885"/>
      <c r="R19" s="846">
        <f t="shared" si="28"/>
        <v>30</v>
      </c>
      <c r="S19" s="887">
        <f t="shared" si="24"/>
        <v>0</v>
      </c>
      <c r="T19" s="888"/>
      <c r="U19" s="889"/>
      <c r="V19" s="890"/>
      <c r="W19" s="890"/>
      <c r="X19" s="891"/>
      <c r="Y19" s="891"/>
      <c r="Z19" s="890">
        <f t="shared" si="25"/>
        <v>30</v>
      </c>
      <c r="AA19" s="890" t="str">
        <f t="shared" si="25"/>
        <v>0</v>
      </c>
      <c r="AB19" s="935" t="s">
        <v>2533</v>
      </c>
      <c r="AC19" s="852" t="s">
        <v>2530</v>
      </c>
      <c r="AD19" s="892"/>
      <c r="AE19" s="871"/>
      <c r="AF19" s="842"/>
      <c r="AG19" s="893"/>
      <c r="AH19" s="892"/>
      <c r="AI19" s="936">
        <v>30</v>
      </c>
      <c r="AJ19" s="893"/>
      <c r="AK19" s="857">
        <v>78000</v>
      </c>
      <c r="AL19" s="857">
        <f t="shared" si="29"/>
        <v>2340000</v>
      </c>
      <c r="AM19" s="896"/>
      <c r="AN19" s="890">
        <f t="shared" si="26"/>
        <v>0</v>
      </c>
      <c r="AO19" s="890">
        <f t="shared" si="27"/>
        <v>0</v>
      </c>
      <c r="AP19" s="897"/>
      <c r="AQ19" s="896"/>
      <c r="AR19" s="898"/>
      <c r="AS19" s="889"/>
      <c r="AT19" s="899"/>
    </row>
    <row r="20" spans="1:46" s="900" customFormat="1" ht="30" customHeight="1">
      <c r="A20" s="908"/>
      <c r="B20" s="934" t="s">
        <v>2534</v>
      </c>
      <c r="C20" s="883" t="s">
        <v>2532</v>
      </c>
      <c r="D20" s="902"/>
      <c r="E20" s="885"/>
      <c r="F20" s="885"/>
      <c r="G20" s="885"/>
      <c r="H20" s="885"/>
      <c r="I20" s="885"/>
      <c r="J20" s="885"/>
      <c r="K20" s="885"/>
      <c r="L20" s="885">
        <v>40</v>
      </c>
      <c r="M20" s="885"/>
      <c r="N20" s="885"/>
      <c r="O20" s="885"/>
      <c r="P20" s="885"/>
      <c r="Q20" s="885"/>
      <c r="R20" s="846">
        <f t="shared" si="28"/>
        <v>40</v>
      </c>
      <c r="S20" s="887">
        <f t="shared" si="24"/>
        <v>0</v>
      </c>
      <c r="T20" s="888"/>
      <c r="U20" s="889"/>
      <c r="V20" s="890"/>
      <c r="W20" s="890"/>
      <c r="X20" s="903"/>
      <c r="Y20" s="891"/>
      <c r="Z20" s="890">
        <f t="shared" si="25"/>
        <v>40</v>
      </c>
      <c r="AA20" s="890" t="str">
        <f t="shared" si="25"/>
        <v>0</v>
      </c>
      <c r="AB20" s="935" t="s">
        <v>2533</v>
      </c>
      <c r="AC20" s="852" t="s">
        <v>2530</v>
      </c>
      <c r="AD20" s="892"/>
      <c r="AE20" s="871"/>
      <c r="AF20" s="842"/>
      <c r="AG20" s="893"/>
      <c r="AH20" s="892"/>
      <c r="AI20" s="936">
        <v>10</v>
      </c>
      <c r="AJ20" s="893"/>
      <c r="AK20" s="895">
        <v>125000</v>
      </c>
      <c r="AL20" s="857">
        <f t="shared" si="29"/>
        <v>1250000</v>
      </c>
      <c r="AM20" s="896"/>
      <c r="AN20" s="890">
        <f t="shared" si="26"/>
        <v>0</v>
      </c>
      <c r="AO20" s="890">
        <f t="shared" si="27"/>
        <v>0</v>
      </c>
      <c r="AP20" s="897"/>
      <c r="AQ20" s="896"/>
      <c r="AR20" s="898"/>
      <c r="AS20" s="889"/>
      <c r="AT20" s="899"/>
    </row>
    <row r="21" spans="1:46" s="900" customFormat="1" ht="43.5" customHeight="1">
      <c r="A21" s="908"/>
      <c r="B21" s="904"/>
      <c r="C21" s="883"/>
      <c r="D21" s="902"/>
      <c r="E21" s="885"/>
      <c r="F21" s="885"/>
      <c r="G21" s="885"/>
      <c r="H21" s="885"/>
      <c r="I21" s="885"/>
      <c r="J21" s="885"/>
      <c r="K21" s="885"/>
      <c r="L21" s="885"/>
      <c r="M21" s="885"/>
      <c r="N21" s="885"/>
      <c r="O21" s="885"/>
      <c r="P21" s="885"/>
      <c r="Q21" s="885"/>
      <c r="R21" s="846">
        <f t="shared" si="28"/>
        <v>0</v>
      </c>
      <c r="S21" s="887">
        <f t="shared" si="24"/>
        <v>0</v>
      </c>
      <c r="T21" s="888"/>
      <c r="U21" s="889"/>
      <c r="V21" s="890"/>
      <c r="W21" s="890"/>
      <c r="X21" s="905"/>
      <c r="Y21" s="905"/>
      <c r="Z21" s="890" t="str">
        <f t="shared" si="25"/>
        <v>0</v>
      </c>
      <c r="AA21" s="890" t="str">
        <f t="shared" si="25"/>
        <v>0</v>
      </c>
      <c r="AB21" s="892"/>
      <c r="AC21" s="892"/>
      <c r="AD21" s="892"/>
      <c r="AE21" s="871"/>
      <c r="AF21" s="842"/>
      <c r="AG21" s="893"/>
      <c r="AH21" s="892"/>
      <c r="AI21" s="894"/>
      <c r="AJ21" s="893"/>
      <c r="AK21" s="895"/>
      <c r="AL21" s="857"/>
      <c r="AM21" s="896"/>
      <c r="AN21" s="890">
        <f t="shared" si="26"/>
        <v>0</v>
      </c>
      <c r="AO21" s="890">
        <f t="shared" si="27"/>
        <v>0</v>
      </c>
      <c r="AP21" s="897"/>
      <c r="AQ21" s="896"/>
      <c r="AR21" s="898"/>
      <c r="AS21" s="889"/>
      <c r="AT21" s="899"/>
    </row>
    <row r="22" spans="1:46" s="900" customFormat="1" ht="30" customHeight="1">
      <c r="A22" s="908"/>
      <c r="B22" s="904"/>
      <c r="C22" s="883"/>
      <c r="D22" s="902"/>
      <c r="E22" s="885"/>
      <c r="F22" s="885"/>
      <c r="G22" s="885"/>
      <c r="H22" s="885"/>
      <c r="I22" s="885"/>
      <c r="J22" s="885"/>
      <c r="K22" s="885"/>
      <c r="L22" s="885"/>
      <c r="M22" s="885"/>
      <c r="N22" s="885"/>
      <c r="O22" s="885"/>
      <c r="P22" s="885"/>
      <c r="Q22" s="885"/>
      <c r="R22" s="846">
        <f t="shared" si="28"/>
        <v>0</v>
      </c>
      <c r="S22" s="887">
        <f t="shared" si="24"/>
        <v>0</v>
      </c>
      <c r="T22" s="888"/>
      <c r="U22" s="889"/>
      <c r="V22" s="887"/>
      <c r="W22" s="887"/>
      <c r="X22" s="889"/>
      <c r="Y22" s="905"/>
      <c r="Z22" s="890" t="str">
        <f t="shared" si="25"/>
        <v>0</v>
      </c>
      <c r="AA22" s="890" t="str">
        <f t="shared" si="25"/>
        <v>0</v>
      </c>
      <c r="AB22" s="892"/>
      <c r="AC22" s="892"/>
      <c r="AD22" s="892"/>
      <c r="AE22" s="889"/>
      <c r="AF22" s="889"/>
      <c r="AG22" s="889"/>
      <c r="AH22" s="892"/>
      <c r="AI22" s="890"/>
      <c r="AJ22" s="890"/>
      <c r="AK22" s="887"/>
      <c r="AL22" s="857"/>
      <c r="AM22" s="896"/>
      <c r="AN22" s="890">
        <f t="shared" si="26"/>
        <v>0</v>
      </c>
      <c r="AO22" s="890">
        <f t="shared" si="27"/>
        <v>0</v>
      </c>
      <c r="AP22" s="897"/>
      <c r="AQ22" s="903"/>
      <c r="AR22" s="898"/>
      <c r="AS22" s="889"/>
      <c r="AT22" s="899"/>
    </row>
    <row r="23" spans="1:46" s="900" customFormat="1" ht="30" customHeight="1">
      <c r="A23" s="908"/>
      <c r="B23" s="904"/>
      <c r="C23" s="883"/>
      <c r="D23" s="902"/>
      <c r="E23" s="885"/>
      <c r="F23" s="885"/>
      <c r="G23" s="885"/>
      <c r="H23" s="885"/>
      <c r="I23" s="885"/>
      <c r="J23" s="885"/>
      <c r="K23" s="885"/>
      <c r="L23" s="885"/>
      <c r="M23" s="885"/>
      <c r="N23" s="885"/>
      <c r="O23" s="885"/>
      <c r="P23" s="885"/>
      <c r="Q23" s="885"/>
      <c r="R23" s="846">
        <f t="shared" ref="R23:R32" si="30">D23+F23+H23+J23+L23</f>
        <v>0</v>
      </c>
      <c r="S23" s="887">
        <f t="shared" si="24"/>
        <v>0</v>
      </c>
      <c r="T23" s="888"/>
      <c r="U23" s="889"/>
      <c r="V23" s="890"/>
      <c r="W23" s="890"/>
      <c r="X23" s="889"/>
      <c r="Y23" s="905"/>
      <c r="Z23" s="890" t="str">
        <f t="shared" si="25"/>
        <v>0</v>
      </c>
      <c r="AA23" s="890" t="str">
        <f t="shared" si="25"/>
        <v>0</v>
      </c>
      <c r="AB23" s="892"/>
      <c r="AC23" s="892"/>
      <c r="AD23" s="892"/>
      <c r="AE23" s="939"/>
      <c r="AF23" s="842"/>
      <c r="AG23" s="893"/>
      <c r="AH23" s="892"/>
      <c r="AI23" s="890"/>
      <c r="AJ23" s="893"/>
      <c r="AK23" s="895"/>
      <c r="AL23" s="857"/>
      <c r="AM23" s="896"/>
      <c r="AN23" s="890">
        <f t="shared" si="26"/>
        <v>0</v>
      </c>
      <c r="AO23" s="890">
        <f t="shared" si="27"/>
        <v>0</v>
      </c>
      <c r="AP23" s="897"/>
      <c r="AQ23" s="896"/>
      <c r="AR23" s="898"/>
      <c r="AS23" s="889"/>
      <c r="AT23" s="899"/>
    </row>
    <row r="24" spans="1:46" s="900" customFormat="1" ht="30" customHeight="1">
      <c r="A24" s="908"/>
      <c r="B24" s="904"/>
      <c r="C24" s="883"/>
      <c r="D24" s="902"/>
      <c r="E24" s="885"/>
      <c r="F24" s="885"/>
      <c r="G24" s="885"/>
      <c r="H24" s="885"/>
      <c r="I24" s="885"/>
      <c r="J24" s="885"/>
      <c r="K24" s="885"/>
      <c r="L24" s="885"/>
      <c r="M24" s="885"/>
      <c r="N24" s="885"/>
      <c r="O24" s="885"/>
      <c r="P24" s="885"/>
      <c r="Q24" s="885"/>
      <c r="R24" s="846">
        <f t="shared" si="30"/>
        <v>0</v>
      </c>
      <c r="S24" s="887">
        <f t="shared" si="24"/>
        <v>0</v>
      </c>
      <c r="T24" s="888"/>
      <c r="U24" s="889"/>
      <c r="V24" s="890"/>
      <c r="W24" s="890"/>
      <c r="X24" s="889"/>
      <c r="Y24" s="905"/>
      <c r="Z24" s="890" t="str">
        <f t="shared" si="25"/>
        <v>0</v>
      </c>
      <c r="AA24" s="890" t="str">
        <f t="shared" si="25"/>
        <v>0</v>
      </c>
      <c r="AB24" s="892"/>
      <c r="AC24" s="892"/>
      <c r="AD24" s="892"/>
      <c r="AF24" s="889"/>
      <c r="AG24" s="890"/>
      <c r="AH24" s="892"/>
      <c r="AI24" s="890"/>
      <c r="AJ24" s="890"/>
      <c r="AK24" s="887"/>
      <c r="AL24" s="857"/>
      <c r="AM24" s="896"/>
      <c r="AN24" s="890">
        <f t="shared" si="26"/>
        <v>0</v>
      </c>
      <c r="AO24" s="890">
        <f t="shared" si="27"/>
        <v>0</v>
      </c>
      <c r="AP24" s="897"/>
      <c r="AQ24" s="896"/>
      <c r="AR24" s="898"/>
      <c r="AS24" s="889"/>
      <c r="AT24" s="899"/>
    </row>
    <row r="25" spans="1:46" s="900" customFormat="1" ht="30" customHeight="1">
      <c r="A25" s="908"/>
      <c r="B25" s="904"/>
      <c r="C25" s="883"/>
      <c r="D25" s="902"/>
      <c r="E25" s="885"/>
      <c r="F25" s="885"/>
      <c r="G25" s="885"/>
      <c r="H25" s="885"/>
      <c r="I25" s="885"/>
      <c r="J25" s="885"/>
      <c r="K25" s="885"/>
      <c r="L25" s="885"/>
      <c r="M25" s="885"/>
      <c r="N25" s="885"/>
      <c r="O25" s="885"/>
      <c r="P25" s="885"/>
      <c r="Q25" s="885"/>
      <c r="R25" s="846">
        <f t="shared" si="30"/>
        <v>0</v>
      </c>
      <c r="S25" s="887">
        <f t="shared" si="24"/>
        <v>0</v>
      </c>
      <c r="T25" s="907"/>
      <c r="U25" s="889"/>
      <c r="V25" s="890"/>
      <c r="W25" s="890"/>
      <c r="X25" s="889"/>
      <c r="Y25" s="889"/>
      <c r="Z25" s="890" t="str">
        <f t="shared" si="25"/>
        <v>0</v>
      </c>
      <c r="AA25" s="890" t="str">
        <f t="shared" si="25"/>
        <v>0</v>
      </c>
      <c r="AB25" s="892"/>
      <c r="AC25" s="892"/>
      <c r="AD25" s="892"/>
      <c r="AE25" s="871"/>
      <c r="AF25" s="842"/>
      <c r="AG25" s="893"/>
      <c r="AH25" s="892"/>
      <c r="AI25" s="894"/>
      <c r="AJ25" s="893"/>
      <c r="AK25" s="895"/>
      <c r="AL25" s="857"/>
      <c r="AM25" s="896"/>
      <c r="AN25" s="890">
        <f t="shared" si="26"/>
        <v>0</v>
      </c>
      <c r="AO25" s="890">
        <f t="shared" si="27"/>
        <v>0</v>
      </c>
      <c r="AP25" s="897"/>
      <c r="AQ25" s="896"/>
      <c r="AR25" s="898"/>
      <c r="AS25" s="889"/>
      <c r="AT25" s="899"/>
    </row>
    <row r="26" spans="1:46" s="900" customFormat="1" ht="35.5" customHeight="1">
      <c r="A26" s="908"/>
      <c r="B26" s="904"/>
      <c r="C26" s="883"/>
      <c r="D26" s="902"/>
      <c r="E26" s="885"/>
      <c r="F26" s="885"/>
      <c r="G26" s="885"/>
      <c r="H26" s="885"/>
      <c r="I26" s="885"/>
      <c r="J26" s="885"/>
      <c r="K26" s="885"/>
      <c r="L26" s="885"/>
      <c r="M26" s="885"/>
      <c r="N26" s="885"/>
      <c r="O26" s="885"/>
      <c r="P26" s="885"/>
      <c r="Q26" s="885"/>
      <c r="R26" s="846">
        <f t="shared" si="30"/>
        <v>0</v>
      </c>
      <c r="S26" s="887">
        <f t="shared" si="24"/>
        <v>0</v>
      </c>
      <c r="T26" s="907"/>
      <c r="U26" s="889"/>
      <c r="V26" s="890"/>
      <c r="W26" s="890"/>
      <c r="X26" s="889"/>
      <c r="Y26" s="889"/>
      <c r="Z26" s="890" t="str">
        <f t="shared" si="25"/>
        <v>0</v>
      </c>
      <c r="AA26" s="890" t="str">
        <f t="shared" si="25"/>
        <v>0</v>
      </c>
      <c r="AB26" s="892"/>
      <c r="AC26" s="892"/>
      <c r="AD26" s="892"/>
      <c r="AE26" s="909"/>
      <c r="AF26" s="898"/>
      <c r="AG26" s="909"/>
      <c r="AH26" s="892"/>
      <c r="AI26" s="890"/>
      <c r="AJ26" s="909"/>
      <c r="AK26" s="910"/>
      <c r="AL26" s="857"/>
      <c r="AM26" s="896"/>
      <c r="AN26" s="890">
        <f t="shared" si="26"/>
        <v>0</v>
      </c>
      <c r="AO26" s="890">
        <f t="shared" si="27"/>
        <v>0</v>
      </c>
      <c r="AP26" s="897"/>
      <c r="AQ26" s="896"/>
      <c r="AR26" s="898"/>
      <c r="AS26" s="889"/>
      <c r="AT26" s="899"/>
    </row>
    <row r="27" spans="1:46" s="900" customFormat="1" ht="30" customHeight="1">
      <c r="A27" s="908"/>
      <c r="B27" s="904"/>
      <c r="C27" s="883"/>
      <c r="D27" s="902"/>
      <c r="E27" s="885"/>
      <c r="F27" s="885"/>
      <c r="G27" s="885"/>
      <c r="H27" s="885"/>
      <c r="I27" s="885"/>
      <c r="J27" s="885"/>
      <c r="K27" s="885"/>
      <c r="L27" s="885"/>
      <c r="M27" s="885"/>
      <c r="N27" s="885"/>
      <c r="O27" s="885"/>
      <c r="P27" s="885"/>
      <c r="Q27" s="885"/>
      <c r="R27" s="846">
        <f t="shared" si="30"/>
        <v>0</v>
      </c>
      <c r="S27" s="887">
        <f t="shared" si="24"/>
        <v>0</v>
      </c>
      <c r="T27" s="907"/>
      <c r="U27" s="889"/>
      <c r="V27" s="890"/>
      <c r="W27" s="890"/>
      <c r="X27" s="889"/>
      <c r="Y27" s="889"/>
      <c r="Z27" s="890" t="str">
        <f t="shared" si="25"/>
        <v>0</v>
      </c>
      <c r="AA27" s="890" t="str">
        <f t="shared" si="25"/>
        <v>0</v>
      </c>
      <c r="AB27" s="892"/>
      <c r="AC27" s="892"/>
      <c r="AD27" s="892"/>
      <c r="AE27" s="912"/>
      <c r="AF27" s="898"/>
      <c r="AG27" s="912"/>
      <c r="AH27" s="912"/>
      <c r="AI27" s="897"/>
      <c r="AJ27" s="912"/>
      <c r="AK27" s="910"/>
      <c r="AL27" s="857"/>
      <c r="AM27" s="896"/>
      <c r="AN27" s="890">
        <f t="shared" si="26"/>
        <v>0</v>
      </c>
      <c r="AO27" s="890">
        <f t="shared" si="27"/>
        <v>0</v>
      </c>
      <c r="AP27" s="897"/>
      <c r="AQ27" s="896"/>
      <c r="AR27" s="898"/>
      <c r="AS27" s="889"/>
      <c r="AT27" s="899"/>
    </row>
    <row r="28" spans="1:46" s="900" customFormat="1" ht="42.65" customHeight="1">
      <c r="A28" s="908"/>
      <c r="B28" s="904"/>
      <c r="C28" s="883"/>
      <c r="D28" s="902"/>
      <c r="E28" s="885"/>
      <c r="F28" s="885"/>
      <c r="G28" s="885"/>
      <c r="H28" s="885"/>
      <c r="I28" s="885"/>
      <c r="J28" s="885"/>
      <c r="K28" s="885"/>
      <c r="L28" s="885"/>
      <c r="M28" s="885"/>
      <c r="N28" s="885"/>
      <c r="O28" s="885"/>
      <c r="P28" s="885"/>
      <c r="Q28" s="885"/>
      <c r="R28" s="846">
        <f t="shared" si="30"/>
        <v>0</v>
      </c>
      <c r="S28" s="887">
        <f t="shared" si="24"/>
        <v>0</v>
      </c>
      <c r="T28" s="907"/>
      <c r="U28" s="889"/>
      <c r="V28" s="890"/>
      <c r="W28" s="890"/>
      <c r="X28" s="889"/>
      <c r="Y28" s="889"/>
      <c r="Z28" s="890" t="str">
        <f t="shared" si="25"/>
        <v>0</v>
      </c>
      <c r="AA28" s="890" t="str">
        <f t="shared" si="25"/>
        <v>0</v>
      </c>
      <c r="AB28" s="892"/>
      <c r="AC28" s="913"/>
      <c r="AD28" s="892"/>
      <c r="AE28" s="889"/>
      <c r="AF28" s="898"/>
      <c r="AG28" s="890"/>
      <c r="AH28" s="892"/>
      <c r="AI28" s="897"/>
      <c r="AJ28" s="890"/>
      <c r="AK28" s="910"/>
      <c r="AL28" s="857"/>
      <c r="AM28" s="896"/>
      <c r="AN28" s="890">
        <f t="shared" si="26"/>
        <v>0</v>
      </c>
      <c r="AO28" s="890">
        <f t="shared" si="27"/>
        <v>0</v>
      </c>
      <c r="AP28" s="897"/>
      <c r="AQ28" s="896"/>
      <c r="AR28" s="898"/>
      <c r="AS28" s="889"/>
      <c r="AT28" s="899"/>
    </row>
    <row r="29" spans="1:46" s="900" customFormat="1" ht="29.15" customHeight="1">
      <c r="A29" s="908"/>
      <c r="B29" s="904"/>
      <c r="C29" s="883"/>
      <c r="D29" s="902"/>
      <c r="E29" s="885"/>
      <c r="F29" s="885"/>
      <c r="G29" s="885"/>
      <c r="H29" s="885"/>
      <c r="I29" s="885"/>
      <c r="J29" s="885"/>
      <c r="K29" s="885"/>
      <c r="L29" s="885"/>
      <c r="M29" s="885"/>
      <c r="N29" s="885"/>
      <c r="O29" s="885"/>
      <c r="P29" s="885"/>
      <c r="Q29" s="885"/>
      <c r="R29" s="846">
        <f t="shared" si="30"/>
        <v>0</v>
      </c>
      <c r="S29" s="887">
        <f t="shared" si="24"/>
        <v>0</v>
      </c>
      <c r="T29" s="888"/>
      <c r="U29" s="889"/>
      <c r="V29" s="890"/>
      <c r="W29" s="890"/>
      <c r="X29" s="889"/>
      <c r="Y29" s="889"/>
      <c r="Z29" s="890" t="str">
        <f t="shared" si="25"/>
        <v>0</v>
      </c>
      <c r="AA29" s="890" t="str">
        <f t="shared" si="25"/>
        <v>0</v>
      </c>
      <c r="AB29" s="892"/>
      <c r="AC29" s="892"/>
      <c r="AD29" s="892"/>
      <c r="AE29" s="871"/>
      <c r="AF29" s="842"/>
      <c r="AG29" s="893"/>
      <c r="AH29" s="892"/>
      <c r="AI29" s="894"/>
      <c r="AJ29" s="893"/>
      <c r="AK29" s="895"/>
      <c r="AL29" s="857"/>
      <c r="AM29" s="896"/>
      <c r="AN29" s="890">
        <f t="shared" si="26"/>
        <v>0</v>
      </c>
      <c r="AO29" s="890">
        <f t="shared" si="27"/>
        <v>0</v>
      </c>
      <c r="AP29" s="897"/>
      <c r="AQ29" s="896"/>
      <c r="AR29" s="898"/>
      <c r="AS29" s="889"/>
      <c r="AT29" s="899"/>
    </row>
    <row r="30" spans="1:46" s="900" customFormat="1" ht="29.15" customHeight="1">
      <c r="A30" s="908"/>
      <c r="B30" s="904"/>
      <c r="C30" s="883"/>
      <c r="D30" s="902"/>
      <c r="E30" s="885"/>
      <c r="F30" s="885"/>
      <c r="G30" s="885"/>
      <c r="H30" s="885"/>
      <c r="I30" s="885"/>
      <c r="J30" s="885"/>
      <c r="K30" s="885"/>
      <c r="L30" s="885"/>
      <c r="M30" s="885"/>
      <c r="N30" s="885"/>
      <c r="O30" s="885"/>
      <c r="P30" s="885"/>
      <c r="Q30" s="885"/>
      <c r="R30" s="846">
        <f t="shared" si="30"/>
        <v>0</v>
      </c>
      <c r="S30" s="887">
        <f t="shared" si="24"/>
        <v>0</v>
      </c>
      <c r="T30" s="907"/>
      <c r="U30" s="889"/>
      <c r="V30" s="890"/>
      <c r="W30" s="890"/>
      <c r="X30" s="889"/>
      <c r="Y30" s="889"/>
      <c r="Z30" s="890" t="str">
        <f t="shared" si="25"/>
        <v>0</v>
      </c>
      <c r="AA30" s="890" t="str">
        <f t="shared" si="25"/>
        <v>0</v>
      </c>
      <c r="AB30" s="892"/>
      <c r="AC30" s="892"/>
      <c r="AD30" s="892"/>
      <c r="AE30" s="871"/>
      <c r="AF30" s="842"/>
      <c r="AG30" s="893"/>
      <c r="AH30" s="892"/>
      <c r="AI30" s="894"/>
      <c r="AJ30" s="893"/>
      <c r="AK30" s="895"/>
      <c r="AL30" s="857"/>
      <c r="AM30" s="896"/>
      <c r="AN30" s="890">
        <f t="shared" si="26"/>
        <v>0</v>
      </c>
      <c r="AO30" s="890">
        <f t="shared" si="27"/>
        <v>0</v>
      </c>
      <c r="AP30" s="897"/>
      <c r="AQ30" s="896"/>
      <c r="AR30" s="898"/>
      <c r="AS30" s="889"/>
      <c r="AT30" s="899"/>
    </row>
    <row r="31" spans="1:46" s="900" customFormat="1" ht="29.15" customHeight="1">
      <c r="A31" s="908"/>
      <c r="B31" s="904"/>
      <c r="C31" s="883"/>
      <c r="D31" s="902"/>
      <c r="E31" s="885"/>
      <c r="F31" s="885"/>
      <c r="G31" s="885"/>
      <c r="H31" s="885"/>
      <c r="I31" s="885"/>
      <c r="J31" s="885"/>
      <c r="K31" s="885"/>
      <c r="L31" s="885"/>
      <c r="M31" s="885"/>
      <c r="N31" s="885"/>
      <c r="O31" s="885"/>
      <c r="P31" s="885"/>
      <c r="Q31" s="885"/>
      <c r="R31" s="846">
        <f t="shared" si="30"/>
        <v>0</v>
      </c>
      <c r="S31" s="887">
        <f t="shared" si="24"/>
        <v>0</v>
      </c>
      <c r="T31" s="907"/>
      <c r="U31" s="889"/>
      <c r="V31" s="890"/>
      <c r="W31" s="890"/>
      <c r="X31" s="889"/>
      <c r="Y31" s="889"/>
      <c r="Z31" s="890" t="str">
        <f t="shared" si="25"/>
        <v>0</v>
      </c>
      <c r="AA31" s="890" t="str">
        <f t="shared" si="25"/>
        <v>0</v>
      </c>
      <c r="AB31" s="892"/>
      <c r="AC31" s="892"/>
      <c r="AD31" s="892"/>
      <c r="AE31" s="871"/>
      <c r="AF31" s="842"/>
      <c r="AG31" s="893"/>
      <c r="AH31" s="892"/>
      <c r="AI31" s="894"/>
      <c r="AJ31" s="893"/>
      <c r="AK31" s="895"/>
      <c r="AL31" s="857"/>
      <c r="AM31" s="896"/>
      <c r="AN31" s="890">
        <f t="shared" si="26"/>
        <v>0</v>
      </c>
      <c r="AO31" s="890">
        <f t="shared" si="27"/>
        <v>0</v>
      </c>
      <c r="AP31" s="897"/>
      <c r="AQ31" s="896"/>
      <c r="AR31" s="898"/>
      <c r="AS31" s="889"/>
      <c r="AT31" s="899"/>
    </row>
    <row r="32" spans="1:46" s="900" customFormat="1" ht="29.15" customHeight="1">
      <c r="A32" s="908"/>
      <c r="B32" s="904"/>
      <c r="C32" s="883"/>
      <c r="D32" s="902"/>
      <c r="E32" s="885"/>
      <c r="F32" s="885"/>
      <c r="G32" s="885"/>
      <c r="H32" s="885"/>
      <c r="I32" s="885"/>
      <c r="J32" s="885"/>
      <c r="K32" s="885"/>
      <c r="L32" s="885"/>
      <c r="M32" s="885"/>
      <c r="N32" s="885"/>
      <c r="O32" s="885"/>
      <c r="P32" s="885"/>
      <c r="Q32" s="885"/>
      <c r="R32" s="846">
        <f t="shared" si="30"/>
        <v>0</v>
      </c>
      <c r="S32" s="887">
        <f t="shared" si="24"/>
        <v>0</v>
      </c>
      <c r="T32" s="907"/>
      <c r="U32" s="889"/>
      <c r="V32" s="890"/>
      <c r="W32" s="890"/>
      <c r="X32" s="889"/>
      <c r="Y32" s="889"/>
      <c r="Z32" s="890" t="str">
        <f t="shared" si="25"/>
        <v>0</v>
      </c>
      <c r="AA32" s="890" t="str">
        <f t="shared" si="25"/>
        <v>0</v>
      </c>
      <c r="AB32" s="892"/>
      <c r="AC32" s="892"/>
      <c r="AD32" s="892"/>
      <c r="AE32" s="871"/>
      <c r="AF32" s="842"/>
      <c r="AG32" s="893"/>
      <c r="AH32" s="892"/>
      <c r="AI32" s="894"/>
      <c r="AJ32" s="893"/>
      <c r="AK32" s="895"/>
      <c r="AL32" s="857"/>
      <c r="AM32" s="896"/>
      <c r="AN32" s="890">
        <f t="shared" si="26"/>
        <v>0</v>
      </c>
      <c r="AO32" s="890">
        <f t="shared" si="27"/>
        <v>0</v>
      </c>
      <c r="AP32" s="897"/>
      <c r="AQ32" s="896"/>
      <c r="AR32" s="898"/>
      <c r="AS32" s="889"/>
      <c r="AT32" s="899"/>
    </row>
    <row r="34" spans="37:38" ht="15" customHeight="1">
      <c r="AK34" s="917"/>
      <c r="AL34" s="917"/>
    </row>
  </sheetData>
  <autoFilter ref="A6:AT32" xr:uid="{00000000-0009-0000-0000-00000D000000}"/>
  <mergeCells count="18">
    <mergeCell ref="H4:I4"/>
    <mergeCell ref="A4:A5"/>
    <mergeCell ref="B4:B5"/>
    <mergeCell ref="C4:C5"/>
    <mergeCell ref="D4:E4"/>
    <mergeCell ref="F4:G4"/>
    <mergeCell ref="AP4:AS4"/>
    <mergeCell ref="J4:K4"/>
    <mergeCell ref="L4:M4"/>
    <mergeCell ref="N4:O4"/>
    <mergeCell ref="P4:Q4"/>
    <mergeCell ref="R4:S4"/>
    <mergeCell ref="T4:T5"/>
    <mergeCell ref="U4:Y4"/>
    <mergeCell ref="Z4:AA4"/>
    <mergeCell ref="AB4:AB5"/>
    <mergeCell ref="AC4:AM4"/>
    <mergeCell ref="AN4:AO4"/>
  </mergeCells>
  <conditionalFormatting sqref="AB4">
    <cfRule type="duplicateValues" dxfId="43" priority="1"/>
  </conditionalFormatting>
  <printOptions horizontalCentered="1"/>
  <pageMargins left="0.23622047244094499" right="0" top="0.39370078740157499" bottom="0.39370078740157499" header="0" footer="0"/>
  <pageSetup paperSize="9" scale="20" fitToHeight="11111" orientation="landscape" r:id="rId1"/>
  <headerFooter>
    <oddFooter>&amp;CPage &amp;P of &amp;R&amp;F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E84B-F8DB-4262-AA94-F2C6C95246DB}">
  <sheetPr>
    <pageSetUpPr fitToPage="1"/>
  </sheetPr>
  <dimension ref="A1:AP39"/>
  <sheetViews>
    <sheetView showGridLines="0" view="pageBreakPreview" topLeftCell="A16" zoomScale="40" zoomScaleNormal="85" zoomScaleSheetLayoutView="40" workbookViewId="0">
      <selection activeCell="AH9" sqref="AH9"/>
    </sheetView>
  </sheetViews>
  <sheetFormatPr defaultColWidth="9" defaultRowHeight="15" customHeight="1" outlineLevelCol="1"/>
  <cols>
    <col min="1" max="1" width="24.59765625" style="806" customWidth="1"/>
    <col min="2" max="2" width="41.69921875" style="806" customWidth="1"/>
    <col min="3" max="3" width="14.3984375" style="806" customWidth="1"/>
    <col min="4" max="4" width="17.296875" style="914" customWidth="1" outlineLevel="1"/>
    <col min="5" max="13" width="17.296875" style="806" customWidth="1" outlineLevel="1"/>
    <col min="14" max="14" width="13.3984375" style="806" customWidth="1" outlineLevel="1"/>
    <col min="15" max="15" width="15.69921875" style="806" customWidth="1" outlineLevel="1"/>
    <col min="16" max="16" width="31.8984375" style="806" customWidth="1" outlineLevel="1"/>
    <col min="17" max="17" width="17.3984375" style="806" hidden="1" customWidth="1" outlineLevel="1"/>
    <col min="18" max="18" width="13" style="806" hidden="1" customWidth="1"/>
    <col min="19" max="19" width="17.3984375" style="806" hidden="1" customWidth="1"/>
    <col min="20" max="20" width="22.09765625" style="806" hidden="1" customWidth="1"/>
    <col min="21" max="21" width="17.69921875" style="806" hidden="1" customWidth="1"/>
    <col min="22" max="22" width="13.8984375" style="806" customWidth="1"/>
    <col min="23" max="23" width="16" style="806" customWidth="1"/>
    <col min="24" max="24" width="22.8984375" style="915" customWidth="1"/>
    <col min="25" max="25" width="26.69921875" style="916" customWidth="1" outlineLevel="1"/>
    <col min="26" max="26" width="20.8984375" style="916" customWidth="1" outlineLevel="1"/>
    <col min="27" max="27" width="47.8984375" style="806" customWidth="1" outlineLevel="1"/>
    <col min="28" max="28" width="37.09765625" style="806" hidden="1" customWidth="1" outlineLevel="1"/>
    <col min="29" max="29" width="15.69921875" style="806" customWidth="1" outlineLevel="1"/>
    <col min="30" max="30" width="13.59765625" style="806" customWidth="1" outlineLevel="1"/>
    <col min="31" max="31" width="14.296875" style="806" customWidth="1" outlineLevel="1"/>
    <col min="32" max="32" width="15" style="806" customWidth="1" outlineLevel="1"/>
    <col min="33" max="33" width="18.8984375" style="806" customWidth="1" outlineLevel="1"/>
    <col min="34" max="34" width="26.69921875" style="806" customWidth="1" outlineLevel="1"/>
    <col min="35" max="35" width="20.296875" style="806" customWidth="1" outlineLevel="1"/>
    <col min="36" max="37" width="16.09765625" style="806" customWidth="1"/>
    <col min="38" max="38" width="22.3984375" style="806" customWidth="1" outlineLevel="1"/>
    <col min="39" max="39" width="13.69921875" style="806" customWidth="1" outlineLevel="1"/>
    <col min="40" max="40" width="18" style="806" customWidth="1" outlineLevel="1"/>
    <col min="41" max="41" width="21" style="806" customWidth="1"/>
    <col min="42" max="42" width="35" style="806" customWidth="1"/>
    <col min="43" max="43" width="19.3984375" style="806" customWidth="1"/>
    <col min="44" max="16202" width="9" style="806" customWidth="1"/>
    <col min="16203" max="16384" width="9" style="806"/>
  </cols>
  <sheetData>
    <row r="1" spans="1:42" ht="40.5" customHeight="1">
      <c r="A1" s="800" t="s">
        <v>0</v>
      </c>
      <c r="B1" s="801"/>
      <c r="C1" s="801"/>
      <c r="D1" s="802"/>
      <c r="E1" s="803" t="s">
        <v>2</v>
      </c>
      <c r="F1" s="803"/>
      <c r="G1" s="803"/>
      <c r="H1" s="803"/>
      <c r="I1" s="803"/>
      <c r="J1" s="803"/>
      <c r="K1" s="803"/>
      <c r="L1" s="803"/>
      <c r="M1" s="803"/>
      <c r="N1" s="801"/>
      <c r="O1" s="801"/>
      <c r="P1" s="801"/>
      <c r="Q1" s="801"/>
      <c r="R1" s="801"/>
      <c r="S1" s="801"/>
      <c r="T1" s="801"/>
      <c r="U1" s="801"/>
      <c r="V1" s="801"/>
      <c r="W1" s="801"/>
      <c r="X1" s="804"/>
      <c r="Y1" s="805"/>
      <c r="Z1" s="805"/>
      <c r="AA1" s="801"/>
      <c r="AB1" s="801"/>
      <c r="AC1" s="801"/>
      <c r="AD1" s="801"/>
      <c r="AE1" s="801"/>
      <c r="AF1" s="801"/>
      <c r="AG1" s="801"/>
      <c r="AH1" s="801"/>
      <c r="AI1" s="801"/>
      <c r="AJ1" s="801"/>
      <c r="AK1" s="801"/>
      <c r="AL1" s="801"/>
      <c r="AM1" s="801"/>
      <c r="AN1" s="801"/>
      <c r="AO1" s="801"/>
      <c r="AP1" s="801"/>
    </row>
    <row r="2" spans="1:42" ht="30" customHeight="1">
      <c r="A2" s="800" t="s">
        <v>2459</v>
      </c>
      <c r="B2" s="807"/>
      <c r="C2" s="807"/>
      <c r="D2" s="808"/>
      <c r="E2" s="809" t="s">
        <v>5</v>
      </c>
      <c r="F2" s="810"/>
      <c r="G2" s="810"/>
      <c r="H2" s="810"/>
      <c r="I2" s="810"/>
      <c r="J2" s="810"/>
      <c r="K2" s="810"/>
      <c r="L2" s="810"/>
      <c r="M2" s="810"/>
      <c r="N2" s="811"/>
      <c r="O2" s="811"/>
      <c r="P2" s="807"/>
      <c r="Q2" s="807"/>
      <c r="R2" s="807"/>
      <c r="S2" s="807"/>
      <c r="T2" s="807"/>
      <c r="U2" s="807"/>
      <c r="V2" s="807"/>
      <c r="W2" s="807"/>
      <c r="X2" s="812"/>
      <c r="Y2" s="813"/>
      <c r="Z2" s="813"/>
      <c r="AA2" s="807"/>
      <c r="AB2" s="807"/>
      <c r="AC2" s="807"/>
      <c r="AD2" s="807"/>
      <c r="AE2" s="807"/>
      <c r="AF2" s="807"/>
      <c r="AG2" s="807"/>
      <c r="AH2" s="807"/>
      <c r="AI2" s="807"/>
      <c r="AJ2" s="807"/>
      <c r="AK2" s="807"/>
      <c r="AL2" s="807"/>
      <c r="AM2" s="807"/>
      <c r="AN2" s="807"/>
      <c r="AO2" s="807"/>
      <c r="AP2" s="807"/>
    </row>
    <row r="3" spans="1:42" ht="27.75" customHeight="1">
      <c r="A3" s="814" t="s">
        <v>6</v>
      </c>
      <c r="B3" s="815"/>
      <c r="C3" s="813"/>
      <c r="D3" s="816"/>
      <c r="E3" s="809" t="s">
        <v>9</v>
      </c>
      <c r="F3" s="810"/>
      <c r="G3" s="810"/>
      <c r="H3" s="810"/>
      <c r="I3" s="810"/>
      <c r="J3" s="810"/>
      <c r="K3" s="810"/>
      <c r="L3" s="810"/>
      <c r="M3" s="810"/>
      <c r="N3" s="815"/>
      <c r="O3" s="815"/>
      <c r="P3" s="815"/>
      <c r="Q3" s="815"/>
      <c r="R3" s="815"/>
      <c r="S3" s="815"/>
      <c r="T3" s="815"/>
      <c r="U3" s="815"/>
      <c r="V3" s="815"/>
      <c r="W3" s="815"/>
      <c r="X3" s="817"/>
      <c r="Y3" s="818"/>
      <c r="Z3" s="818"/>
      <c r="AA3" s="814"/>
      <c r="AB3" s="814"/>
      <c r="AC3" s="814"/>
      <c r="AD3" s="814"/>
      <c r="AE3" s="814"/>
      <c r="AF3" s="814"/>
      <c r="AG3" s="814"/>
      <c r="AH3" s="814"/>
      <c r="AI3" s="814"/>
      <c r="AJ3" s="814"/>
      <c r="AK3" s="814"/>
      <c r="AL3" s="814"/>
      <c r="AM3" s="814"/>
      <c r="AN3" s="814"/>
      <c r="AO3" s="814"/>
      <c r="AP3" s="814"/>
    </row>
    <row r="4" spans="1:42" s="826" customFormat="1" ht="51.75" customHeight="1">
      <c r="A4" s="1385" t="s">
        <v>10</v>
      </c>
      <c r="B4" s="1385" t="s">
        <v>11</v>
      </c>
      <c r="C4" s="1385" t="s">
        <v>14</v>
      </c>
      <c r="D4" s="1385" t="s">
        <v>2460</v>
      </c>
      <c r="E4" s="1386"/>
      <c r="F4" s="1374" t="s">
        <v>2461</v>
      </c>
      <c r="G4" s="1375"/>
      <c r="H4" s="1374" t="s">
        <v>2462</v>
      </c>
      <c r="I4" s="1375"/>
      <c r="J4" s="1374" t="s">
        <v>2463</v>
      </c>
      <c r="K4" s="1375"/>
      <c r="L4" s="1374" t="s">
        <v>2464</v>
      </c>
      <c r="M4" s="1375"/>
      <c r="N4" s="1376" t="s">
        <v>17</v>
      </c>
      <c r="O4" s="1377"/>
      <c r="P4" s="1378" t="s">
        <v>22</v>
      </c>
      <c r="Q4" s="1379" t="s">
        <v>18</v>
      </c>
      <c r="R4" s="1380"/>
      <c r="S4" s="1380"/>
      <c r="T4" s="1380"/>
      <c r="U4" s="1381"/>
      <c r="V4" s="1374" t="s">
        <v>19</v>
      </c>
      <c r="W4" s="1375"/>
      <c r="X4" s="1382" t="s">
        <v>93</v>
      </c>
      <c r="Y4" s="1383" t="s">
        <v>94</v>
      </c>
      <c r="Z4" s="1383"/>
      <c r="AA4" s="1383"/>
      <c r="AB4" s="1383"/>
      <c r="AC4" s="1383"/>
      <c r="AD4" s="1383"/>
      <c r="AE4" s="1383"/>
      <c r="AF4" s="1383"/>
      <c r="AG4" s="1383"/>
      <c r="AH4" s="1383"/>
      <c r="AI4" s="1383"/>
      <c r="AJ4" s="1384" t="s">
        <v>89</v>
      </c>
      <c r="AK4" s="1384"/>
      <c r="AL4" s="1373" t="s">
        <v>20</v>
      </c>
      <c r="AM4" s="1373"/>
      <c r="AN4" s="1373"/>
      <c r="AO4" s="1373"/>
      <c r="AP4" s="825" t="s">
        <v>22</v>
      </c>
    </row>
    <row r="5" spans="1:42" s="826" customFormat="1" ht="55.9" customHeight="1">
      <c r="A5" s="1385"/>
      <c r="B5" s="1385"/>
      <c r="C5" s="1385"/>
      <c r="D5" s="827" t="s">
        <v>98</v>
      </c>
      <c r="E5" s="819" t="s">
        <v>97</v>
      </c>
      <c r="F5" s="828" t="s">
        <v>98</v>
      </c>
      <c r="G5" s="821" t="s">
        <v>97</v>
      </c>
      <c r="H5" s="828" t="s">
        <v>98</v>
      </c>
      <c r="I5" s="821" t="s">
        <v>97</v>
      </c>
      <c r="J5" s="828" t="s">
        <v>98</v>
      </c>
      <c r="K5" s="821" t="s">
        <v>97</v>
      </c>
      <c r="L5" s="828" t="s">
        <v>98</v>
      </c>
      <c r="M5" s="821" t="s">
        <v>97</v>
      </c>
      <c r="N5" s="819" t="s">
        <v>98</v>
      </c>
      <c r="O5" s="819" t="s">
        <v>97</v>
      </c>
      <c r="P5" s="1378"/>
      <c r="Q5" s="829" t="s">
        <v>88</v>
      </c>
      <c r="R5" s="829" t="s">
        <v>98</v>
      </c>
      <c r="S5" s="829" t="s">
        <v>97</v>
      </c>
      <c r="T5" s="829" t="s">
        <v>221</v>
      </c>
      <c r="U5" s="829" t="s">
        <v>22</v>
      </c>
      <c r="V5" s="821" t="s">
        <v>98</v>
      </c>
      <c r="W5" s="821" t="s">
        <v>97</v>
      </c>
      <c r="X5" s="1382"/>
      <c r="Y5" s="822" t="s">
        <v>24</v>
      </c>
      <c r="Z5" s="822" t="s">
        <v>26</v>
      </c>
      <c r="AA5" s="822" t="s">
        <v>12</v>
      </c>
      <c r="AB5" s="822" t="s">
        <v>13</v>
      </c>
      <c r="AC5" s="822" t="s">
        <v>99</v>
      </c>
      <c r="AD5" s="822" t="s">
        <v>27</v>
      </c>
      <c r="AE5" s="823" t="s">
        <v>100</v>
      </c>
      <c r="AF5" s="823" t="s">
        <v>101</v>
      </c>
      <c r="AG5" s="830" t="s">
        <v>102</v>
      </c>
      <c r="AH5" s="830" t="s">
        <v>2465</v>
      </c>
      <c r="AI5" s="822" t="s">
        <v>32</v>
      </c>
      <c r="AJ5" s="821" t="s">
        <v>98</v>
      </c>
      <c r="AK5" s="821" t="s">
        <v>97</v>
      </c>
      <c r="AL5" s="824" t="s">
        <v>88</v>
      </c>
      <c r="AM5" s="824" t="s">
        <v>29</v>
      </c>
      <c r="AN5" s="831" t="s">
        <v>30</v>
      </c>
      <c r="AO5" s="824" t="s">
        <v>31</v>
      </c>
      <c r="AP5" s="832"/>
    </row>
    <row r="6" spans="1:42" s="826" customFormat="1" ht="45" customHeight="1">
      <c r="A6" s="833">
        <v>1</v>
      </c>
      <c r="B6" s="833">
        <f>A6+1</f>
        <v>2</v>
      </c>
      <c r="C6" s="833">
        <v>2</v>
      </c>
      <c r="D6" s="833">
        <f t="shared" ref="D6" si="0">C6+1</f>
        <v>3</v>
      </c>
      <c r="E6" s="833">
        <v>3</v>
      </c>
      <c r="F6" s="833">
        <f t="shared" ref="F6" si="1">E6+1</f>
        <v>4</v>
      </c>
      <c r="G6" s="833">
        <v>4</v>
      </c>
      <c r="H6" s="833">
        <f t="shared" ref="H6" si="2">G6+1</f>
        <v>5</v>
      </c>
      <c r="I6" s="833">
        <v>5</v>
      </c>
      <c r="J6" s="833">
        <f t="shared" ref="J6" si="3">G6+1</f>
        <v>5</v>
      </c>
      <c r="K6" s="833">
        <v>5</v>
      </c>
      <c r="L6" s="833">
        <f t="shared" ref="L6" si="4">I6+1</f>
        <v>6</v>
      </c>
      <c r="M6" s="833">
        <v>5</v>
      </c>
      <c r="N6" s="833">
        <f t="shared" ref="N6" si="5">I6+1</f>
        <v>6</v>
      </c>
      <c r="O6" s="833">
        <v>6</v>
      </c>
      <c r="P6" s="833">
        <f t="shared" ref="P6" si="6">O6+1</f>
        <v>7</v>
      </c>
      <c r="Q6" s="833">
        <v>7</v>
      </c>
      <c r="R6" s="833">
        <f t="shared" ref="R6" si="7">Q6+1</f>
        <v>8</v>
      </c>
      <c r="S6" s="833">
        <v>8</v>
      </c>
      <c r="T6" s="833">
        <f t="shared" ref="T6" si="8">S6+1</f>
        <v>9</v>
      </c>
      <c r="U6" s="833">
        <v>9</v>
      </c>
      <c r="V6" s="833">
        <f t="shared" ref="V6" si="9">U6+1</f>
        <v>10</v>
      </c>
      <c r="W6" s="833">
        <v>10</v>
      </c>
      <c r="X6" s="833">
        <f t="shared" ref="X6" si="10">W6+1</f>
        <v>11</v>
      </c>
      <c r="Y6" s="833">
        <v>11</v>
      </c>
      <c r="Z6" s="833">
        <f t="shared" ref="Z6" si="11">Y6+1</f>
        <v>12</v>
      </c>
      <c r="AA6" s="833">
        <v>12</v>
      </c>
      <c r="AB6" s="833">
        <f t="shared" ref="AB6" si="12">AA6+1</f>
        <v>13</v>
      </c>
      <c r="AC6" s="833">
        <v>13</v>
      </c>
      <c r="AD6" s="833">
        <f t="shared" ref="AD6" si="13">AC6+1</f>
        <v>14</v>
      </c>
      <c r="AE6" s="833">
        <v>14</v>
      </c>
      <c r="AF6" s="833">
        <f t="shared" ref="AF6" si="14">AE6+1</f>
        <v>15</v>
      </c>
      <c r="AG6" s="833">
        <v>15</v>
      </c>
      <c r="AH6" s="833">
        <f t="shared" ref="AH6" si="15">AG6+1</f>
        <v>16</v>
      </c>
      <c r="AI6" s="833">
        <v>16</v>
      </c>
      <c r="AJ6" s="833">
        <f t="shared" ref="AJ6" si="16">AI6+1</f>
        <v>17</v>
      </c>
      <c r="AK6" s="833">
        <v>17</v>
      </c>
      <c r="AL6" s="833">
        <f t="shared" ref="AL6" si="17">AK6+1</f>
        <v>18</v>
      </c>
      <c r="AM6" s="833">
        <v>18</v>
      </c>
      <c r="AN6" s="833">
        <f t="shared" ref="AN6" si="18">AM6+1</f>
        <v>19</v>
      </c>
      <c r="AO6" s="833">
        <v>19</v>
      </c>
      <c r="AP6" s="833">
        <v>34</v>
      </c>
    </row>
    <row r="7" spans="1:42" ht="30" customHeight="1">
      <c r="A7" s="834" t="s">
        <v>41</v>
      </c>
      <c r="B7" s="834" t="s">
        <v>42</v>
      </c>
      <c r="C7" s="835"/>
      <c r="D7" s="836"/>
      <c r="E7" s="837"/>
      <c r="F7" s="838">
        <f t="shared" ref="F7:O7" si="19">SUM(F8:F33)</f>
        <v>1315</v>
      </c>
      <c r="G7" s="838">
        <f t="shared" si="19"/>
        <v>0</v>
      </c>
      <c r="H7" s="838">
        <f t="shared" si="19"/>
        <v>492</v>
      </c>
      <c r="I7" s="838">
        <f t="shared" si="19"/>
        <v>0</v>
      </c>
      <c r="J7" s="838">
        <f t="shared" ref="J7:K7" si="20">SUM(J8:J33)</f>
        <v>1000</v>
      </c>
      <c r="K7" s="838">
        <f t="shared" si="20"/>
        <v>0</v>
      </c>
      <c r="L7" s="838">
        <f t="shared" si="19"/>
        <v>1490</v>
      </c>
      <c r="M7" s="838">
        <f t="shared" si="19"/>
        <v>0</v>
      </c>
      <c r="N7" s="838">
        <f t="shared" si="19"/>
        <v>11522</v>
      </c>
      <c r="O7" s="838">
        <f t="shared" si="19"/>
        <v>0</v>
      </c>
      <c r="P7" s="839"/>
      <c r="Q7" s="839"/>
      <c r="R7" s="838">
        <f>SUM(R8:R33)</f>
        <v>0</v>
      </c>
      <c r="S7" s="838">
        <f>SUM(S8:S33)</f>
        <v>0</v>
      </c>
      <c r="T7" s="823"/>
      <c r="U7" s="823"/>
      <c r="V7" s="838">
        <f>SUM(V8:V33)</f>
        <v>11522</v>
      </c>
      <c r="W7" s="838">
        <f>SUM(W8:W33)</f>
        <v>0</v>
      </c>
      <c r="X7" s="838"/>
      <c r="Y7" s="838">
        <f>SUM(Y8:Y33)</f>
        <v>0</v>
      </c>
      <c r="Z7" s="838">
        <f>SUM(Z8:Z33)</f>
        <v>0</v>
      </c>
      <c r="AA7" s="838">
        <f>SUM(AA8:AA33)</f>
        <v>0</v>
      </c>
      <c r="AB7" s="838">
        <f>SUM(AB8:AB33)</f>
        <v>0</v>
      </c>
      <c r="AC7" s="838">
        <f>SUM(AC8:AC33)</f>
        <v>8789.06</v>
      </c>
      <c r="AD7" s="838"/>
      <c r="AE7" s="838">
        <f>SUM(AE8:AE33)</f>
        <v>8374.56</v>
      </c>
      <c r="AF7" s="838">
        <f>SUM(AF8:AF33)</f>
        <v>0</v>
      </c>
      <c r="AG7" s="838"/>
      <c r="AH7" s="838">
        <f>SUM(AH8:AH33)</f>
        <v>2346421600</v>
      </c>
      <c r="AI7" s="838"/>
      <c r="AJ7" s="838">
        <f t="shared" ref="AJ7:AP7" si="21">SUM(AJ8:AJ33)</f>
        <v>4881.4800000000005</v>
      </c>
      <c r="AK7" s="838">
        <f t="shared" si="21"/>
        <v>15</v>
      </c>
      <c r="AL7" s="838">
        <f t="shared" si="21"/>
        <v>0</v>
      </c>
      <c r="AM7" s="838">
        <f t="shared" si="21"/>
        <v>0</v>
      </c>
      <c r="AN7" s="838">
        <f t="shared" si="21"/>
        <v>0</v>
      </c>
      <c r="AO7" s="838">
        <f t="shared" si="21"/>
        <v>0</v>
      </c>
      <c r="AP7" s="838">
        <f t="shared" si="21"/>
        <v>0</v>
      </c>
    </row>
    <row r="8" spans="1:42" s="862" customFormat="1" ht="51.75" customHeight="1">
      <c r="A8" s="840">
        <v>1</v>
      </c>
      <c r="B8" s="841" t="s">
        <v>2466</v>
      </c>
      <c r="C8" s="842" t="s">
        <v>2467</v>
      </c>
      <c r="D8" s="843">
        <v>1965</v>
      </c>
      <c r="E8" s="844"/>
      <c r="F8" s="845"/>
      <c r="G8" s="844"/>
      <c r="H8" s="845">
        <v>130</v>
      </c>
      <c r="I8" s="844"/>
      <c r="J8" s="844"/>
      <c r="K8" s="844"/>
      <c r="L8" s="844">
        <v>540</v>
      </c>
      <c r="M8" s="844"/>
      <c r="N8" s="846">
        <f>+D8+F8+H8+L8+J8</f>
        <v>2635</v>
      </c>
      <c r="O8" s="846">
        <f t="shared" ref="O8:O33" si="22">E8+G8</f>
        <v>0</v>
      </c>
      <c r="P8" s="847"/>
      <c r="Q8" s="848"/>
      <c r="R8" s="849"/>
      <c r="S8" s="849"/>
      <c r="T8" s="850"/>
      <c r="U8" s="851"/>
      <c r="V8" s="849">
        <f t="shared" ref="V8:W33" si="23">IF(N8&gt;R8,N8-R8,"0")</f>
        <v>2635</v>
      </c>
      <c r="W8" s="849" t="str">
        <f t="shared" si="23"/>
        <v>0</v>
      </c>
      <c r="X8" s="852" t="s">
        <v>2468</v>
      </c>
      <c r="Y8" s="852" t="s">
        <v>2469</v>
      </c>
      <c r="Z8" s="852" t="s">
        <v>2234</v>
      </c>
      <c r="AA8" s="853"/>
      <c r="AB8" s="854"/>
      <c r="AC8" s="855">
        <v>1971.6</v>
      </c>
      <c r="AD8" s="852">
        <v>45888</v>
      </c>
      <c r="AE8" s="855">
        <f>208+67.6+74.2+455.8+275.6+95.4+795</f>
        <v>1971.6000000000001</v>
      </c>
      <c r="AF8" s="856"/>
      <c r="AG8" s="855">
        <v>325000</v>
      </c>
      <c r="AH8" s="857">
        <f>+AG8*AE8</f>
        <v>640770000</v>
      </c>
      <c r="AI8" s="858"/>
      <c r="AJ8" s="849">
        <f>SUMIF($A:$A,A8,$AE:$AE)</f>
        <v>1985.6000000000001</v>
      </c>
      <c r="AK8" s="849">
        <f>SUMIF($A:$A,A8,$AF:$AF)</f>
        <v>15</v>
      </c>
      <c r="AL8" s="859"/>
      <c r="AM8" s="859"/>
      <c r="AN8" s="860"/>
      <c r="AO8" s="848"/>
      <c r="AP8" s="861"/>
    </row>
    <row r="9" spans="1:42" s="862" customFormat="1" ht="51.75" customHeight="1">
      <c r="A9" s="840">
        <v>2</v>
      </c>
      <c r="B9" s="841" t="s">
        <v>2470</v>
      </c>
      <c r="C9" s="842" t="s">
        <v>2467</v>
      </c>
      <c r="D9" s="843">
        <v>240</v>
      </c>
      <c r="E9" s="844"/>
      <c r="F9" s="845"/>
      <c r="G9" s="844"/>
      <c r="H9" s="845">
        <v>15</v>
      </c>
      <c r="I9" s="844"/>
      <c r="J9" s="844"/>
      <c r="K9" s="844"/>
      <c r="L9" s="844">
        <v>60</v>
      </c>
      <c r="M9" s="844"/>
      <c r="N9" s="846">
        <f t="shared" ref="N9:N22" si="24">+D9+F9+H9+L9+J9</f>
        <v>315</v>
      </c>
      <c r="O9" s="846">
        <f t="shared" si="22"/>
        <v>0</v>
      </c>
      <c r="P9" s="847"/>
      <c r="Q9" s="848"/>
      <c r="R9" s="849"/>
      <c r="S9" s="849"/>
      <c r="T9" s="850"/>
      <c r="U9" s="851"/>
      <c r="V9" s="849">
        <f t="shared" si="23"/>
        <v>315</v>
      </c>
      <c r="W9" s="849" t="str">
        <f t="shared" si="23"/>
        <v>0</v>
      </c>
      <c r="X9" s="852" t="s">
        <v>2471</v>
      </c>
      <c r="Y9" s="852" t="s">
        <v>2469</v>
      </c>
      <c r="Z9" s="852" t="s">
        <v>2234</v>
      </c>
      <c r="AA9" s="863"/>
      <c r="AB9" s="854"/>
      <c r="AC9" s="855">
        <v>240</v>
      </c>
      <c r="AD9" s="852">
        <v>45888</v>
      </c>
      <c r="AE9" s="855">
        <f>40+120+80</f>
        <v>240</v>
      </c>
      <c r="AF9" s="856"/>
      <c r="AG9" s="855">
        <v>67000</v>
      </c>
      <c r="AH9" s="857">
        <f t="shared" ref="AH9:AH21" si="25">+AG9*AE9</f>
        <v>16080000</v>
      </c>
      <c r="AI9" s="858"/>
      <c r="AJ9" s="849">
        <f>SUMIF($A:$A,A9,$AE:$AE)</f>
        <v>240</v>
      </c>
      <c r="AK9" s="849">
        <f>SUMIF($A:$A,A9,$AF:$AF)</f>
        <v>0</v>
      </c>
      <c r="AL9" s="859"/>
      <c r="AM9" s="859"/>
      <c r="AN9" s="860"/>
      <c r="AO9" s="848"/>
      <c r="AP9" s="861"/>
    </row>
    <row r="10" spans="1:42" s="862" customFormat="1" ht="51.75" customHeight="1">
      <c r="A10" s="840">
        <v>3</v>
      </c>
      <c r="B10" s="841" t="s">
        <v>2472</v>
      </c>
      <c r="C10" s="842" t="s">
        <v>2467</v>
      </c>
      <c r="D10" s="843">
        <v>2040</v>
      </c>
      <c r="E10" s="844"/>
      <c r="F10" s="845"/>
      <c r="G10" s="844"/>
      <c r="H10" s="845">
        <v>135</v>
      </c>
      <c r="I10" s="844"/>
      <c r="J10" s="844"/>
      <c r="K10" s="844"/>
      <c r="L10" s="844">
        <v>890</v>
      </c>
      <c r="M10" s="844"/>
      <c r="N10" s="846">
        <f t="shared" si="24"/>
        <v>3065</v>
      </c>
      <c r="O10" s="846">
        <f t="shared" si="22"/>
        <v>0</v>
      </c>
      <c r="P10" s="847"/>
      <c r="Q10" s="848"/>
      <c r="R10" s="849"/>
      <c r="S10" s="849"/>
      <c r="T10" s="850"/>
      <c r="U10" s="851"/>
      <c r="V10" s="849">
        <f t="shared" si="23"/>
        <v>3065</v>
      </c>
      <c r="W10" s="849" t="str">
        <f t="shared" si="23"/>
        <v>0</v>
      </c>
      <c r="X10" s="852" t="s">
        <v>2473</v>
      </c>
      <c r="Y10" s="852" t="s">
        <v>2469</v>
      </c>
      <c r="Z10" s="852" t="s">
        <v>2234</v>
      </c>
      <c r="AA10" s="863"/>
      <c r="AB10" s="860"/>
      <c r="AC10" s="855">
        <v>2043.04</v>
      </c>
      <c r="AD10" s="852">
        <v>45888</v>
      </c>
      <c r="AE10" s="855">
        <f>135.6+180.8+230.52+244.08+528.84+723.2</f>
        <v>2043.0400000000002</v>
      </c>
      <c r="AF10" s="856"/>
      <c r="AG10" s="855">
        <v>440000</v>
      </c>
      <c r="AH10" s="857">
        <f t="shared" si="25"/>
        <v>898937600.00000012</v>
      </c>
      <c r="AI10" s="858"/>
      <c r="AJ10" s="849">
        <f>SUMIF($A:$A,A10,$AE:$AE)</f>
        <v>2043.0400000000002</v>
      </c>
      <c r="AK10" s="849">
        <f>SUMIF($A:$A,A10,$AF:$AF)</f>
        <v>0</v>
      </c>
      <c r="AL10" s="859"/>
      <c r="AM10" s="859"/>
      <c r="AN10" s="860"/>
      <c r="AO10" s="848"/>
      <c r="AP10" s="861"/>
    </row>
    <row r="11" spans="1:42" s="864" customFormat="1" ht="51.75" customHeight="1">
      <c r="A11" s="840">
        <v>4</v>
      </c>
      <c r="B11" s="841" t="s">
        <v>2474</v>
      </c>
      <c r="C11" s="842" t="s">
        <v>2467</v>
      </c>
      <c r="D11" s="843">
        <v>310</v>
      </c>
      <c r="E11" s="844"/>
      <c r="F11" s="845">
        <v>70</v>
      </c>
      <c r="G11" s="844"/>
      <c r="H11" s="845"/>
      <c r="I11" s="844"/>
      <c r="J11" s="844"/>
      <c r="K11" s="844"/>
      <c r="L11" s="844"/>
      <c r="M11" s="844"/>
      <c r="N11" s="846">
        <f t="shared" si="24"/>
        <v>380</v>
      </c>
      <c r="O11" s="846">
        <f t="shared" si="22"/>
        <v>0</v>
      </c>
      <c r="P11" s="842"/>
      <c r="Q11" s="848"/>
      <c r="R11" s="849"/>
      <c r="S11" s="849"/>
      <c r="T11" s="850"/>
      <c r="U11" s="851"/>
      <c r="V11" s="849">
        <f t="shared" si="23"/>
        <v>380</v>
      </c>
      <c r="W11" s="849" t="str">
        <f t="shared" si="23"/>
        <v>0</v>
      </c>
      <c r="X11" s="852" t="s">
        <v>2475</v>
      </c>
      <c r="Y11" s="852" t="s">
        <v>2469</v>
      </c>
      <c r="Z11" s="852" t="s">
        <v>2234</v>
      </c>
      <c r="AA11" s="863"/>
      <c r="AB11" s="854"/>
      <c r="AC11" s="855">
        <v>380</v>
      </c>
      <c r="AD11" s="852">
        <v>45888</v>
      </c>
      <c r="AE11" s="855">
        <f>40+200+140</f>
        <v>380</v>
      </c>
      <c r="AF11" s="856"/>
      <c r="AG11" s="855">
        <v>60000</v>
      </c>
      <c r="AH11" s="857">
        <f t="shared" si="25"/>
        <v>22800000</v>
      </c>
      <c r="AI11" s="858"/>
      <c r="AJ11" s="849">
        <f>SUMIF($A:$A,A11,$AE:$AE)</f>
        <v>380</v>
      </c>
      <c r="AK11" s="849">
        <f>SUMIF($A:$A,A11,$AF:$AF)</f>
        <v>0</v>
      </c>
      <c r="AL11" s="859"/>
      <c r="AM11" s="859"/>
      <c r="AN11" s="860"/>
      <c r="AO11" s="848"/>
      <c r="AP11" s="861"/>
    </row>
    <row r="12" spans="1:42" s="862" customFormat="1" ht="51.75" customHeight="1">
      <c r="A12" s="840">
        <v>5</v>
      </c>
      <c r="B12" s="841" t="s">
        <v>2476</v>
      </c>
      <c r="C12" s="842" t="s">
        <v>2467</v>
      </c>
      <c r="D12" s="843">
        <v>20</v>
      </c>
      <c r="E12" s="844"/>
      <c r="F12" s="845"/>
      <c r="G12" s="844"/>
      <c r="H12" s="845"/>
      <c r="I12" s="844"/>
      <c r="J12" s="844"/>
      <c r="K12" s="844"/>
      <c r="L12" s="844"/>
      <c r="M12" s="844"/>
      <c r="N12" s="846">
        <f t="shared" si="24"/>
        <v>20</v>
      </c>
      <c r="O12" s="846">
        <f t="shared" si="22"/>
        <v>0</v>
      </c>
      <c r="P12" s="865"/>
      <c r="Q12" s="848"/>
      <c r="R12" s="849"/>
      <c r="S12" s="849"/>
      <c r="T12" s="858"/>
      <c r="U12" s="866"/>
      <c r="V12" s="849">
        <f t="shared" si="23"/>
        <v>20</v>
      </c>
      <c r="W12" s="849" t="str">
        <f t="shared" si="23"/>
        <v>0</v>
      </c>
      <c r="X12" s="852">
        <v>45895</v>
      </c>
      <c r="Y12" s="852" t="s">
        <v>2469</v>
      </c>
      <c r="Z12" s="852" t="s">
        <v>2234</v>
      </c>
      <c r="AA12" s="867"/>
      <c r="AB12" s="860"/>
      <c r="AC12" s="855">
        <v>16.75</v>
      </c>
      <c r="AD12" s="852">
        <v>45888</v>
      </c>
      <c r="AE12" s="855">
        <v>16.75</v>
      </c>
      <c r="AF12" s="856"/>
      <c r="AG12" s="855">
        <v>170000</v>
      </c>
      <c r="AH12" s="857">
        <f t="shared" si="25"/>
        <v>2847500</v>
      </c>
      <c r="AI12" s="858"/>
      <c r="AJ12" s="849">
        <f>SUMIF($A:$A,A12,$AE:$AE)</f>
        <v>16.75</v>
      </c>
      <c r="AK12" s="849">
        <f>SUMIF($A:$A,A12,$AF:$AF)</f>
        <v>0</v>
      </c>
      <c r="AL12" s="859"/>
      <c r="AM12" s="858"/>
      <c r="AN12" s="860"/>
      <c r="AO12" s="848"/>
      <c r="AP12" s="861"/>
    </row>
    <row r="13" spans="1:42" s="862" customFormat="1" ht="51.75" customHeight="1">
      <c r="A13" s="840">
        <v>6</v>
      </c>
      <c r="B13" s="841" t="s">
        <v>2477</v>
      </c>
      <c r="C13" s="842" t="s">
        <v>2467</v>
      </c>
      <c r="D13" s="868">
        <v>545</v>
      </c>
      <c r="E13" s="844"/>
      <c r="F13" s="869"/>
      <c r="G13" s="844"/>
      <c r="H13" s="869"/>
      <c r="I13" s="844"/>
      <c r="J13" s="870"/>
      <c r="K13" s="844"/>
      <c r="L13" s="870"/>
      <c r="M13" s="844"/>
      <c r="N13" s="846">
        <f t="shared" si="24"/>
        <v>545</v>
      </c>
      <c r="O13" s="846">
        <f t="shared" si="22"/>
        <v>0</v>
      </c>
      <c r="P13" s="871"/>
      <c r="Q13" s="848"/>
      <c r="R13" s="849"/>
      <c r="S13" s="849"/>
      <c r="T13" s="850"/>
      <c r="U13" s="850"/>
      <c r="V13" s="849">
        <f t="shared" si="23"/>
        <v>545</v>
      </c>
      <c r="W13" s="849" t="str">
        <f t="shared" si="23"/>
        <v>0</v>
      </c>
      <c r="X13" s="852" t="s">
        <v>2478</v>
      </c>
      <c r="Y13" s="852" t="s">
        <v>2469</v>
      </c>
      <c r="Z13" s="852" t="s">
        <v>2234</v>
      </c>
      <c r="AA13" s="867"/>
      <c r="AB13" s="860"/>
      <c r="AC13" s="855">
        <v>549</v>
      </c>
      <c r="AD13" s="852">
        <v>45888</v>
      </c>
      <c r="AE13" s="855">
        <f>40.5+121.5+387</f>
        <v>549</v>
      </c>
      <c r="AF13" s="856"/>
      <c r="AG13" s="855">
        <v>360000</v>
      </c>
      <c r="AH13" s="857">
        <f t="shared" si="25"/>
        <v>197640000</v>
      </c>
      <c r="AI13" s="858"/>
      <c r="AJ13" s="849">
        <f>SUMIF($A:$A,A20,$AE:$AE)</f>
        <v>6.5</v>
      </c>
      <c r="AK13" s="849">
        <f>SUMIF($A:$A,A20,$AF:$AF)</f>
        <v>0</v>
      </c>
      <c r="AL13" s="859"/>
      <c r="AM13" s="858"/>
      <c r="AN13" s="860"/>
      <c r="AO13" s="848"/>
      <c r="AP13" s="861"/>
    </row>
    <row r="14" spans="1:42" s="862" customFormat="1" ht="51.75" customHeight="1">
      <c r="A14" s="840">
        <v>7</v>
      </c>
      <c r="B14" s="841" t="s">
        <v>2479</v>
      </c>
      <c r="C14" s="842" t="s">
        <v>2467</v>
      </c>
      <c r="D14" s="868">
        <v>165</v>
      </c>
      <c r="E14" s="844"/>
      <c r="F14" s="869">
        <v>65</v>
      </c>
      <c r="G14" s="844"/>
      <c r="H14" s="869"/>
      <c r="I14" s="844"/>
      <c r="J14" s="870"/>
      <c r="K14" s="844"/>
      <c r="L14" s="870"/>
      <c r="M14" s="844"/>
      <c r="N14" s="846">
        <f t="shared" si="24"/>
        <v>230</v>
      </c>
      <c r="O14" s="846">
        <f t="shared" si="22"/>
        <v>0</v>
      </c>
      <c r="P14" s="842"/>
      <c r="Q14" s="848"/>
      <c r="R14" s="849"/>
      <c r="S14" s="849"/>
      <c r="T14" s="850"/>
      <c r="U14" s="850"/>
      <c r="V14" s="849">
        <f t="shared" si="23"/>
        <v>230</v>
      </c>
      <c r="W14" s="849" t="str">
        <f t="shared" si="23"/>
        <v>0</v>
      </c>
      <c r="X14" s="852" t="s">
        <v>2480</v>
      </c>
      <c r="Y14" s="852" t="s">
        <v>2469</v>
      </c>
      <c r="Z14" s="852" t="s">
        <v>2234</v>
      </c>
      <c r="AA14" s="872"/>
      <c r="AB14" s="854"/>
      <c r="AC14" s="855">
        <v>230</v>
      </c>
      <c r="AD14" s="852">
        <v>45888</v>
      </c>
      <c r="AE14" s="855">
        <f>60+160+10</f>
        <v>230</v>
      </c>
      <c r="AF14" s="856"/>
      <c r="AG14" s="855">
        <v>60000</v>
      </c>
      <c r="AH14" s="857">
        <f t="shared" si="25"/>
        <v>13800000</v>
      </c>
      <c r="AI14" s="858"/>
      <c r="AJ14" s="849">
        <f>SUMIF($A:$A,A21,$AE:$AE)</f>
        <v>209.59</v>
      </c>
      <c r="AK14" s="849">
        <f>SUMIF($A:$A,A21,$AF:$AF)</f>
        <v>0</v>
      </c>
      <c r="AL14" s="859"/>
      <c r="AM14" s="858"/>
      <c r="AN14" s="860"/>
      <c r="AO14" s="848"/>
      <c r="AP14" s="861"/>
    </row>
    <row r="15" spans="1:42" s="862" customFormat="1" ht="30" customHeight="1">
      <c r="A15" s="840">
        <v>8</v>
      </c>
      <c r="B15" s="841" t="s">
        <v>2481</v>
      </c>
      <c r="C15" s="842" t="s">
        <v>2467</v>
      </c>
      <c r="D15" s="868">
        <v>820</v>
      </c>
      <c r="E15" s="844"/>
      <c r="F15" s="869"/>
      <c r="G15" s="844"/>
      <c r="H15" s="869"/>
      <c r="I15" s="844"/>
      <c r="J15" s="870"/>
      <c r="K15" s="844"/>
      <c r="L15" s="870"/>
      <c r="M15" s="844"/>
      <c r="N15" s="846">
        <f t="shared" si="24"/>
        <v>820</v>
      </c>
      <c r="O15" s="846">
        <f t="shared" si="22"/>
        <v>0</v>
      </c>
      <c r="P15" s="873"/>
      <c r="Q15" s="848"/>
      <c r="R15" s="849"/>
      <c r="S15" s="849"/>
      <c r="T15" s="850"/>
      <c r="U15" s="850"/>
      <c r="V15" s="849">
        <f t="shared" si="23"/>
        <v>820</v>
      </c>
      <c r="W15" s="849" t="str">
        <f t="shared" si="23"/>
        <v>0</v>
      </c>
      <c r="X15" s="852" t="s">
        <v>2478</v>
      </c>
      <c r="Y15" s="852" t="s">
        <v>2469</v>
      </c>
      <c r="Z15" s="852" t="s">
        <v>2234</v>
      </c>
      <c r="AA15" s="872"/>
      <c r="AB15" s="854"/>
      <c r="AC15" s="855">
        <v>820</v>
      </c>
      <c r="AD15" s="852">
        <v>45888</v>
      </c>
      <c r="AE15" s="855">
        <f>40+160+620</f>
        <v>820</v>
      </c>
      <c r="AF15" s="856"/>
      <c r="AG15" s="855">
        <v>125000</v>
      </c>
      <c r="AH15" s="857">
        <f t="shared" si="25"/>
        <v>102500000</v>
      </c>
      <c r="AI15" s="858"/>
      <c r="AJ15" s="849">
        <f>SUMIF($A:$A,A22,$AE:$AE)</f>
        <v>0</v>
      </c>
      <c r="AK15" s="849">
        <f>SUMIF($A:$A,A22,$AF:$AF)</f>
        <v>0</v>
      </c>
      <c r="AL15" s="848"/>
      <c r="AM15" s="874"/>
      <c r="AN15" s="860"/>
      <c r="AO15" s="848"/>
      <c r="AP15" s="861"/>
    </row>
    <row r="16" spans="1:42" s="862" customFormat="1" ht="49" customHeight="1">
      <c r="A16" s="840">
        <v>9</v>
      </c>
      <c r="B16" s="841" t="s">
        <v>2482</v>
      </c>
      <c r="C16" s="842" t="s">
        <v>2467</v>
      </c>
      <c r="D16" s="868">
        <v>530</v>
      </c>
      <c r="E16" s="844"/>
      <c r="F16" s="869">
        <v>635</v>
      </c>
      <c r="G16" s="844"/>
      <c r="H16" s="869"/>
      <c r="I16" s="844"/>
      <c r="J16" s="844"/>
      <c r="K16" s="844"/>
      <c r="L16" s="844"/>
      <c r="M16" s="844"/>
      <c r="N16" s="846">
        <f t="shared" si="24"/>
        <v>1165</v>
      </c>
      <c r="O16" s="846">
        <f t="shared" si="22"/>
        <v>0</v>
      </c>
      <c r="P16" s="873"/>
      <c r="Q16" s="848"/>
      <c r="R16" s="849"/>
      <c r="S16" s="849"/>
      <c r="T16" s="858"/>
      <c r="U16" s="850"/>
      <c r="V16" s="849">
        <f t="shared" si="23"/>
        <v>1165</v>
      </c>
      <c r="W16" s="849" t="str">
        <f t="shared" si="23"/>
        <v>0</v>
      </c>
      <c r="X16" s="852" t="s">
        <v>2483</v>
      </c>
      <c r="Y16" s="852" t="s">
        <v>2469</v>
      </c>
      <c r="Z16" s="852" t="s">
        <v>2234</v>
      </c>
      <c r="AA16" s="872"/>
      <c r="AB16" s="854"/>
      <c r="AC16" s="855">
        <v>1180</v>
      </c>
      <c r="AD16" s="852">
        <v>45888</v>
      </c>
      <c r="AE16" s="855">
        <f>145.6+14.4+600</f>
        <v>760</v>
      </c>
      <c r="AF16" s="856"/>
      <c r="AG16" s="855">
        <v>220000</v>
      </c>
      <c r="AH16" s="857">
        <f t="shared" si="25"/>
        <v>167200000</v>
      </c>
      <c r="AI16" s="858"/>
      <c r="AJ16" s="849">
        <f>SUMIF($A:$A,A23,$AE:$AE)</f>
        <v>0</v>
      </c>
      <c r="AK16" s="849">
        <f>SUMIF($A:$A,A23,$AF:$AF)</f>
        <v>0</v>
      </c>
      <c r="AL16" s="859"/>
      <c r="AM16" s="858"/>
      <c r="AN16" s="860"/>
      <c r="AO16" s="848"/>
      <c r="AP16" s="861"/>
    </row>
    <row r="17" spans="1:42" s="862" customFormat="1" ht="49" customHeight="1">
      <c r="A17" s="840">
        <v>10</v>
      </c>
      <c r="B17" s="841" t="s">
        <v>2484</v>
      </c>
      <c r="C17" s="842" t="s">
        <v>2467</v>
      </c>
      <c r="D17" s="868"/>
      <c r="E17" s="844"/>
      <c r="F17" s="869">
        <v>540</v>
      </c>
      <c r="G17" s="844"/>
      <c r="H17" s="869"/>
      <c r="I17" s="844"/>
      <c r="J17" s="844"/>
      <c r="K17" s="844"/>
      <c r="L17" s="844"/>
      <c r="M17" s="844"/>
      <c r="N17" s="846">
        <f t="shared" si="24"/>
        <v>540</v>
      </c>
      <c r="O17" s="846"/>
      <c r="P17" s="875"/>
      <c r="Q17" s="848"/>
      <c r="R17" s="849"/>
      <c r="S17" s="849"/>
      <c r="T17" s="858"/>
      <c r="U17" s="850"/>
      <c r="V17" s="849">
        <f t="shared" si="23"/>
        <v>540</v>
      </c>
      <c r="W17" s="849"/>
      <c r="X17" s="852">
        <v>45903</v>
      </c>
      <c r="Y17" s="852" t="s">
        <v>2469</v>
      </c>
      <c r="Z17" s="852" t="s">
        <v>2234</v>
      </c>
      <c r="AA17" s="872"/>
      <c r="AB17" s="854"/>
      <c r="AC17" s="876">
        <v>540</v>
      </c>
      <c r="AD17" s="852">
        <v>45888</v>
      </c>
      <c r="AE17" s="855">
        <v>540</v>
      </c>
      <c r="AF17" s="856"/>
      <c r="AG17" s="855">
        <v>125000</v>
      </c>
      <c r="AH17" s="857">
        <f t="shared" si="25"/>
        <v>67500000</v>
      </c>
      <c r="AI17" s="858"/>
      <c r="AJ17" s="849"/>
      <c r="AK17" s="849"/>
      <c r="AL17" s="859"/>
      <c r="AM17" s="858"/>
      <c r="AN17" s="860"/>
      <c r="AO17" s="848"/>
      <c r="AP17" s="861"/>
    </row>
    <row r="18" spans="1:42" s="862" customFormat="1" ht="41.15" customHeight="1">
      <c r="A18" s="840">
        <v>11</v>
      </c>
      <c r="B18" s="841" t="s">
        <v>2485</v>
      </c>
      <c r="C18" s="842" t="s">
        <v>2467</v>
      </c>
      <c r="D18" s="868">
        <v>510</v>
      </c>
      <c r="E18" s="844"/>
      <c r="F18" s="869"/>
      <c r="G18" s="844"/>
      <c r="H18" s="869"/>
      <c r="I18" s="844"/>
      <c r="J18" s="844"/>
      <c r="K18" s="844"/>
      <c r="L18" s="844"/>
      <c r="M18" s="844"/>
      <c r="N18" s="846">
        <f t="shared" si="24"/>
        <v>510</v>
      </c>
      <c r="O18" s="846">
        <f t="shared" si="22"/>
        <v>0</v>
      </c>
      <c r="P18" s="877"/>
      <c r="Q18" s="848"/>
      <c r="R18" s="849"/>
      <c r="S18" s="849"/>
      <c r="T18" s="850"/>
      <c r="U18" s="850"/>
      <c r="V18" s="849">
        <f t="shared" si="23"/>
        <v>510</v>
      </c>
      <c r="W18" s="849" t="str">
        <f t="shared" si="23"/>
        <v>0</v>
      </c>
      <c r="X18" s="852" t="s">
        <v>2486</v>
      </c>
      <c r="Y18" s="852" t="s">
        <v>2469</v>
      </c>
      <c r="Z18" s="852" t="s">
        <v>2234</v>
      </c>
      <c r="AA18" s="872"/>
      <c r="AB18" s="854"/>
      <c r="AC18" s="876">
        <v>528.08000000000004</v>
      </c>
      <c r="AD18" s="852">
        <v>45888</v>
      </c>
      <c r="AE18" s="855">
        <f>150.88+282.9+94.3</f>
        <v>528.07999999999993</v>
      </c>
      <c r="AF18" s="856"/>
      <c r="AG18" s="855">
        <v>170000</v>
      </c>
      <c r="AH18" s="857">
        <f t="shared" si="25"/>
        <v>89773599.999999985</v>
      </c>
      <c r="AI18" s="858"/>
      <c r="AJ18" s="849">
        <f t="shared" ref="AJ18:AJ33" si="26">SUMIF($A:$A,A24,$AE:$AE)</f>
        <v>0</v>
      </c>
      <c r="AK18" s="849">
        <f t="shared" ref="AK18:AK33" si="27">SUMIF($A:$A,A24,$AF:$AF)</f>
        <v>0</v>
      </c>
      <c r="AL18" s="859"/>
      <c r="AM18" s="858"/>
      <c r="AN18" s="860"/>
      <c r="AO18" s="848"/>
      <c r="AP18" s="861"/>
    </row>
    <row r="19" spans="1:42" s="862" customFormat="1" ht="30" customHeight="1">
      <c r="A19" s="840">
        <v>12</v>
      </c>
      <c r="B19" s="841" t="s">
        <v>2487</v>
      </c>
      <c r="C19" s="842" t="s">
        <v>2467</v>
      </c>
      <c r="D19" s="878">
        <v>80</v>
      </c>
      <c r="E19" s="879"/>
      <c r="F19" s="880"/>
      <c r="G19" s="879"/>
      <c r="H19" s="880"/>
      <c r="I19" s="879"/>
      <c r="J19" s="879"/>
      <c r="K19" s="879"/>
      <c r="L19" s="879"/>
      <c r="M19" s="879"/>
      <c r="N19" s="846">
        <f t="shared" si="24"/>
        <v>80</v>
      </c>
      <c r="O19" s="846">
        <f t="shared" si="22"/>
        <v>0</v>
      </c>
      <c r="P19" s="881"/>
      <c r="Q19" s="848"/>
      <c r="R19" s="849"/>
      <c r="S19" s="849"/>
      <c r="T19" s="858"/>
      <c r="U19" s="850"/>
      <c r="V19" s="849">
        <f t="shared" si="23"/>
        <v>80</v>
      </c>
      <c r="W19" s="849" t="str">
        <f t="shared" si="23"/>
        <v>0</v>
      </c>
      <c r="X19" s="852" t="s">
        <v>2488</v>
      </c>
      <c r="Y19" s="852" t="s">
        <v>2469</v>
      </c>
      <c r="Z19" s="852" t="s">
        <v>2234</v>
      </c>
      <c r="AA19" s="882"/>
      <c r="AB19" s="854"/>
      <c r="AC19" s="876">
        <v>80</v>
      </c>
      <c r="AD19" s="852">
        <v>45888</v>
      </c>
      <c r="AE19" s="855">
        <f>40+40</f>
        <v>80</v>
      </c>
      <c r="AF19" s="856"/>
      <c r="AG19" s="855">
        <v>55000</v>
      </c>
      <c r="AH19" s="857">
        <f t="shared" si="25"/>
        <v>4400000</v>
      </c>
      <c r="AI19" s="858"/>
      <c r="AJ19" s="849">
        <f t="shared" si="26"/>
        <v>0</v>
      </c>
      <c r="AK19" s="849">
        <f t="shared" si="27"/>
        <v>0</v>
      </c>
      <c r="AL19" s="859"/>
      <c r="AM19" s="858"/>
      <c r="AN19" s="860"/>
      <c r="AO19" s="848"/>
      <c r="AP19" s="861"/>
    </row>
    <row r="20" spans="1:42" s="900" customFormat="1" ht="30" customHeight="1">
      <c r="A20" s="840">
        <v>13</v>
      </c>
      <c r="B20" s="841" t="s">
        <v>2489</v>
      </c>
      <c r="C20" s="883" t="s">
        <v>2490</v>
      </c>
      <c r="D20" s="884"/>
      <c r="E20" s="885"/>
      <c r="F20" s="885">
        <v>5</v>
      </c>
      <c r="G20" s="885"/>
      <c r="H20" s="886">
        <v>2</v>
      </c>
      <c r="I20" s="885"/>
      <c r="J20" s="885"/>
      <c r="K20" s="885"/>
      <c r="L20" s="885"/>
      <c r="M20" s="885"/>
      <c r="N20" s="846">
        <f t="shared" si="24"/>
        <v>7</v>
      </c>
      <c r="O20" s="887">
        <f t="shared" si="22"/>
        <v>0</v>
      </c>
      <c r="P20" s="888"/>
      <c r="Q20" s="889"/>
      <c r="R20" s="890"/>
      <c r="S20" s="890"/>
      <c r="T20" s="891"/>
      <c r="U20" s="891"/>
      <c r="V20" s="890">
        <f t="shared" si="23"/>
        <v>7</v>
      </c>
      <c r="W20" s="890" t="str">
        <f t="shared" si="23"/>
        <v>0</v>
      </c>
      <c r="X20" s="892">
        <v>45913</v>
      </c>
      <c r="Y20" s="892"/>
      <c r="Z20" s="892" t="s">
        <v>2225</v>
      </c>
      <c r="AA20" s="872" t="s">
        <v>1940</v>
      </c>
      <c r="AB20" s="842"/>
      <c r="AC20" s="893">
        <v>1</v>
      </c>
      <c r="AD20" s="892">
        <v>45915</v>
      </c>
      <c r="AE20" s="894">
        <f>1+3.5+2</f>
        <v>6.5</v>
      </c>
      <c r="AF20" s="893"/>
      <c r="AG20" s="895">
        <v>8800000</v>
      </c>
      <c r="AH20" s="857">
        <f t="shared" si="25"/>
        <v>57200000</v>
      </c>
      <c r="AI20" s="896"/>
      <c r="AJ20" s="890">
        <f t="shared" si="26"/>
        <v>0</v>
      </c>
      <c r="AK20" s="890">
        <f t="shared" si="27"/>
        <v>0</v>
      </c>
      <c r="AL20" s="897"/>
      <c r="AM20" s="896"/>
      <c r="AN20" s="898"/>
      <c r="AO20" s="889"/>
      <c r="AP20" s="899"/>
    </row>
    <row r="21" spans="1:42" s="900" customFormat="1" ht="30" customHeight="1">
      <c r="A21" s="840">
        <v>14</v>
      </c>
      <c r="B21" s="901" t="s">
        <v>2491</v>
      </c>
      <c r="C21" s="883"/>
      <c r="D21" s="902"/>
      <c r="E21" s="885"/>
      <c r="F21" s="885"/>
      <c r="G21" s="885"/>
      <c r="H21" s="842">
        <v>210</v>
      </c>
      <c r="I21" s="885"/>
      <c r="J21" s="885"/>
      <c r="K21" s="885"/>
      <c r="L21" s="885"/>
      <c r="M21" s="885"/>
      <c r="N21" s="846">
        <f t="shared" si="24"/>
        <v>210</v>
      </c>
      <c r="O21" s="887">
        <f t="shared" si="22"/>
        <v>0</v>
      </c>
      <c r="P21" s="888"/>
      <c r="Q21" s="889"/>
      <c r="R21" s="890"/>
      <c r="S21" s="890"/>
      <c r="T21" s="903"/>
      <c r="U21" s="891"/>
      <c r="V21" s="890">
        <f t="shared" si="23"/>
        <v>210</v>
      </c>
      <c r="W21" s="890" t="str">
        <f t="shared" si="23"/>
        <v>0</v>
      </c>
      <c r="X21" s="892">
        <v>45976</v>
      </c>
      <c r="Y21" s="852" t="s">
        <v>2492</v>
      </c>
      <c r="Z21" s="852" t="s">
        <v>2234</v>
      </c>
      <c r="AA21" s="872" t="s">
        <v>1940</v>
      </c>
      <c r="AB21" s="842"/>
      <c r="AC21" s="893">
        <v>209.59</v>
      </c>
      <c r="AD21" s="892">
        <v>45915</v>
      </c>
      <c r="AE21" s="894">
        <v>209.59</v>
      </c>
      <c r="AF21" s="893"/>
      <c r="AG21" s="895">
        <v>310000</v>
      </c>
      <c r="AH21" s="857">
        <f t="shared" si="25"/>
        <v>64972900</v>
      </c>
      <c r="AI21" s="896"/>
      <c r="AJ21" s="890">
        <f t="shared" si="26"/>
        <v>0</v>
      </c>
      <c r="AK21" s="890">
        <f t="shared" si="27"/>
        <v>0</v>
      </c>
      <c r="AL21" s="897"/>
      <c r="AM21" s="896"/>
      <c r="AN21" s="898"/>
      <c r="AO21" s="889"/>
      <c r="AP21" s="899"/>
    </row>
    <row r="22" spans="1:42" s="900" customFormat="1" ht="43.5" customHeight="1">
      <c r="A22" s="840"/>
      <c r="B22" s="904" t="s">
        <v>2493</v>
      </c>
      <c r="C22" s="883"/>
      <c r="D22" s="902"/>
      <c r="E22" s="885"/>
      <c r="F22" s="885"/>
      <c r="G22" s="885"/>
      <c r="H22" s="885"/>
      <c r="I22" s="885"/>
      <c r="J22" s="885">
        <v>1000</v>
      </c>
      <c r="K22" s="885"/>
      <c r="L22" s="885"/>
      <c r="M22" s="885"/>
      <c r="N22" s="846">
        <f t="shared" si="24"/>
        <v>1000</v>
      </c>
      <c r="O22" s="887">
        <f t="shared" si="22"/>
        <v>0</v>
      </c>
      <c r="P22" s="888"/>
      <c r="Q22" s="889"/>
      <c r="R22" s="890"/>
      <c r="S22" s="890"/>
      <c r="T22" s="905"/>
      <c r="U22" s="905"/>
      <c r="V22" s="890">
        <f t="shared" si="23"/>
        <v>1000</v>
      </c>
      <c r="W22" s="890" t="str">
        <f t="shared" si="23"/>
        <v>0</v>
      </c>
      <c r="X22" s="892"/>
      <c r="Y22" s="892"/>
      <c r="Z22" s="892"/>
      <c r="AA22" s="872" t="s">
        <v>1940</v>
      </c>
      <c r="AB22" s="842"/>
      <c r="AC22" s="893"/>
      <c r="AD22" s="892"/>
      <c r="AE22" s="894"/>
      <c r="AF22" s="893"/>
      <c r="AG22" s="895"/>
      <c r="AH22" s="857"/>
      <c r="AI22" s="896"/>
      <c r="AJ22" s="890">
        <f t="shared" si="26"/>
        <v>0</v>
      </c>
      <c r="AK22" s="890">
        <f t="shared" si="27"/>
        <v>0</v>
      </c>
      <c r="AL22" s="897"/>
      <c r="AM22" s="896"/>
      <c r="AN22" s="898"/>
      <c r="AO22" s="889"/>
      <c r="AP22" s="899"/>
    </row>
    <row r="23" spans="1:42" s="900" customFormat="1" ht="30" customHeight="1">
      <c r="A23" s="840"/>
      <c r="B23" s="904"/>
      <c r="C23" s="883"/>
      <c r="D23" s="902"/>
      <c r="E23" s="885"/>
      <c r="F23" s="885"/>
      <c r="G23" s="885"/>
      <c r="H23" s="885"/>
      <c r="I23" s="885"/>
      <c r="J23" s="885"/>
      <c r="K23" s="885"/>
      <c r="L23" s="885"/>
      <c r="M23" s="885"/>
      <c r="N23" s="846">
        <f t="shared" ref="N23:N31" si="28">+D23+F23+H23+L23</f>
        <v>0</v>
      </c>
      <c r="O23" s="887">
        <f t="shared" si="22"/>
        <v>0</v>
      </c>
      <c r="P23" s="888"/>
      <c r="Q23" s="889"/>
      <c r="R23" s="887"/>
      <c r="S23" s="887"/>
      <c r="T23" s="889"/>
      <c r="U23" s="905"/>
      <c r="V23" s="890" t="str">
        <f t="shared" si="23"/>
        <v>0</v>
      </c>
      <c r="W23" s="890" t="str">
        <f t="shared" si="23"/>
        <v>0</v>
      </c>
      <c r="X23" s="892"/>
      <c r="Y23" s="892"/>
      <c r="Z23" s="892"/>
      <c r="AA23" s="872" t="s">
        <v>1940</v>
      </c>
      <c r="AB23" s="889"/>
      <c r="AC23" s="889"/>
      <c r="AD23" s="892"/>
      <c r="AE23" s="890"/>
      <c r="AF23" s="890"/>
      <c r="AG23" s="887"/>
      <c r="AH23" s="857"/>
      <c r="AI23" s="896"/>
      <c r="AJ23" s="890">
        <f t="shared" si="26"/>
        <v>0</v>
      </c>
      <c r="AK23" s="890">
        <f t="shared" si="27"/>
        <v>0</v>
      </c>
      <c r="AL23" s="897"/>
      <c r="AM23" s="903"/>
      <c r="AN23" s="898"/>
      <c r="AO23" s="889"/>
      <c r="AP23" s="899"/>
    </row>
    <row r="24" spans="1:42" s="900" customFormat="1" ht="30" customHeight="1">
      <c r="A24" s="840"/>
      <c r="B24" s="904"/>
      <c r="C24" s="883"/>
      <c r="D24" s="902"/>
      <c r="E24" s="885"/>
      <c r="F24" s="885"/>
      <c r="G24" s="885"/>
      <c r="H24" s="885"/>
      <c r="I24" s="885"/>
      <c r="J24" s="885"/>
      <c r="K24" s="885"/>
      <c r="L24" s="885"/>
      <c r="M24" s="885"/>
      <c r="N24" s="846">
        <f t="shared" si="28"/>
        <v>0</v>
      </c>
      <c r="O24" s="887">
        <f t="shared" si="22"/>
        <v>0</v>
      </c>
      <c r="P24" s="888"/>
      <c r="Q24" s="889"/>
      <c r="R24" s="890"/>
      <c r="S24" s="890"/>
      <c r="T24" s="889"/>
      <c r="U24" s="905"/>
      <c r="V24" s="890" t="str">
        <f t="shared" si="23"/>
        <v>0</v>
      </c>
      <c r="W24" s="890" t="str">
        <f t="shared" si="23"/>
        <v>0</v>
      </c>
      <c r="X24" s="892"/>
      <c r="Y24" s="892"/>
      <c r="Z24" s="892"/>
      <c r="AA24" s="872" t="s">
        <v>1940</v>
      </c>
      <c r="AB24" s="842"/>
      <c r="AC24" s="893"/>
      <c r="AD24" s="892"/>
      <c r="AE24" s="890"/>
      <c r="AF24" s="893"/>
      <c r="AG24" s="895"/>
      <c r="AH24" s="857"/>
      <c r="AI24" s="896"/>
      <c r="AJ24" s="890">
        <f t="shared" si="26"/>
        <v>0</v>
      </c>
      <c r="AK24" s="890">
        <f t="shared" si="27"/>
        <v>0</v>
      </c>
      <c r="AL24" s="897"/>
      <c r="AM24" s="896"/>
      <c r="AN24" s="898"/>
      <c r="AO24" s="889"/>
      <c r="AP24" s="899"/>
    </row>
    <row r="25" spans="1:42" s="900" customFormat="1" ht="30" customHeight="1">
      <c r="A25" s="840"/>
      <c r="B25" s="904"/>
      <c r="C25" s="883"/>
      <c r="D25" s="902"/>
      <c r="E25" s="885"/>
      <c r="F25" s="885"/>
      <c r="G25" s="885"/>
      <c r="H25" s="885"/>
      <c r="I25" s="885"/>
      <c r="J25" s="885"/>
      <c r="K25" s="885"/>
      <c r="L25" s="885"/>
      <c r="M25" s="885"/>
      <c r="N25" s="846">
        <f t="shared" si="28"/>
        <v>0</v>
      </c>
      <c r="O25" s="887">
        <f t="shared" si="22"/>
        <v>0</v>
      </c>
      <c r="P25" s="888"/>
      <c r="Q25" s="889"/>
      <c r="R25" s="890"/>
      <c r="S25" s="890"/>
      <c r="T25" s="889"/>
      <c r="U25" s="905"/>
      <c r="V25" s="890" t="str">
        <f t="shared" si="23"/>
        <v>0</v>
      </c>
      <c r="W25" s="890" t="str">
        <f t="shared" si="23"/>
        <v>0</v>
      </c>
      <c r="X25" s="892"/>
      <c r="Y25" s="892"/>
      <c r="Z25" s="892"/>
      <c r="AA25" s="906" t="s">
        <v>1940</v>
      </c>
      <c r="AB25" s="889"/>
      <c r="AC25" s="890"/>
      <c r="AD25" s="892"/>
      <c r="AE25" s="890"/>
      <c r="AF25" s="890"/>
      <c r="AG25" s="887"/>
      <c r="AH25" s="857"/>
      <c r="AI25" s="896"/>
      <c r="AJ25" s="890">
        <f t="shared" si="26"/>
        <v>0</v>
      </c>
      <c r="AK25" s="890">
        <f t="shared" si="27"/>
        <v>0</v>
      </c>
      <c r="AL25" s="897"/>
      <c r="AM25" s="896"/>
      <c r="AN25" s="898"/>
      <c r="AO25" s="889"/>
      <c r="AP25" s="899"/>
    </row>
    <row r="26" spans="1:42" s="900" customFormat="1" ht="30" customHeight="1">
      <c r="A26" s="840"/>
      <c r="B26" s="904"/>
      <c r="C26" s="883"/>
      <c r="D26" s="902"/>
      <c r="E26" s="885"/>
      <c r="F26" s="885"/>
      <c r="G26" s="885"/>
      <c r="H26" s="885"/>
      <c r="I26" s="885"/>
      <c r="J26" s="885"/>
      <c r="K26" s="885"/>
      <c r="L26" s="885"/>
      <c r="M26" s="885"/>
      <c r="N26" s="846">
        <f t="shared" si="28"/>
        <v>0</v>
      </c>
      <c r="O26" s="887">
        <f t="shared" si="22"/>
        <v>0</v>
      </c>
      <c r="P26" s="907"/>
      <c r="Q26" s="889"/>
      <c r="R26" s="890"/>
      <c r="S26" s="890"/>
      <c r="T26" s="889"/>
      <c r="U26" s="889"/>
      <c r="V26" s="890" t="str">
        <f t="shared" si="23"/>
        <v>0</v>
      </c>
      <c r="W26" s="890" t="str">
        <f t="shared" si="23"/>
        <v>0</v>
      </c>
      <c r="X26" s="892"/>
      <c r="Y26" s="892"/>
      <c r="Z26" s="892"/>
      <c r="AA26" s="872" t="s">
        <v>1940</v>
      </c>
      <c r="AB26" s="842"/>
      <c r="AC26" s="893"/>
      <c r="AD26" s="892"/>
      <c r="AE26" s="894"/>
      <c r="AF26" s="893"/>
      <c r="AG26" s="895"/>
      <c r="AH26" s="857"/>
      <c r="AI26" s="896"/>
      <c r="AJ26" s="890">
        <f t="shared" si="26"/>
        <v>0</v>
      </c>
      <c r="AK26" s="890">
        <f t="shared" si="27"/>
        <v>0</v>
      </c>
      <c r="AL26" s="897"/>
      <c r="AM26" s="896"/>
      <c r="AN26" s="898"/>
      <c r="AO26" s="889"/>
      <c r="AP26" s="899"/>
    </row>
    <row r="27" spans="1:42" s="900" customFormat="1" ht="35.5" customHeight="1">
      <c r="A27" s="908"/>
      <c r="B27" s="904"/>
      <c r="C27" s="883"/>
      <c r="D27" s="902"/>
      <c r="E27" s="885"/>
      <c r="F27" s="885"/>
      <c r="G27" s="885"/>
      <c r="H27" s="885"/>
      <c r="I27" s="885"/>
      <c r="J27" s="885"/>
      <c r="K27" s="885"/>
      <c r="L27" s="885"/>
      <c r="M27" s="885"/>
      <c r="N27" s="846">
        <f t="shared" si="28"/>
        <v>0</v>
      </c>
      <c r="O27" s="887">
        <f t="shared" si="22"/>
        <v>0</v>
      </c>
      <c r="P27" s="907"/>
      <c r="Q27" s="889"/>
      <c r="R27" s="890"/>
      <c r="S27" s="890"/>
      <c r="T27" s="889"/>
      <c r="U27" s="889"/>
      <c r="V27" s="890" t="str">
        <f t="shared" si="23"/>
        <v>0</v>
      </c>
      <c r="W27" s="890" t="str">
        <f t="shared" si="23"/>
        <v>0</v>
      </c>
      <c r="X27" s="892"/>
      <c r="Y27" s="892"/>
      <c r="Z27" s="892"/>
      <c r="AA27" s="872" t="s">
        <v>1940</v>
      </c>
      <c r="AB27" s="898"/>
      <c r="AC27" s="909"/>
      <c r="AD27" s="892"/>
      <c r="AE27" s="890"/>
      <c r="AF27" s="909"/>
      <c r="AG27" s="910"/>
      <c r="AH27" s="857"/>
      <c r="AI27" s="896"/>
      <c r="AJ27" s="890">
        <f t="shared" si="26"/>
        <v>0</v>
      </c>
      <c r="AK27" s="890">
        <f t="shared" si="27"/>
        <v>0</v>
      </c>
      <c r="AL27" s="897"/>
      <c r="AM27" s="896"/>
      <c r="AN27" s="898"/>
      <c r="AO27" s="889"/>
      <c r="AP27" s="899"/>
    </row>
    <row r="28" spans="1:42" s="900" customFormat="1" ht="30" customHeight="1">
      <c r="A28" s="908"/>
      <c r="B28" s="911"/>
      <c r="C28" s="883"/>
      <c r="D28" s="902"/>
      <c r="E28" s="885"/>
      <c r="F28" s="885"/>
      <c r="G28" s="885"/>
      <c r="H28" s="885"/>
      <c r="I28" s="885"/>
      <c r="J28" s="885"/>
      <c r="K28" s="885"/>
      <c r="L28" s="885"/>
      <c r="M28" s="885"/>
      <c r="N28" s="846">
        <f t="shared" si="28"/>
        <v>0</v>
      </c>
      <c r="O28" s="887">
        <f t="shared" si="22"/>
        <v>0</v>
      </c>
      <c r="P28" s="907"/>
      <c r="Q28" s="889"/>
      <c r="R28" s="890"/>
      <c r="S28" s="890"/>
      <c r="T28" s="889"/>
      <c r="U28" s="889"/>
      <c r="V28" s="890" t="str">
        <f t="shared" si="23"/>
        <v>0</v>
      </c>
      <c r="W28" s="890" t="str">
        <f t="shared" si="23"/>
        <v>0</v>
      </c>
      <c r="X28" s="892"/>
      <c r="Y28" s="892"/>
      <c r="Z28" s="892"/>
      <c r="AA28" s="872" t="s">
        <v>1940</v>
      </c>
      <c r="AB28" s="898"/>
      <c r="AC28" s="912"/>
      <c r="AD28" s="912"/>
      <c r="AE28" s="897"/>
      <c r="AF28" s="912"/>
      <c r="AG28" s="910"/>
      <c r="AH28" s="857"/>
      <c r="AI28" s="896"/>
      <c r="AJ28" s="890">
        <f t="shared" si="26"/>
        <v>0</v>
      </c>
      <c r="AK28" s="890">
        <f t="shared" si="27"/>
        <v>0</v>
      </c>
      <c r="AL28" s="897"/>
      <c r="AM28" s="896"/>
      <c r="AN28" s="898"/>
      <c r="AO28" s="889"/>
      <c r="AP28" s="899"/>
    </row>
    <row r="29" spans="1:42" s="900" customFormat="1" ht="42.65" customHeight="1">
      <c r="A29" s="908"/>
      <c r="B29" s="904"/>
      <c r="C29" s="883"/>
      <c r="D29" s="902"/>
      <c r="E29" s="885"/>
      <c r="F29" s="885"/>
      <c r="G29" s="885"/>
      <c r="H29" s="885"/>
      <c r="I29" s="885"/>
      <c r="J29" s="885"/>
      <c r="K29" s="885"/>
      <c r="L29" s="885"/>
      <c r="M29" s="885"/>
      <c r="N29" s="846">
        <f t="shared" si="28"/>
        <v>0</v>
      </c>
      <c r="O29" s="887">
        <f t="shared" si="22"/>
        <v>0</v>
      </c>
      <c r="P29" s="907"/>
      <c r="Q29" s="889"/>
      <c r="R29" s="890"/>
      <c r="S29" s="890"/>
      <c r="T29" s="889"/>
      <c r="U29" s="889"/>
      <c r="V29" s="890" t="str">
        <f t="shared" si="23"/>
        <v>0</v>
      </c>
      <c r="W29" s="890" t="str">
        <f t="shared" si="23"/>
        <v>0</v>
      </c>
      <c r="X29" s="892"/>
      <c r="Y29" s="913"/>
      <c r="Z29" s="892"/>
      <c r="AA29" s="872" t="s">
        <v>1940</v>
      </c>
      <c r="AB29" s="898"/>
      <c r="AC29" s="890"/>
      <c r="AD29" s="892"/>
      <c r="AE29" s="897"/>
      <c r="AF29" s="890"/>
      <c r="AG29" s="910"/>
      <c r="AH29" s="857"/>
      <c r="AI29" s="896"/>
      <c r="AJ29" s="890">
        <f t="shared" si="26"/>
        <v>0</v>
      </c>
      <c r="AK29" s="890">
        <f t="shared" si="27"/>
        <v>0</v>
      </c>
      <c r="AL29" s="897"/>
      <c r="AM29" s="896"/>
      <c r="AN29" s="898"/>
      <c r="AO29" s="889"/>
      <c r="AP29" s="899"/>
    </row>
    <row r="30" spans="1:42" s="900" customFormat="1" ht="29.15" customHeight="1">
      <c r="A30" s="908"/>
      <c r="B30" s="904"/>
      <c r="C30" s="883"/>
      <c r="D30" s="902"/>
      <c r="E30" s="885"/>
      <c r="F30" s="885"/>
      <c r="G30" s="885"/>
      <c r="H30" s="885"/>
      <c r="I30" s="885"/>
      <c r="J30" s="885"/>
      <c r="K30" s="885"/>
      <c r="L30" s="885"/>
      <c r="M30" s="885"/>
      <c r="N30" s="846">
        <f t="shared" si="28"/>
        <v>0</v>
      </c>
      <c r="O30" s="887">
        <f t="shared" si="22"/>
        <v>0</v>
      </c>
      <c r="P30" s="888"/>
      <c r="Q30" s="889"/>
      <c r="R30" s="890"/>
      <c r="S30" s="890"/>
      <c r="T30" s="889"/>
      <c r="U30" s="889"/>
      <c r="V30" s="890" t="str">
        <f t="shared" si="23"/>
        <v>0</v>
      </c>
      <c r="W30" s="890" t="str">
        <f t="shared" si="23"/>
        <v>0</v>
      </c>
      <c r="X30" s="892"/>
      <c r="Y30" s="892"/>
      <c r="Z30" s="892"/>
      <c r="AA30" s="872" t="s">
        <v>1940</v>
      </c>
      <c r="AB30" s="842"/>
      <c r="AC30" s="893"/>
      <c r="AD30" s="892"/>
      <c r="AE30" s="894"/>
      <c r="AF30" s="893"/>
      <c r="AG30" s="895"/>
      <c r="AH30" s="857"/>
      <c r="AI30" s="896"/>
      <c r="AJ30" s="890">
        <f t="shared" si="26"/>
        <v>0</v>
      </c>
      <c r="AK30" s="890">
        <f t="shared" si="27"/>
        <v>0</v>
      </c>
      <c r="AL30" s="897"/>
      <c r="AM30" s="896"/>
      <c r="AN30" s="898"/>
      <c r="AO30" s="889"/>
      <c r="AP30" s="899"/>
    </row>
    <row r="31" spans="1:42" s="900" customFormat="1" ht="29.15" customHeight="1">
      <c r="A31" s="908"/>
      <c r="B31" s="904"/>
      <c r="C31" s="883"/>
      <c r="D31" s="902"/>
      <c r="E31" s="885"/>
      <c r="F31" s="885"/>
      <c r="G31" s="885"/>
      <c r="H31" s="885"/>
      <c r="I31" s="885"/>
      <c r="J31" s="885"/>
      <c r="K31" s="885"/>
      <c r="L31" s="885"/>
      <c r="M31" s="885"/>
      <c r="N31" s="846">
        <f t="shared" si="28"/>
        <v>0</v>
      </c>
      <c r="O31" s="887">
        <f t="shared" si="22"/>
        <v>0</v>
      </c>
      <c r="P31" s="907"/>
      <c r="Q31" s="889"/>
      <c r="R31" s="890"/>
      <c r="S31" s="890"/>
      <c r="T31" s="889"/>
      <c r="U31" s="889"/>
      <c r="V31" s="890" t="str">
        <f t="shared" si="23"/>
        <v>0</v>
      </c>
      <c r="W31" s="890" t="str">
        <f t="shared" si="23"/>
        <v>0</v>
      </c>
      <c r="X31" s="892"/>
      <c r="Y31" s="892"/>
      <c r="Z31" s="892"/>
      <c r="AA31" s="872" t="s">
        <v>1940</v>
      </c>
      <c r="AB31" s="842"/>
      <c r="AC31" s="893"/>
      <c r="AD31" s="892"/>
      <c r="AE31" s="894"/>
      <c r="AF31" s="893"/>
      <c r="AG31" s="895"/>
      <c r="AH31" s="857"/>
      <c r="AI31" s="896"/>
      <c r="AJ31" s="890">
        <f t="shared" si="26"/>
        <v>0</v>
      </c>
      <c r="AK31" s="890">
        <f t="shared" si="27"/>
        <v>0</v>
      </c>
      <c r="AL31" s="897"/>
      <c r="AM31" s="896"/>
      <c r="AN31" s="898"/>
      <c r="AO31" s="889"/>
      <c r="AP31" s="899"/>
    </row>
    <row r="32" spans="1:42" s="900" customFormat="1" ht="29.15" customHeight="1">
      <c r="A32" s="908"/>
      <c r="B32" s="904"/>
      <c r="C32" s="883"/>
      <c r="D32" s="902"/>
      <c r="E32" s="885"/>
      <c r="F32" s="885"/>
      <c r="G32" s="885"/>
      <c r="H32" s="885"/>
      <c r="I32" s="885"/>
      <c r="J32" s="885"/>
      <c r="K32" s="885"/>
      <c r="L32" s="885"/>
      <c r="M32" s="885"/>
      <c r="N32" s="887">
        <f t="shared" ref="N32:N33" si="29">D32+F32</f>
        <v>0</v>
      </c>
      <c r="O32" s="887">
        <f t="shared" si="22"/>
        <v>0</v>
      </c>
      <c r="P32" s="907"/>
      <c r="Q32" s="889"/>
      <c r="R32" s="890"/>
      <c r="S32" s="890"/>
      <c r="T32" s="889"/>
      <c r="U32" s="889"/>
      <c r="V32" s="890" t="str">
        <f t="shared" si="23"/>
        <v>0</v>
      </c>
      <c r="W32" s="890" t="str">
        <f t="shared" si="23"/>
        <v>0</v>
      </c>
      <c r="X32" s="892"/>
      <c r="Y32" s="892"/>
      <c r="Z32" s="892"/>
      <c r="AA32" s="872" t="s">
        <v>1940</v>
      </c>
      <c r="AB32" s="842"/>
      <c r="AC32" s="893"/>
      <c r="AD32" s="892"/>
      <c r="AE32" s="894"/>
      <c r="AF32" s="893"/>
      <c r="AG32" s="895"/>
      <c r="AH32" s="857"/>
      <c r="AI32" s="896"/>
      <c r="AJ32" s="890">
        <f t="shared" si="26"/>
        <v>0</v>
      </c>
      <c r="AK32" s="890">
        <f t="shared" si="27"/>
        <v>0</v>
      </c>
      <c r="AL32" s="897"/>
      <c r="AM32" s="896"/>
      <c r="AN32" s="898"/>
      <c r="AO32" s="889"/>
      <c r="AP32" s="899"/>
    </row>
    <row r="33" spans="1:42" s="900" customFormat="1" ht="29.15" customHeight="1">
      <c r="A33" s="908"/>
      <c r="B33" s="904"/>
      <c r="C33" s="883"/>
      <c r="D33" s="902"/>
      <c r="E33" s="885"/>
      <c r="F33" s="885"/>
      <c r="G33" s="885"/>
      <c r="H33" s="885"/>
      <c r="I33" s="885"/>
      <c r="J33" s="885"/>
      <c r="K33" s="885"/>
      <c r="L33" s="885"/>
      <c r="M33" s="885"/>
      <c r="N33" s="887">
        <f t="shared" si="29"/>
        <v>0</v>
      </c>
      <c r="O33" s="887">
        <f t="shared" si="22"/>
        <v>0</v>
      </c>
      <c r="P33" s="907"/>
      <c r="Q33" s="889"/>
      <c r="R33" s="890"/>
      <c r="S33" s="890"/>
      <c r="T33" s="889"/>
      <c r="U33" s="889"/>
      <c r="V33" s="890" t="str">
        <f t="shared" si="23"/>
        <v>0</v>
      </c>
      <c r="W33" s="890" t="str">
        <f t="shared" si="23"/>
        <v>0</v>
      </c>
      <c r="X33" s="892"/>
      <c r="Y33" s="892"/>
      <c r="Z33" s="892"/>
      <c r="AA33" s="872" t="s">
        <v>1940</v>
      </c>
      <c r="AB33" s="842"/>
      <c r="AC33" s="893"/>
      <c r="AD33" s="892"/>
      <c r="AE33" s="894"/>
      <c r="AF33" s="893"/>
      <c r="AG33" s="895"/>
      <c r="AH33" s="857"/>
      <c r="AI33" s="896"/>
      <c r="AJ33" s="890">
        <f t="shared" si="26"/>
        <v>0</v>
      </c>
      <c r="AK33" s="890">
        <f t="shared" si="27"/>
        <v>0</v>
      </c>
      <c r="AL33" s="897"/>
      <c r="AM33" s="896"/>
      <c r="AN33" s="898"/>
      <c r="AO33" s="889"/>
      <c r="AP33" s="899"/>
    </row>
    <row r="34" spans="1:42" ht="15" customHeight="1">
      <c r="A34" s="908"/>
    </row>
    <row r="35" spans="1:42" ht="15" customHeight="1">
      <c r="A35" s="908"/>
      <c r="AG35" s="917"/>
      <c r="AH35" s="917"/>
    </row>
    <row r="36" spans="1:42" ht="15" customHeight="1">
      <c r="A36" s="908"/>
    </row>
    <row r="37" spans="1:42" ht="15" customHeight="1">
      <c r="A37" s="908"/>
    </row>
    <row r="38" spans="1:42" ht="15" customHeight="1">
      <c r="A38" s="908"/>
    </row>
    <row r="39" spans="1:42" ht="15" customHeight="1">
      <c r="A39" s="908"/>
    </row>
  </sheetData>
  <autoFilter ref="A6:AP33" xr:uid="{00000000-0009-0000-0000-000013000000}"/>
  <mergeCells count="16">
    <mergeCell ref="H4:I4"/>
    <mergeCell ref="A4:A5"/>
    <mergeCell ref="B4:B5"/>
    <mergeCell ref="C4:C5"/>
    <mergeCell ref="D4:E4"/>
    <mergeCell ref="F4:G4"/>
    <mergeCell ref="X4:X5"/>
    <mergeCell ref="Y4:AI4"/>
    <mergeCell ref="AJ4:AK4"/>
    <mergeCell ref="AL4:AO4"/>
    <mergeCell ref="J4:K4"/>
    <mergeCell ref="L4:M4"/>
    <mergeCell ref="N4:O4"/>
    <mergeCell ref="P4:P5"/>
    <mergeCell ref="Q4:U4"/>
    <mergeCell ref="V4:W4"/>
  </mergeCells>
  <conditionalFormatting sqref="X4">
    <cfRule type="duplicateValues" dxfId="42" priority="1"/>
  </conditionalFormatting>
  <printOptions horizontalCentered="1"/>
  <pageMargins left="0.23622047244094499" right="0" top="0.39370078740157499" bottom="0.39370078740157499" header="0" footer="0"/>
  <pageSetup paperSize="9" scale="22" fitToHeight="11111" orientation="landscape" r:id="rId1"/>
  <headerFooter>
    <oddFooter>&amp;CPage &amp;P of &amp;R&amp;F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FH676"/>
  <sheetViews>
    <sheetView showGridLines="0" tabSelected="1" topLeftCell="A6" zoomScale="70" zoomScaleNormal="70" zoomScaleSheetLayoutView="70" workbookViewId="0">
      <selection activeCell="E344" sqref="E344"/>
    </sheetView>
  </sheetViews>
  <sheetFormatPr defaultColWidth="9" defaultRowHeight="14" customHeight="1" outlineLevelCol="1"/>
  <cols>
    <col min="1" max="1" width="9" style="68" customWidth="1"/>
    <col min="2" max="2" width="26.8984375" style="68" customWidth="1"/>
    <col min="3" max="3" width="22.8984375" style="68" customWidth="1"/>
    <col min="4" max="4" width="28.5" style="68" customWidth="1"/>
    <col min="5" max="5" width="32.69921875" style="68" customWidth="1"/>
    <col min="6" max="6" width="18.59765625" style="68" customWidth="1"/>
    <col min="7" max="7" width="32.69921875" style="68" customWidth="1"/>
    <col min="8" max="8" width="52" style="68" customWidth="1"/>
    <col min="9" max="9" width="24.3984375" style="110" customWidth="1"/>
    <col min="10" max="10" width="22.09765625" style="276" customWidth="1"/>
    <col min="11" max="11" width="52.09765625" style="116" customWidth="1"/>
    <col min="12" max="12" width="34" style="68" customWidth="1"/>
    <col min="13" max="13" width="8.09765625" style="68" customWidth="1"/>
    <col min="14" max="14" width="11.69921875" style="68" customWidth="1"/>
    <col min="15" max="15" width="15.09765625" style="68" customWidth="1" outlineLevel="1"/>
    <col min="16" max="16" width="17.296875" style="68" customWidth="1" outlineLevel="1"/>
    <col min="17" max="17" width="17.296875" style="117" customWidth="1" outlineLevel="1"/>
    <col min="18" max="40" width="17.296875" style="68" customWidth="1" outlineLevel="1"/>
    <col min="41" max="42" width="17.296875" style="150" customWidth="1" outlineLevel="1"/>
    <col min="43" max="96" width="17.296875" style="68" customWidth="1" outlineLevel="1"/>
    <col min="97" max="97" width="19.296875" style="68" customWidth="1" outlineLevel="1"/>
    <col min="98" max="98" width="24" style="68" customWidth="1" outlineLevel="1"/>
    <col min="99" max="99" width="44.19921875" style="68" customWidth="1" outlineLevel="1"/>
    <col min="100" max="100" width="17.3984375" style="68" customWidth="1" outlineLevel="1"/>
    <col min="101" max="101" width="13" style="68" customWidth="1"/>
    <col min="102" max="102" width="17.3984375" style="68" customWidth="1"/>
    <col min="103" max="103" width="22.19921875" style="68" customWidth="1"/>
    <col min="104" max="104" width="23.69921875" style="68" customWidth="1"/>
    <col min="105" max="105" width="13.8984375" style="68" customWidth="1"/>
    <col min="106" max="106" width="16" style="68" customWidth="1"/>
    <col min="107" max="107" width="18.69921875" style="150" customWidth="1"/>
    <col min="108" max="108" width="47.8984375" style="118" customWidth="1" outlineLevel="1"/>
    <col min="109" max="109" width="20.8984375" style="118" customWidth="1" outlineLevel="1"/>
    <col min="110" max="110" width="47.796875" style="68" customWidth="1" outlineLevel="1"/>
    <col min="111" max="111" width="15.796875" style="68" customWidth="1" outlineLevel="1"/>
    <col min="112" max="112" width="15.69921875" style="68" customWidth="1" outlineLevel="1"/>
    <col min="113" max="113" width="17.69921875" style="68" customWidth="1" outlineLevel="1"/>
    <col min="114" max="114" width="23.796875" style="243" customWidth="1" outlineLevel="1"/>
    <col min="115" max="115" width="22.5" style="243" customWidth="1" outlineLevel="1"/>
    <col min="116" max="116" width="18.796875" style="68" customWidth="1" outlineLevel="1"/>
    <col min="117" max="117" width="23.3984375" style="68" customWidth="1" outlineLevel="1"/>
    <col min="118" max="118" width="16.69921875" style="447" customWidth="1" outlineLevel="1"/>
    <col min="119" max="119" width="28.59765625" style="68" customWidth="1" outlineLevel="1"/>
    <col min="120" max="120" width="20.296875" style="68" customWidth="1" outlineLevel="1"/>
    <col min="121" max="122" width="16.09765625" style="68" customWidth="1"/>
    <col min="123" max="123" width="22.3984375" style="68" customWidth="1" outlineLevel="1"/>
    <col min="124" max="124" width="13.69921875" style="68" customWidth="1" outlineLevel="1"/>
    <col min="125" max="125" width="18" style="68" customWidth="1" outlineLevel="1"/>
    <col min="126" max="126" width="21" style="68" customWidth="1"/>
    <col min="127" max="127" width="21" style="68" customWidth="1" outlineLevel="1"/>
    <col min="128" max="128" width="12.69921875" style="68" customWidth="1" outlineLevel="1"/>
    <col min="129" max="129" width="31.5" style="68" customWidth="1" outlineLevel="1"/>
    <col min="130" max="130" width="46.796875" style="68" customWidth="1" outlineLevel="1"/>
    <col min="131" max="134" width="18.09765625" style="68" customWidth="1" outlineLevel="1"/>
    <col min="135" max="135" width="13.69921875" style="68" customWidth="1" outlineLevel="1"/>
    <col min="136" max="136" width="18.09765625" style="68" customWidth="1" outlineLevel="1"/>
    <col min="137" max="137" width="13.69921875" style="68" customWidth="1" outlineLevel="1"/>
    <col min="138" max="138" width="13.8984375" style="68" customWidth="1" outlineLevel="1"/>
    <col min="139" max="141" width="13.69921875" style="68" customWidth="1" outlineLevel="1"/>
    <col min="142" max="142" width="16.3984375" style="68" customWidth="1" outlineLevel="1"/>
    <col min="143" max="144" width="13.69921875" style="68" customWidth="1" outlineLevel="1"/>
    <col min="145" max="146" width="13.69921875" style="68" customWidth="1"/>
    <col min="147" max="147" width="17.69921875" style="68" customWidth="1" outlineLevel="1"/>
    <col min="148" max="148" width="13.69921875" style="68" customWidth="1" outlineLevel="1"/>
    <col min="149" max="149" width="17" style="68" customWidth="1" outlineLevel="1"/>
    <col min="150" max="150" width="13.69921875" style="68" customWidth="1"/>
    <col min="151" max="151" width="19.296875" style="68" customWidth="1"/>
    <col min="152" max="152" width="18.59765625" style="68" customWidth="1"/>
    <col min="153" max="155" width="19.69921875" style="117" customWidth="1"/>
    <col min="156" max="156" width="15.69921875" style="68" customWidth="1"/>
    <col min="157" max="157" width="9" style="68" customWidth="1"/>
    <col min="158" max="158" width="49.296875" style="68" bestFit="1" customWidth="1"/>
    <col min="159" max="159" width="23" style="68" bestFit="1" customWidth="1"/>
    <col min="160" max="162" width="9" style="68" customWidth="1"/>
    <col min="163" max="163" width="12.8984375" style="68" bestFit="1" customWidth="1"/>
    <col min="164" max="164" width="13" style="68" bestFit="1" customWidth="1"/>
    <col min="165" max="16324" width="9" style="68" customWidth="1"/>
    <col min="16325" max="16384" width="9" style="68"/>
  </cols>
  <sheetData>
    <row r="1" spans="1:164" ht="14" customHeight="1">
      <c r="I1" s="1546" t="s">
        <v>0</v>
      </c>
      <c r="J1" s="282"/>
      <c r="K1" s="72"/>
      <c r="L1" s="72"/>
      <c r="M1" s="72"/>
      <c r="N1" s="73" t="s">
        <v>1</v>
      </c>
      <c r="O1" s="74"/>
      <c r="P1" s="74"/>
      <c r="Q1" s="75"/>
      <c r="R1" s="73" t="s">
        <v>2</v>
      </c>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245"/>
      <c r="AZ1" s="245"/>
      <c r="BA1" s="73"/>
      <c r="BB1" s="73"/>
      <c r="BC1" s="73"/>
      <c r="BD1" s="73"/>
      <c r="BE1" s="73"/>
      <c r="BF1" s="73"/>
      <c r="BG1" s="73"/>
      <c r="BH1" s="73"/>
      <c r="BI1" s="73"/>
      <c r="BJ1" s="73"/>
      <c r="BK1" s="73"/>
      <c r="BL1" s="73"/>
      <c r="BM1" s="73"/>
      <c r="BN1" s="73"/>
      <c r="BO1" s="73"/>
      <c r="BP1" s="73"/>
      <c r="BQ1" s="73"/>
      <c r="BR1" s="73"/>
      <c r="BS1" s="73"/>
      <c r="BT1" s="73"/>
      <c r="BU1" s="73"/>
      <c r="BV1" s="73"/>
      <c r="BW1" s="245"/>
      <c r="BX1" s="245"/>
      <c r="BY1" s="245"/>
      <c r="BZ1" s="245"/>
      <c r="CA1" s="245"/>
      <c r="CB1" s="245"/>
      <c r="CC1" s="245"/>
      <c r="CD1" s="245"/>
      <c r="CE1" s="245"/>
      <c r="CF1" s="245"/>
      <c r="CG1" s="245"/>
      <c r="CH1" s="245"/>
      <c r="CI1" s="245"/>
      <c r="CJ1" s="245"/>
      <c r="CK1" s="245"/>
      <c r="CL1" s="245"/>
      <c r="CM1" s="245"/>
      <c r="CN1" s="245"/>
      <c r="CO1" s="245"/>
      <c r="CP1" s="245"/>
      <c r="CQ1" s="245"/>
      <c r="CR1" s="245"/>
      <c r="CS1" s="76"/>
      <c r="CT1" s="72"/>
      <c r="CU1" s="72"/>
      <c r="CV1" s="72"/>
      <c r="CW1" s="72"/>
      <c r="CX1" s="72"/>
      <c r="CY1" s="72"/>
      <c r="CZ1" s="72"/>
      <c r="DA1" s="72"/>
      <c r="DB1" s="72"/>
      <c r="DC1" s="147"/>
      <c r="DD1" s="77"/>
      <c r="DE1" s="77"/>
      <c r="DF1" s="72"/>
      <c r="DG1" s="72"/>
      <c r="DH1" s="72"/>
      <c r="DI1" s="72"/>
      <c r="DJ1" s="236"/>
      <c r="DK1" s="236"/>
      <c r="DL1" s="72"/>
      <c r="DM1" s="72"/>
      <c r="DN1" s="442"/>
      <c r="DO1" s="72"/>
      <c r="DP1" s="72"/>
      <c r="DQ1" s="72"/>
      <c r="DR1" s="72"/>
      <c r="DS1" s="72"/>
      <c r="DT1" s="72"/>
      <c r="DU1" s="72"/>
      <c r="DV1" s="72"/>
      <c r="DW1" s="72"/>
      <c r="DX1" s="78"/>
      <c r="DY1" s="78"/>
      <c r="DZ1" s="78"/>
      <c r="EA1" s="78"/>
      <c r="EB1" s="78"/>
      <c r="EC1" s="78"/>
      <c r="ED1" s="78"/>
      <c r="EE1" s="79"/>
      <c r="EF1" s="72"/>
      <c r="EG1" s="72"/>
      <c r="EH1" s="72"/>
      <c r="EI1" s="72"/>
      <c r="EJ1" s="72"/>
      <c r="EK1" s="72"/>
      <c r="EL1" s="72"/>
      <c r="EM1" s="72"/>
      <c r="EN1" s="72"/>
      <c r="EO1" s="72"/>
      <c r="EP1" s="72"/>
      <c r="EQ1" s="72"/>
      <c r="ER1" s="72"/>
      <c r="ES1" s="72"/>
      <c r="ET1" s="72"/>
      <c r="EU1" s="72"/>
      <c r="EV1" s="72"/>
      <c r="EW1" s="80"/>
      <c r="EX1" s="80"/>
      <c r="EY1" s="80"/>
      <c r="EZ1" s="139"/>
      <c r="FA1" s="1411" t="s">
        <v>233</v>
      </c>
      <c r="FB1" s="1411"/>
      <c r="FC1" s="1411"/>
      <c r="FD1" s="1411"/>
      <c r="FE1" s="1411"/>
      <c r="FF1" s="1411"/>
      <c r="FG1" s="1411"/>
      <c r="FH1" s="1411"/>
    </row>
    <row r="2" spans="1:164" ht="14" customHeight="1">
      <c r="I2" s="1546" t="s">
        <v>341</v>
      </c>
      <c r="J2" s="283"/>
      <c r="K2" s="81"/>
      <c r="L2" s="81"/>
      <c r="M2" s="81"/>
      <c r="N2" s="82" t="s">
        <v>3</v>
      </c>
      <c r="O2" s="83"/>
      <c r="P2" s="83" t="s">
        <v>4</v>
      </c>
      <c r="Q2" s="84"/>
      <c r="R2" s="85" t="s">
        <v>5</v>
      </c>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246"/>
      <c r="AZ2" s="246"/>
      <c r="BA2" s="85"/>
      <c r="BB2" s="85"/>
      <c r="BC2" s="85"/>
      <c r="BD2" s="85"/>
      <c r="BE2" s="85"/>
      <c r="BF2" s="85"/>
      <c r="BG2" s="85"/>
      <c r="BH2" s="85"/>
      <c r="BI2" s="85"/>
      <c r="BJ2" s="85"/>
      <c r="BK2" s="85"/>
      <c r="BL2" s="85"/>
      <c r="BM2" s="85"/>
      <c r="BN2" s="85"/>
      <c r="BO2" s="85"/>
      <c r="BP2" s="85"/>
      <c r="BQ2" s="85"/>
      <c r="BR2" s="85"/>
      <c r="BS2" s="85"/>
      <c r="BT2" s="85"/>
      <c r="BU2" s="85"/>
      <c r="BV2" s="85"/>
      <c r="BW2" s="246"/>
      <c r="BX2" s="246"/>
      <c r="BY2" s="246"/>
      <c r="BZ2" s="246"/>
      <c r="CA2" s="246"/>
      <c r="CB2" s="246"/>
      <c r="CC2" s="246"/>
      <c r="CD2" s="246"/>
      <c r="CE2" s="246"/>
      <c r="CF2" s="246"/>
      <c r="CG2" s="246"/>
      <c r="CH2" s="246"/>
      <c r="CI2" s="246"/>
      <c r="CJ2" s="246"/>
      <c r="CK2" s="246"/>
      <c r="CL2" s="246"/>
      <c r="CM2" s="246"/>
      <c r="CN2" s="246"/>
      <c r="CO2" s="246"/>
      <c r="CP2" s="246"/>
      <c r="CQ2" s="246"/>
      <c r="CR2" s="246"/>
      <c r="CS2" s="86"/>
      <c r="CT2" s="86"/>
      <c r="CU2" s="81"/>
      <c r="CV2" s="81"/>
      <c r="CW2" s="81"/>
      <c r="CX2" s="81"/>
      <c r="CY2" s="81"/>
      <c r="CZ2" s="81"/>
      <c r="DA2" s="81"/>
      <c r="DB2" s="81"/>
      <c r="DC2" s="148"/>
      <c r="DD2" s="87"/>
      <c r="DE2" s="87"/>
      <c r="DF2" s="81"/>
      <c r="DG2" s="81"/>
      <c r="DH2" s="81"/>
      <c r="DI2" s="81"/>
      <c r="DJ2" s="237"/>
      <c r="DK2" s="237"/>
      <c r="DL2" s="81"/>
      <c r="DM2" s="81"/>
      <c r="DN2" s="443"/>
      <c r="DO2" s="81"/>
      <c r="DP2" s="81"/>
      <c r="DQ2" s="81"/>
      <c r="DR2" s="81"/>
      <c r="DS2" s="81"/>
      <c r="DT2" s="81"/>
      <c r="DU2" s="81"/>
      <c r="DV2" s="81"/>
      <c r="DW2" s="81"/>
      <c r="DX2" s="88"/>
      <c r="DY2" s="88"/>
      <c r="DZ2" s="88"/>
      <c r="EA2" s="88"/>
      <c r="EB2" s="88"/>
      <c r="EC2" s="88"/>
      <c r="ED2" s="88"/>
      <c r="EE2" s="89"/>
      <c r="EF2" s="81"/>
      <c r="EG2" s="81"/>
      <c r="EH2" s="81"/>
      <c r="EI2" s="81"/>
      <c r="EJ2" s="81"/>
      <c r="EK2" s="81"/>
      <c r="EL2" s="81"/>
      <c r="EM2" s="81"/>
      <c r="EN2" s="81"/>
      <c r="EO2" s="81"/>
      <c r="EP2" s="81"/>
      <c r="EQ2" s="81"/>
      <c r="ER2" s="81"/>
      <c r="ES2" s="81"/>
      <c r="ET2" s="81"/>
      <c r="EU2" s="72"/>
      <c r="EV2" s="72"/>
      <c r="EW2" s="80"/>
      <c r="EX2" s="90"/>
      <c r="EY2" s="90"/>
      <c r="EZ2" s="140"/>
      <c r="FA2" s="1411"/>
      <c r="FB2" s="1411"/>
      <c r="FC2" s="1411"/>
      <c r="FD2" s="1411"/>
      <c r="FE2" s="1411"/>
      <c r="FF2" s="1411"/>
      <c r="FG2" s="1411"/>
      <c r="FH2" s="1411"/>
    </row>
    <row r="3" spans="1:164" ht="139" customHeight="1">
      <c r="E3" s="232"/>
      <c r="F3" s="232"/>
      <c r="G3" s="231"/>
      <c r="I3" s="99" t="s">
        <v>6</v>
      </c>
      <c r="J3" s="272"/>
      <c r="K3" s="93">
        <f ca="1">TODAY()</f>
        <v>46086</v>
      </c>
      <c r="L3" s="81"/>
      <c r="M3" s="87"/>
      <c r="N3" s="94" t="s">
        <v>7</v>
      </c>
      <c r="O3" s="95"/>
      <c r="P3" s="96" t="s">
        <v>8</v>
      </c>
      <c r="Q3" s="97"/>
      <c r="R3" s="85" t="s">
        <v>9</v>
      </c>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246"/>
      <c r="AZ3" s="246"/>
      <c r="BA3" s="85"/>
      <c r="BB3" s="85"/>
      <c r="BC3" s="85"/>
      <c r="BD3" s="85"/>
      <c r="BE3" s="85"/>
      <c r="BF3" s="85"/>
      <c r="BG3" s="85"/>
      <c r="BH3" s="85"/>
      <c r="BI3" s="85"/>
      <c r="BJ3" s="85"/>
      <c r="BK3" s="85"/>
      <c r="BL3" s="85"/>
      <c r="BM3" s="85"/>
      <c r="BN3" s="85"/>
      <c r="BO3" s="85"/>
      <c r="BP3" s="85"/>
      <c r="BQ3" s="85"/>
      <c r="BR3" s="85"/>
      <c r="BS3" s="85"/>
      <c r="BT3" s="85"/>
      <c r="BU3" s="85"/>
      <c r="BV3" s="85"/>
      <c r="BW3" s="246"/>
      <c r="BX3" s="246"/>
      <c r="BY3" s="246"/>
      <c r="BZ3" s="246"/>
      <c r="CA3" s="246"/>
      <c r="CB3" s="246"/>
      <c r="CC3" s="246"/>
      <c r="CD3" s="246"/>
      <c r="CE3" s="246"/>
      <c r="CF3" s="246"/>
      <c r="CG3" s="246"/>
      <c r="CH3" s="246"/>
      <c r="CI3" s="246"/>
      <c r="CJ3" s="246"/>
      <c r="CK3" s="246"/>
      <c r="CL3" s="246"/>
      <c r="CM3" s="246"/>
      <c r="CN3" s="246"/>
      <c r="CO3" s="246"/>
      <c r="CP3" s="246"/>
      <c r="CQ3" s="246"/>
      <c r="CR3" s="246"/>
      <c r="CS3" s="98"/>
      <c r="CT3" s="92"/>
      <c r="CU3" s="92"/>
      <c r="CV3" s="92"/>
      <c r="CW3" s="92"/>
      <c r="CX3" s="92"/>
      <c r="CY3" s="92"/>
      <c r="CZ3" s="92"/>
      <c r="DA3" s="92"/>
      <c r="DB3" s="92"/>
      <c r="DC3" s="149"/>
      <c r="DD3" s="99"/>
      <c r="DE3" s="99"/>
      <c r="DF3" s="91"/>
      <c r="DG3" s="91"/>
      <c r="DH3" s="91"/>
      <c r="DI3" s="91"/>
      <c r="DJ3" s="238"/>
      <c r="DK3" s="238"/>
      <c r="DL3" s="91"/>
      <c r="DM3" s="91"/>
      <c r="DN3" s="444"/>
      <c r="DO3" s="91"/>
      <c r="DP3" s="91"/>
      <c r="DQ3" s="91"/>
      <c r="DR3" s="91"/>
      <c r="DS3" s="91"/>
      <c r="DT3" s="91"/>
      <c r="DU3" s="91"/>
      <c r="DV3" s="91"/>
      <c r="DW3" s="91"/>
      <c r="DX3" s="100"/>
      <c r="DY3" s="100"/>
      <c r="DZ3" s="100"/>
      <c r="EA3" s="100"/>
      <c r="EB3" s="100"/>
      <c r="EC3" s="100"/>
      <c r="ED3" s="100"/>
      <c r="EE3" s="101"/>
      <c r="EF3" s="91"/>
      <c r="EG3" s="91"/>
      <c r="EH3" s="91"/>
      <c r="EI3" s="91"/>
      <c r="EJ3" s="91"/>
      <c r="EK3" s="91"/>
      <c r="EL3" s="91"/>
      <c r="EM3" s="91"/>
      <c r="EN3" s="91"/>
      <c r="EO3" s="91"/>
      <c r="EP3" s="91"/>
      <c r="EQ3" s="91"/>
      <c r="ER3" s="91"/>
      <c r="ES3" s="91"/>
      <c r="ET3" s="91"/>
      <c r="EU3" s="72"/>
      <c r="EV3" s="72"/>
      <c r="EW3" s="80"/>
      <c r="EX3" s="102"/>
      <c r="EY3" s="102"/>
      <c r="EZ3" s="141"/>
      <c r="FA3" s="1411"/>
      <c r="FB3" s="1411"/>
      <c r="FC3" s="1411"/>
      <c r="FD3" s="1411"/>
      <c r="FE3" s="1411"/>
      <c r="FF3" s="1411"/>
      <c r="FG3" s="1411"/>
      <c r="FH3" s="1411"/>
    </row>
    <row r="4" spans="1:164" s="110" customFormat="1" ht="60.5" customHeight="1">
      <c r="A4" s="103"/>
      <c r="B4" s="1412" t="s">
        <v>95</v>
      </c>
      <c r="C4" s="1412"/>
      <c r="D4" s="1412"/>
      <c r="E4" s="168"/>
      <c r="F4" s="168"/>
      <c r="G4" s="1424" t="s">
        <v>234</v>
      </c>
      <c r="H4" s="1425"/>
      <c r="I4" s="1399" t="s">
        <v>10</v>
      </c>
      <c r="J4" s="1421" t="s">
        <v>11</v>
      </c>
      <c r="K4" s="1399" t="s">
        <v>12</v>
      </c>
      <c r="L4" s="1420" t="s">
        <v>13</v>
      </c>
      <c r="M4" s="1399" t="s">
        <v>14</v>
      </c>
      <c r="N4" s="1399" t="s">
        <v>15</v>
      </c>
      <c r="O4" s="1399" t="s">
        <v>16</v>
      </c>
      <c r="P4" s="1400"/>
      <c r="Q4" s="1399" t="s">
        <v>242</v>
      </c>
      <c r="R4" s="1400"/>
      <c r="S4" s="1399" t="s">
        <v>327</v>
      </c>
      <c r="T4" s="1400"/>
      <c r="U4" s="1399" t="s">
        <v>350</v>
      </c>
      <c r="V4" s="1400"/>
      <c r="W4" s="1399" t="s">
        <v>434</v>
      </c>
      <c r="X4" s="1400"/>
      <c r="Y4" s="1399" t="s">
        <v>438</v>
      </c>
      <c r="Z4" s="1400"/>
      <c r="AA4" s="1399" t="s">
        <v>495</v>
      </c>
      <c r="AB4" s="1400"/>
      <c r="AC4" s="1399" t="s">
        <v>538</v>
      </c>
      <c r="AD4" s="1400"/>
      <c r="AE4" s="1399" t="s">
        <v>643</v>
      </c>
      <c r="AF4" s="1400"/>
      <c r="AG4" s="1399" t="s">
        <v>684</v>
      </c>
      <c r="AH4" s="1400"/>
      <c r="AI4" s="1399" t="s">
        <v>731</v>
      </c>
      <c r="AJ4" s="1400"/>
      <c r="AK4" s="1399" t="s">
        <v>995</v>
      </c>
      <c r="AL4" s="1400"/>
      <c r="AM4" s="1389" t="s">
        <v>1006</v>
      </c>
      <c r="AN4" s="1390"/>
      <c r="AO4" s="1389" t="s">
        <v>1026</v>
      </c>
      <c r="AP4" s="1390"/>
      <c r="AQ4" s="1389" t="s">
        <v>1027</v>
      </c>
      <c r="AR4" s="1390"/>
      <c r="AS4" s="1389" t="s">
        <v>1302</v>
      </c>
      <c r="AT4" s="1390"/>
      <c r="AU4" s="1389" t="s">
        <v>1384</v>
      </c>
      <c r="AV4" s="1390"/>
      <c r="AW4" s="1389" t="s">
        <v>1435</v>
      </c>
      <c r="AX4" s="1390"/>
      <c r="AY4" s="1395" t="s">
        <v>1469</v>
      </c>
      <c r="AZ4" s="1390"/>
      <c r="BA4" s="1389" t="s">
        <v>1485</v>
      </c>
      <c r="BB4" s="1390"/>
      <c r="BC4" s="1389" t="s">
        <v>1556</v>
      </c>
      <c r="BD4" s="1390"/>
      <c r="BE4" s="1389" t="s">
        <v>1578</v>
      </c>
      <c r="BF4" s="1390"/>
      <c r="BG4" s="1389" t="s">
        <v>1626</v>
      </c>
      <c r="BH4" s="1390"/>
      <c r="BI4" s="1389" t="s">
        <v>1643</v>
      </c>
      <c r="BJ4" s="1390"/>
      <c r="BK4" s="1389" t="s">
        <v>1651</v>
      </c>
      <c r="BL4" s="1390"/>
      <c r="BM4" s="1389" t="s">
        <v>1668</v>
      </c>
      <c r="BN4" s="1390"/>
      <c r="BO4" s="1389" t="s">
        <v>1768</v>
      </c>
      <c r="BP4" s="1390"/>
      <c r="BQ4" s="1389" t="s">
        <v>2051</v>
      </c>
      <c r="BR4" s="1390"/>
      <c r="BS4" s="1389" t="s">
        <v>2050</v>
      </c>
      <c r="BT4" s="1390"/>
      <c r="BU4" s="1389" t="s">
        <v>2235</v>
      </c>
      <c r="BV4" s="1390"/>
      <c r="BW4" s="1389" t="s">
        <v>2309</v>
      </c>
      <c r="BX4" s="1390"/>
      <c r="BY4" s="1389" t="s">
        <v>2316</v>
      </c>
      <c r="BZ4" s="1390"/>
      <c r="CA4" s="1389" t="s">
        <v>2322</v>
      </c>
      <c r="CB4" s="1390"/>
      <c r="CC4" s="1389" t="s">
        <v>2323</v>
      </c>
      <c r="CD4" s="1390"/>
      <c r="CE4" s="1389" t="s">
        <v>2550</v>
      </c>
      <c r="CF4" s="1390"/>
      <c r="CG4" s="1389" t="s">
        <v>2559</v>
      </c>
      <c r="CH4" s="1390"/>
      <c r="CI4" s="1393" t="s">
        <v>2564</v>
      </c>
      <c r="CJ4" s="1394"/>
      <c r="CK4" s="1393" t="s">
        <v>2572</v>
      </c>
      <c r="CL4" s="1394"/>
      <c r="CM4" s="1391" t="s">
        <v>2589</v>
      </c>
      <c r="CN4" s="1392"/>
      <c r="CO4" s="1542" t="s">
        <v>2597</v>
      </c>
      <c r="CP4" s="1543"/>
      <c r="CQ4" s="1387" t="s">
        <v>2871</v>
      </c>
      <c r="CR4" s="1388"/>
      <c r="CS4" s="1407" t="s">
        <v>17</v>
      </c>
      <c r="CT4" s="1408"/>
      <c r="CU4" s="1409" t="s">
        <v>22</v>
      </c>
      <c r="CV4" s="1404" t="s">
        <v>18</v>
      </c>
      <c r="CW4" s="1405"/>
      <c r="CX4" s="1405"/>
      <c r="CY4" s="1405"/>
      <c r="CZ4" s="1406"/>
      <c r="DA4" s="1402" t="s">
        <v>19</v>
      </c>
      <c r="DB4" s="1403"/>
      <c r="DC4" s="1401" t="s">
        <v>93</v>
      </c>
      <c r="DD4" s="1413" t="s">
        <v>94</v>
      </c>
      <c r="DE4" s="1413"/>
      <c r="DF4" s="1413"/>
      <c r="DG4" s="1413"/>
      <c r="DH4" s="1413"/>
      <c r="DI4" s="1413"/>
      <c r="DJ4" s="1413"/>
      <c r="DK4" s="1414"/>
      <c r="DL4" s="1413"/>
      <c r="DM4" s="1413"/>
      <c r="DN4" s="1415"/>
      <c r="DO4" s="1413"/>
      <c r="DP4" s="1413"/>
      <c r="DQ4" s="1418" t="s">
        <v>89</v>
      </c>
      <c r="DR4" s="1418"/>
      <c r="DS4" s="1417" t="s">
        <v>20</v>
      </c>
      <c r="DT4" s="1417"/>
      <c r="DU4" s="1417"/>
      <c r="DV4" s="1417"/>
      <c r="DW4" s="1416" t="s">
        <v>21</v>
      </c>
      <c r="DX4" s="1416"/>
      <c r="DY4" s="1416"/>
      <c r="DZ4" s="1416"/>
      <c r="EA4" s="1416"/>
      <c r="EB4" s="1416"/>
      <c r="EC4" s="1416"/>
      <c r="ED4" s="1416"/>
      <c r="EE4" s="1416"/>
      <c r="EF4" s="1416"/>
      <c r="EG4" s="1416"/>
      <c r="EH4" s="1416"/>
      <c r="EI4" s="1416"/>
      <c r="EJ4" s="1416"/>
      <c r="EK4" s="1416"/>
      <c r="EL4" s="1416"/>
      <c r="EM4" s="1416"/>
      <c r="EN4" s="1416"/>
      <c r="EO4" s="1418" t="s">
        <v>90</v>
      </c>
      <c r="EP4" s="1418"/>
      <c r="EQ4" s="1413" t="s">
        <v>86</v>
      </c>
      <c r="ER4" s="1413"/>
      <c r="ES4" s="1413"/>
      <c r="ET4" s="1413"/>
      <c r="EU4" s="1418" t="s">
        <v>92</v>
      </c>
      <c r="EV4" s="1419"/>
      <c r="EW4" s="1412" t="s">
        <v>91</v>
      </c>
      <c r="EX4" s="1412"/>
      <c r="EY4" s="1412"/>
      <c r="EZ4" s="142" t="s">
        <v>22</v>
      </c>
      <c r="FA4" s="1411"/>
      <c r="FB4" s="1411"/>
      <c r="FC4" s="1411"/>
      <c r="FD4" s="1411"/>
      <c r="FE4" s="1411"/>
      <c r="FF4" s="1411"/>
      <c r="FG4" s="1411"/>
      <c r="FH4" s="1411"/>
    </row>
    <row r="5" spans="1:164" s="110" customFormat="1" ht="41.5" customHeight="1">
      <c r="A5" s="103"/>
      <c r="B5" s="1412"/>
      <c r="C5" s="1412"/>
      <c r="D5" s="1412"/>
      <c r="E5" s="169"/>
      <c r="F5" s="169"/>
      <c r="G5" s="1426"/>
      <c r="H5" s="1427"/>
      <c r="I5" s="1399"/>
      <c r="J5" s="1421"/>
      <c r="K5" s="1399"/>
      <c r="L5" s="1420"/>
      <c r="M5" s="1399"/>
      <c r="N5" s="1399"/>
      <c r="O5" s="105" t="s">
        <v>98</v>
      </c>
      <c r="P5" s="105" t="s">
        <v>97</v>
      </c>
      <c r="Q5" s="111" t="s">
        <v>98</v>
      </c>
      <c r="R5" s="105" t="s">
        <v>97</v>
      </c>
      <c r="S5" s="111" t="s">
        <v>98</v>
      </c>
      <c r="T5" s="105" t="s">
        <v>97</v>
      </c>
      <c r="U5" s="111" t="s">
        <v>98</v>
      </c>
      <c r="V5" s="105" t="s">
        <v>97</v>
      </c>
      <c r="W5" s="111" t="s">
        <v>98</v>
      </c>
      <c r="X5" s="105" t="s">
        <v>97</v>
      </c>
      <c r="Y5" s="111" t="s">
        <v>98</v>
      </c>
      <c r="Z5" s="105" t="s">
        <v>97</v>
      </c>
      <c r="AA5" s="111" t="s">
        <v>98</v>
      </c>
      <c r="AB5" s="105" t="s">
        <v>97</v>
      </c>
      <c r="AC5" s="111" t="s">
        <v>98</v>
      </c>
      <c r="AD5" s="105" t="s">
        <v>97</v>
      </c>
      <c r="AE5" s="111" t="s">
        <v>98</v>
      </c>
      <c r="AF5" s="105" t="s">
        <v>97</v>
      </c>
      <c r="AG5" s="111" t="s">
        <v>98</v>
      </c>
      <c r="AH5" s="105" t="s">
        <v>97</v>
      </c>
      <c r="AI5" s="111" t="s">
        <v>98</v>
      </c>
      <c r="AJ5" s="105" t="s">
        <v>97</v>
      </c>
      <c r="AK5" s="111" t="s">
        <v>98</v>
      </c>
      <c r="AL5" s="105" t="s">
        <v>97</v>
      </c>
      <c r="AM5" s="251" t="s">
        <v>98</v>
      </c>
      <c r="AN5" s="249" t="s">
        <v>97</v>
      </c>
      <c r="AO5" s="251" t="s">
        <v>98</v>
      </c>
      <c r="AP5" s="249" t="s">
        <v>97</v>
      </c>
      <c r="AQ5" s="251" t="s">
        <v>98</v>
      </c>
      <c r="AR5" s="249" t="s">
        <v>97</v>
      </c>
      <c r="AS5" s="251" t="s">
        <v>98</v>
      </c>
      <c r="AT5" s="249" t="s">
        <v>97</v>
      </c>
      <c r="AU5" s="251" t="s">
        <v>98</v>
      </c>
      <c r="AV5" s="249" t="s">
        <v>97</v>
      </c>
      <c r="AW5" s="251" t="s">
        <v>98</v>
      </c>
      <c r="AX5" s="249" t="s">
        <v>97</v>
      </c>
      <c r="AY5" s="252" t="s">
        <v>98</v>
      </c>
      <c r="AZ5" s="250" t="s">
        <v>97</v>
      </c>
      <c r="BA5" s="251" t="s">
        <v>98</v>
      </c>
      <c r="BB5" s="249" t="s">
        <v>97</v>
      </c>
      <c r="BC5" s="251" t="s">
        <v>98</v>
      </c>
      <c r="BD5" s="249" t="s">
        <v>97</v>
      </c>
      <c r="BE5" s="251" t="s">
        <v>98</v>
      </c>
      <c r="BF5" s="249" t="s">
        <v>97</v>
      </c>
      <c r="BG5" s="251" t="s">
        <v>98</v>
      </c>
      <c r="BH5" s="249" t="s">
        <v>97</v>
      </c>
      <c r="BI5" s="251" t="s">
        <v>98</v>
      </c>
      <c r="BJ5" s="249" t="s">
        <v>97</v>
      </c>
      <c r="BK5" s="251" t="s">
        <v>98</v>
      </c>
      <c r="BL5" s="249" t="s">
        <v>97</v>
      </c>
      <c r="BM5" s="251" t="s">
        <v>98</v>
      </c>
      <c r="BN5" s="249" t="s">
        <v>97</v>
      </c>
      <c r="BO5" s="251" t="s">
        <v>98</v>
      </c>
      <c r="BP5" s="249" t="s">
        <v>97</v>
      </c>
      <c r="BQ5" s="251" t="s">
        <v>98</v>
      </c>
      <c r="BR5" s="249" t="s">
        <v>97</v>
      </c>
      <c r="BS5" s="251" t="s">
        <v>98</v>
      </c>
      <c r="BT5" s="249" t="s">
        <v>97</v>
      </c>
      <c r="BU5" s="251" t="s">
        <v>98</v>
      </c>
      <c r="BV5" s="249" t="s">
        <v>97</v>
      </c>
      <c r="BW5" s="251" t="s">
        <v>98</v>
      </c>
      <c r="BX5" s="249" t="s">
        <v>97</v>
      </c>
      <c r="BY5" s="251" t="s">
        <v>98</v>
      </c>
      <c r="BZ5" s="249" t="s">
        <v>97</v>
      </c>
      <c r="CA5" s="251" t="s">
        <v>98</v>
      </c>
      <c r="CB5" s="249" t="s">
        <v>97</v>
      </c>
      <c r="CC5" s="251" t="s">
        <v>98</v>
      </c>
      <c r="CD5" s="249" t="s">
        <v>97</v>
      </c>
      <c r="CE5" s="251" t="s">
        <v>98</v>
      </c>
      <c r="CF5" s="249" t="s">
        <v>97</v>
      </c>
      <c r="CG5" s="251" t="s">
        <v>98</v>
      </c>
      <c r="CH5" s="249" t="s">
        <v>97</v>
      </c>
      <c r="CI5" s="251" t="s">
        <v>98</v>
      </c>
      <c r="CJ5" s="249" t="s">
        <v>97</v>
      </c>
      <c r="CK5" s="251" t="s">
        <v>98</v>
      </c>
      <c r="CL5" s="249" t="s">
        <v>97</v>
      </c>
      <c r="CM5" s="996" t="s">
        <v>98</v>
      </c>
      <c r="CN5" s="997" t="s">
        <v>97</v>
      </c>
      <c r="CO5" s="1544" t="s">
        <v>98</v>
      </c>
      <c r="CP5" s="1545" t="s">
        <v>97</v>
      </c>
      <c r="CQ5" s="764" t="s">
        <v>98</v>
      </c>
      <c r="CR5" s="762" t="s">
        <v>97</v>
      </c>
      <c r="CS5" s="105" t="s">
        <v>98</v>
      </c>
      <c r="CT5" s="105" t="s">
        <v>97</v>
      </c>
      <c r="CU5" s="1409"/>
      <c r="CV5" s="112" t="s">
        <v>88</v>
      </c>
      <c r="CW5" s="112" t="s">
        <v>98</v>
      </c>
      <c r="CX5" s="112" t="s">
        <v>97</v>
      </c>
      <c r="CY5" s="112" t="s">
        <v>221</v>
      </c>
      <c r="CZ5" s="112" t="s">
        <v>22</v>
      </c>
      <c r="DA5" s="106" t="s">
        <v>98</v>
      </c>
      <c r="DB5" s="106" t="s">
        <v>97</v>
      </c>
      <c r="DC5" s="1401"/>
      <c r="DD5" s="107" t="s">
        <v>24</v>
      </c>
      <c r="DE5" s="107" t="s">
        <v>26</v>
      </c>
      <c r="DF5" s="107" t="s">
        <v>12</v>
      </c>
      <c r="DG5" s="107" t="s">
        <v>13</v>
      </c>
      <c r="DH5" s="107" t="s">
        <v>99</v>
      </c>
      <c r="DI5" s="107" t="s">
        <v>27</v>
      </c>
      <c r="DJ5" s="239" t="s">
        <v>100</v>
      </c>
      <c r="DK5" s="239" t="s">
        <v>101</v>
      </c>
      <c r="DL5" s="113" t="s">
        <v>102</v>
      </c>
      <c r="DM5" s="113" t="s">
        <v>1963</v>
      </c>
      <c r="DN5" s="445" t="s">
        <v>1964</v>
      </c>
      <c r="DO5" s="113" t="s">
        <v>1962</v>
      </c>
      <c r="DP5" s="107" t="s">
        <v>32</v>
      </c>
      <c r="DQ5" s="106" t="s">
        <v>98</v>
      </c>
      <c r="DR5" s="106" t="s">
        <v>97</v>
      </c>
      <c r="DS5" s="108" t="s">
        <v>88</v>
      </c>
      <c r="DT5" s="108" t="s">
        <v>29</v>
      </c>
      <c r="DU5" s="114" t="s">
        <v>30</v>
      </c>
      <c r="DV5" s="108" t="s">
        <v>31</v>
      </c>
      <c r="DW5" s="107" t="s">
        <v>24</v>
      </c>
      <c r="DX5" s="107" t="s">
        <v>26</v>
      </c>
      <c r="DY5" s="107" t="s">
        <v>12</v>
      </c>
      <c r="DZ5" s="107" t="s">
        <v>13</v>
      </c>
      <c r="EA5" s="109" t="s">
        <v>23</v>
      </c>
      <c r="EB5" s="107" t="s">
        <v>27</v>
      </c>
      <c r="EC5" s="70" t="s">
        <v>25</v>
      </c>
      <c r="ED5" s="70" t="s">
        <v>96</v>
      </c>
      <c r="EE5" s="113" t="s">
        <v>28</v>
      </c>
      <c r="EF5" s="107" t="s">
        <v>33</v>
      </c>
      <c r="EG5" s="107" t="s">
        <v>34</v>
      </c>
      <c r="EH5" s="107" t="s">
        <v>35</v>
      </c>
      <c r="EI5" s="107" t="s">
        <v>36</v>
      </c>
      <c r="EJ5" s="107" t="s">
        <v>37</v>
      </c>
      <c r="EK5" s="107" t="s">
        <v>38</v>
      </c>
      <c r="EL5" s="107" t="s">
        <v>39</v>
      </c>
      <c r="EM5" s="107" t="s">
        <v>40</v>
      </c>
      <c r="EN5" s="107" t="s">
        <v>32</v>
      </c>
      <c r="EO5" s="106" t="s">
        <v>98</v>
      </c>
      <c r="EP5" s="106" t="s">
        <v>97</v>
      </c>
      <c r="EQ5" s="107" t="s">
        <v>88</v>
      </c>
      <c r="ER5" s="107" t="s">
        <v>29</v>
      </c>
      <c r="ES5" s="107" t="s">
        <v>30</v>
      </c>
      <c r="ET5" s="107" t="s">
        <v>31</v>
      </c>
      <c r="EU5" s="106" t="s">
        <v>98</v>
      </c>
      <c r="EV5" s="106" t="s">
        <v>97</v>
      </c>
      <c r="EW5" s="112" t="s">
        <v>98</v>
      </c>
      <c r="EX5" s="112" t="s">
        <v>97</v>
      </c>
      <c r="EY5" s="104" t="s">
        <v>95</v>
      </c>
      <c r="EZ5" s="143"/>
      <c r="FA5" s="144" t="s">
        <v>85</v>
      </c>
      <c r="FB5" s="1410" t="s">
        <v>226</v>
      </c>
      <c r="FC5" s="1410"/>
      <c r="FD5" s="144" t="s">
        <v>227</v>
      </c>
      <c r="FE5" s="145" t="s">
        <v>228</v>
      </c>
      <c r="FF5" s="145" t="s">
        <v>229</v>
      </c>
      <c r="FG5" s="145" t="s">
        <v>230</v>
      </c>
      <c r="FH5" s="146" t="s">
        <v>231</v>
      </c>
    </row>
    <row r="6" spans="1:164" s="110" customFormat="1" ht="58.5" customHeight="1">
      <c r="A6" s="103"/>
      <c r="B6" s="103" t="s">
        <v>1627</v>
      </c>
      <c r="C6" s="69" t="s">
        <v>217</v>
      </c>
      <c r="D6" s="115" t="s">
        <v>216</v>
      </c>
      <c r="E6" s="115" t="s">
        <v>1903</v>
      </c>
      <c r="F6" s="1422" t="s">
        <v>234</v>
      </c>
      <c r="G6" s="1423"/>
      <c r="H6" s="115" t="s">
        <v>394</v>
      </c>
      <c r="I6" s="1547">
        <v>1</v>
      </c>
      <c r="J6" s="271">
        <f>I6+1</f>
        <v>2</v>
      </c>
      <c r="K6" s="271">
        <f t="shared" ref="K6:BV6" si="0">J6+1</f>
        <v>3</v>
      </c>
      <c r="L6" s="271">
        <f t="shared" si="0"/>
        <v>4</v>
      </c>
      <c r="M6" s="271">
        <f t="shared" si="0"/>
        <v>5</v>
      </c>
      <c r="N6" s="271">
        <f t="shared" si="0"/>
        <v>6</v>
      </c>
      <c r="O6" s="271">
        <f t="shared" si="0"/>
        <v>7</v>
      </c>
      <c r="P6" s="271">
        <f t="shared" si="0"/>
        <v>8</v>
      </c>
      <c r="Q6" s="271">
        <f t="shared" si="0"/>
        <v>9</v>
      </c>
      <c r="R6" s="271">
        <f t="shared" si="0"/>
        <v>10</v>
      </c>
      <c r="S6" s="271">
        <f t="shared" si="0"/>
        <v>11</v>
      </c>
      <c r="T6" s="271">
        <f t="shared" si="0"/>
        <v>12</v>
      </c>
      <c r="U6" s="271">
        <f t="shared" si="0"/>
        <v>13</v>
      </c>
      <c r="V6" s="271">
        <f t="shared" si="0"/>
        <v>14</v>
      </c>
      <c r="W6" s="271">
        <f t="shared" si="0"/>
        <v>15</v>
      </c>
      <c r="X6" s="271">
        <f t="shared" si="0"/>
        <v>16</v>
      </c>
      <c r="Y6" s="271">
        <f t="shared" si="0"/>
        <v>17</v>
      </c>
      <c r="Z6" s="271">
        <f t="shared" si="0"/>
        <v>18</v>
      </c>
      <c r="AA6" s="271">
        <f t="shared" si="0"/>
        <v>19</v>
      </c>
      <c r="AB6" s="271">
        <f t="shared" si="0"/>
        <v>20</v>
      </c>
      <c r="AC6" s="271">
        <f t="shared" si="0"/>
        <v>21</v>
      </c>
      <c r="AD6" s="271">
        <f t="shared" si="0"/>
        <v>22</v>
      </c>
      <c r="AE6" s="271">
        <f t="shared" si="0"/>
        <v>23</v>
      </c>
      <c r="AF6" s="271">
        <f t="shared" si="0"/>
        <v>24</v>
      </c>
      <c r="AG6" s="271">
        <f t="shared" si="0"/>
        <v>25</v>
      </c>
      <c r="AH6" s="271">
        <f t="shared" si="0"/>
        <v>26</v>
      </c>
      <c r="AI6" s="271">
        <f t="shared" si="0"/>
        <v>27</v>
      </c>
      <c r="AJ6" s="271">
        <f t="shared" si="0"/>
        <v>28</v>
      </c>
      <c r="AK6" s="271">
        <f t="shared" si="0"/>
        <v>29</v>
      </c>
      <c r="AL6" s="271">
        <f t="shared" si="0"/>
        <v>30</v>
      </c>
      <c r="AM6" s="271">
        <f t="shared" si="0"/>
        <v>31</v>
      </c>
      <c r="AN6" s="271">
        <f t="shared" si="0"/>
        <v>32</v>
      </c>
      <c r="AO6" s="271">
        <f t="shared" si="0"/>
        <v>33</v>
      </c>
      <c r="AP6" s="271">
        <f t="shared" si="0"/>
        <v>34</v>
      </c>
      <c r="AQ6" s="271">
        <f t="shared" si="0"/>
        <v>35</v>
      </c>
      <c r="AR6" s="271">
        <f t="shared" si="0"/>
        <v>36</v>
      </c>
      <c r="AS6" s="271">
        <f t="shared" si="0"/>
        <v>37</v>
      </c>
      <c r="AT6" s="271">
        <f t="shared" si="0"/>
        <v>38</v>
      </c>
      <c r="AU6" s="271">
        <f t="shared" si="0"/>
        <v>39</v>
      </c>
      <c r="AV6" s="271">
        <f t="shared" si="0"/>
        <v>40</v>
      </c>
      <c r="AW6" s="271">
        <f t="shared" si="0"/>
        <v>41</v>
      </c>
      <c r="AX6" s="271">
        <f t="shared" si="0"/>
        <v>42</v>
      </c>
      <c r="AY6" s="271">
        <f t="shared" si="0"/>
        <v>43</v>
      </c>
      <c r="AZ6" s="271">
        <f t="shared" si="0"/>
        <v>44</v>
      </c>
      <c r="BA6" s="271">
        <f t="shared" si="0"/>
        <v>45</v>
      </c>
      <c r="BB6" s="271">
        <f t="shared" si="0"/>
        <v>46</v>
      </c>
      <c r="BC6" s="271">
        <f t="shared" si="0"/>
        <v>47</v>
      </c>
      <c r="BD6" s="271">
        <f t="shared" si="0"/>
        <v>48</v>
      </c>
      <c r="BE6" s="271">
        <f t="shared" si="0"/>
        <v>49</v>
      </c>
      <c r="BF6" s="271">
        <f t="shared" si="0"/>
        <v>50</v>
      </c>
      <c r="BG6" s="271">
        <f t="shared" si="0"/>
        <v>51</v>
      </c>
      <c r="BH6" s="271">
        <f t="shared" si="0"/>
        <v>52</v>
      </c>
      <c r="BI6" s="271">
        <f t="shared" si="0"/>
        <v>53</v>
      </c>
      <c r="BJ6" s="271">
        <f t="shared" si="0"/>
        <v>54</v>
      </c>
      <c r="BK6" s="271">
        <f t="shared" si="0"/>
        <v>55</v>
      </c>
      <c r="BL6" s="271">
        <f t="shared" si="0"/>
        <v>56</v>
      </c>
      <c r="BM6" s="271">
        <f t="shared" si="0"/>
        <v>57</v>
      </c>
      <c r="BN6" s="271">
        <f t="shared" si="0"/>
        <v>58</v>
      </c>
      <c r="BO6" s="271">
        <f t="shared" si="0"/>
        <v>59</v>
      </c>
      <c r="BP6" s="271">
        <f t="shared" si="0"/>
        <v>60</v>
      </c>
      <c r="BQ6" s="271">
        <f t="shared" si="0"/>
        <v>61</v>
      </c>
      <c r="BR6" s="271">
        <f t="shared" si="0"/>
        <v>62</v>
      </c>
      <c r="BS6" s="271">
        <f t="shared" si="0"/>
        <v>63</v>
      </c>
      <c r="BT6" s="271">
        <f t="shared" si="0"/>
        <v>64</v>
      </c>
      <c r="BU6" s="271">
        <f t="shared" si="0"/>
        <v>65</v>
      </c>
      <c r="BV6" s="271">
        <f t="shared" si="0"/>
        <v>66</v>
      </c>
      <c r="BW6" s="271">
        <f t="shared" ref="BW6:EJ6" si="1">BV6+1</f>
        <v>67</v>
      </c>
      <c r="BX6" s="271">
        <f t="shared" si="1"/>
        <v>68</v>
      </c>
      <c r="BY6" s="271">
        <f t="shared" si="1"/>
        <v>69</v>
      </c>
      <c r="BZ6" s="271">
        <f t="shared" si="1"/>
        <v>70</v>
      </c>
      <c r="CA6" s="271">
        <f t="shared" si="1"/>
        <v>71</v>
      </c>
      <c r="CB6" s="271">
        <f t="shared" si="1"/>
        <v>72</v>
      </c>
      <c r="CC6" s="271">
        <f t="shared" si="1"/>
        <v>73</v>
      </c>
      <c r="CD6" s="271">
        <f t="shared" si="1"/>
        <v>74</v>
      </c>
      <c r="CE6" s="271">
        <f t="shared" si="1"/>
        <v>75</v>
      </c>
      <c r="CF6" s="271">
        <f t="shared" si="1"/>
        <v>76</v>
      </c>
      <c r="CG6" s="271">
        <f t="shared" si="1"/>
        <v>77</v>
      </c>
      <c r="CH6" s="271">
        <f t="shared" si="1"/>
        <v>78</v>
      </c>
      <c r="CI6" s="271">
        <f t="shared" si="1"/>
        <v>79</v>
      </c>
      <c r="CJ6" s="271">
        <f t="shared" si="1"/>
        <v>80</v>
      </c>
      <c r="CK6" s="271">
        <f t="shared" si="1"/>
        <v>81</v>
      </c>
      <c r="CL6" s="271">
        <f t="shared" si="1"/>
        <v>82</v>
      </c>
      <c r="CM6" s="271">
        <f t="shared" si="1"/>
        <v>83</v>
      </c>
      <c r="CN6" s="271">
        <f t="shared" si="1"/>
        <v>84</v>
      </c>
      <c r="CO6" s="271">
        <f t="shared" si="1"/>
        <v>85</v>
      </c>
      <c r="CP6" s="271">
        <f t="shared" si="1"/>
        <v>86</v>
      </c>
      <c r="CQ6" s="271"/>
      <c r="CR6" s="271"/>
      <c r="CS6" s="271">
        <f>CP6+1</f>
        <v>87</v>
      </c>
      <c r="CT6" s="271">
        <f t="shared" si="1"/>
        <v>88</v>
      </c>
      <c r="CU6" s="271">
        <f t="shared" si="1"/>
        <v>89</v>
      </c>
      <c r="CV6" s="271">
        <f t="shared" si="1"/>
        <v>90</v>
      </c>
      <c r="CW6" s="271">
        <f t="shared" si="1"/>
        <v>91</v>
      </c>
      <c r="CX6" s="271">
        <f t="shared" si="1"/>
        <v>92</v>
      </c>
      <c r="CY6" s="271">
        <f t="shared" si="1"/>
        <v>93</v>
      </c>
      <c r="CZ6" s="271">
        <f t="shared" si="1"/>
        <v>94</v>
      </c>
      <c r="DA6" s="271">
        <f t="shared" si="1"/>
        <v>95</v>
      </c>
      <c r="DB6" s="271">
        <f t="shared" si="1"/>
        <v>96</v>
      </c>
      <c r="DC6" s="271">
        <f t="shared" si="1"/>
        <v>97</v>
      </c>
      <c r="DD6" s="271">
        <f t="shared" si="1"/>
        <v>98</v>
      </c>
      <c r="DE6" s="271">
        <f t="shared" si="1"/>
        <v>99</v>
      </c>
      <c r="DF6" s="271">
        <f t="shared" si="1"/>
        <v>100</v>
      </c>
      <c r="DG6" s="271">
        <f t="shared" si="1"/>
        <v>101</v>
      </c>
      <c r="DH6" s="271">
        <f t="shared" si="1"/>
        <v>102</v>
      </c>
      <c r="DI6" s="271">
        <f t="shared" si="1"/>
        <v>103</v>
      </c>
      <c r="DJ6" s="271">
        <f t="shared" si="1"/>
        <v>104</v>
      </c>
      <c r="DK6" s="271">
        <f t="shared" si="1"/>
        <v>105</v>
      </c>
      <c r="DL6" s="271">
        <f t="shared" si="1"/>
        <v>106</v>
      </c>
      <c r="DM6" s="271">
        <f t="shared" si="1"/>
        <v>107</v>
      </c>
      <c r="DN6" s="271">
        <f t="shared" si="1"/>
        <v>108</v>
      </c>
      <c r="DO6" s="271">
        <f t="shared" si="1"/>
        <v>109</v>
      </c>
      <c r="DP6" s="271">
        <f t="shared" si="1"/>
        <v>110</v>
      </c>
      <c r="DQ6" s="271">
        <f t="shared" si="1"/>
        <v>111</v>
      </c>
      <c r="DR6" s="271">
        <f t="shared" si="1"/>
        <v>112</v>
      </c>
      <c r="DS6" s="271">
        <f t="shared" si="1"/>
        <v>113</v>
      </c>
      <c r="DT6" s="271">
        <f t="shared" si="1"/>
        <v>114</v>
      </c>
      <c r="DU6" s="271">
        <f t="shared" si="1"/>
        <v>115</v>
      </c>
      <c r="DV6" s="271">
        <f t="shared" si="1"/>
        <v>116</v>
      </c>
      <c r="DW6" s="271">
        <f t="shared" si="1"/>
        <v>117</v>
      </c>
      <c r="DX6" s="271">
        <f t="shared" si="1"/>
        <v>118</v>
      </c>
      <c r="DY6" s="271">
        <f t="shared" si="1"/>
        <v>119</v>
      </c>
      <c r="DZ6" s="271">
        <f t="shared" si="1"/>
        <v>120</v>
      </c>
      <c r="EA6" s="271">
        <f t="shared" si="1"/>
        <v>121</v>
      </c>
      <c r="EB6" s="271">
        <f t="shared" si="1"/>
        <v>122</v>
      </c>
      <c r="EC6" s="271">
        <f t="shared" si="1"/>
        <v>123</v>
      </c>
      <c r="ED6" s="271">
        <f t="shared" si="1"/>
        <v>124</v>
      </c>
      <c r="EE6" s="271">
        <f t="shared" si="1"/>
        <v>125</v>
      </c>
      <c r="EF6" s="271">
        <f t="shared" si="1"/>
        <v>126</v>
      </c>
      <c r="EG6" s="271">
        <f t="shared" si="1"/>
        <v>127</v>
      </c>
      <c r="EH6" s="271">
        <f t="shared" si="1"/>
        <v>128</v>
      </c>
      <c r="EI6" s="271">
        <f t="shared" si="1"/>
        <v>129</v>
      </c>
      <c r="EJ6" s="271">
        <f t="shared" si="1"/>
        <v>130</v>
      </c>
      <c r="EK6" s="271">
        <f t="shared" ref="EK6:EZ6" si="2">EJ6+1</f>
        <v>131</v>
      </c>
      <c r="EL6" s="271">
        <f t="shared" si="2"/>
        <v>132</v>
      </c>
      <c r="EM6" s="271">
        <f t="shared" si="2"/>
        <v>133</v>
      </c>
      <c r="EN6" s="271">
        <f t="shared" si="2"/>
        <v>134</v>
      </c>
      <c r="EO6" s="271">
        <f t="shared" si="2"/>
        <v>135</v>
      </c>
      <c r="EP6" s="271">
        <f t="shared" si="2"/>
        <v>136</v>
      </c>
      <c r="EQ6" s="271">
        <f t="shared" si="2"/>
        <v>137</v>
      </c>
      <c r="ER6" s="271">
        <f t="shared" si="2"/>
        <v>138</v>
      </c>
      <c r="ES6" s="271">
        <f t="shared" si="2"/>
        <v>139</v>
      </c>
      <c r="ET6" s="271">
        <f t="shared" si="2"/>
        <v>140</v>
      </c>
      <c r="EU6" s="271">
        <f t="shared" si="2"/>
        <v>141</v>
      </c>
      <c r="EV6" s="271">
        <f t="shared" si="2"/>
        <v>142</v>
      </c>
      <c r="EW6" s="271">
        <f t="shared" si="2"/>
        <v>143</v>
      </c>
      <c r="EX6" s="271">
        <f t="shared" si="2"/>
        <v>144</v>
      </c>
      <c r="EY6" s="271">
        <f t="shared" si="2"/>
        <v>145</v>
      </c>
      <c r="EZ6" s="271">
        <f t="shared" si="2"/>
        <v>146</v>
      </c>
      <c r="FA6" s="135"/>
      <c r="FB6" s="136"/>
      <c r="FC6" s="135"/>
      <c r="FD6" s="135"/>
      <c r="FE6" s="137"/>
      <c r="FF6" s="137"/>
      <c r="FG6" s="137"/>
      <c r="FH6" s="138"/>
    </row>
    <row r="7" spans="1:164" s="201" customFormat="1" ht="14" hidden="1" customHeight="1">
      <c r="A7" s="278"/>
      <c r="B7" s="284"/>
      <c r="C7" s="284"/>
      <c r="D7" s="284"/>
      <c r="E7" s="284"/>
      <c r="F7" s="284"/>
      <c r="G7" s="284"/>
      <c r="H7" s="284"/>
      <c r="I7" s="285" t="s">
        <v>41</v>
      </c>
      <c r="J7" s="286" t="s">
        <v>42</v>
      </c>
      <c r="K7" s="70"/>
      <c r="L7" s="287"/>
      <c r="M7" s="69"/>
      <c r="N7" s="69"/>
      <c r="O7" s="70"/>
      <c r="P7" s="288"/>
      <c r="Q7" s="289"/>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1"/>
      <c r="AZ7" s="291"/>
      <c r="BA7" s="290"/>
      <c r="BB7" s="290"/>
      <c r="BC7" s="290"/>
      <c r="BD7" s="290"/>
      <c r="BE7" s="290"/>
      <c r="BF7" s="290"/>
      <c r="BG7" s="290"/>
      <c r="BH7" s="290"/>
      <c r="BI7" s="290"/>
      <c r="BJ7" s="290"/>
      <c r="BK7" s="290"/>
      <c r="BL7" s="290"/>
      <c r="BM7" s="290"/>
      <c r="BN7" s="290"/>
      <c r="BO7" s="290"/>
      <c r="BP7" s="290"/>
      <c r="BQ7" s="290"/>
      <c r="BR7" s="290"/>
      <c r="BS7" s="290"/>
      <c r="BT7" s="290"/>
      <c r="BU7" s="290"/>
      <c r="BV7" s="290"/>
      <c r="BW7" s="761"/>
      <c r="BX7" s="761"/>
      <c r="BY7" s="761"/>
      <c r="BZ7" s="761"/>
      <c r="CA7" s="761"/>
      <c r="CB7" s="761"/>
      <c r="CC7" s="761"/>
      <c r="CD7" s="761"/>
      <c r="CE7" s="761"/>
      <c r="CF7" s="761"/>
      <c r="CG7" s="761"/>
      <c r="CH7" s="761"/>
      <c r="CI7" s="761"/>
      <c r="CJ7" s="761"/>
      <c r="CK7" s="761"/>
      <c r="CL7" s="761"/>
      <c r="CM7" s="761"/>
      <c r="CN7" s="761"/>
      <c r="CO7" s="761"/>
      <c r="CP7" s="761"/>
      <c r="CQ7" s="209"/>
      <c r="CR7" s="761"/>
      <c r="CS7" s="292">
        <f>SUM(CS8:CS314)</f>
        <v>31484.409059999984</v>
      </c>
      <c r="CT7" s="292">
        <f t="shared" ref="CT7:EZ7" si="3">SUM(CT8:CT314)</f>
        <v>1394826.6609322391</v>
      </c>
      <c r="CU7" s="292">
        <f t="shared" si="3"/>
        <v>0</v>
      </c>
      <c r="CV7" s="292">
        <f t="shared" si="3"/>
        <v>0</v>
      </c>
      <c r="CW7" s="292">
        <f t="shared" si="3"/>
        <v>141.974895</v>
      </c>
      <c r="CX7" s="292">
        <f t="shared" si="3"/>
        <v>11796.060064946912</v>
      </c>
      <c r="CY7" s="292">
        <f t="shared" si="3"/>
        <v>0</v>
      </c>
      <c r="CZ7" s="292">
        <f t="shared" si="3"/>
        <v>0</v>
      </c>
      <c r="DA7" s="292">
        <f t="shared" si="3"/>
        <v>31343.434164999991</v>
      </c>
      <c r="DB7" s="292">
        <f t="shared" si="3"/>
        <v>1383047.6008672924</v>
      </c>
      <c r="DC7" s="292">
        <f t="shared" si="3"/>
        <v>2931869</v>
      </c>
      <c r="DD7" s="292">
        <f t="shared" si="3"/>
        <v>0</v>
      </c>
      <c r="DE7" s="292">
        <f t="shared" si="3"/>
        <v>0</v>
      </c>
      <c r="DF7" s="292">
        <f t="shared" si="3"/>
        <v>0</v>
      </c>
      <c r="DG7" s="292">
        <f t="shared" si="3"/>
        <v>304</v>
      </c>
      <c r="DH7" s="292">
        <f t="shared" si="3"/>
        <v>859979.87857142871</v>
      </c>
      <c r="DI7" s="292">
        <f t="shared" si="3"/>
        <v>10236939</v>
      </c>
      <c r="DJ7" s="999">
        <f t="shared" si="3"/>
        <v>22632.762749999998</v>
      </c>
      <c r="DK7" s="292">
        <f t="shared" si="3"/>
        <v>899567.85000000021</v>
      </c>
      <c r="DL7" s="292">
        <f t="shared" si="3"/>
        <v>199018374.06537631</v>
      </c>
      <c r="DM7" s="292">
        <f t="shared" si="3"/>
        <v>15426815089.867817</v>
      </c>
      <c r="DN7" s="292">
        <f t="shared" si="3"/>
        <v>22.279999999999855</v>
      </c>
      <c r="DO7" s="292">
        <f t="shared" si="3"/>
        <v>14032151063.516197</v>
      </c>
      <c r="DP7" s="292">
        <f t="shared" si="3"/>
        <v>10976461</v>
      </c>
      <c r="DQ7" s="292">
        <f t="shared" si="3"/>
        <v>22632.762749999998</v>
      </c>
      <c r="DR7" s="292">
        <f t="shared" si="3"/>
        <v>899567.85000000009</v>
      </c>
      <c r="DS7" s="292">
        <f t="shared" si="3"/>
        <v>0</v>
      </c>
      <c r="DT7" s="292">
        <f t="shared" si="3"/>
        <v>0</v>
      </c>
      <c r="DU7" s="292">
        <f t="shared" si="3"/>
        <v>0</v>
      </c>
      <c r="DV7" s="292">
        <f t="shared" si="3"/>
        <v>0</v>
      </c>
      <c r="DW7" s="292">
        <f t="shared" si="3"/>
        <v>0</v>
      </c>
      <c r="DX7" s="292">
        <f t="shared" si="3"/>
        <v>0</v>
      </c>
      <c r="DY7" s="292">
        <f t="shared" si="3"/>
        <v>0</v>
      </c>
      <c r="DZ7" s="292">
        <f t="shared" si="3"/>
        <v>0</v>
      </c>
      <c r="EA7" s="292">
        <f t="shared" si="3"/>
        <v>471928.89999999997</v>
      </c>
      <c r="EB7" s="292">
        <f t="shared" si="3"/>
        <v>2153635</v>
      </c>
      <c r="EC7" s="292">
        <f t="shared" si="3"/>
        <v>10590</v>
      </c>
      <c r="ED7" s="292">
        <f t="shared" si="3"/>
        <v>471928.89999999997</v>
      </c>
      <c r="EE7" s="292">
        <f t="shared" si="3"/>
        <v>57.521811886519075</v>
      </c>
      <c r="EF7" s="292">
        <f t="shared" si="3"/>
        <v>538666.99189789512</v>
      </c>
      <c r="EG7" s="292">
        <f t="shared" si="3"/>
        <v>2154298</v>
      </c>
      <c r="EH7" s="292">
        <f t="shared" si="3"/>
        <v>0</v>
      </c>
      <c r="EI7" s="292">
        <f t="shared" si="3"/>
        <v>459050</v>
      </c>
      <c r="EJ7" s="292">
        <f t="shared" si="3"/>
        <v>366808</v>
      </c>
      <c r="EK7" s="292">
        <f t="shared" si="3"/>
        <v>825898</v>
      </c>
      <c r="EL7" s="292">
        <f t="shared" si="3"/>
        <v>1467446</v>
      </c>
      <c r="EM7" s="292">
        <f t="shared" si="3"/>
        <v>2155495</v>
      </c>
      <c r="EN7" s="292">
        <f t="shared" si="3"/>
        <v>1513959</v>
      </c>
      <c r="EO7" s="292">
        <f t="shared" si="3"/>
        <v>10590</v>
      </c>
      <c r="EP7" s="292">
        <f t="shared" si="3"/>
        <v>471928.89999999997</v>
      </c>
      <c r="EQ7" s="292">
        <f t="shared" si="3"/>
        <v>0</v>
      </c>
      <c r="ER7" s="292">
        <f t="shared" si="3"/>
        <v>0</v>
      </c>
      <c r="ES7" s="292">
        <f t="shared" si="3"/>
        <v>0</v>
      </c>
      <c r="ET7" s="292">
        <f t="shared" si="3"/>
        <v>0</v>
      </c>
      <c r="EU7" s="292">
        <f t="shared" si="3"/>
        <v>33222.762750000002</v>
      </c>
      <c r="EV7" s="292">
        <f t="shared" si="3"/>
        <v>1371496.7499999998</v>
      </c>
      <c r="EW7" s="292">
        <f t="shared" si="3"/>
        <v>-1879.3285850000002</v>
      </c>
      <c r="EX7" s="292">
        <f t="shared" si="3"/>
        <v>11550.850867292436</v>
      </c>
      <c r="EY7" s="292">
        <f t="shared" si="3"/>
        <v>0</v>
      </c>
      <c r="EZ7" s="292">
        <f t="shared" si="3"/>
        <v>0</v>
      </c>
      <c r="FA7" s="293" t="s">
        <v>232</v>
      </c>
      <c r="FB7" s="294"/>
      <c r="FC7" s="196"/>
      <c r="FD7" s="197"/>
      <c r="FE7" s="198"/>
      <c r="FF7" s="198"/>
      <c r="FG7" s="199"/>
      <c r="FH7" s="200"/>
    </row>
    <row r="8" spans="1:164" s="157" customFormat="1" ht="14" hidden="1" customHeight="1">
      <c r="A8" s="208" t="str">
        <f t="shared" ref="A8:A71" si="4">IF(I8=I7,"ok","Hiện")</f>
        <v>Hiện</v>
      </c>
      <c r="B8" s="151" t="str">
        <f t="shared" ref="B8" si="5">EY8</f>
        <v>Đủ</v>
      </c>
      <c r="C8" s="151">
        <f t="shared" ref="C8" si="6">EW8</f>
        <v>0</v>
      </c>
      <c r="D8" s="151"/>
      <c r="E8" s="151"/>
      <c r="F8" s="151"/>
      <c r="G8" s="151"/>
      <c r="H8" s="151"/>
      <c r="I8" s="790" t="s">
        <v>236</v>
      </c>
      <c r="J8" s="790" t="s">
        <v>237</v>
      </c>
      <c r="K8" s="364" t="s">
        <v>238</v>
      </c>
      <c r="L8" s="791"/>
      <c r="M8" s="365" t="s">
        <v>239</v>
      </c>
      <c r="N8" s="216">
        <f>10.405+0.93/4</f>
        <v>10.637499999999999</v>
      </c>
      <c r="O8" s="217">
        <v>320</v>
      </c>
      <c r="P8" s="218">
        <f>+O8*N8</f>
        <v>3404</v>
      </c>
      <c r="Q8" s="161">
        <v>320</v>
      </c>
      <c r="R8" s="162">
        <v>3404</v>
      </c>
      <c r="S8" s="161"/>
      <c r="T8" s="162"/>
      <c r="U8" s="162"/>
      <c r="V8" s="162"/>
      <c r="W8" s="162">
        <v>0</v>
      </c>
      <c r="X8" s="162">
        <v>0</v>
      </c>
      <c r="Y8" s="162">
        <v>0</v>
      </c>
      <c r="Z8" s="162">
        <v>0</v>
      </c>
      <c r="AA8" s="162">
        <v>0</v>
      </c>
      <c r="AB8" s="162">
        <v>0</v>
      </c>
      <c r="AC8" s="162">
        <v>0</v>
      </c>
      <c r="AD8" s="162">
        <v>0</v>
      </c>
      <c r="AE8" s="162">
        <v>0</v>
      </c>
      <c r="AF8" s="162">
        <v>0</v>
      </c>
      <c r="AG8" s="162">
        <v>0</v>
      </c>
      <c r="AH8" s="162">
        <v>0</v>
      </c>
      <c r="AI8" s="162">
        <f>VLOOKUP(I8,'[119]MTO-rev09'!$A:$O,11,0)</f>
        <v>0</v>
      </c>
      <c r="AJ8" s="162">
        <f>VLOOKUP(I8,'[119]MTO-rev09'!$A:$O,12,0)</f>
        <v>0</v>
      </c>
      <c r="AK8" s="162">
        <v>0</v>
      </c>
      <c r="AL8" s="162">
        <v>0</v>
      </c>
      <c r="AM8" s="162"/>
      <c r="AN8" s="162"/>
      <c r="AO8" s="162">
        <v>0</v>
      </c>
      <c r="AP8" s="162">
        <v>0</v>
      </c>
      <c r="AQ8" s="162">
        <v>0</v>
      </c>
      <c r="AR8" s="162">
        <v>0</v>
      </c>
      <c r="AS8" s="162">
        <v>0</v>
      </c>
      <c r="AT8" s="162">
        <v>0</v>
      </c>
      <c r="AU8" s="162">
        <v>0</v>
      </c>
      <c r="AV8" s="162">
        <v>0</v>
      </c>
      <c r="AW8" s="162">
        <v>0</v>
      </c>
      <c r="AX8" s="162">
        <v>0</v>
      </c>
      <c r="AY8" s="162">
        <v>0</v>
      </c>
      <c r="AZ8" s="162">
        <v>0</v>
      </c>
      <c r="BA8" s="162"/>
      <c r="BB8" s="162"/>
      <c r="BC8" s="162">
        <v>0</v>
      </c>
      <c r="BD8" s="162">
        <v>0</v>
      </c>
      <c r="BE8" s="162">
        <v>0</v>
      </c>
      <c r="BF8" s="162">
        <v>0</v>
      </c>
      <c r="BG8" s="162">
        <v>0</v>
      </c>
      <c r="BH8" s="162">
        <v>0</v>
      </c>
      <c r="BI8" s="162">
        <v>0</v>
      </c>
      <c r="BJ8" s="162">
        <v>0</v>
      </c>
      <c r="BK8" s="162">
        <v>0</v>
      </c>
      <c r="BL8" s="162">
        <v>0</v>
      </c>
      <c r="BM8" s="162">
        <v>0</v>
      </c>
      <c r="BN8" s="162">
        <v>0</v>
      </c>
      <c r="BO8" s="162"/>
      <c r="BP8" s="162"/>
      <c r="BQ8" s="162">
        <v>0</v>
      </c>
      <c r="BR8" s="162">
        <v>0</v>
      </c>
      <c r="BS8" s="162">
        <v>0</v>
      </c>
      <c r="BT8" s="162">
        <v>0</v>
      </c>
      <c r="BU8" s="162">
        <v>0</v>
      </c>
      <c r="BV8" s="162">
        <v>0</v>
      </c>
      <c r="BW8" s="162"/>
      <c r="BX8" s="162"/>
      <c r="BY8" s="162">
        <v>0</v>
      </c>
      <c r="BZ8" s="162">
        <v>0</v>
      </c>
      <c r="CA8" s="162">
        <v>0</v>
      </c>
      <c r="CB8" s="162">
        <v>0</v>
      </c>
      <c r="CC8" s="162">
        <v>0</v>
      </c>
      <c r="CD8" s="162">
        <v>0</v>
      </c>
      <c r="CE8" s="162">
        <f>VLOOKUP(I8,[120]REV33!$A:$O,11,0)</f>
        <v>0</v>
      </c>
      <c r="CF8" s="162">
        <f>VLOOKUP(I8,[120]REV33!$A:$O,12,0)</f>
        <v>0</v>
      </c>
      <c r="CG8" s="162"/>
      <c r="CH8" s="162"/>
      <c r="CI8" s="162"/>
      <c r="CJ8" s="162"/>
      <c r="CK8" s="162"/>
      <c r="CL8" s="162"/>
      <c r="CM8" s="162"/>
      <c r="CN8" s="162"/>
      <c r="CO8" s="162">
        <v>0</v>
      </c>
      <c r="CP8" s="162">
        <v>0</v>
      </c>
      <c r="CQ8" s="162">
        <v>0</v>
      </c>
      <c r="CR8" s="162">
        <v>0</v>
      </c>
      <c r="CS8" s="209">
        <f>Q8+S8+U8+W8+Y8+AA8+AC8+AE8+AG8+AI8+AK8+AM8+AO8+AQ8+AS8+AU8+AW8+AY8+BA8+BC8+BE8+BG8+BI8+BK8+BM8+BO8+BQ8+BS8+BU8+BW8+BY8+CA8+CC8+CE8+CG8+CI8+CK8+CM8+CO8+CQ8</f>
        <v>320</v>
      </c>
      <c r="CT8" s="209">
        <f>R8+T8+V8+X8+Z8+AB8+AD8+AF8+AH8+AJ8+AL8+AN8+AP8+AR8+AT8+AV8+AX8+AZ8+BB8+BD8+BF8+BH8+BJ8+BL8+BN8+BP8+BR8+BT8+BV8+BX8+BZ8+CB8+CD8+CF8+CH8+CJ8+CL8+CN8+CP8+CR8</f>
        <v>3404</v>
      </c>
      <c r="CU8" s="792" t="s">
        <v>241</v>
      </c>
      <c r="CV8" s="208"/>
      <c r="CW8" s="152"/>
      <c r="CX8" s="152"/>
      <c r="CY8" s="366"/>
      <c r="CZ8" s="793"/>
      <c r="DA8" s="152">
        <f>IF(CS8&gt;CW8,CS8-CW8,"0")</f>
        <v>320</v>
      </c>
      <c r="DB8" s="152">
        <f>IF(CT8&gt;CX8,CT8-CX8,"0")</f>
        <v>3404</v>
      </c>
      <c r="DC8" s="153">
        <v>45792</v>
      </c>
      <c r="DD8" s="153" t="s">
        <v>475</v>
      </c>
      <c r="DE8" s="153" t="s">
        <v>435</v>
      </c>
      <c r="DF8" s="367" t="s">
        <v>476</v>
      </c>
      <c r="DG8" s="368"/>
      <c r="DH8" s="181" t="s">
        <v>477</v>
      </c>
      <c r="DI8" s="153">
        <v>45773</v>
      </c>
      <c r="DJ8" s="1000">
        <v>320</v>
      </c>
      <c r="DK8" s="181" t="s">
        <v>477</v>
      </c>
      <c r="DL8" s="182">
        <f>203497600/320</f>
        <v>635930</v>
      </c>
      <c r="DM8" s="182">
        <f>DJ8*DL8*1.1</f>
        <v>223847360.00000003</v>
      </c>
      <c r="DN8" s="446">
        <f>(DM8-DO8)/DO8</f>
        <v>0.10000000000000014</v>
      </c>
      <c r="DO8" s="182">
        <f>DJ8*DL8</f>
        <v>203497600</v>
      </c>
      <c r="DP8" s="275">
        <v>45797</v>
      </c>
      <c r="DQ8" s="152">
        <f>SUMIF($I:$I,I8,$DJ:$DJ)</f>
        <v>320</v>
      </c>
      <c r="DR8" s="152">
        <f>SUMIF($I:$I,I8,$DK:$DK)</f>
        <v>0</v>
      </c>
      <c r="DS8" s="151"/>
      <c r="DT8" s="151"/>
      <c r="DU8" s="370"/>
      <c r="DV8" s="208"/>
      <c r="DW8" s="208"/>
      <c r="DX8" s="152"/>
      <c r="DY8" s="152"/>
      <c r="DZ8" s="152"/>
      <c r="EA8" s="152"/>
      <c r="EB8" s="152"/>
      <c r="EC8" s="152"/>
      <c r="ED8" s="152"/>
      <c r="EE8" s="209"/>
      <c r="EF8" s="371"/>
      <c r="EG8" s="153"/>
      <c r="EH8" s="153"/>
      <c r="EI8" s="153"/>
      <c r="EJ8" s="153"/>
      <c r="EK8" s="153"/>
      <c r="EL8" s="153"/>
      <c r="EM8" s="153"/>
      <c r="EN8" s="153"/>
      <c r="EO8" s="152">
        <f>SUMIF($I:$I,I8,$EC:$EC)</f>
        <v>0</v>
      </c>
      <c r="EP8" s="151">
        <f>SUMIF($I:$I,I8,$ED:$ED)</f>
        <v>0</v>
      </c>
      <c r="EQ8" s="153"/>
      <c r="ER8" s="153"/>
      <c r="ES8" s="153"/>
      <c r="ET8" s="153"/>
      <c r="EU8" s="152">
        <f>DQ8+EO8</f>
        <v>320</v>
      </c>
      <c r="EV8" s="152">
        <f>DR8+EP8</f>
        <v>0</v>
      </c>
      <c r="EW8" s="152">
        <f t="shared" ref="EW8:EX8" si="7">DA8-EU8</f>
        <v>0</v>
      </c>
      <c r="EX8" s="152">
        <f t="shared" si="7"/>
        <v>3404</v>
      </c>
      <c r="EY8" s="151" t="str">
        <f>IF(EW8&lt;0,"Thừa",IF(EW8=0,"Đủ","Thiếu"))</f>
        <v>Đủ</v>
      </c>
      <c r="EZ8" s="152"/>
      <c r="FA8" s="372"/>
      <c r="FB8" s="373"/>
      <c r="FC8" s="367"/>
      <c r="FD8" s="374"/>
      <c r="FE8" s="183"/>
      <c r="FF8" s="184"/>
      <c r="FG8" s="185"/>
      <c r="FH8" s="185"/>
    </row>
    <row r="9" spans="1:164" s="157" customFormat="1" ht="14" hidden="1" customHeight="1">
      <c r="A9" s="208" t="str">
        <f t="shared" si="4"/>
        <v>Hiện</v>
      </c>
      <c r="B9" s="151" t="str">
        <f t="shared" ref="B9:B26" si="8">EY9</f>
        <v>Đủ</v>
      </c>
      <c r="C9" s="151">
        <f t="shared" ref="C9:C26" si="9">EW9</f>
        <v>0</v>
      </c>
      <c r="D9" s="151"/>
      <c r="E9" s="151"/>
      <c r="F9" s="151"/>
      <c r="G9" s="151"/>
      <c r="H9" s="151"/>
      <c r="I9" s="364" t="s">
        <v>240</v>
      </c>
      <c r="J9" s="790" t="s">
        <v>235</v>
      </c>
      <c r="K9" s="364" t="s">
        <v>338</v>
      </c>
      <c r="L9" s="791" t="s">
        <v>339</v>
      </c>
      <c r="M9" s="365" t="s">
        <v>44</v>
      </c>
      <c r="N9" s="216">
        <f>7.85*CW9</f>
        <v>0</v>
      </c>
      <c r="O9" s="216" t="e">
        <f>+P9/N9</f>
        <v>#DIV/0!</v>
      </c>
      <c r="P9" s="218">
        <f>30.66*80</f>
        <v>2452.8000000000002</v>
      </c>
      <c r="Q9" s="162">
        <v>48</v>
      </c>
      <c r="R9" s="162">
        <v>3768</v>
      </c>
      <c r="S9" s="161"/>
      <c r="T9" s="162"/>
      <c r="U9" s="162"/>
      <c r="V9" s="162"/>
      <c r="W9" s="162">
        <v>0</v>
      </c>
      <c r="X9" s="162">
        <v>0</v>
      </c>
      <c r="Y9" s="162">
        <v>0</v>
      </c>
      <c r="Z9" s="162">
        <v>0</v>
      </c>
      <c r="AA9" s="162">
        <v>0</v>
      </c>
      <c r="AB9" s="162">
        <v>0</v>
      </c>
      <c r="AC9" s="162">
        <v>0</v>
      </c>
      <c r="AD9" s="162">
        <v>0</v>
      </c>
      <c r="AE9" s="162">
        <v>0</v>
      </c>
      <c r="AF9" s="162">
        <v>0</v>
      </c>
      <c r="AG9" s="162">
        <v>0</v>
      </c>
      <c r="AH9" s="162">
        <v>0</v>
      </c>
      <c r="AI9" s="162">
        <f>VLOOKUP(I9,'[119]MTO-rev09'!$A:$O,11,0)</f>
        <v>0</v>
      </c>
      <c r="AJ9" s="162">
        <f>VLOOKUP(I9,'[119]MTO-rev09'!$A:$O,12,0)</f>
        <v>0</v>
      </c>
      <c r="AK9" s="162">
        <v>0</v>
      </c>
      <c r="AL9" s="162">
        <v>0</v>
      </c>
      <c r="AM9" s="162"/>
      <c r="AN9" s="162"/>
      <c r="AO9" s="162">
        <v>0</v>
      </c>
      <c r="AP9" s="162">
        <v>0</v>
      </c>
      <c r="AQ9" s="162">
        <v>0</v>
      </c>
      <c r="AR9" s="162">
        <v>0</v>
      </c>
      <c r="AS9" s="162">
        <v>0</v>
      </c>
      <c r="AT9" s="162">
        <v>0</v>
      </c>
      <c r="AU9" s="162">
        <v>0</v>
      </c>
      <c r="AV9" s="162">
        <v>0</v>
      </c>
      <c r="AW9" s="162">
        <v>0</v>
      </c>
      <c r="AX9" s="162">
        <v>0</v>
      </c>
      <c r="AY9" s="162">
        <v>0</v>
      </c>
      <c r="AZ9" s="162">
        <v>0</v>
      </c>
      <c r="BA9" s="162"/>
      <c r="BB9" s="162"/>
      <c r="BC9" s="162">
        <v>0</v>
      </c>
      <c r="BD9" s="162">
        <v>0</v>
      </c>
      <c r="BE9" s="162">
        <v>0</v>
      </c>
      <c r="BF9" s="162">
        <v>0</v>
      </c>
      <c r="BG9" s="162">
        <v>0</v>
      </c>
      <c r="BH9" s="162">
        <v>0</v>
      </c>
      <c r="BI9" s="162">
        <v>0</v>
      </c>
      <c r="BJ9" s="162">
        <v>0</v>
      </c>
      <c r="BK9" s="162">
        <v>0</v>
      </c>
      <c r="BL9" s="162">
        <v>0</v>
      </c>
      <c r="BM9" s="162">
        <v>0</v>
      </c>
      <c r="BN9" s="162">
        <v>0</v>
      </c>
      <c r="BO9" s="162"/>
      <c r="BP9" s="162"/>
      <c r="BQ9" s="162">
        <v>0</v>
      </c>
      <c r="BR9" s="162">
        <v>0</v>
      </c>
      <c r="BS9" s="162">
        <v>0</v>
      </c>
      <c r="BT9" s="162">
        <v>0</v>
      </c>
      <c r="BU9" s="162">
        <v>0</v>
      </c>
      <c r="BV9" s="162">
        <v>0</v>
      </c>
      <c r="BW9" s="162"/>
      <c r="BX9" s="162"/>
      <c r="BY9" s="162">
        <v>0</v>
      </c>
      <c r="BZ9" s="162">
        <v>0</v>
      </c>
      <c r="CA9" s="162">
        <v>0</v>
      </c>
      <c r="CB9" s="162">
        <v>0</v>
      </c>
      <c r="CC9" s="162">
        <v>0</v>
      </c>
      <c r="CD9" s="162">
        <v>0</v>
      </c>
      <c r="CE9" s="162">
        <f>VLOOKUP(I9,[120]REV33!$A:$O,11,0)</f>
        <v>0</v>
      </c>
      <c r="CF9" s="162">
        <f>VLOOKUP(I9,[120]REV33!$A:$O,12,0)</f>
        <v>0</v>
      </c>
      <c r="CG9" s="162"/>
      <c r="CH9" s="162"/>
      <c r="CI9" s="162"/>
      <c r="CJ9" s="162"/>
      <c r="CK9" s="162"/>
      <c r="CL9" s="162"/>
      <c r="CM9" s="162"/>
      <c r="CN9" s="162"/>
      <c r="CO9" s="162">
        <v>0</v>
      </c>
      <c r="CP9" s="162">
        <v>0</v>
      </c>
      <c r="CQ9" s="162">
        <v>0</v>
      </c>
      <c r="CR9" s="162">
        <v>0</v>
      </c>
      <c r="CS9" s="209">
        <f>Q9+S9+U9+W9+Y9+AA9+AC9+AE9+AG9+AI9+AK9+AM9+AO9+AQ9+AS9+AU9+AW9+AY9+BA9+BC9+BE9+BG9+BI9+BK9+BM9+BO9+BQ9+BS9+BU9+BW9+BY9+CA9+CC9+CE9+CG9+CI9+CK9+CM9+CO9+CQ9</f>
        <v>48</v>
      </c>
      <c r="CT9" s="209">
        <f>R9+T9+V9+X9+Z9+AB9+AD9+AF9+AH9+AJ9+AL9+AN9+AP9+AR9+AT9+AV9+AX9+AZ9+BB9+BD9+BF9+BH9+BJ9+BL9+BN9+BP9+BR9+BT9+BV9+BX9+BZ9+CB9+CD9+CF9+CH9+CJ9+CL9+CN9+CP9+CR9</f>
        <v>3768</v>
      </c>
      <c r="CU9" s="375" t="s">
        <v>328</v>
      </c>
      <c r="CV9" s="208"/>
      <c r="CW9" s="152"/>
      <c r="CX9" s="152"/>
      <c r="CY9" s="366"/>
      <c r="CZ9" s="793"/>
      <c r="DA9" s="152">
        <f t="shared" ref="DA9:DA11" si="10">IF(CS9&gt;CW9,CS9-CW9,"0")</f>
        <v>48</v>
      </c>
      <c r="DB9" s="152">
        <f t="shared" ref="DB9:DB11" si="11">IF(CT9&gt;CX9,CT9-CX9,"0")</f>
        <v>3768</v>
      </c>
      <c r="DC9" s="153">
        <v>45792</v>
      </c>
      <c r="DD9" s="153" t="s">
        <v>342</v>
      </c>
      <c r="DE9" s="153" t="s">
        <v>45</v>
      </c>
      <c r="DF9" s="376" t="s">
        <v>340</v>
      </c>
      <c r="DG9" s="368" t="s">
        <v>43</v>
      </c>
      <c r="DH9" s="181">
        <v>3768</v>
      </c>
      <c r="DI9" s="153">
        <v>45779</v>
      </c>
      <c r="DJ9" s="1000">
        <v>48</v>
      </c>
      <c r="DK9" s="181">
        <v>3768</v>
      </c>
      <c r="DL9" s="181">
        <v>13545.45</v>
      </c>
      <c r="DM9" s="181">
        <f>DL9*DK9*1.1</f>
        <v>56143181.160000004</v>
      </c>
      <c r="DN9" s="446">
        <f>(DM9-DO9)/DO9</f>
        <v>0.10000000000000005</v>
      </c>
      <c r="DO9" s="182">
        <f>DL9*DK9</f>
        <v>51039255.600000001</v>
      </c>
      <c r="DP9" s="275">
        <v>45782</v>
      </c>
      <c r="DQ9" s="152">
        <f>SUMIF($I:$I,I9,$DJ:$DJ)</f>
        <v>48</v>
      </c>
      <c r="DR9" s="152">
        <f>SUMIF($I:$I,I9,$DK:$DK)</f>
        <v>3768</v>
      </c>
      <c r="DS9" s="151"/>
      <c r="DT9" s="151"/>
      <c r="DU9" s="370"/>
      <c r="DV9" s="208"/>
      <c r="DW9" s="208"/>
      <c r="DX9" s="152"/>
      <c r="DY9" s="152"/>
      <c r="DZ9" s="152"/>
      <c r="EA9" s="152"/>
      <c r="EB9" s="152"/>
      <c r="EC9" s="152"/>
      <c r="ED9" s="152"/>
      <c r="EE9" s="209"/>
      <c r="EF9" s="371"/>
      <c r="EG9" s="153"/>
      <c r="EH9" s="153"/>
      <c r="EI9" s="153"/>
      <c r="EJ9" s="153"/>
      <c r="EK9" s="153"/>
      <c r="EL9" s="153"/>
      <c r="EM9" s="153"/>
      <c r="EN9" s="153"/>
      <c r="EO9" s="152">
        <f>SUMIF($I:$I,I9,$EC:$EC)</f>
        <v>0</v>
      </c>
      <c r="EP9" s="151">
        <f>SUMIF($I:$I,I9,$ED:$ED)</f>
        <v>0</v>
      </c>
      <c r="EQ9" s="153"/>
      <c r="ER9" s="153"/>
      <c r="ES9" s="153"/>
      <c r="ET9" s="153"/>
      <c r="EU9" s="152">
        <f t="shared" ref="EU9:EU11" si="12">DQ9+EO9</f>
        <v>48</v>
      </c>
      <c r="EV9" s="152">
        <f t="shared" ref="EV9:EV11" si="13">DR9+EP9</f>
        <v>3768</v>
      </c>
      <c r="EW9" s="152">
        <f t="shared" ref="EW9:EW11" si="14">DA9-EU9</f>
        <v>0</v>
      </c>
      <c r="EX9" s="152">
        <f t="shared" ref="EX9:EX11" si="15">DB9-EV9</f>
        <v>0</v>
      </c>
      <c r="EY9" s="151" t="str">
        <f t="shared" ref="EY9:EY11" si="16">IF(EW9&lt;0,"Thừa",IF(EW9=0,"Đủ","Thiếu"))</f>
        <v>Đủ</v>
      </c>
      <c r="EZ9" s="152"/>
      <c r="FA9" s="372"/>
      <c r="FB9" s="373"/>
      <c r="FC9" s="367"/>
      <c r="FD9" s="374"/>
      <c r="FE9" s="183"/>
      <c r="FF9" s="184"/>
      <c r="FG9" s="185"/>
      <c r="FH9" s="185"/>
    </row>
    <row r="10" spans="1:164" s="157" customFormat="1" ht="14" hidden="1" customHeight="1">
      <c r="A10" s="208" t="str">
        <f t="shared" si="4"/>
        <v>Hiện</v>
      </c>
      <c r="B10" s="151" t="str">
        <f t="shared" si="8"/>
        <v>Đủ</v>
      </c>
      <c r="C10" s="151">
        <f t="shared" si="9"/>
        <v>0</v>
      </c>
      <c r="D10" s="151"/>
      <c r="E10" s="151"/>
      <c r="F10" s="151"/>
      <c r="G10" s="151"/>
      <c r="H10" s="151"/>
      <c r="I10" s="171" t="s">
        <v>243</v>
      </c>
      <c r="J10" s="164" t="s">
        <v>235</v>
      </c>
      <c r="K10" s="171" t="s">
        <v>288</v>
      </c>
      <c r="L10" s="233" t="s">
        <v>289</v>
      </c>
      <c r="M10" s="163" t="s">
        <v>44</v>
      </c>
      <c r="N10" s="172">
        <v>11.774999999999999</v>
      </c>
      <c r="O10" s="177">
        <v>0.33970276008492573</v>
      </c>
      <c r="P10" s="172">
        <v>4</v>
      </c>
      <c r="Q10" s="161"/>
      <c r="R10" s="162"/>
      <c r="S10" s="161">
        <v>0.64</v>
      </c>
      <c r="T10" s="162">
        <v>7.5359999999999996</v>
      </c>
      <c r="U10" s="162"/>
      <c r="V10" s="162"/>
      <c r="W10" s="162">
        <v>0</v>
      </c>
      <c r="X10" s="162">
        <v>0</v>
      </c>
      <c r="Y10" s="162">
        <v>0</v>
      </c>
      <c r="Z10" s="162">
        <v>0</v>
      </c>
      <c r="AA10" s="162">
        <v>0</v>
      </c>
      <c r="AB10" s="162">
        <v>0</v>
      </c>
      <c r="AC10" s="162">
        <v>0</v>
      </c>
      <c r="AD10" s="162">
        <v>0</v>
      </c>
      <c r="AE10" s="162">
        <v>0</v>
      </c>
      <c r="AF10" s="162">
        <v>0</v>
      </c>
      <c r="AG10" s="162">
        <v>3</v>
      </c>
      <c r="AH10" s="162">
        <v>35.324999999999996</v>
      </c>
      <c r="AI10" s="162">
        <f>VLOOKUP(I10,'[119]MTO-rev09'!$A:$O,11,0)</f>
        <v>0</v>
      </c>
      <c r="AJ10" s="162">
        <f>VLOOKUP(I10,'[119]MTO-rev09'!$A:$O,12,0)</f>
        <v>0</v>
      </c>
      <c r="AK10" s="162">
        <v>0</v>
      </c>
      <c r="AL10" s="162">
        <v>0</v>
      </c>
      <c r="AM10" s="162"/>
      <c r="AN10" s="162"/>
      <c r="AO10" s="162">
        <v>0</v>
      </c>
      <c r="AP10" s="162">
        <v>0</v>
      </c>
      <c r="AQ10" s="162">
        <v>0</v>
      </c>
      <c r="AR10" s="162">
        <v>0</v>
      </c>
      <c r="AS10" s="162">
        <v>0</v>
      </c>
      <c r="AT10" s="162">
        <v>0</v>
      </c>
      <c r="AU10" s="162">
        <v>0</v>
      </c>
      <c r="AV10" s="162">
        <v>0</v>
      </c>
      <c r="AW10" s="162">
        <v>0</v>
      </c>
      <c r="AX10" s="162">
        <v>0</v>
      </c>
      <c r="AY10" s="162">
        <v>0</v>
      </c>
      <c r="AZ10" s="162">
        <v>0</v>
      </c>
      <c r="BA10" s="162"/>
      <c r="BB10" s="162"/>
      <c r="BC10" s="162">
        <v>0</v>
      </c>
      <c r="BD10" s="162">
        <v>0</v>
      </c>
      <c r="BE10" s="162">
        <v>0</v>
      </c>
      <c r="BF10" s="162">
        <v>0</v>
      </c>
      <c r="BG10" s="162">
        <v>0</v>
      </c>
      <c r="BH10" s="162">
        <v>0</v>
      </c>
      <c r="BI10" s="162">
        <v>0</v>
      </c>
      <c r="BJ10" s="162">
        <v>0</v>
      </c>
      <c r="BK10" s="162">
        <v>0</v>
      </c>
      <c r="BL10" s="162">
        <v>0</v>
      </c>
      <c r="BM10" s="162">
        <v>0</v>
      </c>
      <c r="BN10" s="162">
        <v>0</v>
      </c>
      <c r="BO10" s="162"/>
      <c r="BP10" s="162"/>
      <c r="BQ10" s="162">
        <v>0</v>
      </c>
      <c r="BR10" s="162">
        <v>0</v>
      </c>
      <c r="BS10" s="162">
        <v>0</v>
      </c>
      <c r="BT10" s="162">
        <v>0</v>
      </c>
      <c r="BU10" s="162">
        <v>0</v>
      </c>
      <c r="BV10" s="162">
        <v>0</v>
      </c>
      <c r="BW10" s="162"/>
      <c r="BX10" s="162"/>
      <c r="BY10" s="162">
        <v>0</v>
      </c>
      <c r="BZ10" s="162">
        <v>0</v>
      </c>
      <c r="CA10" s="162">
        <v>0</v>
      </c>
      <c r="CB10" s="162">
        <v>0</v>
      </c>
      <c r="CC10" s="162">
        <v>0</v>
      </c>
      <c r="CD10" s="162">
        <v>0</v>
      </c>
      <c r="CE10" s="162">
        <f>VLOOKUP(I10,[120]REV33!$A:$O,11,0)</f>
        <v>0</v>
      </c>
      <c r="CF10" s="162">
        <f>VLOOKUP(I10,[120]REV33!$A:$O,12,0)</f>
        <v>0</v>
      </c>
      <c r="CG10" s="162"/>
      <c r="CH10" s="162"/>
      <c r="CI10" s="162"/>
      <c r="CJ10" s="162"/>
      <c r="CK10" s="162"/>
      <c r="CL10" s="162"/>
      <c r="CM10" s="162"/>
      <c r="CN10" s="162"/>
      <c r="CO10" s="162">
        <v>0</v>
      </c>
      <c r="CP10" s="162">
        <v>0</v>
      </c>
      <c r="CQ10" s="162">
        <v>0</v>
      </c>
      <c r="CR10" s="162">
        <v>0</v>
      </c>
      <c r="CS10" s="209">
        <f>Q10+S10+U10+W10+Y10+AA10+AC10+AE10+AG10+AI10+AK10+AM10+AO10+AQ10+AS10+AU10+AW10+AY10+BA10+BC10+BE10+BG10+BI10+BK10+BM10+BO10+BQ10+BS10+BU10+BW10+BY10+CA10+CC10+CE10+CG10+CI10+CK10+CM10+CO10+CQ10</f>
        <v>3.64</v>
      </c>
      <c r="CT10" s="209">
        <f>R10+T10+V10+X10+Z10+AB10+AD10+AF10+AH10+AJ10+AL10+AN10+AP10+AR10+AT10+AV10+AX10+AZ10+BB10+BD10+BF10+BH10+BJ10+BL10+BN10+BP10+BR10+BT10+BV10+BX10+BZ10+CB10+CD10+CF10+CH10+CJ10+CL10+CN10+CP10+CR10</f>
        <v>42.860999999999997</v>
      </c>
      <c r="CU10" s="375" t="s">
        <v>705</v>
      </c>
      <c r="CV10" s="208"/>
      <c r="CW10" s="152">
        <v>3.64</v>
      </c>
      <c r="CX10" s="152">
        <v>42.860999999999997</v>
      </c>
      <c r="CY10" s="366"/>
      <c r="CZ10" s="793" t="s">
        <v>454</v>
      </c>
      <c r="DA10" s="152" t="str">
        <f t="shared" si="10"/>
        <v>0</v>
      </c>
      <c r="DB10" s="152" t="str">
        <f t="shared" si="11"/>
        <v>0</v>
      </c>
      <c r="DC10" s="153">
        <v>45792</v>
      </c>
      <c r="DD10" s="794"/>
      <c r="DE10" s="153"/>
      <c r="DF10" s="376"/>
      <c r="DG10" s="368"/>
      <c r="DH10" s="181"/>
      <c r="DI10" s="153"/>
      <c r="DJ10" s="1000"/>
      <c r="DK10" s="181"/>
      <c r="DL10" s="182"/>
      <c r="DM10" s="182"/>
      <c r="DN10" s="182"/>
      <c r="DO10" s="182"/>
      <c r="DP10" s="275"/>
      <c r="DQ10" s="152">
        <f>SUMIF($I:$I,I10,$DJ:$DJ)</f>
        <v>0</v>
      </c>
      <c r="DR10" s="152">
        <f>SUMIF($I:$I,I10,$DK:$DK)</f>
        <v>0</v>
      </c>
      <c r="DS10" s="151"/>
      <c r="DT10" s="151"/>
      <c r="DU10" s="370"/>
      <c r="DV10" s="208"/>
      <c r="DW10" s="208"/>
      <c r="DX10" s="152"/>
      <c r="DY10" s="152"/>
      <c r="DZ10" s="152"/>
      <c r="EA10" s="152"/>
      <c r="EB10" s="152"/>
      <c r="EC10" s="152"/>
      <c r="ED10" s="152"/>
      <c r="EE10" s="209"/>
      <c r="EF10" s="371"/>
      <c r="EG10" s="153"/>
      <c r="EH10" s="153"/>
      <c r="EI10" s="153"/>
      <c r="EJ10" s="153"/>
      <c r="EK10" s="153"/>
      <c r="EL10" s="153"/>
      <c r="EM10" s="153"/>
      <c r="EN10" s="153"/>
      <c r="EO10" s="152">
        <f>SUMIF($I:$I,I10,$EC:$EC)</f>
        <v>0</v>
      </c>
      <c r="EP10" s="151">
        <f>SUMIF($I:$I,I10,$ED:$ED)</f>
        <v>0</v>
      </c>
      <c r="EQ10" s="153"/>
      <c r="ER10" s="153"/>
      <c r="ES10" s="153"/>
      <c r="ET10" s="153"/>
      <c r="EU10" s="152">
        <f t="shared" si="12"/>
        <v>0</v>
      </c>
      <c r="EV10" s="152">
        <f t="shared" si="13"/>
        <v>0</v>
      </c>
      <c r="EW10" s="152">
        <f t="shared" si="14"/>
        <v>0</v>
      </c>
      <c r="EX10" s="152">
        <f t="shared" si="15"/>
        <v>0</v>
      </c>
      <c r="EY10" s="151" t="str">
        <f t="shared" si="16"/>
        <v>Đủ</v>
      </c>
      <c r="EZ10" s="152"/>
      <c r="FA10" s="372"/>
      <c r="FB10" s="373"/>
      <c r="FC10" s="367"/>
      <c r="FD10" s="374"/>
      <c r="FE10" s="183"/>
      <c r="FF10" s="184"/>
      <c r="FG10" s="185"/>
      <c r="FH10" s="185"/>
    </row>
    <row r="11" spans="1:164" s="795" customFormat="1" ht="14" hidden="1" customHeight="1">
      <c r="A11" s="208" t="str">
        <f t="shared" si="4"/>
        <v>Hiện</v>
      </c>
      <c r="B11" s="151" t="str">
        <f>CONCATENATE(EY11," Thiết kế báo khổ 2m chỉ mua 60 tấm")</f>
        <v>Thiếu Thiết kế báo khổ 2m chỉ mua 60 tấm</v>
      </c>
      <c r="C11" s="151">
        <f t="shared" si="9"/>
        <v>36</v>
      </c>
      <c r="D11" s="154"/>
      <c r="E11" s="154" t="s">
        <v>2064</v>
      </c>
      <c r="F11" s="151"/>
      <c r="G11" s="151"/>
      <c r="H11" s="151"/>
      <c r="I11" s="171" t="s">
        <v>244</v>
      </c>
      <c r="J11" s="164" t="s">
        <v>235</v>
      </c>
      <c r="K11" s="171" t="s">
        <v>290</v>
      </c>
      <c r="L11" s="233" t="s">
        <v>289</v>
      </c>
      <c r="M11" s="163" t="s">
        <v>44</v>
      </c>
      <c r="N11" s="172">
        <v>23.549999999999997</v>
      </c>
      <c r="O11" s="177">
        <v>9.286624203821658</v>
      </c>
      <c r="P11" s="172">
        <v>218.70000000000002</v>
      </c>
      <c r="Q11" s="161"/>
      <c r="R11" s="162"/>
      <c r="S11" s="161">
        <v>9</v>
      </c>
      <c r="T11" s="162">
        <v>211.95</v>
      </c>
      <c r="U11" s="162"/>
      <c r="V11" s="162"/>
      <c r="W11" s="162">
        <v>0</v>
      </c>
      <c r="X11" s="162">
        <v>0</v>
      </c>
      <c r="Y11" s="162">
        <v>0</v>
      </c>
      <c r="Z11" s="162">
        <v>0</v>
      </c>
      <c r="AA11" s="162">
        <v>18</v>
      </c>
      <c r="AB11" s="162">
        <v>423.9</v>
      </c>
      <c r="AC11" s="162">
        <v>0</v>
      </c>
      <c r="AD11" s="162">
        <v>0</v>
      </c>
      <c r="AE11" s="162">
        <v>9</v>
      </c>
      <c r="AF11" s="162">
        <v>211.95</v>
      </c>
      <c r="AG11" s="162">
        <v>0</v>
      </c>
      <c r="AH11" s="162">
        <v>0</v>
      </c>
      <c r="AI11" s="162">
        <f>VLOOKUP(I11,'[119]MTO-rev09'!$A:$O,11,0)</f>
        <v>0</v>
      </c>
      <c r="AJ11" s="162">
        <f>VLOOKUP(I11,'[119]MTO-rev09'!$A:$O,12,0)</f>
        <v>0</v>
      </c>
      <c r="AK11" s="162">
        <v>0</v>
      </c>
      <c r="AL11" s="162">
        <v>0</v>
      </c>
      <c r="AM11" s="162"/>
      <c r="AN11" s="162"/>
      <c r="AO11" s="162">
        <v>0</v>
      </c>
      <c r="AP11" s="162">
        <v>0</v>
      </c>
      <c r="AQ11" s="162">
        <v>0</v>
      </c>
      <c r="AR11" s="162">
        <v>0</v>
      </c>
      <c r="AS11" s="162">
        <v>18</v>
      </c>
      <c r="AT11" s="162">
        <v>672.85605095541405</v>
      </c>
      <c r="AU11" s="162">
        <v>0</v>
      </c>
      <c r="AV11" s="162">
        <v>0</v>
      </c>
      <c r="AW11" s="162">
        <v>0</v>
      </c>
      <c r="AX11" s="162">
        <v>0</v>
      </c>
      <c r="AY11" s="162">
        <v>0</v>
      </c>
      <c r="AZ11" s="162">
        <v>0</v>
      </c>
      <c r="BA11" s="162"/>
      <c r="BB11" s="162"/>
      <c r="BC11" s="162">
        <v>450</v>
      </c>
      <c r="BD11" s="162">
        <v>10597.499999999998</v>
      </c>
      <c r="BE11" s="162">
        <v>0</v>
      </c>
      <c r="BF11" s="162">
        <v>0</v>
      </c>
      <c r="BG11" s="162">
        <v>0</v>
      </c>
      <c r="BH11" s="162">
        <v>0</v>
      </c>
      <c r="BI11" s="162">
        <v>0</v>
      </c>
      <c r="BJ11" s="162">
        <v>0</v>
      </c>
      <c r="BK11" s="162">
        <v>0</v>
      </c>
      <c r="BL11" s="162">
        <v>0</v>
      </c>
      <c r="BM11" s="162">
        <v>0</v>
      </c>
      <c r="BN11" s="162">
        <v>0</v>
      </c>
      <c r="BO11" s="162"/>
      <c r="BP11" s="162"/>
      <c r="BQ11" s="162">
        <v>0</v>
      </c>
      <c r="BR11" s="162">
        <v>0</v>
      </c>
      <c r="BS11" s="162">
        <v>756</v>
      </c>
      <c r="BT11" s="162">
        <v>17803.8</v>
      </c>
      <c r="BU11" s="162">
        <v>0</v>
      </c>
      <c r="BV11" s="162">
        <v>0</v>
      </c>
      <c r="BW11" s="162"/>
      <c r="BX11" s="162"/>
      <c r="BY11" s="162">
        <v>0</v>
      </c>
      <c r="BZ11" s="162">
        <v>0</v>
      </c>
      <c r="CA11" s="162">
        <v>0</v>
      </c>
      <c r="CB11" s="162">
        <v>0</v>
      </c>
      <c r="CC11" s="162">
        <v>0</v>
      </c>
      <c r="CD11" s="162">
        <v>0</v>
      </c>
      <c r="CE11" s="162">
        <f>VLOOKUP(I11,[120]REV33!$A:$O,11,0)</f>
        <v>0</v>
      </c>
      <c r="CF11" s="162">
        <f>VLOOKUP(I11,[120]REV33!$A:$O,12,0)</f>
        <v>0</v>
      </c>
      <c r="CG11" s="162"/>
      <c r="CH11" s="162"/>
      <c r="CI11" s="162"/>
      <c r="CJ11" s="162"/>
      <c r="CK11" s="162"/>
      <c r="CL11" s="162"/>
      <c r="CM11" s="162"/>
      <c r="CN11" s="162"/>
      <c r="CO11" s="162">
        <v>0</v>
      </c>
      <c r="CP11" s="162">
        <v>0</v>
      </c>
      <c r="CQ11" s="162">
        <v>0</v>
      </c>
      <c r="CR11" s="162">
        <v>0</v>
      </c>
      <c r="CS11" s="209">
        <f>Q11+S11+U11+W11+Y11+AA11+AC11+AE11+AG11+AI11+AK11+AM11+AO11+AQ11+AS11+AU11+AW11+AY11+BA11+BC11+BE11+BG11+BI11+BK11+BM11+BO11+BQ11+BS11+BU11+BW11+BY11+CA11+CC11+CE11+CG11+CI11+CK11+CM11+CO11+CQ11</f>
        <v>1260</v>
      </c>
      <c r="CT11" s="209">
        <f>R11+T11+V11+X11+Z11+AB11+AD11+AF11+AH11+AJ11+AL11+AN11+AP11+AR11+AT11+AV11+AX11+AZ11+BB11+BD11+BF11+BH11+BJ11+BL11+BN11+BP11+BR11+BT11+BV11+BX11+BZ11+CB11+CD11+CF11+CH11+CJ11+CL11+CN11+CP11+CR11</f>
        <v>29921.956050955414</v>
      </c>
      <c r="CU11" s="375" t="s">
        <v>2052</v>
      </c>
      <c r="CV11" s="208"/>
      <c r="CW11" s="152"/>
      <c r="CX11" s="152"/>
      <c r="CY11" s="366"/>
      <c r="CZ11" s="793"/>
      <c r="DA11" s="152">
        <f t="shared" si="10"/>
        <v>1260</v>
      </c>
      <c r="DB11" s="152">
        <f t="shared" si="11"/>
        <v>29921.956050955414</v>
      </c>
      <c r="DC11" s="153">
        <v>45792</v>
      </c>
      <c r="DD11" s="377" t="s">
        <v>667</v>
      </c>
      <c r="DE11" s="153" t="s">
        <v>45</v>
      </c>
      <c r="DF11" s="376" t="s">
        <v>353</v>
      </c>
      <c r="DG11" s="368" t="s">
        <v>370</v>
      </c>
      <c r="DH11" s="181">
        <v>211.95</v>
      </c>
      <c r="DI11" s="153">
        <v>45791</v>
      </c>
      <c r="DJ11" s="1000">
        <v>9</v>
      </c>
      <c r="DK11" s="181">
        <v>211.95</v>
      </c>
      <c r="DL11" s="182">
        <v>13090.91</v>
      </c>
      <c r="DM11" s="181">
        <f t="shared" ref="DM11:DM44" si="17">DL11*DK11*1.1</f>
        <v>3052080.2119500004</v>
      </c>
      <c r="DN11" s="446">
        <f t="shared" ref="DN11:DN44" si="18">(DM11-DO11)/DO11</f>
        <v>0.10000000000000017</v>
      </c>
      <c r="DO11" s="182">
        <f t="shared" ref="DO11:DO44" si="19">DL11*DK11</f>
        <v>2774618.3744999999</v>
      </c>
      <c r="DP11" s="275">
        <v>45794</v>
      </c>
      <c r="DQ11" s="152">
        <f>SUMIF($I:$I,I11,$DJ:$DJ)</f>
        <v>1224</v>
      </c>
      <c r="DR11" s="152">
        <f>SUMIF($I:$I,I11,$DK:$DK)</f>
        <v>28825.200000000004</v>
      </c>
      <c r="DS11" s="151"/>
      <c r="DT11" s="151"/>
      <c r="DU11" s="370"/>
      <c r="DV11" s="208"/>
      <c r="DW11" s="208"/>
      <c r="DX11" s="152"/>
      <c r="DY11" s="152"/>
      <c r="DZ11" s="152"/>
      <c r="EA11" s="152"/>
      <c r="EB11" s="152"/>
      <c r="EC11" s="152"/>
      <c r="ED11" s="152"/>
      <c r="EE11" s="209"/>
      <c r="EF11" s="371"/>
      <c r="EG11" s="153"/>
      <c r="EH11" s="153"/>
      <c r="EI11" s="153"/>
      <c r="EJ11" s="153"/>
      <c r="EK11" s="153"/>
      <c r="EL11" s="153"/>
      <c r="EM11" s="153"/>
      <c r="EN11" s="153"/>
      <c r="EO11" s="152">
        <f>SUMIF($I:$I,I11,$EC:$EC)</f>
        <v>0</v>
      </c>
      <c r="EP11" s="151">
        <f>SUMIF($I:$I,I11,$ED:$ED)</f>
        <v>0</v>
      </c>
      <c r="EQ11" s="153"/>
      <c r="ER11" s="153"/>
      <c r="ES11" s="153"/>
      <c r="ET11" s="153"/>
      <c r="EU11" s="152">
        <f t="shared" si="12"/>
        <v>1224</v>
      </c>
      <c r="EV11" s="152">
        <f t="shared" si="13"/>
        <v>28825.200000000004</v>
      </c>
      <c r="EW11" s="152">
        <f t="shared" si="14"/>
        <v>36</v>
      </c>
      <c r="EX11" s="152">
        <f t="shared" si="15"/>
        <v>1096.7560509554096</v>
      </c>
      <c r="EY11" s="151" t="str">
        <f t="shared" si="16"/>
        <v>Thiếu</v>
      </c>
      <c r="EZ11" s="152"/>
      <c r="FA11" s="372"/>
      <c r="FB11" s="373"/>
      <c r="FC11" s="367"/>
      <c r="FD11" s="374"/>
      <c r="FE11" s="183"/>
      <c r="FF11" s="184"/>
      <c r="FG11" s="185"/>
      <c r="FH11" s="185"/>
    </row>
    <row r="12" spans="1:164" s="796" customFormat="1" ht="14" hidden="1" customHeight="1">
      <c r="A12" s="208" t="str">
        <f t="shared" si="4"/>
        <v>ok</v>
      </c>
      <c r="B12" s="151"/>
      <c r="C12" s="151"/>
      <c r="D12" s="154"/>
      <c r="E12" s="154"/>
      <c r="F12" s="151"/>
      <c r="G12" s="151"/>
      <c r="H12" s="151"/>
      <c r="I12" s="171" t="s">
        <v>244</v>
      </c>
      <c r="J12" s="164" t="s">
        <v>235</v>
      </c>
      <c r="K12" s="171" t="s">
        <v>290</v>
      </c>
      <c r="L12" s="233" t="s">
        <v>289</v>
      </c>
      <c r="M12" s="163" t="s">
        <v>44</v>
      </c>
      <c r="N12" s="172"/>
      <c r="O12" s="177"/>
      <c r="P12" s="172"/>
      <c r="Q12" s="161"/>
      <c r="R12" s="162"/>
      <c r="S12" s="161"/>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209"/>
      <c r="CT12" s="209"/>
      <c r="CU12" s="375"/>
      <c r="CV12" s="208"/>
      <c r="CW12" s="152"/>
      <c r="CX12" s="152"/>
      <c r="CY12" s="366"/>
      <c r="CZ12" s="793"/>
      <c r="DA12" s="152"/>
      <c r="DB12" s="152"/>
      <c r="DC12" s="153"/>
      <c r="DD12" s="377" t="s">
        <v>2175</v>
      </c>
      <c r="DE12" s="153" t="s">
        <v>1496</v>
      </c>
      <c r="DF12" s="702" t="s">
        <v>2176</v>
      </c>
      <c r="DG12" s="405" t="s">
        <v>2181</v>
      </c>
      <c r="DH12" s="181"/>
      <c r="DI12" s="153">
        <v>45972</v>
      </c>
      <c r="DJ12" s="1001">
        <v>720</v>
      </c>
      <c r="DK12" s="181">
        <v>16956</v>
      </c>
      <c r="DL12" s="182">
        <v>13954.55</v>
      </c>
      <c r="DM12" s="181">
        <f>DL12*DK12*(1+DN12)</f>
        <v>260274684.78</v>
      </c>
      <c r="DN12" s="446">
        <v>0.1</v>
      </c>
      <c r="DO12" s="182">
        <f>DK12*DL12</f>
        <v>236613349.79999998</v>
      </c>
      <c r="DP12" s="275">
        <v>45976</v>
      </c>
      <c r="DQ12" s="152"/>
      <c r="DR12" s="152"/>
      <c r="DS12" s="151"/>
      <c r="DT12" s="151"/>
      <c r="DU12" s="370"/>
      <c r="DV12" s="208"/>
      <c r="DW12" s="208"/>
      <c r="DX12" s="152"/>
      <c r="DY12" s="152"/>
      <c r="DZ12" s="152"/>
      <c r="EA12" s="152"/>
      <c r="EB12" s="152"/>
      <c r="EC12" s="152"/>
      <c r="ED12" s="152"/>
      <c r="EE12" s="209"/>
      <c r="EF12" s="371"/>
      <c r="EG12" s="153"/>
      <c r="EH12" s="153"/>
      <c r="EI12" s="153"/>
      <c r="EJ12" s="153"/>
      <c r="EK12" s="153"/>
      <c r="EL12" s="153"/>
      <c r="EM12" s="153"/>
      <c r="EN12" s="153"/>
      <c r="EO12" s="152"/>
      <c r="EP12" s="151"/>
      <c r="EQ12" s="153"/>
      <c r="ER12" s="153"/>
      <c r="ES12" s="153"/>
      <c r="ET12" s="153"/>
      <c r="EU12" s="152"/>
      <c r="EV12" s="152"/>
      <c r="EW12" s="152"/>
      <c r="EX12" s="152"/>
      <c r="EY12" s="151"/>
      <c r="EZ12" s="152"/>
      <c r="FA12" s="372"/>
      <c r="FB12" s="373"/>
      <c r="FC12" s="379"/>
      <c r="FD12" s="380"/>
      <c r="FE12" s="219"/>
      <c r="FF12" s="220"/>
      <c r="FG12" s="221"/>
      <c r="FH12" s="221"/>
    </row>
    <row r="13" spans="1:164" s="796" customFormat="1" ht="14" hidden="1" customHeight="1">
      <c r="A13" s="208" t="str">
        <f t="shared" si="4"/>
        <v>ok</v>
      </c>
      <c r="B13" s="151"/>
      <c r="C13" s="151"/>
      <c r="D13" s="151"/>
      <c r="E13" s="151"/>
      <c r="F13" s="151"/>
      <c r="G13" s="151"/>
      <c r="H13" s="151"/>
      <c r="I13" s="171" t="s">
        <v>244</v>
      </c>
      <c r="J13" s="164" t="s">
        <v>235</v>
      </c>
      <c r="K13" s="171" t="s">
        <v>290</v>
      </c>
      <c r="L13" s="233" t="s">
        <v>289</v>
      </c>
      <c r="M13" s="163" t="s">
        <v>44</v>
      </c>
      <c r="N13" s="172"/>
      <c r="O13" s="177"/>
      <c r="P13" s="172"/>
      <c r="Q13" s="161"/>
      <c r="R13" s="162"/>
      <c r="S13" s="161"/>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209"/>
      <c r="CT13" s="209"/>
      <c r="CU13" s="375"/>
      <c r="CV13" s="208"/>
      <c r="CW13" s="152"/>
      <c r="CX13" s="152"/>
      <c r="CY13" s="366"/>
      <c r="CZ13" s="793"/>
      <c r="DA13" s="152"/>
      <c r="DB13" s="152"/>
      <c r="DC13" s="153"/>
      <c r="DD13" s="377" t="s">
        <v>668</v>
      </c>
      <c r="DE13" s="153" t="s">
        <v>45</v>
      </c>
      <c r="DF13" s="213" t="s">
        <v>669</v>
      </c>
      <c r="DG13" s="213" t="s">
        <v>678</v>
      </c>
      <c r="DH13" s="181">
        <v>211.95</v>
      </c>
      <c r="DI13" s="153">
        <v>45853</v>
      </c>
      <c r="DJ13" s="378">
        <v>9</v>
      </c>
      <c r="DK13" s="181">
        <v>211.95</v>
      </c>
      <c r="DL13" s="182">
        <v>13454.55</v>
      </c>
      <c r="DM13" s="181">
        <f t="shared" si="17"/>
        <v>3136861.05975</v>
      </c>
      <c r="DN13" s="446">
        <f t="shared" si="18"/>
        <v>0.10000000000000016</v>
      </c>
      <c r="DO13" s="182">
        <f t="shared" si="19"/>
        <v>2851691.8724999996</v>
      </c>
      <c r="DP13" s="275">
        <v>45856</v>
      </c>
      <c r="DQ13" s="152"/>
      <c r="DR13" s="152"/>
      <c r="DS13" s="151"/>
      <c r="DT13" s="151"/>
      <c r="DU13" s="370"/>
      <c r="DV13" s="208"/>
      <c r="DW13" s="208"/>
      <c r="DX13" s="152"/>
      <c r="DY13" s="152"/>
      <c r="DZ13" s="152"/>
      <c r="EA13" s="152"/>
      <c r="EB13" s="152"/>
      <c r="EC13" s="152"/>
      <c r="ED13" s="152"/>
      <c r="EE13" s="209"/>
      <c r="EF13" s="371"/>
      <c r="EG13" s="153"/>
      <c r="EH13" s="153"/>
      <c r="EI13" s="153"/>
      <c r="EJ13" s="153"/>
      <c r="EK13" s="153"/>
      <c r="EL13" s="153"/>
      <c r="EM13" s="153"/>
      <c r="EN13" s="153"/>
      <c r="EO13" s="152"/>
      <c r="EP13" s="151"/>
      <c r="EQ13" s="153"/>
      <c r="ER13" s="153"/>
      <c r="ES13" s="153"/>
      <c r="ET13" s="153"/>
      <c r="EU13" s="152"/>
      <c r="EV13" s="152"/>
      <c r="EW13" s="152"/>
      <c r="EX13" s="152"/>
      <c r="EY13" s="151"/>
      <c r="EZ13" s="152"/>
      <c r="FA13" s="372"/>
      <c r="FB13" s="373"/>
      <c r="FC13" s="379"/>
      <c r="FD13" s="380"/>
      <c r="FE13" s="219"/>
      <c r="FF13" s="220"/>
      <c r="FG13" s="221"/>
      <c r="FH13" s="221"/>
    </row>
    <row r="14" spans="1:164" s="796" customFormat="1" ht="14" hidden="1" customHeight="1">
      <c r="A14" s="208" t="str">
        <f t="shared" si="4"/>
        <v>ok</v>
      </c>
      <c r="B14" s="151"/>
      <c r="C14" s="151"/>
      <c r="D14" s="151"/>
      <c r="E14" s="151"/>
      <c r="F14" s="151"/>
      <c r="G14" s="151"/>
      <c r="H14" s="151"/>
      <c r="I14" s="171" t="s">
        <v>244</v>
      </c>
      <c r="J14" s="164" t="s">
        <v>235</v>
      </c>
      <c r="K14" s="171" t="s">
        <v>290</v>
      </c>
      <c r="L14" s="233" t="s">
        <v>289</v>
      </c>
      <c r="M14" s="163" t="s">
        <v>44</v>
      </c>
      <c r="N14" s="172"/>
      <c r="O14" s="177"/>
      <c r="P14" s="172"/>
      <c r="Q14" s="161"/>
      <c r="R14" s="162"/>
      <c r="S14" s="161"/>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209"/>
      <c r="CT14" s="209"/>
      <c r="CU14" s="375"/>
      <c r="CV14" s="208"/>
      <c r="CW14" s="152"/>
      <c r="CX14" s="152"/>
      <c r="CY14" s="366"/>
      <c r="CZ14" s="793"/>
      <c r="DA14" s="152"/>
      <c r="DB14" s="152"/>
      <c r="DC14" s="153"/>
      <c r="DD14" s="153" t="s">
        <v>655</v>
      </c>
      <c r="DE14" s="153" t="s">
        <v>45</v>
      </c>
      <c r="DF14" s="213" t="s">
        <v>565</v>
      </c>
      <c r="DG14" s="213" t="s">
        <v>43</v>
      </c>
      <c r="DH14" s="181">
        <v>423.9</v>
      </c>
      <c r="DI14" s="153">
        <v>45829</v>
      </c>
      <c r="DJ14" s="1000">
        <v>18</v>
      </c>
      <c r="DK14" s="181">
        <v>423.9</v>
      </c>
      <c r="DL14" s="182">
        <v>13363.64</v>
      </c>
      <c r="DM14" s="181">
        <f t="shared" si="17"/>
        <v>6231331.6956000002</v>
      </c>
      <c r="DN14" s="446">
        <f t="shared" si="18"/>
        <v>0.10000000000000016</v>
      </c>
      <c r="DO14" s="182">
        <f t="shared" si="19"/>
        <v>5664846.9959999993</v>
      </c>
      <c r="DP14" s="275">
        <v>45835</v>
      </c>
      <c r="DQ14" s="152"/>
      <c r="DR14" s="152"/>
      <c r="DS14" s="151"/>
      <c r="DT14" s="151"/>
      <c r="DU14" s="370"/>
      <c r="DV14" s="208"/>
      <c r="DW14" s="208"/>
      <c r="DX14" s="152"/>
      <c r="DY14" s="152"/>
      <c r="DZ14" s="152"/>
      <c r="EA14" s="152"/>
      <c r="EB14" s="152"/>
      <c r="EC14" s="152"/>
      <c r="ED14" s="152"/>
      <c r="EE14" s="209"/>
      <c r="EF14" s="371"/>
      <c r="EG14" s="153"/>
      <c r="EH14" s="153"/>
      <c r="EI14" s="153"/>
      <c r="EJ14" s="153"/>
      <c r="EK14" s="153"/>
      <c r="EL14" s="153"/>
      <c r="EM14" s="153"/>
      <c r="EN14" s="153"/>
      <c r="EO14" s="152"/>
      <c r="EP14" s="151"/>
      <c r="EQ14" s="153"/>
      <c r="ER14" s="153"/>
      <c r="ES14" s="153"/>
      <c r="ET14" s="153"/>
      <c r="EU14" s="152"/>
      <c r="EV14" s="152"/>
      <c r="EW14" s="152"/>
      <c r="EX14" s="152"/>
      <c r="EY14" s="151"/>
      <c r="EZ14" s="152"/>
      <c r="FA14" s="372"/>
      <c r="FB14" s="373"/>
      <c r="FC14" s="381"/>
      <c r="FD14" s="382"/>
      <c r="FE14" s="222"/>
      <c r="FF14" s="223"/>
      <c r="FG14" s="224"/>
      <c r="FH14" s="224"/>
    </row>
    <row r="15" spans="1:164" s="796" customFormat="1" ht="14" hidden="1" customHeight="1">
      <c r="A15" s="208" t="str">
        <f t="shared" si="4"/>
        <v>ok</v>
      </c>
      <c r="B15" s="151"/>
      <c r="C15" s="151"/>
      <c r="D15" s="151"/>
      <c r="E15" s="151"/>
      <c r="F15" s="151"/>
      <c r="G15" s="151"/>
      <c r="H15" s="151"/>
      <c r="I15" s="171" t="s">
        <v>244</v>
      </c>
      <c r="J15" s="164" t="s">
        <v>235</v>
      </c>
      <c r="K15" s="171" t="s">
        <v>290</v>
      </c>
      <c r="L15" s="233" t="s">
        <v>289</v>
      </c>
      <c r="M15" s="163" t="s">
        <v>44</v>
      </c>
      <c r="N15" s="172"/>
      <c r="O15" s="177"/>
      <c r="P15" s="172"/>
      <c r="Q15" s="161"/>
      <c r="R15" s="162"/>
      <c r="S15" s="161"/>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209"/>
      <c r="CT15" s="209"/>
      <c r="CU15" s="375"/>
      <c r="CV15" s="208"/>
      <c r="CW15" s="152"/>
      <c r="CX15" s="152"/>
      <c r="CY15" s="366"/>
      <c r="CZ15" s="793"/>
      <c r="DA15" s="152"/>
      <c r="DB15" s="152"/>
      <c r="DC15" s="153"/>
      <c r="DD15" s="187" t="s">
        <v>1692</v>
      </c>
      <c r="DE15" s="156" t="s">
        <v>45</v>
      </c>
      <c r="DF15" s="213" t="s">
        <v>1452</v>
      </c>
      <c r="DG15" s="186"/>
      <c r="DH15" s="156">
        <v>423.9</v>
      </c>
      <c r="DI15" s="187">
        <v>45904</v>
      </c>
      <c r="DJ15" s="429">
        <v>18</v>
      </c>
      <c r="DK15" s="240">
        <v>423.9</v>
      </c>
      <c r="DL15" s="240">
        <v>13909.09</v>
      </c>
      <c r="DM15" s="181">
        <f t="shared" si="17"/>
        <v>6485669.5761000011</v>
      </c>
      <c r="DN15" s="446">
        <f t="shared" si="18"/>
        <v>0.10000000000000016</v>
      </c>
      <c r="DO15" s="240">
        <f t="shared" si="19"/>
        <v>5896063.2510000002</v>
      </c>
      <c r="DP15" s="275">
        <v>45909</v>
      </c>
      <c r="DQ15" s="152"/>
      <c r="DR15" s="152"/>
      <c r="DS15" s="151"/>
      <c r="DT15" s="151"/>
      <c r="DU15" s="370"/>
      <c r="DV15" s="208"/>
      <c r="DW15" s="208"/>
      <c r="DX15" s="152"/>
      <c r="DY15" s="152"/>
      <c r="DZ15" s="152"/>
      <c r="EA15" s="152"/>
      <c r="EB15" s="152"/>
      <c r="EC15" s="152"/>
      <c r="ED15" s="152"/>
      <c r="EE15" s="209"/>
      <c r="EF15" s="371"/>
      <c r="EG15" s="153"/>
      <c r="EH15" s="153"/>
      <c r="EI15" s="153"/>
      <c r="EJ15" s="153"/>
      <c r="EK15" s="153"/>
      <c r="EL15" s="153"/>
      <c r="EM15" s="153"/>
      <c r="EN15" s="153"/>
      <c r="EO15" s="152"/>
      <c r="EP15" s="151"/>
      <c r="EQ15" s="153"/>
      <c r="ER15" s="153"/>
      <c r="ES15" s="153"/>
      <c r="ET15" s="153"/>
      <c r="EU15" s="152"/>
      <c r="EV15" s="152"/>
      <c r="EW15" s="152"/>
      <c r="EX15" s="152"/>
      <c r="EY15" s="151"/>
      <c r="EZ15" s="152"/>
      <c r="FA15" s="372"/>
      <c r="FB15" s="373"/>
      <c r="FC15" s="381"/>
      <c r="FD15" s="382"/>
      <c r="FE15" s="222"/>
      <c r="FF15" s="223"/>
      <c r="FG15" s="224"/>
      <c r="FH15" s="224"/>
    </row>
    <row r="16" spans="1:164" s="796" customFormat="1" ht="14" hidden="1" customHeight="1">
      <c r="A16" s="208" t="str">
        <f t="shared" si="4"/>
        <v>ok</v>
      </c>
      <c r="B16" s="151"/>
      <c r="C16" s="151"/>
      <c r="D16" s="151"/>
      <c r="E16" s="151"/>
      <c r="F16" s="151"/>
      <c r="G16" s="151"/>
      <c r="H16" s="151"/>
      <c r="I16" s="171" t="s">
        <v>244</v>
      </c>
      <c r="J16" s="164" t="s">
        <v>235</v>
      </c>
      <c r="K16" s="171" t="s">
        <v>290</v>
      </c>
      <c r="L16" s="233" t="s">
        <v>289</v>
      </c>
      <c r="M16" s="163" t="s">
        <v>44</v>
      </c>
      <c r="N16" s="172"/>
      <c r="O16" s="177"/>
      <c r="P16" s="172"/>
      <c r="Q16" s="161"/>
      <c r="R16" s="162"/>
      <c r="S16" s="161"/>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209"/>
      <c r="CT16" s="209"/>
      <c r="CU16" s="375"/>
      <c r="CV16" s="208"/>
      <c r="CW16" s="152"/>
      <c r="CX16" s="152"/>
      <c r="CY16" s="366"/>
      <c r="CZ16" s="793"/>
      <c r="DA16" s="152"/>
      <c r="DB16" s="152"/>
      <c r="DC16" s="153"/>
      <c r="DD16" s="187" t="s">
        <v>1560</v>
      </c>
      <c r="DE16" s="156" t="s">
        <v>45</v>
      </c>
      <c r="DF16" s="383" t="s">
        <v>1588</v>
      </c>
      <c r="DG16" s="213" t="s">
        <v>43</v>
      </c>
      <c r="DH16" s="156">
        <v>10597.5</v>
      </c>
      <c r="DI16" s="153">
        <v>45933</v>
      </c>
      <c r="DJ16" s="429">
        <v>450</v>
      </c>
      <c r="DK16" s="240">
        <v>10597.5</v>
      </c>
      <c r="DL16" s="181">
        <v>14181.82</v>
      </c>
      <c r="DM16" s="181">
        <f t="shared" si="17"/>
        <v>165321021.19499999</v>
      </c>
      <c r="DN16" s="446">
        <f t="shared" si="18"/>
        <v>0.10000000000000003</v>
      </c>
      <c r="DO16" s="281">
        <f t="shared" si="19"/>
        <v>150291837.44999999</v>
      </c>
      <c r="DP16" s="275">
        <v>45939</v>
      </c>
      <c r="DQ16" s="152"/>
      <c r="DR16" s="152"/>
      <c r="DS16" s="151"/>
      <c r="DT16" s="151"/>
      <c r="DU16" s="370"/>
      <c r="DV16" s="208"/>
      <c r="DW16" s="208"/>
      <c r="DX16" s="152"/>
      <c r="DY16" s="152"/>
      <c r="DZ16" s="152"/>
      <c r="EA16" s="152"/>
      <c r="EB16" s="152"/>
      <c r="EC16" s="152"/>
      <c r="ED16" s="152"/>
      <c r="EE16" s="209"/>
      <c r="EF16" s="371"/>
      <c r="EG16" s="153"/>
      <c r="EH16" s="153"/>
      <c r="EI16" s="153"/>
      <c r="EJ16" s="153"/>
      <c r="EK16" s="153"/>
      <c r="EL16" s="153"/>
      <c r="EM16" s="153"/>
      <c r="EN16" s="153"/>
      <c r="EO16" s="152"/>
      <c r="EP16" s="151"/>
      <c r="EQ16" s="153"/>
      <c r="ER16" s="153"/>
      <c r="ES16" s="153"/>
      <c r="ET16" s="153"/>
      <c r="EU16" s="152"/>
      <c r="EV16" s="152"/>
      <c r="EW16" s="152"/>
      <c r="EX16" s="152"/>
      <c r="EY16" s="151"/>
      <c r="EZ16" s="152"/>
      <c r="FA16" s="372"/>
      <c r="FB16" s="373"/>
      <c r="FC16" s="381"/>
      <c r="FD16" s="382"/>
      <c r="FE16" s="222"/>
      <c r="FF16" s="223"/>
      <c r="FG16" s="224"/>
      <c r="FH16" s="224"/>
    </row>
    <row r="17" spans="1:164" s="157" customFormat="1" ht="14" hidden="1" customHeight="1">
      <c r="A17" s="208" t="str">
        <f t="shared" si="4"/>
        <v>Hiện</v>
      </c>
      <c r="B17" s="151" t="str">
        <f t="shared" si="8"/>
        <v>Thừa</v>
      </c>
      <c r="C17" s="151">
        <f t="shared" si="9"/>
        <v>-3</v>
      </c>
      <c r="D17" s="151"/>
      <c r="E17" s="151"/>
      <c r="F17" s="154"/>
      <c r="G17" s="151"/>
      <c r="H17" s="151"/>
      <c r="I17" s="164" t="s">
        <v>245</v>
      </c>
      <c r="J17" s="164" t="s">
        <v>235</v>
      </c>
      <c r="K17" s="171" t="s">
        <v>291</v>
      </c>
      <c r="L17" s="233" t="s">
        <v>289</v>
      </c>
      <c r="M17" s="163" t="s">
        <v>44</v>
      </c>
      <c r="N17" s="172">
        <v>39.25</v>
      </c>
      <c r="O17" s="177">
        <v>6.8264968152866246</v>
      </c>
      <c r="P17" s="172">
        <v>267.94</v>
      </c>
      <c r="Q17" s="161"/>
      <c r="R17" s="162"/>
      <c r="S17" s="161">
        <v>9</v>
      </c>
      <c r="T17" s="162">
        <v>353.25</v>
      </c>
      <c r="U17" s="162"/>
      <c r="V17" s="162"/>
      <c r="W17" s="162">
        <v>0</v>
      </c>
      <c r="X17" s="162">
        <v>0</v>
      </c>
      <c r="Y17" s="162">
        <v>0</v>
      </c>
      <c r="Z17" s="162">
        <v>0</v>
      </c>
      <c r="AA17" s="162">
        <v>9</v>
      </c>
      <c r="AB17" s="162">
        <v>353.25</v>
      </c>
      <c r="AC17" s="162">
        <v>0</v>
      </c>
      <c r="AD17" s="162">
        <v>0</v>
      </c>
      <c r="AE17" s="162">
        <v>0</v>
      </c>
      <c r="AF17" s="162">
        <v>0</v>
      </c>
      <c r="AG17" s="162">
        <v>0</v>
      </c>
      <c r="AH17" s="162">
        <v>0</v>
      </c>
      <c r="AI17" s="162">
        <f>VLOOKUP(I17,'[119]MTO-rev09'!$A:$O,11,0)</f>
        <v>0</v>
      </c>
      <c r="AJ17" s="162">
        <f>VLOOKUP(I17,'[119]MTO-rev09'!$A:$O,12,0)</f>
        <v>0</v>
      </c>
      <c r="AK17" s="162">
        <v>0</v>
      </c>
      <c r="AL17" s="162">
        <v>0</v>
      </c>
      <c r="AM17" s="162"/>
      <c r="AN17" s="162"/>
      <c r="AO17" s="162">
        <v>0</v>
      </c>
      <c r="AP17" s="162">
        <v>0</v>
      </c>
      <c r="AQ17" s="162">
        <v>0</v>
      </c>
      <c r="AR17" s="162">
        <v>0</v>
      </c>
      <c r="AS17" s="162">
        <v>0</v>
      </c>
      <c r="AT17" s="162">
        <v>0</v>
      </c>
      <c r="AU17" s="162">
        <v>0</v>
      </c>
      <c r="AV17" s="162">
        <v>0</v>
      </c>
      <c r="AW17" s="162">
        <v>0</v>
      </c>
      <c r="AX17" s="162">
        <v>0</v>
      </c>
      <c r="AY17" s="162">
        <v>0</v>
      </c>
      <c r="AZ17" s="162">
        <v>0</v>
      </c>
      <c r="BA17" s="162"/>
      <c r="BB17" s="162"/>
      <c r="BC17" s="162">
        <v>0</v>
      </c>
      <c r="BD17" s="162">
        <v>0</v>
      </c>
      <c r="BE17" s="162">
        <v>0</v>
      </c>
      <c r="BF17" s="162">
        <v>0</v>
      </c>
      <c r="BG17" s="162">
        <v>0</v>
      </c>
      <c r="BH17" s="162">
        <v>0</v>
      </c>
      <c r="BI17" s="162">
        <v>0</v>
      </c>
      <c r="BJ17" s="162">
        <v>0</v>
      </c>
      <c r="BK17" s="162">
        <v>9</v>
      </c>
      <c r="BL17" s="162">
        <v>353.25</v>
      </c>
      <c r="BM17" s="162">
        <v>0</v>
      </c>
      <c r="BN17" s="162">
        <v>0</v>
      </c>
      <c r="BO17" s="162"/>
      <c r="BP17" s="162"/>
      <c r="BQ17" s="162">
        <v>0</v>
      </c>
      <c r="BR17" s="162">
        <v>0</v>
      </c>
      <c r="BS17" s="162">
        <v>0</v>
      </c>
      <c r="BT17" s="162">
        <v>0</v>
      </c>
      <c r="BU17" s="162">
        <v>0</v>
      </c>
      <c r="BV17" s="162">
        <v>0</v>
      </c>
      <c r="BW17" s="162"/>
      <c r="BX17" s="162"/>
      <c r="BY17" s="162">
        <v>0</v>
      </c>
      <c r="BZ17" s="162">
        <v>0</v>
      </c>
      <c r="CA17" s="162">
        <v>9</v>
      </c>
      <c r="CB17" s="162">
        <v>353.25</v>
      </c>
      <c r="CC17" s="162">
        <v>0</v>
      </c>
      <c r="CD17" s="162">
        <v>0</v>
      </c>
      <c r="CE17" s="162">
        <f>VLOOKUP(I17,[120]REV33!$A:$O,11,0)</f>
        <v>0</v>
      </c>
      <c r="CF17" s="162">
        <f>VLOOKUP(I17,[120]REV33!$A:$O,12,0)</f>
        <v>0</v>
      </c>
      <c r="CG17" s="162"/>
      <c r="CH17" s="162"/>
      <c r="CI17" s="162"/>
      <c r="CJ17" s="162"/>
      <c r="CK17" s="162"/>
      <c r="CL17" s="162"/>
      <c r="CM17" s="162"/>
      <c r="CN17" s="162"/>
      <c r="CO17" s="162">
        <v>0</v>
      </c>
      <c r="CP17" s="162">
        <v>0</v>
      </c>
      <c r="CQ17" s="162">
        <v>0</v>
      </c>
      <c r="CR17" s="162">
        <v>0</v>
      </c>
      <c r="CS17" s="209">
        <f>Q17+S17+U17+W17+Y17+AA17+AC17+AE17+AG17+AI17+AK17+AM17+AO17+AQ17+AS17+AU17+AW17+AY17+BA17+BC17+BE17+BG17+BI17+BK17+BM17+BO17+BQ17+BS17+BU17+BW17+BY17+CA17+CC17+CE17+CG17+CI17+CK17+CM17+CO17+CQ17</f>
        <v>36</v>
      </c>
      <c r="CT17" s="209">
        <f>R17+T17+V17+X17+Z17+AB17+AD17+AF17+AH17+AJ17+AL17+AN17+AP17+AR17+AT17+AV17+AX17+AZ17+BB17+BD17+BF17+BH17+BJ17+BL17+BN17+BP17+BR17+BT17+BV17+BX17+BZ17+CB17+CD17+CF17+CH17+CJ17+CL17+CN17+CP17+CR17</f>
        <v>1413</v>
      </c>
      <c r="CU17" s="375" t="s">
        <v>2324</v>
      </c>
      <c r="CV17" s="208"/>
      <c r="CW17" s="152"/>
      <c r="CX17" s="152"/>
      <c r="CY17" s="275"/>
      <c r="CZ17" s="787"/>
      <c r="DA17" s="152">
        <f>IF(CS17&gt;CW17,CS17-CW17,"0")</f>
        <v>36</v>
      </c>
      <c r="DB17" s="152">
        <f>IF(CT17&gt;CX17,CT17-CX17,"0")</f>
        <v>1413</v>
      </c>
      <c r="DC17" s="153">
        <v>45792</v>
      </c>
      <c r="DD17" s="377" t="s">
        <v>667</v>
      </c>
      <c r="DE17" s="153" t="s">
        <v>45</v>
      </c>
      <c r="DF17" s="788" t="s">
        <v>354</v>
      </c>
      <c r="DG17" s="789" t="s">
        <v>519</v>
      </c>
      <c r="DH17" s="181">
        <v>353.25</v>
      </c>
      <c r="DI17" s="153">
        <v>45791</v>
      </c>
      <c r="DJ17" s="392">
        <v>9</v>
      </c>
      <c r="DK17" s="181">
        <v>353.25</v>
      </c>
      <c r="DL17" s="182">
        <v>13090.91</v>
      </c>
      <c r="DM17" s="181">
        <f t="shared" si="17"/>
        <v>5086800.3532499997</v>
      </c>
      <c r="DN17" s="446">
        <f t="shared" si="18"/>
        <v>0.10000000000000005</v>
      </c>
      <c r="DO17" s="182">
        <f t="shared" si="19"/>
        <v>4624363.9574999996</v>
      </c>
      <c r="DP17" s="275">
        <v>45794</v>
      </c>
      <c r="DQ17" s="152">
        <f>SUMIF($I:$I,I17,$DJ:$DJ)</f>
        <v>39</v>
      </c>
      <c r="DR17" s="152">
        <f>SUMIF($I:$I,I17,$DK:$DK)</f>
        <v>1530.75</v>
      </c>
      <c r="DS17" s="151"/>
      <c r="DT17" s="275"/>
      <c r="DU17" s="370"/>
      <c r="DV17" s="208"/>
      <c r="DW17" s="208"/>
      <c r="DX17" s="152"/>
      <c r="DY17" s="152"/>
      <c r="DZ17" s="152"/>
      <c r="EA17" s="152"/>
      <c r="EB17" s="152"/>
      <c r="EC17" s="152"/>
      <c r="ED17" s="152"/>
      <c r="EE17" s="209"/>
      <c r="EF17" s="371"/>
      <c r="EG17" s="153"/>
      <c r="EH17" s="153"/>
      <c r="EI17" s="153"/>
      <c r="EJ17" s="153"/>
      <c r="EK17" s="153"/>
      <c r="EL17" s="153"/>
      <c r="EM17" s="153"/>
      <c r="EN17" s="153"/>
      <c r="EO17" s="152">
        <f>SUMIF($I:$I,I17,$EC:$EC)</f>
        <v>0</v>
      </c>
      <c r="EP17" s="151">
        <f>SUMIF($I:$I,I17,$ED:$ED)</f>
        <v>0</v>
      </c>
      <c r="EQ17" s="153"/>
      <c r="ER17" s="153"/>
      <c r="ES17" s="153"/>
      <c r="ET17" s="153"/>
      <c r="EU17" s="152">
        <f>DQ17+EO17</f>
        <v>39</v>
      </c>
      <c r="EV17" s="152">
        <f>DR17+EP17</f>
        <v>1530.75</v>
      </c>
      <c r="EW17" s="152">
        <f t="shared" ref="EW17" si="20">DA17-EU17</f>
        <v>-3</v>
      </c>
      <c r="EX17" s="152">
        <f t="shared" ref="EX17" si="21">DB17-EV17</f>
        <v>-117.75</v>
      </c>
      <c r="EY17" s="151" t="str">
        <f>IF(EW17&lt;0,"Thừa",IF(EW17=0,"Đủ","Thiếu"))</f>
        <v>Thừa</v>
      </c>
      <c r="EZ17" s="152"/>
      <c r="FA17" s="372"/>
      <c r="FB17" s="373"/>
      <c r="FC17" s="367"/>
      <c r="FD17" s="374"/>
      <c r="FE17" s="183"/>
      <c r="FF17" s="184"/>
      <c r="FG17" s="185"/>
      <c r="FH17" s="185"/>
    </row>
    <row r="18" spans="1:164" s="157" customFormat="1" ht="14" hidden="1" customHeight="1">
      <c r="A18" s="208" t="str">
        <f t="shared" si="4"/>
        <v>ok</v>
      </c>
      <c r="B18" s="151"/>
      <c r="C18" s="151"/>
      <c r="D18" s="151"/>
      <c r="E18" s="151"/>
      <c r="F18" s="154"/>
      <c r="G18" s="151"/>
      <c r="H18" s="151"/>
      <c r="I18" s="164" t="s">
        <v>245</v>
      </c>
      <c r="J18" s="164" t="s">
        <v>235</v>
      </c>
      <c r="K18" s="171" t="s">
        <v>291</v>
      </c>
      <c r="L18" s="233" t="s">
        <v>289</v>
      </c>
      <c r="M18" s="163" t="s">
        <v>44</v>
      </c>
      <c r="N18" s="172"/>
      <c r="O18" s="177"/>
      <c r="P18" s="172"/>
      <c r="Q18" s="161"/>
      <c r="R18" s="162"/>
      <c r="S18" s="161"/>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209"/>
      <c r="CT18" s="209"/>
      <c r="CU18" s="375"/>
      <c r="CV18" s="208"/>
      <c r="CW18" s="152"/>
      <c r="CX18" s="152"/>
      <c r="CY18" s="275"/>
      <c r="CZ18" s="787"/>
      <c r="DA18" s="152"/>
      <c r="DB18" s="152"/>
      <c r="DC18" s="153"/>
      <c r="DD18" s="377" t="s">
        <v>374</v>
      </c>
      <c r="DE18" s="153" t="s">
        <v>45</v>
      </c>
      <c r="DF18" s="788" t="s">
        <v>2336</v>
      </c>
      <c r="DG18" s="789"/>
      <c r="DH18" s="181">
        <v>471</v>
      </c>
      <c r="DI18" s="153" t="s">
        <v>374</v>
      </c>
      <c r="DJ18" s="392">
        <v>12</v>
      </c>
      <c r="DK18" s="181">
        <v>471</v>
      </c>
      <c r="DL18" s="182">
        <v>13727.27</v>
      </c>
      <c r="DM18" s="181">
        <f t="shared" ref="DM18" si="22">DL18*DK18*1.1</f>
        <v>7112098.5870000003</v>
      </c>
      <c r="DN18" s="446">
        <f t="shared" ref="DN18" si="23">(DM18-DO18)/DO18</f>
        <v>0.10000000000000006</v>
      </c>
      <c r="DO18" s="182">
        <f t="shared" ref="DO18" si="24">DL18*DK18</f>
        <v>6465544.1699999999</v>
      </c>
      <c r="DP18" s="275">
        <v>45997</v>
      </c>
      <c r="DQ18" s="152"/>
      <c r="DR18" s="152"/>
      <c r="DS18" s="151"/>
      <c r="DT18" s="275"/>
      <c r="DU18" s="370"/>
      <c r="DV18" s="208"/>
      <c r="DW18" s="208"/>
      <c r="DX18" s="152"/>
      <c r="DY18" s="152"/>
      <c r="DZ18" s="152"/>
      <c r="EA18" s="152"/>
      <c r="EB18" s="152"/>
      <c r="EC18" s="152"/>
      <c r="ED18" s="152"/>
      <c r="EE18" s="209"/>
      <c r="EF18" s="371"/>
      <c r="EG18" s="153"/>
      <c r="EH18" s="153"/>
      <c r="EI18" s="153"/>
      <c r="EJ18" s="153"/>
      <c r="EK18" s="153"/>
      <c r="EL18" s="153"/>
      <c r="EM18" s="153"/>
      <c r="EN18" s="153"/>
      <c r="EO18" s="152"/>
      <c r="EP18" s="151"/>
      <c r="EQ18" s="153"/>
      <c r="ER18" s="153"/>
      <c r="ES18" s="153"/>
      <c r="ET18" s="153"/>
      <c r="EU18" s="152"/>
      <c r="EV18" s="152"/>
      <c r="EW18" s="152"/>
      <c r="EX18" s="152"/>
      <c r="EY18" s="151"/>
      <c r="EZ18" s="152"/>
      <c r="FA18" s="372"/>
      <c r="FB18" s="373"/>
      <c r="FC18" s="367"/>
      <c r="FD18" s="374"/>
      <c r="FE18" s="183"/>
      <c r="FF18" s="184"/>
      <c r="FG18" s="185"/>
      <c r="FH18" s="185"/>
    </row>
    <row r="19" spans="1:164" s="386" customFormat="1" ht="14" hidden="1" customHeight="1">
      <c r="A19" s="208" t="str">
        <f t="shared" si="4"/>
        <v>ok</v>
      </c>
      <c r="B19" s="151"/>
      <c r="C19" s="151"/>
      <c r="D19" s="151"/>
      <c r="E19" s="151"/>
      <c r="F19" s="151"/>
      <c r="G19" s="151"/>
      <c r="H19" s="151"/>
      <c r="I19" s="171" t="s">
        <v>245</v>
      </c>
      <c r="J19" s="164" t="s">
        <v>235</v>
      </c>
      <c r="K19" s="171" t="s">
        <v>291</v>
      </c>
      <c r="L19" s="233" t="s">
        <v>289</v>
      </c>
      <c r="M19" s="163" t="s">
        <v>44</v>
      </c>
      <c r="N19" s="172"/>
      <c r="O19" s="177"/>
      <c r="P19" s="172"/>
      <c r="Q19" s="161"/>
      <c r="R19" s="162"/>
      <c r="S19" s="161"/>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209"/>
      <c r="CT19" s="209"/>
      <c r="CU19" s="375"/>
      <c r="CV19" s="208"/>
      <c r="CW19" s="152"/>
      <c r="CX19" s="152"/>
      <c r="CY19" s="275"/>
      <c r="CZ19" s="787"/>
      <c r="DA19" s="152"/>
      <c r="DB19" s="152"/>
      <c r="DC19" s="153"/>
      <c r="DD19" s="153" t="s">
        <v>655</v>
      </c>
      <c r="DE19" s="153" t="s">
        <v>45</v>
      </c>
      <c r="DF19" s="213" t="s">
        <v>566</v>
      </c>
      <c r="DG19" s="213" t="s">
        <v>43</v>
      </c>
      <c r="DH19" s="181">
        <v>353.25</v>
      </c>
      <c r="DI19" s="153">
        <v>45829</v>
      </c>
      <c r="DJ19" s="392">
        <v>9</v>
      </c>
      <c r="DK19" s="181">
        <v>353.25</v>
      </c>
      <c r="DL19" s="182">
        <v>13272.73</v>
      </c>
      <c r="DM19" s="181">
        <f t="shared" si="17"/>
        <v>5157451.05975</v>
      </c>
      <c r="DN19" s="446">
        <f t="shared" si="18"/>
        <v>0.1000000000000001</v>
      </c>
      <c r="DO19" s="182">
        <f t="shared" si="19"/>
        <v>4688591.8724999996</v>
      </c>
      <c r="DP19" s="275">
        <v>45835</v>
      </c>
      <c r="DQ19" s="152"/>
      <c r="DR19" s="152"/>
      <c r="DS19" s="151"/>
      <c r="DT19" s="275"/>
      <c r="DU19" s="370"/>
      <c r="DV19" s="208"/>
      <c r="DW19" s="208"/>
      <c r="DX19" s="152"/>
      <c r="DY19" s="152"/>
      <c r="DZ19" s="152"/>
      <c r="EA19" s="152"/>
      <c r="EB19" s="152"/>
      <c r="EC19" s="152"/>
      <c r="ED19" s="152"/>
      <c r="EE19" s="209"/>
      <c r="EF19" s="371"/>
      <c r="EG19" s="153"/>
      <c r="EH19" s="153"/>
      <c r="EI19" s="153"/>
      <c r="EJ19" s="153"/>
      <c r="EK19" s="153"/>
      <c r="EL19" s="153"/>
      <c r="EM19" s="153"/>
      <c r="EN19" s="153"/>
      <c r="EO19" s="152"/>
      <c r="EP19" s="151"/>
      <c r="EQ19" s="153"/>
      <c r="ER19" s="153"/>
      <c r="ES19" s="153"/>
      <c r="ET19" s="153"/>
      <c r="EU19" s="152"/>
      <c r="EV19" s="152"/>
      <c r="EW19" s="152"/>
      <c r="EX19" s="152"/>
      <c r="EY19" s="151"/>
      <c r="EZ19" s="152"/>
      <c r="FA19" s="372"/>
      <c r="FB19" s="373"/>
      <c r="FC19" s="384"/>
      <c r="FD19" s="385"/>
      <c r="FE19" s="210"/>
      <c r="FF19" s="211"/>
      <c r="FG19" s="212"/>
      <c r="FH19" s="212"/>
    </row>
    <row r="20" spans="1:164" s="386" customFormat="1" ht="14" hidden="1" customHeight="1">
      <c r="A20" s="208" t="str">
        <f t="shared" si="4"/>
        <v>ok</v>
      </c>
      <c r="B20" s="151"/>
      <c r="C20" s="151"/>
      <c r="D20" s="151"/>
      <c r="E20" s="151"/>
      <c r="F20" s="151"/>
      <c r="G20" s="151"/>
      <c r="H20" s="151"/>
      <c r="I20" s="171" t="s">
        <v>245</v>
      </c>
      <c r="J20" s="164" t="s">
        <v>235</v>
      </c>
      <c r="K20" s="171" t="s">
        <v>291</v>
      </c>
      <c r="L20" s="233" t="s">
        <v>289</v>
      </c>
      <c r="M20" s="163" t="s">
        <v>44</v>
      </c>
      <c r="N20" s="172"/>
      <c r="O20" s="177"/>
      <c r="P20" s="172"/>
      <c r="Q20" s="161"/>
      <c r="R20" s="162"/>
      <c r="S20" s="161"/>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209"/>
      <c r="CT20" s="209"/>
      <c r="CU20" s="375"/>
      <c r="CV20" s="208"/>
      <c r="CW20" s="152"/>
      <c r="CX20" s="152"/>
      <c r="CY20" s="275"/>
      <c r="CZ20" s="787"/>
      <c r="DA20" s="152"/>
      <c r="DB20" s="152"/>
      <c r="DC20" s="153"/>
      <c r="DD20" s="153" t="s">
        <v>374</v>
      </c>
      <c r="DE20" s="153" t="s">
        <v>45</v>
      </c>
      <c r="DF20" s="383" t="s">
        <v>566</v>
      </c>
      <c r="DG20" s="213"/>
      <c r="DH20" s="181">
        <v>353.25</v>
      </c>
      <c r="DI20" s="153" t="s">
        <v>374</v>
      </c>
      <c r="DJ20" s="392">
        <v>9</v>
      </c>
      <c r="DK20" s="181">
        <v>353.25</v>
      </c>
      <c r="DL20" s="182">
        <v>14181.82</v>
      </c>
      <c r="DM20" s="181">
        <f t="shared" si="17"/>
        <v>5510700.7065000003</v>
      </c>
      <c r="DN20" s="446">
        <f t="shared" si="18"/>
        <v>0.10000000000000006</v>
      </c>
      <c r="DO20" s="182">
        <f t="shared" si="19"/>
        <v>5009727.915</v>
      </c>
      <c r="DP20" s="275">
        <v>45957</v>
      </c>
      <c r="DQ20" s="152"/>
      <c r="DR20" s="152"/>
      <c r="DS20" s="151"/>
      <c r="DT20" s="275"/>
      <c r="DU20" s="370"/>
      <c r="DV20" s="208"/>
      <c r="DW20" s="208"/>
      <c r="DX20" s="152"/>
      <c r="DY20" s="152"/>
      <c r="DZ20" s="152"/>
      <c r="EA20" s="152"/>
      <c r="EB20" s="152"/>
      <c r="EC20" s="152"/>
      <c r="ED20" s="152"/>
      <c r="EE20" s="209"/>
      <c r="EF20" s="371"/>
      <c r="EG20" s="153"/>
      <c r="EH20" s="153"/>
      <c r="EI20" s="153"/>
      <c r="EJ20" s="153"/>
      <c r="EK20" s="153"/>
      <c r="EL20" s="153"/>
      <c r="EM20" s="153"/>
      <c r="EN20" s="153"/>
      <c r="EO20" s="152"/>
      <c r="EP20" s="151"/>
      <c r="EQ20" s="153"/>
      <c r="ER20" s="153"/>
      <c r="ES20" s="153"/>
      <c r="ET20" s="153"/>
      <c r="EU20" s="152"/>
      <c r="EV20" s="152"/>
      <c r="EW20" s="152"/>
      <c r="EX20" s="152"/>
      <c r="EY20" s="151"/>
      <c r="EZ20" s="152"/>
      <c r="FA20" s="372"/>
      <c r="FB20" s="373"/>
      <c r="FC20" s="384"/>
      <c r="FD20" s="385"/>
      <c r="FE20" s="210"/>
      <c r="FF20" s="211"/>
      <c r="FG20" s="212"/>
      <c r="FH20" s="212"/>
    </row>
    <row r="21" spans="1:164" s="157" customFormat="1" ht="14" hidden="1" customHeight="1">
      <c r="A21" s="208" t="str">
        <f t="shared" si="4"/>
        <v>Hiện</v>
      </c>
      <c r="B21" s="151" t="str">
        <f t="shared" ref="B21" si="25">EY21</f>
        <v>Đủ</v>
      </c>
      <c r="C21" s="151">
        <f t="shared" ref="C21" si="26">EW21</f>
        <v>0</v>
      </c>
      <c r="D21" s="151"/>
      <c r="E21" s="151"/>
      <c r="F21" s="151"/>
      <c r="G21" s="151"/>
      <c r="H21" s="151"/>
      <c r="I21" s="171" t="s">
        <v>562</v>
      </c>
      <c r="J21" s="164" t="s">
        <v>235</v>
      </c>
      <c r="K21" s="171" t="s">
        <v>563</v>
      </c>
      <c r="L21" s="233" t="s">
        <v>289</v>
      </c>
      <c r="M21" s="163" t="s">
        <v>44</v>
      </c>
      <c r="N21" s="172">
        <v>39.25</v>
      </c>
      <c r="O21" s="177"/>
      <c r="P21" s="172"/>
      <c r="Q21" s="161"/>
      <c r="R21" s="162"/>
      <c r="S21" s="161"/>
      <c r="T21" s="162"/>
      <c r="U21" s="162"/>
      <c r="V21" s="162"/>
      <c r="W21" s="162"/>
      <c r="X21" s="162"/>
      <c r="Y21" s="162"/>
      <c r="Z21" s="162"/>
      <c r="AA21" s="162"/>
      <c r="AB21" s="162"/>
      <c r="AC21" s="162">
        <v>192</v>
      </c>
      <c r="AD21" s="162">
        <v>7536</v>
      </c>
      <c r="AE21" s="162">
        <v>0</v>
      </c>
      <c r="AF21" s="162">
        <v>0</v>
      </c>
      <c r="AG21" s="162">
        <v>0</v>
      </c>
      <c r="AH21" s="162">
        <v>0</v>
      </c>
      <c r="AI21" s="162">
        <f>VLOOKUP(I21,'[119]MTO-rev09'!$A:$O,11,0)</f>
        <v>0</v>
      </c>
      <c r="AJ21" s="162">
        <f>VLOOKUP(I21,'[119]MTO-rev09'!$A:$O,12,0)</f>
        <v>0</v>
      </c>
      <c r="AK21" s="162">
        <v>0</v>
      </c>
      <c r="AL21" s="162">
        <v>0</v>
      </c>
      <c r="AM21" s="162"/>
      <c r="AN21" s="162"/>
      <c r="AO21" s="162">
        <v>0</v>
      </c>
      <c r="AP21" s="162">
        <v>0</v>
      </c>
      <c r="AQ21" s="162">
        <v>0</v>
      </c>
      <c r="AR21" s="162">
        <v>0</v>
      </c>
      <c r="AS21" s="162">
        <v>0</v>
      </c>
      <c r="AT21" s="162">
        <v>0</v>
      </c>
      <c r="AU21" s="162">
        <v>0</v>
      </c>
      <c r="AV21" s="162">
        <v>0</v>
      </c>
      <c r="AW21" s="162">
        <v>0</v>
      </c>
      <c r="AX21" s="162">
        <v>0</v>
      </c>
      <c r="AY21" s="162">
        <v>0</v>
      </c>
      <c r="AZ21" s="162">
        <v>0</v>
      </c>
      <c r="BA21" s="162"/>
      <c r="BB21" s="162"/>
      <c r="BC21" s="162">
        <v>0</v>
      </c>
      <c r="BD21" s="162">
        <v>0</v>
      </c>
      <c r="BE21" s="162">
        <v>0</v>
      </c>
      <c r="BF21" s="162">
        <v>0</v>
      </c>
      <c r="BG21" s="162">
        <v>0</v>
      </c>
      <c r="BH21" s="162">
        <v>0</v>
      </c>
      <c r="BI21" s="162">
        <v>0</v>
      </c>
      <c r="BJ21" s="162">
        <v>0</v>
      </c>
      <c r="BK21" s="162">
        <v>0</v>
      </c>
      <c r="BL21" s="162">
        <v>0</v>
      </c>
      <c r="BM21" s="162">
        <v>0</v>
      </c>
      <c r="BN21" s="162">
        <v>0</v>
      </c>
      <c r="BO21" s="162"/>
      <c r="BP21" s="162"/>
      <c r="BQ21" s="162">
        <v>0</v>
      </c>
      <c r="BR21" s="162">
        <v>0</v>
      </c>
      <c r="BS21" s="162">
        <v>0</v>
      </c>
      <c r="BT21" s="162">
        <v>0</v>
      </c>
      <c r="BU21" s="162">
        <v>0</v>
      </c>
      <c r="BV21" s="162">
        <v>0</v>
      </c>
      <c r="BW21" s="162"/>
      <c r="BX21" s="162"/>
      <c r="BY21" s="162">
        <v>0</v>
      </c>
      <c r="BZ21" s="162">
        <v>0</v>
      </c>
      <c r="CA21" s="162">
        <v>0</v>
      </c>
      <c r="CB21" s="162">
        <v>0</v>
      </c>
      <c r="CC21" s="162">
        <v>0</v>
      </c>
      <c r="CD21" s="162">
        <v>0</v>
      </c>
      <c r="CE21" s="162">
        <f>VLOOKUP(I21,[120]REV33!$A:$O,11,0)</f>
        <v>0</v>
      </c>
      <c r="CF21" s="162">
        <f>VLOOKUP(I21,[120]REV33!$A:$O,12,0)</f>
        <v>0</v>
      </c>
      <c r="CG21" s="162"/>
      <c r="CH21" s="162"/>
      <c r="CI21" s="162"/>
      <c r="CJ21" s="162"/>
      <c r="CK21" s="162"/>
      <c r="CL21" s="162"/>
      <c r="CM21" s="162"/>
      <c r="CN21" s="162"/>
      <c r="CO21" s="162">
        <v>0</v>
      </c>
      <c r="CP21" s="162">
        <v>0</v>
      </c>
      <c r="CQ21" s="162">
        <v>0</v>
      </c>
      <c r="CR21" s="162">
        <v>0</v>
      </c>
      <c r="CS21" s="209">
        <f>Q21+S21+U21+W21+Y21+AA21+AC21+AE21+AG21+AI21+AK21+AM21+AO21+AQ21+AS21+AU21+AW21+AY21+BA21+BC21+BE21+BG21+BI21+BK21+BM21+BO21+BQ21+BS21+BU21+BW21+BY21+CA21+CC21+CE21+CG21+CI21+CK21+CM21+CO21+CQ21</f>
        <v>192</v>
      </c>
      <c r="CT21" s="209">
        <f>R21+T21+V21+X21+Z21+AB21+AD21+AF21+AH21+AJ21+AL21+AN21+AP21+AR21+AT21+AV21+AX21+AZ21+BB21+BD21+BF21+BH21+BJ21+BL21+BN21+BP21+BR21+BT21+BV21+BX21+BZ21+CB21+CD21+CF21+CH21+CJ21+CL21+CN21+CP21+CR21</f>
        <v>7536</v>
      </c>
      <c r="CU21" s="375" t="s">
        <v>564</v>
      </c>
      <c r="CV21" s="208"/>
      <c r="CW21" s="152"/>
      <c r="CX21" s="152"/>
      <c r="CY21" s="275"/>
      <c r="CZ21" s="787"/>
      <c r="DA21" s="152">
        <f t="shared" ref="DA21:DA22" si="27">IF(CS21&gt;CW21,CS21-CW21,"0")</f>
        <v>192</v>
      </c>
      <c r="DB21" s="152">
        <f t="shared" ref="DB21:DB22" si="28">IF(CT21&gt;CX21,CT21-CX21,"0")</f>
        <v>7536</v>
      </c>
      <c r="DC21" s="153">
        <v>45792</v>
      </c>
      <c r="DD21" s="153" t="s">
        <v>655</v>
      </c>
      <c r="DE21" s="153" t="s">
        <v>45</v>
      </c>
      <c r="DF21" s="213" t="s">
        <v>567</v>
      </c>
      <c r="DG21" s="213" t="s">
        <v>43</v>
      </c>
      <c r="DH21" s="181">
        <v>7536</v>
      </c>
      <c r="DI21" s="153">
        <v>45829</v>
      </c>
      <c r="DJ21" s="392">
        <v>192</v>
      </c>
      <c r="DK21" s="181">
        <v>7536</v>
      </c>
      <c r="DL21" s="182">
        <v>13181.82</v>
      </c>
      <c r="DM21" s="181">
        <f t="shared" si="17"/>
        <v>109272015.072</v>
      </c>
      <c r="DN21" s="446">
        <f t="shared" si="18"/>
        <v>0.10000000000000002</v>
      </c>
      <c r="DO21" s="182">
        <f t="shared" si="19"/>
        <v>99338195.519999996</v>
      </c>
      <c r="DP21" s="275">
        <v>45835</v>
      </c>
      <c r="DQ21" s="152">
        <f>SUMIF($I:$I,I21,$DJ:$DJ)</f>
        <v>192</v>
      </c>
      <c r="DR21" s="152">
        <f>SUMIF($I:$I,I21,$DK:$DK)</f>
        <v>7536</v>
      </c>
      <c r="DS21" s="151"/>
      <c r="DT21" s="275"/>
      <c r="DU21" s="370"/>
      <c r="DV21" s="208"/>
      <c r="DW21" s="208"/>
      <c r="DX21" s="152"/>
      <c r="DY21" s="152"/>
      <c r="DZ21" s="152"/>
      <c r="EA21" s="152"/>
      <c r="EB21" s="152"/>
      <c r="EC21" s="152"/>
      <c r="ED21" s="152"/>
      <c r="EE21" s="209"/>
      <c r="EF21" s="371"/>
      <c r="EG21" s="153"/>
      <c r="EH21" s="153"/>
      <c r="EI21" s="153"/>
      <c r="EJ21" s="153"/>
      <c r="EK21" s="153"/>
      <c r="EL21" s="153"/>
      <c r="EM21" s="153"/>
      <c r="EN21" s="153"/>
      <c r="EO21" s="152">
        <f>SUMIF($I:$I,I21,$EC:$EC)</f>
        <v>0</v>
      </c>
      <c r="EP21" s="151">
        <f>SUMIF($I:$I,I21,$ED:$ED)</f>
        <v>0</v>
      </c>
      <c r="EQ21" s="153"/>
      <c r="ER21" s="153"/>
      <c r="ES21" s="153"/>
      <c r="ET21" s="153"/>
      <c r="EU21" s="152">
        <f t="shared" ref="EU21:EU22" si="29">DQ21+EO21</f>
        <v>192</v>
      </c>
      <c r="EV21" s="152">
        <f t="shared" ref="EV21:EV22" si="30">DR21+EP21</f>
        <v>7536</v>
      </c>
      <c r="EW21" s="152">
        <f t="shared" ref="EW21:EW22" si="31">DA21-EU21</f>
        <v>0</v>
      </c>
      <c r="EX21" s="152">
        <f t="shared" ref="EX21:EX22" si="32">DB21-EV21</f>
        <v>0</v>
      </c>
      <c r="EY21" s="151" t="str">
        <f t="shared" ref="EY21:EY22" si="33">IF(EW21&lt;0,"Thừa",IF(EW21=0,"Đủ","Thiếu"))</f>
        <v>Đủ</v>
      </c>
      <c r="EZ21" s="152"/>
      <c r="FA21" s="372"/>
      <c r="FB21" s="373"/>
      <c r="FC21" s="367"/>
      <c r="FD21" s="374"/>
      <c r="FE21" s="183"/>
      <c r="FF21" s="184"/>
      <c r="FG21" s="185"/>
      <c r="FH21" s="185"/>
    </row>
    <row r="22" spans="1:164" s="157" customFormat="1" ht="14" hidden="1" customHeight="1">
      <c r="A22" s="208" t="str">
        <f t="shared" si="4"/>
        <v>Hiện</v>
      </c>
      <c r="B22" s="151" t="str">
        <f t="shared" si="8"/>
        <v>Đủ</v>
      </c>
      <c r="C22" s="151">
        <f t="shared" si="9"/>
        <v>0</v>
      </c>
      <c r="D22" s="151"/>
      <c r="E22" s="151"/>
      <c r="F22" s="151"/>
      <c r="G22" s="151"/>
      <c r="H22" s="151"/>
      <c r="I22" s="171" t="s">
        <v>246</v>
      </c>
      <c r="J22" s="164" t="s">
        <v>235</v>
      </c>
      <c r="K22" s="171" t="s">
        <v>712</v>
      </c>
      <c r="L22" s="233" t="s">
        <v>289</v>
      </c>
      <c r="M22" s="163" t="s">
        <v>44</v>
      </c>
      <c r="N22" s="172">
        <v>47.099999999999994</v>
      </c>
      <c r="O22" s="177">
        <v>120.96305732484075</v>
      </c>
      <c r="P22" s="172">
        <v>5697.3599999999988</v>
      </c>
      <c r="Q22" s="162"/>
      <c r="R22" s="162"/>
      <c r="S22" s="161">
        <v>126</v>
      </c>
      <c r="T22" s="162">
        <v>5934.5999999999995</v>
      </c>
      <c r="U22" s="162"/>
      <c r="V22" s="162"/>
      <c r="W22" s="162">
        <v>0</v>
      </c>
      <c r="X22" s="162">
        <v>0</v>
      </c>
      <c r="Y22" s="162">
        <v>0</v>
      </c>
      <c r="Z22" s="162">
        <v>0</v>
      </c>
      <c r="AA22" s="162">
        <v>54</v>
      </c>
      <c r="AB22" s="162">
        <v>2543.3999999999996</v>
      </c>
      <c r="AC22" s="162">
        <v>0</v>
      </c>
      <c r="AD22" s="162">
        <v>0</v>
      </c>
      <c r="AE22" s="162">
        <v>24</v>
      </c>
      <c r="AF22" s="162">
        <v>1130.3999999999999</v>
      </c>
      <c r="AG22" s="162">
        <v>0</v>
      </c>
      <c r="AH22" s="162">
        <v>0</v>
      </c>
      <c r="AI22" s="162">
        <f>VLOOKUP(I22,'[119]MTO-rev09'!$A:$O,11,0)</f>
        <v>0</v>
      </c>
      <c r="AJ22" s="162">
        <f>VLOOKUP(I22,'[119]MTO-rev09'!$A:$O,12,0)</f>
        <v>0</v>
      </c>
      <c r="AK22" s="162">
        <v>0</v>
      </c>
      <c r="AL22" s="162">
        <v>0</v>
      </c>
      <c r="AM22" s="162"/>
      <c r="AN22" s="162"/>
      <c r="AO22" s="162">
        <v>0</v>
      </c>
      <c r="AP22" s="162">
        <v>0</v>
      </c>
      <c r="AQ22" s="162">
        <v>0</v>
      </c>
      <c r="AR22" s="162">
        <v>0</v>
      </c>
      <c r="AS22" s="162">
        <v>0</v>
      </c>
      <c r="AT22" s="162">
        <v>0</v>
      </c>
      <c r="AU22" s="162">
        <v>0</v>
      </c>
      <c r="AV22" s="162">
        <v>0</v>
      </c>
      <c r="AW22" s="162">
        <v>0</v>
      </c>
      <c r="AX22" s="162">
        <v>0</v>
      </c>
      <c r="AY22" s="162">
        <v>0</v>
      </c>
      <c r="AZ22" s="162">
        <v>0</v>
      </c>
      <c r="BA22" s="162"/>
      <c r="BB22" s="162"/>
      <c r="BC22" s="162">
        <v>0</v>
      </c>
      <c r="BD22" s="162">
        <v>0</v>
      </c>
      <c r="BE22" s="162">
        <v>0</v>
      </c>
      <c r="BF22" s="162">
        <v>0</v>
      </c>
      <c r="BG22" s="162">
        <v>0</v>
      </c>
      <c r="BH22" s="162">
        <v>0</v>
      </c>
      <c r="BI22" s="162">
        <v>0</v>
      </c>
      <c r="BJ22" s="162">
        <v>0</v>
      </c>
      <c r="BK22" s="162">
        <v>0</v>
      </c>
      <c r="BL22" s="162">
        <v>0</v>
      </c>
      <c r="BM22" s="162">
        <v>0</v>
      </c>
      <c r="BN22" s="162">
        <v>0</v>
      </c>
      <c r="BO22" s="162"/>
      <c r="BP22" s="162"/>
      <c r="BQ22" s="162">
        <v>0</v>
      </c>
      <c r="BR22" s="162">
        <v>0</v>
      </c>
      <c r="BS22" s="162">
        <v>0</v>
      </c>
      <c r="BT22" s="162">
        <v>0</v>
      </c>
      <c r="BU22" s="162">
        <v>0</v>
      </c>
      <c r="BV22" s="162">
        <v>0</v>
      </c>
      <c r="BW22" s="162"/>
      <c r="BX22" s="162"/>
      <c r="BY22" s="162">
        <v>0</v>
      </c>
      <c r="BZ22" s="162">
        <v>0</v>
      </c>
      <c r="CA22" s="162">
        <v>0</v>
      </c>
      <c r="CB22" s="162">
        <v>0</v>
      </c>
      <c r="CC22" s="162">
        <v>0</v>
      </c>
      <c r="CD22" s="162">
        <v>0</v>
      </c>
      <c r="CE22" s="162">
        <f>VLOOKUP(I22,[120]REV33!$A:$O,11,0)</f>
        <v>0</v>
      </c>
      <c r="CF22" s="162">
        <f>VLOOKUP(I22,[120]REV33!$A:$O,12,0)</f>
        <v>0</v>
      </c>
      <c r="CG22" s="162"/>
      <c r="CH22" s="162"/>
      <c r="CI22" s="162"/>
      <c r="CJ22" s="162"/>
      <c r="CK22" s="162"/>
      <c r="CL22" s="162"/>
      <c r="CM22" s="162"/>
      <c r="CN22" s="162"/>
      <c r="CO22" s="162">
        <v>0</v>
      </c>
      <c r="CP22" s="162">
        <v>0</v>
      </c>
      <c r="CQ22" s="162">
        <v>0</v>
      </c>
      <c r="CR22" s="162">
        <v>0</v>
      </c>
      <c r="CS22" s="209">
        <f>Q22+S22+U22+W22+Y22+AA22+AC22+AE22+AG22+AI22+AK22+AM22+AO22+AQ22+AS22+AU22+AW22+AY22+BA22+BC22+BE22+BG22+BI22+BK22+BM22+BO22+BQ22+BS22+BU22+BW22+BY22+CA22+CC22+CE22+CG22+CI22+CK22+CM22+CO22+CQ22</f>
        <v>204</v>
      </c>
      <c r="CT22" s="209">
        <f>R22+T22+V22+X22+Z22+AB22+AD22+AF22+AH22+AJ22+AL22+AN22+AP22+AR22+AT22+AV22+AX22+AZ22+BB22+BD22+BF22+BH22+BJ22+BL22+BN22+BP22+BR22+BT22+BV22+BX22+BZ22+CB22+CD22+CF22+CH22+CJ22+CL22+CN22+CP22+CR22</f>
        <v>9608.4</v>
      </c>
      <c r="CU22" s="375" t="s">
        <v>644</v>
      </c>
      <c r="CV22" s="208"/>
      <c r="CW22" s="152"/>
      <c r="CX22" s="152"/>
      <c r="CY22" s="366"/>
      <c r="CZ22" s="366"/>
      <c r="DA22" s="152">
        <f t="shared" si="27"/>
        <v>204</v>
      </c>
      <c r="DB22" s="152">
        <f t="shared" si="28"/>
        <v>9608.4</v>
      </c>
      <c r="DC22" s="153">
        <v>45792</v>
      </c>
      <c r="DD22" s="377" t="s">
        <v>667</v>
      </c>
      <c r="DE22" s="153" t="s">
        <v>45</v>
      </c>
      <c r="DF22" s="376" t="s">
        <v>355</v>
      </c>
      <c r="DG22" s="368" t="s">
        <v>370</v>
      </c>
      <c r="DH22" s="181">
        <v>5934.6</v>
      </c>
      <c r="DI22" s="153">
        <v>45791</v>
      </c>
      <c r="DJ22" s="1000">
        <v>126</v>
      </c>
      <c r="DK22" s="181">
        <v>5934.6</v>
      </c>
      <c r="DL22" s="182">
        <v>13090.91</v>
      </c>
      <c r="DM22" s="181">
        <f t="shared" si="17"/>
        <v>85458245.934600011</v>
      </c>
      <c r="DN22" s="446">
        <f t="shared" si="18"/>
        <v>0.10000000000000012</v>
      </c>
      <c r="DO22" s="182">
        <f t="shared" si="19"/>
        <v>77689314.486000001</v>
      </c>
      <c r="DP22" s="275">
        <v>45794</v>
      </c>
      <c r="DQ22" s="152">
        <f>SUMIF($I:$I,I22,$DJ:$DJ)</f>
        <v>204</v>
      </c>
      <c r="DR22" s="152">
        <f>SUMIF($I:$I,I22,$DK:$DK)</f>
        <v>9608.4</v>
      </c>
      <c r="DS22" s="151"/>
      <c r="DT22" s="275"/>
      <c r="DU22" s="370"/>
      <c r="DV22" s="208"/>
      <c r="DW22" s="208"/>
      <c r="DX22" s="152"/>
      <c r="DY22" s="152"/>
      <c r="DZ22" s="152"/>
      <c r="EA22" s="152"/>
      <c r="EB22" s="152"/>
      <c r="EC22" s="152"/>
      <c r="ED22" s="152"/>
      <c r="EE22" s="209"/>
      <c r="EF22" s="371"/>
      <c r="EG22" s="153"/>
      <c r="EH22" s="153"/>
      <c r="EI22" s="153"/>
      <c r="EJ22" s="153"/>
      <c r="EK22" s="153"/>
      <c r="EL22" s="153"/>
      <c r="EM22" s="153"/>
      <c r="EN22" s="153"/>
      <c r="EO22" s="152">
        <f>SUMIF($I:$I,I22,$EC:$EC)</f>
        <v>0</v>
      </c>
      <c r="EP22" s="151">
        <f>SUMIF($I:$I,I22,$ED:$ED)</f>
        <v>0</v>
      </c>
      <c r="EQ22" s="153"/>
      <c r="ER22" s="153"/>
      <c r="ES22" s="153"/>
      <c r="ET22" s="153"/>
      <c r="EU22" s="152">
        <f t="shared" si="29"/>
        <v>204</v>
      </c>
      <c r="EV22" s="152">
        <f t="shared" si="30"/>
        <v>9608.4</v>
      </c>
      <c r="EW22" s="152">
        <f t="shared" si="31"/>
        <v>0</v>
      </c>
      <c r="EX22" s="152">
        <f t="shared" si="32"/>
        <v>0</v>
      </c>
      <c r="EY22" s="151" t="str">
        <f t="shared" si="33"/>
        <v>Đủ</v>
      </c>
      <c r="EZ22" s="152"/>
      <c r="FA22" s="372"/>
      <c r="FB22" s="373"/>
      <c r="FC22" s="367"/>
      <c r="FD22" s="374"/>
      <c r="FE22" s="183"/>
      <c r="FF22" s="184"/>
      <c r="FG22" s="185"/>
      <c r="FH22" s="185"/>
    </row>
    <row r="23" spans="1:164" s="386" customFormat="1" ht="14" hidden="1" customHeight="1">
      <c r="A23" s="208" t="str">
        <f t="shared" si="4"/>
        <v>ok</v>
      </c>
      <c r="B23" s="151"/>
      <c r="C23" s="151"/>
      <c r="D23" s="151"/>
      <c r="E23" s="151"/>
      <c r="F23" s="151"/>
      <c r="G23" s="151"/>
      <c r="H23" s="151"/>
      <c r="I23" s="171" t="s">
        <v>246</v>
      </c>
      <c r="J23" s="164" t="s">
        <v>235</v>
      </c>
      <c r="K23" s="171" t="s">
        <v>712</v>
      </c>
      <c r="L23" s="233" t="s">
        <v>289</v>
      </c>
      <c r="M23" s="163" t="s">
        <v>44</v>
      </c>
      <c r="N23" s="172"/>
      <c r="O23" s="177"/>
      <c r="P23" s="172"/>
      <c r="Q23" s="162"/>
      <c r="R23" s="162"/>
      <c r="S23" s="161"/>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209"/>
      <c r="CT23" s="209"/>
      <c r="CU23" s="375"/>
      <c r="CV23" s="208"/>
      <c r="CW23" s="152"/>
      <c r="CX23" s="152"/>
      <c r="CY23" s="366"/>
      <c r="CZ23" s="366"/>
      <c r="DA23" s="152"/>
      <c r="DB23" s="152"/>
      <c r="DC23" s="153"/>
      <c r="DD23" s="377" t="s">
        <v>668</v>
      </c>
      <c r="DE23" s="153" t="s">
        <v>45</v>
      </c>
      <c r="DF23" s="213" t="s">
        <v>670</v>
      </c>
      <c r="DG23" s="213" t="s">
        <v>678</v>
      </c>
      <c r="DH23" s="181">
        <v>1130.4000000000001</v>
      </c>
      <c r="DI23" s="153">
        <v>45853</v>
      </c>
      <c r="DJ23" s="378">
        <v>24</v>
      </c>
      <c r="DK23" s="181">
        <v>1130.4000000000001</v>
      </c>
      <c r="DL23" s="182">
        <v>13136.36</v>
      </c>
      <c r="DM23" s="181">
        <f t="shared" si="17"/>
        <v>16334275.478400003</v>
      </c>
      <c r="DN23" s="446">
        <f t="shared" si="18"/>
        <v>0.10000000000000003</v>
      </c>
      <c r="DO23" s="182">
        <f t="shared" si="19"/>
        <v>14849341.344000002</v>
      </c>
      <c r="DP23" s="275">
        <v>45856</v>
      </c>
      <c r="DQ23" s="152"/>
      <c r="DR23" s="152"/>
      <c r="DS23" s="151"/>
      <c r="DT23" s="275"/>
      <c r="DU23" s="370"/>
      <c r="DV23" s="208"/>
      <c r="DW23" s="208"/>
      <c r="DX23" s="152"/>
      <c r="DY23" s="152"/>
      <c r="DZ23" s="152"/>
      <c r="EA23" s="152"/>
      <c r="EB23" s="152"/>
      <c r="EC23" s="152"/>
      <c r="ED23" s="152"/>
      <c r="EE23" s="209"/>
      <c r="EF23" s="371"/>
      <c r="EG23" s="153"/>
      <c r="EH23" s="153"/>
      <c r="EI23" s="153"/>
      <c r="EJ23" s="153"/>
      <c r="EK23" s="153"/>
      <c r="EL23" s="153"/>
      <c r="EM23" s="153"/>
      <c r="EN23" s="153"/>
      <c r="EO23" s="152"/>
      <c r="EP23" s="151"/>
      <c r="EQ23" s="153"/>
      <c r="ER23" s="153"/>
      <c r="ES23" s="153"/>
      <c r="ET23" s="153"/>
      <c r="EU23" s="152"/>
      <c r="EV23" s="152"/>
      <c r="EW23" s="152"/>
      <c r="EX23" s="152"/>
      <c r="EY23" s="151"/>
      <c r="EZ23" s="152"/>
      <c r="FA23" s="372"/>
      <c r="FB23" s="373"/>
      <c r="FC23" s="379"/>
      <c r="FD23" s="380"/>
      <c r="FE23" s="219"/>
      <c r="FF23" s="220"/>
      <c r="FG23" s="221"/>
      <c r="FH23" s="221"/>
    </row>
    <row r="24" spans="1:164" s="276" customFormat="1" ht="14" hidden="1" customHeight="1">
      <c r="A24" s="208" t="str">
        <f t="shared" si="4"/>
        <v>ok</v>
      </c>
      <c r="B24" s="151"/>
      <c r="C24" s="151"/>
      <c r="D24" s="151"/>
      <c r="E24" s="151"/>
      <c r="F24" s="151"/>
      <c r="G24" s="151"/>
      <c r="H24" s="151"/>
      <c r="I24" s="171" t="s">
        <v>246</v>
      </c>
      <c r="J24" s="164" t="s">
        <v>235</v>
      </c>
      <c r="K24" s="171" t="s">
        <v>712</v>
      </c>
      <c r="L24" s="233" t="s">
        <v>289</v>
      </c>
      <c r="M24" s="163" t="s">
        <v>44</v>
      </c>
      <c r="N24" s="172"/>
      <c r="O24" s="177"/>
      <c r="P24" s="172"/>
      <c r="Q24" s="162"/>
      <c r="R24" s="162"/>
      <c r="S24" s="161"/>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209"/>
      <c r="CT24" s="209"/>
      <c r="CU24" s="375"/>
      <c r="CV24" s="208"/>
      <c r="CW24" s="152"/>
      <c r="CX24" s="152"/>
      <c r="CY24" s="366"/>
      <c r="CZ24" s="366"/>
      <c r="DA24" s="152"/>
      <c r="DB24" s="152"/>
      <c r="DC24" s="153"/>
      <c r="DD24" s="153" t="s">
        <v>655</v>
      </c>
      <c r="DE24" s="153" t="s">
        <v>45</v>
      </c>
      <c r="DF24" s="213" t="s">
        <v>553</v>
      </c>
      <c r="DG24" s="213" t="s">
        <v>43</v>
      </c>
      <c r="DH24" s="181">
        <v>2260.8000000000002</v>
      </c>
      <c r="DI24" s="153">
        <v>45829</v>
      </c>
      <c r="DJ24" s="1000">
        <v>48</v>
      </c>
      <c r="DK24" s="181">
        <v>2260.8000000000002</v>
      </c>
      <c r="DL24" s="182">
        <v>13181.82</v>
      </c>
      <c r="DM24" s="181">
        <f t="shared" si="17"/>
        <v>32781604.521600008</v>
      </c>
      <c r="DN24" s="446">
        <f t="shared" si="18"/>
        <v>0.10000000000000014</v>
      </c>
      <c r="DO24" s="182">
        <f t="shared" si="19"/>
        <v>29801458.656000003</v>
      </c>
      <c r="DP24" s="275">
        <v>45835</v>
      </c>
      <c r="DQ24" s="152"/>
      <c r="DR24" s="152"/>
      <c r="DS24" s="151"/>
      <c r="DT24" s="275"/>
      <c r="DU24" s="370"/>
      <c r="DV24" s="208"/>
      <c r="DW24" s="208"/>
      <c r="DX24" s="152"/>
      <c r="DY24" s="152"/>
      <c r="DZ24" s="152"/>
      <c r="EA24" s="152"/>
      <c r="EB24" s="152"/>
      <c r="EC24" s="152"/>
      <c r="ED24" s="152"/>
      <c r="EE24" s="209"/>
      <c r="EF24" s="371"/>
      <c r="EG24" s="153"/>
      <c r="EH24" s="153"/>
      <c r="EI24" s="153"/>
      <c r="EJ24" s="153"/>
      <c r="EK24" s="153"/>
      <c r="EL24" s="153"/>
      <c r="EM24" s="153"/>
      <c r="EN24" s="153"/>
      <c r="EO24" s="152"/>
      <c r="EP24" s="151"/>
      <c r="EQ24" s="153"/>
      <c r="ER24" s="153"/>
      <c r="ES24" s="153"/>
      <c r="ET24" s="153"/>
      <c r="EU24" s="152"/>
      <c r="EV24" s="152"/>
      <c r="EW24" s="152"/>
      <c r="EX24" s="152"/>
      <c r="EY24" s="151"/>
      <c r="EZ24" s="152"/>
      <c r="FA24" s="372"/>
      <c r="FB24" s="373"/>
      <c r="FC24" s="367"/>
      <c r="FD24" s="374"/>
      <c r="FE24" s="183"/>
      <c r="FF24" s="184"/>
      <c r="FG24" s="185"/>
      <c r="FH24" s="185"/>
    </row>
    <row r="25" spans="1:164" s="386" customFormat="1" ht="14" hidden="1" customHeight="1">
      <c r="A25" s="208" t="str">
        <f t="shared" si="4"/>
        <v>ok</v>
      </c>
      <c r="B25" s="151"/>
      <c r="C25" s="151"/>
      <c r="D25" s="151"/>
      <c r="E25" s="151"/>
      <c r="F25" s="151"/>
      <c r="G25" s="151"/>
      <c r="H25" s="151"/>
      <c r="I25" s="171" t="s">
        <v>246</v>
      </c>
      <c r="J25" s="164" t="s">
        <v>235</v>
      </c>
      <c r="K25" s="171" t="s">
        <v>712</v>
      </c>
      <c r="L25" s="233" t="s">
        <v>289</v>
      </c>
      <c r="M25" s="163" t="s">
        <v>44</v>
      </c>
      <c r="N25" s="172"/>
      <c r="O25" s="177"/>
      <c r="P25" s="172"/>
      <c r="Q25" s="162"/>
      <c r="R25" s="162"/>
      <c r="S25" s="161"/>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209"/>
      <c r="CT25" s="209"/>
      <c r="CU25" s="375"/>
      <c r="CV25" s="208"/>
      <c r="CW25" s="152"/>
      <c r="CX25" s="152"/>
      <c r="CY25" s="366"/>
      <c r="CZ25" s="366"/>
      <c r="DA25" s="152"/>
      <c r="DB25" s="152"/>
      <c r="DC25" s="153"/>
      <c r="DD25" s="153" t="s">
        <v>655</v>
      </c>
      <c r="DE25" s="153" t="s">
        <v>45</v>
      </c>
      <c r="DF25" s="213" t="s">
        <v>554</v>
      </c>
      <c r="DG25" s="213" t="s">
        <v>43</v>
      </c>
      <c r="DH25" s="181">
        <v>282.60000000000002</v>
      </c>
      <c r="DI25" s="153">
        <v>45829</v>
      </c>
      <c r="DJ25" s="1000">
        <v>6</v>
      </c>
      <c r="DK25" s="181">
        <v>282.60000000000002</v>
      </c>
      <c r="DL25" s="182">
        <v>13181.82</v>
      </c>
      <c r="DM25" s="181">
        <f t="shared" si="17"/>
        <v>4097700.565200001</v>
      </c>
      <c r="DN25" s="446">
        <f t="shared" si="18"/>
        <v>0.10000000000000014</v>
      </c>
      <c r="DO25" s="182">
        <f t="shared" si="19"/>
        <v>3725182.3320000004</v>
      </c>
      <c r="DP25" s="275">
        <v>45835</v>
      </c>
      <c r="DQ25" s="152"/>
      <c r="DR25" s="152"/>
      <c r="DS25" s="151"/>
      <c r="DT25" s="275"/>
      <c r="DU25" s="370"/>
      <c r="DV25" s="208"/>
      <c r="DW25" s="208"/>
      <c r="DX25" s="152"/>
      <c r="DY25" s="152"/>
      <c r="DZ25" s="152"/>
      <c r="EA25" s="152"/>
      <c r="EB25" s="152"/>
      <c r="EC25" s="152"/>
      <c r="ED25" s="152"/>
      <c r="EE25" s="209"/>
      <c r="EF25" s="371"/>
      <c r="EG25" s="153"/>
      <c r="EH25" s="153"/>
      <c r="EI25" s="153"/>
      <c r="EJ25" s="153"/>
      <c r="EK25" s="153"/>
      <c r="EL25" s="153"/>
      <c r="EM25" s="153"/>
      <c r="EN25" s="153"/>
      <c r="EO25" s="152"/>
      <c r="EP25" s="151"/>
      <c r="EQ25" s="153"/>
      <c r="ER25" s="153"/>
      <c r="ES25" s="153"/>
      <c r="ET25" s="153"/>
      <c r="EU25" s="152"/>
      <c r="EV25" s="152"/>
      <c r="EW25" s="152"/>
      <c r="EX25" s="152"/>
      <c r="EY25" s="151"/>
      <c r="EZ25" s="152"/>
      <c r="FA25" s="372"/>
      <c r="FB25" s="373"/>
      <c r="FC25" s="381"/>
      <c r="FD25" s="382"/>
      <c r="FE25" s="222"/>
      <c r="FF25" s="223"/>
      <c r="FG25" s="224"/>
      <c r="FH25" s="224"/>
    </row>
    <row r="26" spans="1:164" s="157" customFormat="1" ht="14" hidden="1" customHeight="1">
      <c r="A26" s="208" t="str">
        <f t="shared" si="4"/>
        <v>Hiện</v>
      </c>
      <c r="B26" s="151" t="str">
        <f t="shared" si="8"/>
        <v>Đủ</v>
      </c>
      <c r="C26" s="151">
        <f t="shared" si="9"/>
        <v>0</v>
      </c>
      <c r="D26" s="151"/>
      <c r="E26" s="151"/>
      <c r="F26" s="151"/>
      <c r="G26" s="151"/>
      <c r="H26" s="151"/>
      <c r="I26" s="171" t="s">
        <v>247</v>
      </c>
      <c r="J26" s="164" t="s">
        <v>235</v>
      </c>
      <c r="K26" s="171" t="s">
        <v>292</v>
      </c>
      <c r="L26" s="233" t="s">
        <v>289</v>
      </c>
      <c r="M26" s="163" t="s">
        <v>44</v>
      </c>
      <c r="N26" s="172">
        <v>62.8</v>
      </c>
      <c r="O26" s="1397">
        <v>5004.7442675159236</v>
      </c>
      <c r="P26" s="1398">
        <v>314297.94</v>
      </c>
      <c r="Q26" s="162"/>
      <c r="R26" s="162"/>
      <c r="S26" s="161">
        <v>163.08000000000001</v>
      </c>
      <c r="T26" s="162">
        <v>10241.424000000001</v>
      </c>
      <c r="U26" s="162"/>
      <c r="V26" s="162"/>
      <c r="W26" s="162">
        <v>0</v>
      </c>
      <c r="X26" s="162">
        <v>0</v>
      </c>
      <c r="Y26" s="162">
        <v>0</v>
      </c>
      <c r="Z26" s="162">
        <v>0</v>
      </c>
      <c r="AA26" s="162">
        <v>0</v>
      </c>
      <c r="AB26" s="162">
        <v>0</v>
      </c>
      <c r="AC26" s="162">
        <v>0</v>
      </c>
      <c r="AD26" s="162">
        <v>0</v>
      </c>
      <c r="AE26" s="162">
        <v>0</v>
      </c>
      <c r="AF26" s="162">
        <v>0</v>
      </c>
      <c r="AG26" s="162">
        <v>0</v>
      </c>
      <c r="AH26" s="162">
        <v>0</v>
      </c>
      <c r="AI26" s="162">
        <f>VLOOKUP(I26,'[119]MTO-rev09'!$A:$O,11,0)</f>
        <v>0</v>
      </c>
      <c r="AJ26" s="162">
        <f>VLOOKUP(I26,'[119]MTO-rev09'!$A:$O,12,0)</f>
        <v>0</v>
      </c>
      <c r="AK26" s="162">
        <v>0</v>
      </c>
      <c r="AL26" s="162">
        <v>0</v>
      </c>
      <c r="AM26" s="162"/>
      <c r="AN26" s="162"/>
      <c r="AO26" s="162">
        <v>0</v>
      </c>
      <c r="AP26" s="162">
        <v>0</v>
      </c>
      <c r="AQ26" s="162">
        <v>0</v>
      </c>
      <c r="AR26" s="162">
        <v>0</v>
      </c>
      <c r="AS26" s="162">
        <v>0</v>
      </c>
      <c r="AT26" s="162">
        <v>0</v>
      </c>
      <c r="AU26" s="162">
        <v>0</v>
      </c>
      <c r="AV26" s="162">
        <v>0</v>
      </c>
      <c r="AW26" s="162">
        <v>0</v>
      </c>
      <c r="AX26" s="162">
        <v>0</v>
      </c>
      <c r="AY26" s="162">
        <v>0</v>
      </c>
      <c r="AZ26" s="162">
        <v>0</v>
      </c>
      <c r="BA26" s="162"/>
      <c r="BB26" s="162"/>
      <c r="BC26" s="162">
        <v>0</v>
      </c>
      <c r="BD26" s="162">
        <v>0</v>
      </c>
      <c r="BE26" s="162">
        <v>0</v>
      </c>
      <c r="BF26" s="162">
        <v>0</v>
      </c>
      <c r="BG26" s="162">
        <v>0</v>
      </c>
      <c r="BH26" s="162">
        <v>0</v>
      </c>
      <c r="BI26" s="162">
        <v>0</v>
      </c>
      <c r="BJ26" s="162">
        <v>0</v>
      </c>
      <c r="BK26" s="162">
        <v>0</v>
      </c>
      <c r="BL26" s="162">
        <v>0</v>
      </c>
      <c r="BM26" s="162">
        <v>0</v>
      </c>
      <c r="BN26" s="162">
        <v>0</v>
      </c>
      <c r="BO26" s="162"/>
      <c r="BP26" s="162"/>
      <c r="BQ26" s="162">
        <v>0</v>
      </c>
      <c r="BR26" s="162">
        <v>0</v>
      </c>
      <c r="BS26" s="162">
        <v>0</v>
      </c>
      <c r="BT26" s="162">
        <v>0</v>
      </c>
      <c r="BU26" s="162">
        <v>0</v>
      </c>
      <c r="BV26" s="162">
        <v>0</v>
      </c>
      <c r="BW26" s="162"/>
      <c r="BX26" s="162"/>
      <c r="BY26" s="162">
        <v>0</v>
      </c>
      <c r="BZ26" s="162">
        <v>0</v>
      </c>
      <c r="CA26" s="162">
        <v>0</v>
      </c>
      <c r="CB26" s="162">
        <v>0</v>
      </c>
      <c r="CC26" s="162">
        <v>0</v>
      </c>
      <c r="CD26" s="162">
        <v>0</v>
      </c>
      <c r="CE26" s="162">
        <f>VLOOKUP(I26,[120]REV33!$A:$O,11,0)</f>
        <v>0</v>
      </c>
      <c r="CF26" s="162">
        <f>VLOOKUP(I26,[120]REV33!$A:$O,12,0)</f>
        <v>0</v>
      </c>
      <c r="CG26" s="162"/>
      <c r="CH26" s="162"/>
      <c r="CI26" s="162"/>
      <c r="CJ26" s="162"/>
      <c r="CK26" s="162"/>
      <c r="CL26" s="162"/>
      <c r="CM26" s="162"/>
      <c r="CN26" s="162"/>
      <c r="CO26" s="162">
        <v>0</v>
      </c>
      <c r="CP26" s="162">
        <v>0</v>
      </c>
      <c r="CQ26" s="162">
        <v>0</v>
      </c>
      <c r="CR26" s="162">
        <v>0</v>
      </c>
      <c r="CS26" s="209">
        <f>Q26+S26+U26+W26+Y26+AA26+AC26+AE26+AG26+AI26+AK26+AM26+AO26+AQ26+AS26+AU26+AW26+AY26+BA26+BC26+BE26+BG26+BI26+BK26+BM26+BO26+BQ26+BS26+BU26+BW26+BY26+CA26+CC26+CE26+CG26+CI26+CK26+CM26+CO26+CQ26</f>
        <v>163.08000000000001</v>
      </c>
      <c r="CT26" s="209">
        <f>R26+T26+V26+X26+Z26+AB26+AD26+AF26+AH26+AJ26+AL26+AN26+AP26+AR26+AT26+AV26+AX26+AZ26+BB26+BD26+BF26+BH26+BJ26+BL26+BN26+BP26+BR26+BT26+BV26+BX26+BZ26+CB26+CD26+CF26+CH26+CJ26+CL26+CN26+CP26+CR26</f>
        <v>10241.424000000001</v>
      </c>
      <c r="CU26" s="375" t="s">
        <v>329</v>
      </c>
      <c r="CV26" s="208"/>
      <c r="CW26" s="152"/>
      <c r="CX26" s="152"/>
      <c r="CY26" s="366"/>
      <c r="CZ26" s="366"/>
      <c r="DA26" s="152">
        <f>IF(CS26&gt;CW26,CS26-CW26,"0")</f>
        <v>163.08000000000001</v>
      </c>
      <c r="DB26" s="152">
        <f>IF(CT26&gt;CX26,CT26-CX26,"0")</f>
        <v>10241.424000000001</v>
      </c>
      <c r="DC26" s="153">
        <v>45792</v>
      </c>
      <c r="DD26" s="377" t="s">
        <v>667</v>
      </c>
      <c r="DE26" s="153" t="s">
        <v>45</v>
      </c>
      <c r="DF26" s="376" t="s">
        <v>356</v>
      </c>
      <c r="DG26" s="368" t="s">
        <v>370</v>
      </c>
      <c r="DH26" s="181">
        <v>5120.71</v>
      </c>
      <c r="DI26" s="153">
        <v>45791</v>
      </c>
      <c r="DJ26" s="1000">
        <f>6*1.5*9.06</f>
        <v>81.540000000000006</v>
      </c>
      <c r="DK26" s="181">
        <v>5120.71</v>
      </c>
      <c r="DL26" s="182">
        <v>13090.91</v>
      </c>
      <c r="DM26" s="181">
        <f t="shared" si="17"/>
        <v>73738229.12071</v>
      </c>
      <c r="DN26" s="446">
        <f t="shared" si="18"/>
        <v>9.9999999999999992E-2</v>
      </c>
      <c r="DO26" s="182">
        <f t="shared" si="19"/>
        <v>67034753.746100001</v>
      </c>
      <c r="DP26" s="275">
        <v>45800</v>
      </c>
      <c r="DQ26" s="152">
        <f>SUMIF($I:$I,I26,$DJ:$DJ)</f>
        <v>163.07999999999998</v>
      </c>
      <c r="DR26" s="152">
        <f>SUMIF($I:$I,I26,$DK:$DK)</f>
        <v>10241.42</v>
      </c>
      <c r="DS26" s="151"/>
      <c r="DT26" s="275"/>
      <c r="DU26" s="370"/>
      <c r="DV26" s="208"/>
      <c r="DW26" s="208"/>
      <c r="DX26" s="152"/>
      <c r="DY26" s="152"/>
      <c r="DZ26" s="152"/>
      <c r="EA26" s="152"/>
      <c r="EB26" s="152"/>
      <c r="EC26" s="152"/>
      <c r="ED26" s="152"/>
      <c r="EE26" s="209"/>
      <c r="EF26" s="371"/>
      <c r="EG26" s="153"/>
      <c r="EH26" s="153"/>
      <c r="EI26" s="153"/>
      <c r="EJ26" s="153"/>
      <c r="EK26" s="153"/>
      <c r="EL26" s="153"/>
      <c r="EM26" s="153"/>
      <c r="EN26" s="153"/>
      <c r="EO26" s="152">
        <f>SUMIF($I:$I,I26,$EC:$EC)</f>
        <v>0</v>
      </c>
      <c r="EP26" s="151">
        <f>SUMIF($I:$I,I26,$ED:$ED)</f>
        <v>0</v>
      </c>
      <c r="EQ26" s="153"/>
      <c r="ER26" s="153"/>
      <c r="ES26" s="153"/>
      <c r="ET26" s="153"/>
      <c r="EU26" s="152">
        <f>DQ26+EO26</f>
        <v>163.07999999999998</v>
      </c>
      <c r="EV26" s="152">
        <f>DR26+EP26</f>
        <v>10241.42</v>
      </c>
      <c r="EW26" s="152">
        <f t="shared" ref="EW26" si="34">DA26-EU26</f>
        <v>0</v>
      </c>
      <c r="EX26" s="152">
        <f t="shared" ref="EX26" si="35">DB26-EV26</f>
        <v>4.0000000008149073E-3</v>
      </c>
      <c r="EY26" s="151" t="str">
        <f>IF(EW26&lt;0,"Thừa",IF(EW26=0,"Đủ","Thiếu"))</f>
        <v>Đủ</v>
      </c>
      <c r="EZ26" s="152"/>
      <c r="FA26" s="372"/>
      <c r="FB26" s="373"/>
      <c r="FC26" s="367"/>
      <c r="FD26" s="374"/>
      <c r="FE26" s="183"/>
      <c r="FF26" s="184"/>
      <c r="FG26" s="185"/>
      <c r="FH26" s="185"/>
    </row>
    <row r="27" spans="1:164" s="386" customFormat="1" ht="14" hidden="1" customHeight="1">
      <c r="A27" s="208" t="str">
        <f t="shared" si="4"/>
        <v>ok</v>
      </c>
      <c r="B27" s="151"/>
      <c r="C27" s="151"/>
      <c r="D27" s="151"/>
      <c r="E27" s="151"/>
      <c r="F27" s="151"/>
      <c r="G27" s="151"/>
      <c r="H27" s="151"/>
      <c r="I27" s="171" t="s">
        <v>247</v>
      </c>
      <c r="J27" s="164" t="s">
        <v>235</v>
      </c>
      <c r="K27" s="171" t="s">
        <v>292</v>
      </c>
      <c r="L27" s="233" t="s">
        <v>289</v>
      </c>
      <c r="M27" s="163" t="s">
        <v>44</v>
      </c>
      <c r="N27" s="172"/>
      <c r="O27" s="1397"/>
      <c r="P27" s="1398"/>
      <c r="Q27" s="162"/>
      <c r="R27" s="162"/>
      <c r="S27" s="161"/>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209"/>
      <c r="CT27" s="209"/>
      <c r="CU27" s="375"/>
      <c r="CV27" s="208"/>
      <c r="CW27" s="152"/>
      <c r="CX27" s="152"/>
      <c r="CY27" s="366"/>
      <c r="CZ27" s="366"/>
      <c r="DA27" s="152"/>
      <c r="DB27" s="152"/>
      <c r="DC27" s="153"/>
      <c r="DD27" s="377" t="s">
        <v>455</v>
      </c>
      <c r="DE27" s="153" t="s">
        <v>45</v>
      </c>
      <c r="DF27" s="213" t="s">
        <v>457</v>
      </c>
      <c r="DG27" s="213" t="s">
        <v>43</v>
      </c>
      <c r="DH27" s="181">
        <v>5120.71</v>
      </c>
      <c r="DI27" s="387">
        <v>45812</v>
      </c>
      <c r="DJ27" s="1000">
        <v>81.539999999999992</v>
      </c>
      <c r="DK27" s="181">
        <v>5120.71</v>
      </c>
      <c r="DL27" s="182">
        <v>13090.91</v>
      </c>
      <c r="DM27" s="181">
        <f t="shared" si="17"/>
        <v>73738229.12071</v>
      </c>
      <c r="DN27" s="446">
        <f t="shared" si="18"/>
        <v>9.9999999999999992E-2</v>
      </c>
      <c r="DO27" s="182">
        <f t="shared" si="19"/>
        <v>67034753.746100001</v>
      </c>
      <c r="DP27" s="275">
        <v>45817</v>
      </c>
      <c r="DQ27" s="152"/>
      <c r="DR27" s="152"/>
      <c r="DS27" s="151"/>
      <c r="DT27" s="275"/>
      <c r="DU27" s="370"/>
      <c r="DV27" s="208"/>
      <c r="DW27" s="208"/>
      <c r="DX27" s="152"/>
      <c r="DY27" s="152"/>
      <c r="DZ27" s="152"/>
      <c r="EA27" s="152"/>
      <c r="EB27" s="152"/>
      <c r="EC27" s="152"/>
      <c r="ED27" s="152"/>
      <c r="EE27" s="209"/>
      <c r="EF27" s="371"/>
      <c r="EG27" s="153"/>
      <c r="EH27" s="153"/>
      <c r="EI27" s="153"/>
      <c r="EJ27" s="153"/>
      <c r="EK27" s="153"/>
      <c r="EL27" s="153"/>
      <c r="EM27" s="153"/>
      <c r="EN27" s="153"/>
      <c r="EO27" s="152"/>
      <c r="EP27" s="151"/>
      <c r="EQ27" s="153"/>
      <c r="ER27" s="153"/>
      <c r="ES27" s="153"/>
      <c r="ET27" s="153"/>
      <c r="EU27" s="152"/>
      <c r="EV27" s="152"/>
      <c r="EW27" s="152"/>
      <c r="EX27" s="152"/>
      <c r="EY27" s="151"/>
      <c r="EZ27" s="152"/>
      <c r="FA27" s="372"/>
      <c r="FB27" s="373"/>
      <c r="FC27" s="384"/>
      <c r="FD27" s="385"/>
      <c r="FE27" s="210"/>
      <c r="FF27" s="211"/>
      <c r="FG27" s="212"/>
      <c r="FH27" s="212"/>
    </row>
    <row r="28" spans="1:164" s="157" customFormat="1" ht="14" hidden="1" customHeight="1">
      <c r="A28" s="208" t="str">
        <f t="shared" si="4"/>
        <v>Hiện</v>
      </c>
      <c r="B28" s="151" t="str">
        <f t="shared" ref="B28" si="36">EY28</f>
        <v>Đủ</v>
      </c>
      <c r="C28" s="151">
        <f t="shared" ref="C28" si="37">EW28</f>
        <v>0</v>
      </c>
      <c r="D28" s="151"/>
      <c r="E28" s="151"/>
      <c r="F28" s="151"/>
      <c r="G28" s="151"/>
      <c r="H28" s="151"/>
      <c r="I28" s="171" t="s">
        <v>248</v>
      </c>
      <c r="J28" s="164" t="s">
        <v>235</v>
      </c>
      <c r="K28" s="171" t="s">
        <v>293</v>
      </c>
      <c r="L28" s="233" t="s">
        <v>289</v>
      </c>
      <c r="M28" s="163" t="s">
        <v>44</v>
      </c>
      <c r="N28" s="172">
        <v>62.8</v>
      </c>
      <c r="O28" s="1397"/>
      <c r="P28" s="1398"/>
      <c r="Q28" s="162"/>
      <c r="R28" s="162"/>
      <c r="S28" s="161">
        <v>460.8</v>
      </c>
      <c r="T28" s="162">
        <v>28938.239999999998</v>
      </c>
      <c r="U28" s="162"/>
      <c r="V28" s="162"/>
      <c r="W28" s="162">
        <v>0</v>
      </c>
      <c r="X28" s="162">
        <v>0</v>
      </c>
      <c r="Y28" s="162">
        <v>0</v>
      </c>
      <c r="Z28" s="162">
        <v>0</v>
      </c>
      <c r="AA28" s="162">
        <v>0</v>
      </c>
      <c r="AB28" s="162">
        <v>0</v>
      </c>
      <c r="AC28" s="162">
        <v>0</v>
      </c>
      <c r="AD28" s="162">
        <v>0</v>
      </c>
      <c r="AE28" s="162">
        <v>0</v>
      </c>
      <c r="AF28" s="162">
        <v>0</v>
      </c>
      <c r="AG28" s="162">
        <v>0</v>
      </c>
      <c r="AH28" s="162">
        <v>0</v>
      </c>
      <c r="AI28" s="162">
        <f>VLOOKUP(I28,'[119]MTO-rev09'!$A:$O,11,0)</f>
        <v>0</v>
      </c>
      <c r="AJ28" s="162">
        <f>VLOOKUP(I28,'[119]MTO-rev09'!$A:$O,12,0)</f>
        <v>0</v>
      </c>
      <c r="AK28" s="162">
        <v>0</v>
      </c>
      <c r="AL28" s="162">
        <v>0</v>
      </c>
      <c r="AM28" s="162"/>
      <c r="AN28" s="162"/>
      <c r="AO28" s="162">
        <v>0</v>
      </c>
      <c r="AP28" s="162">
        <v>0</v>
      </c>
      <c r="AQ28" s="162">
        <v>0</v>
      </c>
      <c r="AR28" s="162">
        <v>0</v>
      </c>
      <c r="AS28" s="162">
        <v>0</v>
      </c>
      <c r="AT28" s="162">
        <v>0</v>
      </c>
      <c r="AU28" s="162">
        <v>0</v>
      </c>
      <c r="AV28" s="162">
        <v>0</v>
      </c>
      <c r="AW28" s="162">
        <v>0</v>
      </c>
      <c r="AX28" s="162">
        <v>0</v>
      </c>
      <c r="AY28" s="162">
        <v>0</v>
      </c>
      <c r="AZ28" s="162">
        <v>0</v>
      </c>
      <c r="BA28" s="162"/>
      <c r="BB28" s="162"/>
      <c r="BC28" s="162">
        <v>0</v>
      </c>
      <c r="BD28" s="162">
        <v>0</v>
      </c>
      <c r="BE28" s="162">
        <v>0</v>
      </c>
      <c r="BF28" s="162">
        <v>0</v>
      </c>
      <c r="BG28" s="162">
        <v>0</v>
      </c>
      <c r="BH28" s="162">
        <v>0</v>
      </c>
      <c r="BI28" s="162">
        <v>0</v>
      </c>
      <c r="BJ28" s="162">
        <v>0</v>
      </c>
      <c r="BK28" s="162">
        <v>0</v>
      </c>
      <c r="BL28" s="162">
        <v>0</v>
      </c>
      <c r="BM28" s="162">
        <v>0</v>
      </c>
      <c r="BN28" s="162">
        <v>0</v>
      </c>
      <c r="BO28" s="162"/>
      <c r="BP28" s="162"/>
      <c r="BQ28" s="162">
        <v>0</v>
      </c>
      <c r="BR28" s="162">
        <v>0</v>
      </c>
      <c r="BS28" s="162">
        <v>0</v>
      </c>
      <c r="BT28" s="162">
        <v>0</v>
      </c>
      <c r="BU28" s="162">
        <v>0</v>
      </c>
      <c r="BV28" s="162">
        <v>0</v>
      </c>
      <c r="BW28" s="162"/>
      <c r="BX28" s="162"/>
      <c r="BY28" s="162">
        <v>0</v>
      </c>
      <c r="BZ28" s="162">
        <v>0</v>
      </c>
      <c r="CA28" s="162">
        <v>0</v>
      </c>
      <c r="CB28" s="162">
        <v>0</v>
      </c>
      <c r="CC28" s="162">
        <v>0</v>
      </c>
      <c r="CD28" s="162">
        <v>0</v>
      </c>
      <c r="CE28" s="162">
        <f>VLOOKUP(I28,[120]REV33!$A:$O,11,0)</f>
        <v>0</v>
      </c>
      <c r="CF28" s="162">
        <f>VLOOKUP(I28,[120]REV33!$A:$O,12,0)</f>
        <v>0</v>
      </c>
      <c r="CG28" s="162"/>
      <c r="CH28" s="162"/>
      <c r="CI28" s="162"/>
      <c r="CJ28" s="162"/>
      <c r="CK28" s="162"/>
      <c r="CL28" s="162"/>
      <c r="CM28" s="162"/>
      <c r="CN28" s="162"/>
      <c r="CO28" s="162">
        <v>0</v>
      </c>
      <c r="CP28" s="162">
        <v>0</v>
      </c>
      <c r="CQ28" s="162">
        <v>0</v>
      </c>
      <c r="CR28" s="162">
        <v>0</v>
      </c>
      <c r="CS28" s="209">
        <f>Q28+S28+U28+W28+Y28+AA28+AC28+AE28+AG28+AI28+AK28+AM28+AO28+AQ28+AS28+AU28+AW28+AY28+BA28+BC28+BE28+BG28+BI28+BK28+BM28+BO28+BQ28+BS28+BU28+BW28+BY28+CA28+CC28+CE28+CG28+CI28+CK28+CM28+CO28+CQ28</f>
        <v>460.8</v>
      </c>
      <c r="CT28" s="209">
        <f>R28+T28+V28+X28+Z28+AB28+AD28+AF28+AH28+AJ28+AL28+AN28+AP28+AR28+AT28+AV28+AX28+AZ28+BB28+BD28+BF28+BH28+BJ28+BL28+BN28+BP28+BR28+BT28+BV28+BX28+BZ28+CB28+CD28+CF28+CH28+CJ28+CL28+CN28+CP28+CR28</f>
        <v>28938.239999999998</v>
      </c>
      <c r="CU28" s="375" t="s">
        <v>330</v>
      </c>
      <c r="CV28" s="208"/>
      <c r="CW28" s="152"/>
      <c r="CX28" s="152"/>
      <c r="CY28" s="366"/>
      <c r="CZ28" s="366"/>
      <c r="DA28" s="152">
        <f>IF(CS28&gt;CW28,CS28-CW28,"0")</f>
        <v>460.8</v>
      </c>
      <c r="DB28" s="152">
        <f>IF(CT28&gt;CX28,CT28-CX28,"0")</f>
        <v>28938.239999999998</v>
      </c>
      <c r="DC28" s="153">
        <v>45792</v>
      </c>
      <c r="DD28" s="377" t="s">
        <v>667</v>
      </c>
      <c r="DE28" s="153" t="s">
        <v>45</v>
      </c>
      <c r="DF28" s="376" t="s">
        <v>357</v>
      </c>
      <c r="DG28" s="368" t="s">
        <v>371</v>
      </c>
      <c r="DH28" s="181">
        <v>19895.04</v>
      </c>
      <c r="DI28" s="153">
        <v>45791</v>
      </c>
      <c r="DJ28" s="1000">
        <f>22*2*7.2</f>
        <v>316.8</v>
      </c>
      <c r="DK28" s="181">
        <v>19895.04</v>
      </c>
      <c r="DL28" s="182">
        <v>13090.91</v>
      </c>
      <c r="DM28" s="181">
        <f t="shared" si="17"/>
        <v>286488595.89504004</v>
      </c>
      <c r="DN28" s="446">
        <f t="shared" si="18"/>
        <v>0.10000000000000013</v>
      </c>
      <c r="DO28" s="182">
        <f t="shared" si="19"/>
        <v>260444178.0864</v>
      </c>
      <c r="DP28" s="275">
        <v>45800</v>
      </c>
      <c r="DQ28" s="152">
        <f>SUMIF($I:$I,I28,$DJ:$DJ)</f>
        <v>460.8</v>
      </c>
      <c r="DR28" s="152">
        <f>SUMIF($I:$I,I28,$DK:$DK)</f>
        <v>28938.240000000002</v>
      </c>
      <c r="DS28" s="151"/>
      <c r="DT28" s="388"/>
      <c r="DU28" s="370"/>
      <c r="DV28" s="208"/>
      <c r="DW28" s="208"/>
      <c r="DX28" s="152"/>
      <c r="DY28" s="152"/>
      <c r="DZ28" s="152"/>
      <c r="EA28" s="152"/>
      <c r="EB28" s="152"/>
      <c r="EC28" s="152"/>
      <c r="ED28" s="152"/>
      <c r="EE28" s="371"/>
      <c r="EF28" s="371"/>
      <c r="EG28" s="371"/>
      <c r="EH28" s="371"/>
      <c r="EI28" s="153"/>
      <c r="EJ28" s="153"/>
      <c r="EK28" s="153"/>
      <c r="EL28" s="153"/>
      <c r="EM28" s="153"/>
      <c r="EN28" s="153"/>
      <c r="EO28" s="152">
        <f>SUMIF($I:$I,I28,$EC:$EC)</f>
        <v>0</v>
      </c>
      <c r="EP28" s="151">
        <f>SUMIF($I:$I,I28,$ED:$ED)</f>
        <v>0</v>
      </c>
      <c r="EQ28" s="153"/>
      <c r="ER28" s="153"/>
      <c r="ES28" s="153"/>
      <c r="ET28" s="153"/>
      <c r="EU28" s="152">
        <f>DQ28+EO28</f>
        <v>460.8</v>
      </c>
      <c r="EV28" s="152">
        <f>DR28+EP28</f>
        <v>28938.240000000002</v>
      </c>
      <c r="EW28" s="152">
        <f t="shared" ref="EW28" si="38">DA28-EU28</f>
        <v>0</v>
      </c>
      <c r="EX28" s="152">
        <f t="shared" ref="EX28" si="39">DB28-EV28</f>
        <v>0</v>
      </c>
      <c r="EY28" s="151" t="str">
        <f>IF(EW28&lt;0,"Thừa",IF(EW28=0,"Đủ","Thiếu"))</f>
        <v>Đủ</v>
      </c>
      <c r="EZ28" s="152"/>
      <c r="FA28" s="372"/>
      <c r="FB28" s="373"/>
      <c r="FC28" s="367"/>
      <c r="FD28" s="374"/>
      <c r="FE28" s="183"/>
      <c r="FF28" s="184"/>
      <c r="FG28" s="185"/>
      <c r="FH28" s="185"/>
    </row>
    <row r="29" spans="1:164" s="386" customFormat="1" ht="14" hidden="1" customHeight="1">
      <c r="A29" s="208" t="str">
        <f t="shared" si="4"/>
        <v>ok</v>
      </c>
      <c r="B29" s="151"/>
      <c r="C29" s="151"/>
      <c r="D29" s="151"/>
      <c r="E29" s="151"/>
      <c r="F29" s="151"/>
      <c r="G29" s="151"/>
      <c r="H29" s="151"/>
      <c r="I29" s="171" t="s">
        <v>248</v>
      </c>
      <c r="J29" s="164" t="s">
        <v>235</v>
      </c>
      <c r="K29" s="171" t="s">
        <v>293</v>
      </c>
      <c r="L29" s="233" t="s">
        <v>289</v>
      </c>
      <c r="M29" s="163" t="s">
        <v>44</v>
      </c>
      <c r="N29" s="172"/>
      <c r="O29" s="1397"/>
      <c r="P29" s="1398"/>
      <c r="Q29" s="162"/>
      <c r="R29" s="162"/>
      <c r="S29" s="161"/>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209"/>
      <c r="CT29" s="209"/>
      <c r="CU29" s="375"/>
      <c r="CV29" s="208"/>
      <c r="CW29" s="152"/>
      <c r="CX29" s="152"/>
      <c r="CY29" s="366"/>
      <c r="CZ29" s="366"/>
      <c r="DA29" s="152"/>
      <c r="DB29" s="152"/>
      <c r="DC29" s="153"/>
      <c r="DD29" s="377" t="s">
        <v>455</v>
      </c>
      <c r="DE29" s="153" t="s">
        <v>45</v>
      </c>
      <c r="DF29" s="213" t="s">
        <v>458</v>
      </c>
      <c r="DG29" s="213" t="s">
        <v>43</v>
      </c>
      <c r="DH29" s="181">
        <v>9043.2000000000007</v>
      </c>
      <c r="DI29" s="387">
        <v>45812</v>
      </c>
      <c r="DJ29" s="1000">
        <v>144</v>
      </c>
      <c r="DK29" s="181">
        <v>9043.2000000000007</v>
      </c>
      <c r="DL29" s="182">
        <v>13090.91</v>
      </c>
      <c r="DM29" s="181">
        <f t="shared" si="17"/>
        <v>130222089.04320002</v>
      </c>
      <c r="DN29" s="446">
        <f t="shared" si="18"/>
        <v>0.10000000000000007</v>
      </c>
      <c r="DO29" s="182">
        <f t="shared" si="19"/>
        <v>118383717.31200001</v>
      </c>
      <c r="DP29" s="275">
        <v>45817</v>
      </c>
      <c r="DQ29" s="152"/>
      <c r="DR29" s="152"/>
      <c r="DS29" s="151"/>
      <c r="DT29" s="388"/>
      <c r="DU29" s="370"/>
      <c r="DV29" s="208"/>
      <c r="DW29" s="208"/>
      <c r="DX29" s="152"/>
      <c r="DY29" s="152"/>
      <c r="DZ29" s="152"/>
      <c r="EA29" s="152"/>
      <c r="EB29" s="152"/>
      <c r="EC29" s="152"/>
      <c r="ED29" s="152"/>
      <c r="EE29" s="371"/>
      <c r="EF29" s="371"/>
      <c r="EG29" s="371"/>
      <c r="EH29" s="371"/>
      <c r="EI29" s="153"/>
      <c r="EJ29" s="153"/>
      <c r="EK29" s="153"/>
      <c r="EL29" s="153"/>
      <c r="EM29" s="153"/>
      <c r="EN29" s="153"/>
      <c r="EO29" s="152"/>
      <c r="EP29" s="151"/>
      <c r="EQ29" s="153"/>
      <c r="ER29" s="153"/>
      <c r="ES29" s="153"/>
      <c r="ET29" s="153"/>
      <c r="EU29" s="152"/>
      <c r="EV29" s="152"/>
      <c r="EW29" s="152"/>
      <c r="EX29" s="152"/>
      <c r="EY29" s="151"/>
      <c r="EZ29" s="152"/>
      <c r="FA29" s="372"/>
      <c r="FB29" s="373"/>
      <c r="FC29" s="384"/>
      <c r="FD29" s="385"/>
      <c r="FE29" s="210"/>
      <c r="FF29" s="211"/>
      <c r="FG29" s="212"/>
      <c r="FH29" s="212"/>
    </row>
    <row r="30" spans="1:164" s="157" customFormat="1" ht="14" hidden="1" customHeight="1">
      <c r="A30" s="208" t="str">
        <f t="shared" si="4"/>
        <v>Hiện</v>
      </c>
      <c r="B30" s="151" t="str">
        <f t="shared" ref="B30" si="40">EY30</f>
        <v>Đủ</v>
      </c>
      <c r="C30" s="151">
        <f t="shared" ref="C30" si="41">EW30</f>
        <v>0</v>
      </c>
      <c r="D30" s="151"/>
      <c r="E30" s="151"/>
      <c r="F30" s="151"/>
      <c r="G30" s="151"/>
      <c r="H30" s="151"/>
      <c r="I30" s="171" t="s">
        <v>249</v>
      </c>
      <c r="J30" s="164" t="s">
        <v>235</v>
      </c>
      <c r="K30" s="171" t="s">
        <v>294</v>
      </c>
      <c r="L30" s="233" t="s">
        <v>289</v>
      </c>
      <c r="M30" s="163" t="s">
        <v>44</v>
      </c>
      <c r="N30" s="172">
        <v>62.8</v>
      </c>
      <c r="O30" s="1397"/>
      <c r="P30" s="1398"/>
      <c r="Q30" s="162"/>
      <c r="R30" s="162"/>
      <c r="S30" s="161">
        <v>748.8</v>
      </c>
      <c r="T30" s="162">
        <v>47024.639999999992</v>
      </c>
      <c r="U30" s="162"/>
      <c r="V30" s="162"/>
      <c r="W30" s="162">
        <v>0</v>
      </c>
      <c r="X30" s="162">
        <v>0</v>
      </c>
      <c r="Y30" s="162">
        <v>0</v>
      </c>
      <c r="Z30" s="162">
        <v>0</v>
      </c>
      <c r="AA30" s="162">
        <v>0</v>
      </c>
      <c r="AB30" s="162">
        <v>0</v>
      </c>
      <c r="AC30" s="162">
        <v>0</v>
      </c>
      <c r="AD30" s="162">
        <v>0</v>
      </c>
      <c r="AE30" s="162">
        <v>0</v>
      </c>
      <c r="AF30" s="162">
        <v>0</v>
      </c>
      <c r="AG30" s="162">
        <v>0</v>
      </c>
      <c r="AH30" s="162">
        <v>0</v>
      </c>
      <c r="AI30" s="162">
        <f>VLOOKUP(I30,'[119]MTO-rev09'!$A:$O,11,0)</f>
        <v>0</v>
      </c>
      <c r="AJ30" s="162">
        <f>VLOOKUP(I30,'[119]MTO-rev09'!$A:$O,12,0)</f>
        <v>0</v>
      </c>
      <c r="AK30" s="162">
        <v>0</v>
      </c>
      <c r="AL30" s="162">
        <v>0</v>
      </c>
      <c r="AM30" s="162"/>
      <c r="AN30" s="162"/>
      <c r="AO30" s="162">
        <v>0</v>
      </c>
      <c r="AP30" s="162">
        <v>0</v>
      </c>
      <c r="AQ30" s="162">
        <v>0</v>
      </c>
      <c r="AR30" s="162">
        <v>0</v>
      </c>
      <c r="AS30" s="162">
        <v>0</v>
      </c>
      <c r="AT30" s="162">
        <v>0</v>
      </c>
      <c r="AU30" s="162">
        <v>0</v>
      </c>
      <c r="AV30" s="162">
        <v>0</v>
      </c>
      <c r="AW30" s="162">
        <v>0</v>
      </c>
      <c r="AX30" s="162">
        <v>0</v>
      </c>
      <c r="AY30" s="162">
        <v>0</v>
      </c>
      <c r="AZ30" s="162">
        <v>0</v>
      </c>
      <c r="BA30" s="162"/>
      <c r="BB30" s="162"/>
      <c r="BC30" s="162">
        <v>0</v>
      </c>
      <c r="BD30" s="162">
        <v>0</v>
      </c>
      <c r="BE30" s="162">
        <v>0</v>
      </c>
      <c r="BF30" s="162">
        <v>0</v>
      </c>
      <c r="BG30" s="162">
        <v>0</v>
      </c>
      <c r="BH30" s="162">
        <v>0</v>
      </c>
      <c r="BI30" s="162">
        <v>0</v>
      </c>
      <c r="BJ30" s="162">
        <v>0</v>
      </c>
      <c r="BK30" s="162">
        <v>0</v>
      </c>
      <c r="BL30" s="162">
        <v>0</v>
      </c>
      <c r="BM30" s="162">
        <v>0</v>
      </c>
      <c r="BN30" s="162">
        <v>0</v>
      </c>
      <c r="BO30" s="162"/>
      <c r="BP30" s="162"/>
      <c r="BQ30" s="162">
        <v>0</v>
      </c>
      <c r="BR30" s="162">
        <v>0</v>
      </c>
      <c r="BS30" s="162">
        <v>0</v>
      </c>
      <c r="BT30" s="162">
        <v>0</v>
      </c>
      <c r="BU30" s="162">
        <v>0</v>
      </c>
      <c r="BV30" s="162">
        <v>0</v>
      </c>
      <c r="BW30" s="162"/>
      <c r="BX30" s="162"/>
      <c r="BY30" s="162">
        <v>0</v>
      </c>
      <c r="BZ30" s="162">
        <v>0</v>
      </c>
      <c r="CA30" s="162">
        <v>0</v>
      </c>
      <c r="CB30" s="162">
        <v>0</v>
      </c>
      <c r="CC30" s="162">
        <v>0</v>
      </c>
      <c r="CD30" s="162">
        <v>0</v>
      </c>
      <c r="CE30" s="162">
        <f>VLOOKUP(I30,[120]REV33!$A:$O,11,0)</f>
        <v>0</v>
      </c>
      <c r="CF30" s="162">
        <f>VLOOKUP(I30,[120]REV33!$A:$O,12,0)</f>
        <v>0</v>
      </c>
      <c r="CG30" s="162"/>
      <c r="CH30" s="162"/>
      <c r="CI30" s="162"/>
      <c r="CJ30" s="162"/>
      <c r="CK30" s="162"/>
      <c r="CL30" s="162"/>
      <c r="CM30" s="162"/>
      <c r="CN30" s="162"/>
      <c r="CO30" s="162">
        <v>0</v>
      </c>
      <c r="CP30" s="162">
        <v>0</v>
      </c>
      <c r="CQ30" s="162">
        <v>0</v>
      </c>
      <c r="CR30" s="162">
        <v>0</v>
      </c>
      <c r="CS30" s="209">
        <f>Q30+S30+U30+W30+Y30+AA30+AC30+AE30+AG30+AI30+AK30+AM30+AO30+AQ30+AS30+AU30+AW30+AY30+BA30+BC30+BE30+BG30+BI30+BK30+BM30+BO30+BQ30+BS30+BU30+BW30+BY30+CA30+CC30+CE30+CG30+CI30+CK30+CM30+CO30+CQ30</f>
        <v>748.8</v>
      </c>
      <c r="CT30" s="209">
        <f>R30+T30+V30+X30+Z30+AB30+AD30+AF30+AH30+AJ30+AL30+AN30+AP30+AR30+AT30+AV30+AX30+AZ30+BB30+BD30+BF30+BH30+BJ30+BL30+BN30+BP30+BR30+BT30+BV30+BX30+BZ30+CB30+CD30+CF30+CH30+CJ30+CL30+CN30+CP30+CR30</f>
        <v>47024.639999999992</v>
      </c>
      <c r="CU30" s="375" t="s">
        <v>331</v>
      </c>
      <c r="CV30" s="208"/>
      <c r="CW30" s="152"/>
      <c r="CX30" s="152"/>
      <c r="CY30" s="275"/>
      <c r="CZ30" s="366"/>
      <c r="DA30" s="152">
        <f>IF(CS30&gt;CW30,CS30-CW30,"0")</f>
        <v>748.8</v>
      </c>
      <c r="DB30" s="152">
        <f>IF(CT30&gt;CX30,CT30-CX30,"0")</f>
        <v>47024.639999999992</v>
      </c>
      <c r="DC30" s="153">
        <v>45792</v>
      </c>
      <c r="DD30" s="377" t="s">
        <v>667</v>
      </c>
      <c r="DE30" s="153" t="s">
        <v>45</v>
      </c>
      <c r="DF30" s="376" t="s">
        <v>358</v>
      </c>
      <c r="DG30" s="368" t="s">
        <v>371</v>
      </c>
      <c r="DH30" s="181">
        <v>27431.040000000001</v>
      </c>
      <c r="DI30" s="153">
        <v>45791</v>
      </c>
      <c r="DJ30" s="1000">
        <f>28*2*7.8</f>
        <v>436.8</v>
      </c>
      <c r="DK30" s="181">
        <v>27431.040000000001</v>
      </c>
      <c r="DL30" s="182">
        <v>13090.91</v>
      </c>
      <c r="DM30" s="181">
        <f t="shared" si="17"/>
        <v>395007003.43104005</v>
      </c>
      <c r="DN30" s="446">
        <f t="shared" si="18"/>
        <v>0.10000000000000006</v>
      </c>
      <c r="DO30" s="182">
        <f t="shared" si="19"/>
        <v>359097275.84640002</v>
      </c>
      <c r="DP30" s="275">
        <v>45800</v>
      </c>
      <c r="DQ30" s="152">
        <f>SUMIF($I:$I,I30,$DJ:$DJ)</f>
        <v>748.8</v>
      </c>
      <c r="DR30" s="152">
        <f>SUMIF($I:$I,I30,$DK:$DK)</f>
        <v>47024.639999999999</v>
      </c>
      <c r="DS30" s="151"/>
      <c r="DT30" s="275"/>
      <c r="DU30" s="370"/>
      <c r="DV30" s="208"/>
      <c r="DW30" s="208"/>
      <c r="DX30" s="152"/>
      <c r="DY30" s="152"/>
      <c r="DZ30" s="152"/>
      <c r="EA30" s="152"/>
      <c r="EB30" s="152"/>
      <c r="EC30" s="152"/>
      <c r="ED30" s="152"/>
      <c r="EE30" s="371"/>
      <c r="EF30" s="371"/>
      <c r="EG30" s="371"/>
      <c r="EH30" s="371"/>
      <c r="EI30" s="153"/>
      <c r="EJ30" s="153"/>
      <c r="EK30" s="153"/>
      <c r="EL30" s="153"/>
      <c r="EM30" s="153"/>
      <c r="EN30" s="153"/>
      <c r="EO30" s="152">
        <f>SUMIF($I:$I,I30,$EC:$EC)</f>
        <v>0</v>
      </c>
      <c r="EP30" s="151">
        <f>SUMIF($I:$I,I30,$ED:$ED)</f>
        <v>0</v>
      </c>
      <c r="EQ30" s="153"/>
      <c r="ER30" s="153"/>
      <c r="ES30" s="153"/>
      <c r="ET30" s="153"/>
      <c r="EU30" s="152">
        <f>DQ30+EO30</f>
        <v>748.8</v>
      </c>
      <c r="EV30" s="152">
        <f>DR30+EP30</f>
        <v>47024.639999999999</v>
      </c>
      <c r="EW30" s="152">
        <f t="shared" ref="EW30" si="42">DA30-EU30</f>
        <v>0</v>
      </c>
      <c r="EX30" s="152">
        <f t="shared" ref="EX30" si="43">DB30-EV30</f>
        <v>0</v>
      </c>
      <c r="EY30" s="151" t="str">
        <f>IF(EW30&lt;0,"Thừa",IF(EW30=0,"Đủ","Thiếu"))</f>
        <v>Đủ</v>
      </c>
      <c r="EZ30" s="152"/>
      <c r="FA30" s="372"/>
      <c r="FB30" s="373"/>
      <c r="FC30" s="367"/>
      <c r="FD30" s="374"/>
      <c r="FE30" s="183"/>
      <c r="FF30" s="184"/>
      <c r="FG30" s="185"/>
      <c r="FH30" s="185"/>
    </row>
    <row r="31" spans="1:164" s="386" customFormat="1" ht="14" hidden="1" customHeight="1">
      <c r="A31" s="208" t="str">
        <f t="shared" si="4"/>
        <v>ok</v>
      </c>
      <c r="B31" s="151"/>
      <c r="C31" s="151"/>
      <c r="D31" s="151"/>
      <c r="E31" s="151"/>
      <c r="F31" s="151"/>
      <c r="G31" s="151"/>
      <c r="H31" s="151"/>
      <c r="I31" s="171" t="s">
        <v>249</v>
      </c>
      <c r="J31" s="164" t="s">
        <v>235</v>
      </c>
      <c r="K31" s="171" t="s">
        <v>294</v>
      </c>
      <c r="L31" s="233" t="s">
        <v>289</v>
      </c>
      <c r="M31" s="163" t="s">
        <v>44</v>
      </c>
      <c r="N31" s="172"/>
      <c r="O31" s="1397"/>
      <c r="P31" s="1398"/>
      <c r="Q31" s="162"/>
      <c r="R31" s="162"/>
      <c r="S31" s="161"/>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209"/>
      <c r="CT31" s="209"/>
      <c r="CU31" s="375"/>
      <c r="CV31" s="208"/>
      <c r="CW31" s="152"/>
      <c r="CX31" s="152"/>
      <c r="CY31" s="275"/>
      <c r="CZ31" s="366"/>
      <c r="DA31" s="152"/>
      <c r="DB31" s="152"/>
      <c r="DC31" s="153"/>
      <c r="DD31" s="377" t="s">
        <v>455</v>
      </c>
      <c r="DE31" s="153" t="s">
        <v>45</v>
      </c>
      <c r="DF31" s="213" t="s">
        <v>459</v>
      </c>
      <c r="DG31" s="213" t="s">
        <v>43</v>
      </c>
      <c r="DH31" s="181">
        <v>19593.599999999999</v>
      </c>
      <c r="DI31" s="387">
        <v>45812</v>
      </c>
      <c r="DJ31" s="225">
        <v>312</v>
      </c>
      <c r="DK31" s="181">
        <v>19593.599999999999</v>
      </c>
      <c r="DL31" s="182">
        <v>13090.91</v>
      </c>
      <c r="DM31" s="181">
        <f t="shared" si="17"/>
        <v>282147859.59359998</v>
      </c>
      <c r="DN31" s="446">
        <f t="shared" si="18"/>
        <v>0.10000000000000003</v>
      </c>
      <c r="DO31" s="182">
        <f t="shared" si="19"/>
        <v>256498054.17599997</v>
      </c>
      <c r="DP31" s="275">
        <v>45817</v>
      </c>
      <c r="DQ31" s="152"/>
      <c r="DR31" s="152"/>
      <c r="DS31" s="151"/>
      <c r="DT31" s="275"/>
      <c r="DU31" s="370"/>
      <c r="DV31" s="208"/>
      <c r="DW31" s="208"/>
      <c r="DX31" s="152"/>
      <c r="DY31" s="152"/>
      <c r="DZ31" s="152"/>
      <c r="EA31" s="152"/>
      <c r="EB31" s="152"/>
      <c r="EC31" s="152"/>
      <c r="ED31" s="152"/>
      <c r="EE31" s="371"/>
      <c r="EF31" s="371"/>
      <c r="EG31" s="371"/>
      <c r="EH31" s="371"/>
      <c r="EI31" s="153"/>
      <c r="EJ31" s="153"/>
      <c r="EK31" s="153"/>
      <c r="EL31" s="153"/>
      <c r="EM31" s="153"/>
      <c r="EN31" s="153"/>
      <c r="EO31" s="152"/>
      <c r="EP31" s="151"/>
      <c r="EQ31" s="153"/>
      <c r="ER31" s="153"/>
      <c r="ES31" s="153"/>
      <c r="ET31" s="153"/>
      <c r="EU31" s="152"/>
      <c r="EV31" s="152"/>
      <c r="EW31" s="152"/>
      <c r="EX31" s="152"/>
      <c r="EY31" s="151"/>
      <c r="EZ31" s="152"/>
      <c r="FA31" s="372"/>
      <c r="FB31" s="373"/>
      <c r="FC31" s="384"/>
      <c r="FD31" s="385"/>
      <c r="FE31" s="210"/>
      <c r="FF31" s="211"/>
      <c r="FG31" s="212"/>
      <c r="FH31" s="212"/>
    </row>
    <row r="32" spans="1:164" s="157" customFormat="1" ht="14" hidden="1" customHeight="1">
      <c r="A32" s="208" t="str">
        <f t="shared" si="4"/>
        <v>Hiện</v>
      </c>
      <c r="B32" s="151" t="str">
        <f t="shared" ref="B32" si="44">EY32</f>
        <v>Đủ</v>
      </c>
      <c r="C32" s="151">
        <f t="shared" ref="C32" si="45">EW32</f>
        <v>0</v>
      </c>
      <c r="D32" s="151"/>
      <c r="E32" s="151"/>
      <c r="F32" s="151"/>
      <c r="G32" s="151"/>
      <c r="H32" s="151"/>
      <c r="I32" s="171" t="s">
        <v>250</v>
      </c>
      <c r="J32" s="164" t="s">
        <v>235</v>
      </c>
      <c r="K32" s="171" t="s">
        <v>295</v>
      </c>
      <c r="L32" s="233" t="s">
        <v>289</v>
      </c>
      <c r="M32" s="163" t="s">
        <v>44</v>
      </c>
      <c r="N32" s="172">
        <v>62.8</v>
      </c>
      <c r="O32" s="1397"/>
      <c r="P32" s="1398"/>
      <c r="Q32" s="161"/>
      <c r="R32" s="162"/>
      <c r="S32" s="161">
        <v>797.28</v>
      </c>
      <c r="T32" s="162">
        <v>50069.183999999994</v>
      </c>
      <c r="U32" s="162"/>
      <c r="V32" s="162"/>
      <c r="W32" s="162">
        <v>0</v>
      </c>
      <c r="X32" s="162">
        <v>0</v>
      </c>
      <c r="Y32" s="162">
        <v>0</v>
      </c>
      <c r="Z32" s="162">
        <v>0</v>
      </c>
      <c r="AA32" s="162">
        <v>0</v>
      </c>
      <c r="AB32" s="162">
        <v>0</v>
      </c>
      <c r="AC32" s="162">
        <v>0</v>
      </c>
      <c r="AD32" s="162">
        <v>0</v>
      </c>
      <c r="AE32" s="162">
        <v>0</v>
      </c>
      <c r="AF32" s="162">
        <v>0</v>
      </c>
      <c r="AG32" s="162">
        <v>0</v>
      </c>
      <c r="AH32" s="162">
        <v>0</v>
      </c>
      <c r="AI32" s="162">
        <f>VLOOKUP(I32,'[119]MTO-rev09'!$A:$O,11,0)</f>
        <v>0</v>
      </c>
      <c r="AJ32" s="162">
        <f>VLOOKUP(I32,'[119]MTO-rev09'!$A:$O,12,0)</f>
        <v>0</v>
      </c>
      <c r="AK32" s="162">
        <v>0</v>
      </c>
      <c r="AL32" s="162">
        <v>0</v>
      </c>
      <c r="AM32" s="162"/>
      <c r="AN32" s="162"/>
      <c r="AO32" s="162">
        <v>0</v>
      </c>
      <c r="AP32" s="162">
        <v>0</v>
      </c>
      <c r="AQ32" s="162">
        <v>0</v>
      </c>
      <c r="AR32" s="162">
        <v>0</v>
      </c>
      <c r="AS32" s="162">
        <v>0</v>
      </c>
      <c r="AT32" s="162">
        <v>0</v>
      </c>
      <c r="AU32" s="162">
        <v>0</v>
      </c>
      <c r="AV32" s="162">
        <v>0</v>
      </c>
      <c r="AW32" s="162">
        <v>0</v>
      </c>
      <c r="AX32" s="162">
        <v>0</v>
      </c>
      <c r="AY32" s="162">
        <v>0</v>
      </c>
      <c r="AZ32" s="162">
        <v>0</v>
      </c>
      <c r="BA32" s="162"/>
      <c r="BB32" s="162"/>
      <c r="BC32" s="162">
        <v>0</v>
      </c>
      <c r="BD32" s="162">
        <v>0</v>
      </c>
      <c r="BE32" s="162">
        <v>0</v>
      </c>
      <c r="BF32" s="162">
        <v>0</v>
      </c>
      <c r="BG32" s="162">
        <v>0</v>
      </c>
      <c r="BH32" s="162">
        <v>0</v>
      </c>
      <c r="BI32" s="162">
        <v>0</v>
      </c>
      <c r="BJ32" s="162">
        <v>0</v>
      </c>
      <c r="BK32" s="162">
        <v>0</v>
      </c>
      <c r="BL32" s="162">
        <v>0</v>
      </c>
      <c r="BM32" s="162">
        <v>0</v>
      </c>
      <c r="BN32" s="162">
        <v>0</v>
      </c>
      <c r="BO32" s="162"/>
      <c r="BP32" s="162"/>
      <c r="BQ32" s="162">
        <v>0</v>
      </c>
      <c r="BR32" s="162">
        <v>0</v>
      </c>
      <c r="BS32" s="162">
        <v>0</v>
      </c>
      <c r="BT32" s="162">
        <v>0</v>
      </c>
      <c r="BU32" s="162">
        <v>0</v>
      </c>
      <c r="BV32" s="162">
        <v>0</v>
      </c>
      <c r="BW32" s="162"/>
      <c r="BX32" s="162"/>
      <c r="BY32" s="162">
        <v>0</v>
      </c>
      <c r="BZ32" s="162">
        <v>0</v>
      </c>
      <c r="CA32" s="162">
        <v>0</v>
      </c>
      <c r="CB32" s="162">
        <v>0</v>
      </c>
      <c r="CC32" s="162">
        <v>0</v>
      </c>
      <c r="CD32" s="162">
        <v>0</v>
      </c>
      <c r="CE32" s="162">
        <f>VLOOKUP(I32,[120]REV33!$A:$O,11,0)</f>
        <v>0</v>
      </c>
      <c r="CF32" s="162">
        <f>VLOOKUP(I32,[120]REV33!$A:$O,12,0)</f>
        <v>0</v>
      </c>
      <c r="CG32" s="162"/>
      <c r="CH32" s="162"/>
      <c r="CI32" s="162"/>
      <c r="CJ32" s="162"/>
      <c r="CK32" s="162"/>
      <c r="CL32" s="162"/>
      <c r="CM32" s="162"/>
      <c r="CN32" s="162"/>
      <c r="CO32" s="162">
        <v>0</v>
      </c>
      <c r="CP32" s="162">
        <v>0</v>
      </c>
      <c r="CQ32" s="162">
        <v>0</v>
      </c>
      <c r="CR32" s="162">
        <v>0</v>
      </c>
      <c r="CS32" s="209">
        <f>Q32+S32+U32+W32+Y32+AA32+AC32+AE32+AG32+AI32+AK32+AM32+AO32+AQ32+AS32+AU32+AW32+AY32+BA32+BC32+BE32+BG32+BI32+BK32+BM32+BO32+BQ32+BS32+BU32+BW32+BY32+CA32+CC32+CE32+CG32+CI32+CK32+CM32+CO32+CQ32</f>
        <v>797.28</v>
      </c>
      <c r="CT32" s="209">
        <f>R32+T32+V32+X32+Z32+AB32+AD32+AF32+AH32+AJ32+AL32+AN32+AP32+AR32+AT32+AV32+AX32+AZ32+BB32+BD32+BF32+BH32+BJ32+BL32+BN32+BP32+BR32+BT32+BV32+BX32+BZ32+CB32+CD32+CF32+CH32+CJ32+CL32+CN32+CP32+CR32</f>
        <v>50069.183999999994</v>
      </c>
      <c r="CU32" s="375" t="s">
        <v>332</v>
      </c>
      <c r="CV32" s="208"/>
      <c r="CW32" s="152"/>
      <c r="CX32" s="152"/>
      <c r="CY32" s="366"/>
      <c r="CZ32" s="366"/>
      <c r="DA32" s="152">
        <f>IF(CS32&gt;CW32,CS32-CW32,"0")</f>
        <v>797.28</v>
      </c>
      <c r="DB32" s="152">
        <f>IF(CT32&gt;CX32,CT32-CX32,"0")</f>
        <v>50069.183999999994</v>
      </c>
      <c r="DC32" s="153">
        <v>45792</v>
      </c>
      <c r="DD32" s="377" t="s">
        <v>667</v>
      </c>
      <c r="DE32" s="153" t="s">
        <v>45</v>
      </c>
      <c r="DF32" s="376" t="s">
        <v>359</v>
      </c>
      <c r="DG32" s="368" t="s">
        <v>371</v>
      </c>
      <c r="DH32" s="181">
        <v>27310.46</v>
      </c>
      <c r="DI32" s="153">
        <v>45791</v>
      </c>
      <c r="DJ32" s="1000">
        <f>24*2*9.06</f>
        <v>434.88</v>
      </c>
      <c r="DK32" s="181">
        <v>27310.46</v>
      </c>
      <c r="DL32" s="182">
        <v>13090.91</v>
      </c>
      <c r="DM32" s="181">
        <f t="shared" si="17"/>
        <v>393270651.31045997</v>
      </c>
      <c r="DN32" s="446">
        <f t="shared" si="18"/>
        <v>0.10000000000000003</v>
      </c>
      <c r="DO32" s="182">
        <f t="shared" si="19"/>
        <v>357518773.91859996</v>
      </c>
      <c r="DP32" s="275">
        <v>45800</v>
      </c>
      <c r="DQ32" s="152">
        <f>SUMIF($I:$I,I32,$DJ:$DJ)</f>
        <v>797.28</v>
      </c>
      <c r="DR32" s="152">
        <f>SUMIF($I:$I,I32,$DK:$DK)</f>
        <v>50069.18</v>
      </c>
      <c r="DS32" s="151"/>
      <c r="DT32" s="275"/>
      <c r="DU32" s="370"/>
      <c r="DV32" s="208"/>
      <c r="DW32" s="208"/>
      <c r="DX32" s="152"/>
      <c r="DY32" s="152"/>
      <c r="DZ32" s="152"/>
      <c r="EA32" s="152"/>
      <c r="EB32" s="152"/>
      <c r="EC32" s="152"/>
      <c r="ED32" s="152"/>
      <c r="EE32" s="371"/>
      <c r="EF32" s="371"/>
      <c r="EG32" s="153"/>
      <c r="EH32" s="153"/>
      <c r="EI32" s="153"/>
      <c r="EJ32" s="153"/>
      <c r="EK32" s="153"/>
      <c r="EL32" s="153"/>
      <c r="EM32" s="153"/>
      <c r="EN32" s="153"/>
      <c r="EO32" s="152">
        <f>SUMIF($I:$I,I32,$EC:$EC)</f>
        <v>0</v>
      </c>
      <c r="EP32" s="151">
        <f>SUMIF($I:$I,I32,$ED:$ED)</f>
        <v>0</v>
      </c>
      <c r="EQ32" s="153"/>
      <c r="ER32" s="153"/>
      <c r="ES32" s="153"/>
      <c r="ET32" s="153"/>
      <c r="EU32" s="152">
        <f>DQ32+EO32</f>
        <v>797.28</v>
      </c>
      <c r="EV32" s="152">
        <f>DR32+EP32</f>
        <v>50069.18</v>
      </c>
      <c r="EW32" s="152">
        <f t="shared" ref="EW32" si="46">DA32-EU32</f>
        <v>0</v>
      </c>
      <c r="EX32" s="152">
        <f t="shared" ref="EX32" si="47">DB32-EV32</f>
        <v>3.9999999935389496E-3</v>
      </c>
      <c r="EY32" s="151" t="str">
        <f>IF(EW32&lt;0,"Thừa",IF(EW32=0,"Đủ","Thiếu"))</f>
        <v>Đủ</v>
      </c>
      <c r="EZ32" s="152"/>
      <c r="FA32" s="372"/>
      <c r="FB32" s="373"/>
      <c r="FC32" s="367"/>
      <c r="FD32" s="374"/>
      <c r="FE32" s="183"/>
      <c r="FF32" s="184"/>
      <c r="FG32" s="185"/>
      <c r="FH32" s="185"/>
    </row>
    <row r="33" spans="1:164" s="386" customFormat="1" ht="14" hidden="1" customHeight="1">
      <c r="A33" s="208" t="str">
        <f t="shared" si="4"/>
        <v>ok</v>
      </c>
      <c r="B33" s="151"/>
      <c r="C33" s="151"/>
      <c r="D33" s="151"/>
      <c r="E33" s="151"/>
      <c r="F33" s="151"/>
      <c r="G33" s="151"/>
      <c r="H33" s="151"/>
      <c r="I33" s="171" t="s">
        <v>250</v>
      </c>
      <c r="J33" s="164" t="s">
        <v>235</v>
      </c>
      <c r="K33" s="171" t="s">
        <v>295</v>
      </c>
      <c r="L33" s="233" t="s">
        <v>289</v>
      </c>
      <c r="M33" s="163" t="s">
        <v>44</v>
      </c>
      <c r="N33" s="172"/>
      <c r="O33" s="1397"/>
      <c r="P33" s="1398"/>
      <c r="Q33" s="161"/>
      <c r="R33" s="162"/>
      <c r="S33" s="161"/>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209"/>
      <c r="CT33" s="209"/>
      <c r="CU33" s="375"/>
      <c r="CV33" s="208"/>
      <c r="CW33" s="152"/>
      <c r="CX33" s="152"/>
      <c r="CY33" s="366"/>
      <c r="CZ33" s="366"/>
      <c r="DA33" s="152"/>
      <c r="DB33" s="152"/>
      <c r="DC33" s="153"/>
      <c r="DD33" s="377" t="s">
        <v>455</v>
      </c>
      <c r="DE33" s="153" t="s">
        <v>45</v>
      </c>
      <c r="DF33" s="213" t="s">
        <v>460</v>
      </c>
      <c r="DG33" s="213" t="s">
        <v>43</v>
      </c>
      <c r="DH33" s="181">
        <v>22758.720000000001</v>
      </c>
      <c r="DI33" s="387">
        <v>45812</v>
      </c>
      <c r="DJ33" s="225">
        <v>362.40000000000003</v>
      </c>
      <c r="DK33" s="181">
        <v>22758.720000000001</v>
      </c>
      <c r="DL33" s="182">
        <v>13090.91</v>
      </c>
      <c r="DM33" s="181">
        <f t="shared" si="17"/>
        <v>327725590.75872004</v>
      </c>
      <c r="DN33" s="446">
        <f t="shared" si="18"/>
        <v>0.10000000000000019</v>
      </c>
      <c r="DO33" s="182">
        <f t="shared" si="19"/>
        <v>297932355.23519999</v>
      </c>
      <c r="DP33" s="275">
        <v>45817</v>
      </c>
      <c r="DQ33" s="152"/>
      <c r="DR33" s="152"/>
      <c r="DS33" s="151"/>
      <c r="DT33" s="275"/>
      <c r="DU33" s="370"/>
      <c r="DV33" s="208"/>
      <c r="DW33" s="208"/>
      <c r="DX33" s="152"/>
      <c r="DY33" s="152"/>
      <c r="DZ33" s="152"/>
      <c r="EA33" s="152"/>
      <c r="EB33" s="152"/>
      <c r="EC33" s="152"/>
      <c r="ED33" s="152"/>
      <c r="EE33" s="371"/>
      <c r="EF33" s="371"/>
      <c r="EG33" s="153"/>
      <c r="EH33" s="153"/>
      <c r="EI33" s="153"/>
      <c r="EJ33" s="153"/>
      <c r="EK33" s="153"/>
      <c r="EL33" s="153"/>
      <c r="EM33" s="153"/>
      <c r="EN33" s="153"/>
      <c r="EO33" s="152"/>
      <c r="EP33" s="151"/>
      <c r="EQ33" s="153"/>
      <c r="ER33" s="153"/>
      <c r="ES33" s="153"/>
      <c r="ET33" s="153"/>
      <c r="EU33" s="152"/>
      <c r="EV33" s="152"/>
      <c r="EW33" s="152"/>
      <c r="EX33" s="152"/>
      <c r="EY33" s="151"/>
      <c r="EZ33" s="152"/>
      <c r="FA33" s="372"/>
      <c r="FB33" s="373"/>
      <c r="FC33" s="384"/>
      <c r="FD33" s="385"/>
      <c r="FE33" s="210"/>
      <c r="FF33" s="211"/>
      <c r="FG33" s="212"/>
      <c r="FH33" s="212"/>
    </row>
    <row r="34" spans="1:164" s="157" customFormat="1" ht="14" hidden="1" customHeight="1">
      <c r="A34" s="208" t="str">
        <f t="shared" si="4"/>
        <v>Hiện</v>
      </c>
      <c r="B34" s="151" t="str">
        <f t="shared" ref="B34" si="48">EY34</f>
        <v>Đủ</v>
      </c>
      <c r="C34" s="151">
        <f t="shared" ref="C34" si="49">EW34</f>
        <v>0</v>
      </c>
      <c r="D34" s="151"/>
      <c r="E34" s="151"/>
      <c r="F34" s="151"/>
      <c r="G34" s="151"/>
      <c r="H34" s="151"/>
      <c r="I34" s="171" t="s">
        <v>251</v>
      </c>
      <c r="J34" s="164" t="s">
        <v>235</v>
      </c>
      <c r="K34" s="171" t="s">
        <v>296</v>
      </c>
      <c r="L34" s="233" t="s">
        <v>289</v>
      </c>
      <c r="M34" s="163" t="s">
        <v>44</v>
      </c>
      <c r="N34" s="172">
        <v>62.8</v>
      </c>
      <c r="O34" s="1397"/>
      <c r="P34" s="1398"/>
      <c r="Q34" s="161"/>
      <c r="R34" s="162"/>
      <c r="S34" s="161">
        <v>2880</v>
      </c>
      <c r="T34" s="162">
        <v>180864</v>
      </c>
      <c r="U34" s="162"/>
      <c r="V34" s="162"/>
      <c r="W34" s="162">
        <v>0</v>
      </c>
      <c r="X34" s="162">
        <v>0</v>
      </c>
      <c r="Y34" s="162">
        <v>0</v>
      </c>
      <c r="Z34" s="162">
        <v>0</v>
      </c>
      <c r="AA34" s="162">
        <v>0</v>
      </c>
      <c r="AB34" s="162">
        <v>0</v>
      </c>
      <c r="AC34" s="162">
        <v>0</v>
      </c>
      <c r="AD34" s="162">
        <v>0</v>
      </c>
      <c r="AE34" s="162">
        <v>336</v>
      </c>
      <c r="AF34" s="162">
        <v>21100.799999999999</v>
      </c>
      <c r="AG34" s="162">
        <v>0</v>
      </c>
      <c r="AH34" s="162">
        <v>0</v>
      </c>
      <c r="AI34" s="162">
        <f>VLOOKUP(I34,'[119]MTO-rev09'!$A:$O,11,0)</f>
        <v>0</v>
      </c>
      <c r="AJ34" s="162">
        <f>VLOOKUP(I34,'[119]MTO-rev09'!$A:$O,12,0)</f>
        <v>0</v>
      </c>
      <c r="AK34" s="162">
        <v>0</v>
      </c>
      <c r="AL34" s="162">
        <v>0</v>
      </c>
      <c r="AM34" s="162"/>
      <c r="AN34" s="162"/>
      <c r="AO34" s="162">
        <v>0</v>
      </c>
      <c r="AP34" s="162">
        <v>0</v>
      </c>
      <c r="AQ34" s="162">
        <v>0</v>
      </c>
      <c r="AR34" s="162">
        <v>0</v>
      </c>
      <c r="AS34" s="162">
        <v>0</v>
      </c>
      <c r="AT34" s="162">
        <v>0</v>
      </c>
      <c r="AU34" s="162">
        <v>0</v>
      </c>
      <c r="AV34" s="162">
        <v>0</v>
      </c>
      <c r="AW34" s="162">
        <v>0</v>
      </c>
      <c r="AX34" s="162">
        <v>0</v>
      </c>
      <c r="AY34" s="162">
        <v>0</v>
      </c>
      <c r="AZ34" s="162">
        <v>0</v>
      </c>
      <c r="BA34" s="162"/>
      <c r="BB34" s="162"/>
      <c r="BC34" s="162">
        <v>0</v>
      </c>
      <c r="BD34" s="162">
        <v>0</v>
      </c>
      <c r="BE34" s="162">
        <v>0</v>
      </c>
      <c r="BF34" s="162">
        <v>0</v>
      </c>
      <c r="BG34" s="162">
        <v>0</v>
      </c>
      <c r="BH34" s="162">
        <v>0</v>
      </c>
      <c r="BI34" s="162">
        <v>0</v>
      </c>
      <c r="BJ34" s="162">
        <v>0</v>
      </c>
      <c r="BK34" s="162">
        <v>0</v>
      </c>
      <c r="BL34" s="162">
        <v>0</v>
      </c>
      <c r="BM34" s="162">
        <v>0</v>
      </c>
      <c r="BN34" s="162">
        <v>0</v>
      </c>
      <c r="BO34" s="162"/>
      <c r="BP34" s="162"/>
      <c r="BQ34" s="162">
        <v>0</v>
      </c>
      <c r="BR34" s="162">
        <v>0</v>
      </c>
      <c r="BS34" s="162">
        <v>0</v>
      </c>
      <c r="BT34" s="162">
        <v>0</v>
      </c>
      <c r="BU34" s="162">
        <v>0</v>
      </c>
      <c r="BV34" s="162">
        <v>0</v>
      </c>
      <c r="BW34" s="162"/>
      <c r="BX34" s="162"/>
      <c r="BY34" s="162">
        <v>0</v>
      </c>
      <c r="BZ34" s="162">
        <v>0</v>
      </c>
      <c r="CA34" s="162">
        <v>0</v>
      </c>
      <c r="CB34" s="162">
        <v>0</v>
      </c>
      <c r="CC34" s="162">
        <v>0</v>
      </c>
      <c r="CD34" s="162">
        <v>0</v>
      </c>
      <c r="CE34" s="162">
        <f>VLOOKUP(I34,[120]REV33!$A:$O,11,0)</f>
        <v>0</v>
      </c>
      <c r="CF34" s="162">
        <f>VLOOKUP(I34,[120]REV33!$A:$O,12,0)</f>
        <v>0</v>
      </c>
      <c r="CG34" s="162"/>
      <c r="CH34" s="162"/>
      <c r="CI34" s="162"/>
      <c r="CJ34" s="162"/>
      <c r="CK34" s="162"/>
      <c r="CL34" s="162"/>
      <c r="CM34" s="162"/>
      <c r="CN34" s="162"/>
      <c r="CO34" s="162">
        <v>0</v>
      </c>
      <c r="CP34" s="162">
        <v>0</v>
      </c>
      <c r="CQ34" s="162">
        <v>0</v>
      </c>
      <c r="CR34" s="162">
        <v>0</v>
      </c>
      <c r="CS34" s="209">
        <f>Q34+S34+U34+W34+Y34+AA34+AC34+AE34+AG34+AI34+AK34+AM34+AO34+AQ34+AS34+AU34+AW34+AY34+BA34+BC34+BE34+BG34+BI34+BK34+BM34+BO34+BQ34+BS34+BU34+BW34+BY34+CA34+CC34+CE34+CG34+CI34+CK34+CM34+CO34+CQ34</f>
        <v>3216</v>
      </c>
      <c r="CT34" s="209">
        <f>R34+T34+V34+X34+Z34+AB34+AD34+AF34+AH34+AJ34+AL34+AN34+AP34+AR34+AT34+AV34+AX34+AZ34+BB34+BD34+BF34+BH34+BJ34+BL34+BN34+BP34+BR34+BT34+BV34+BX34+BZ34+CB34+CD34+CF34+CH34+CJ34+CL34+CN34+CP34+CR34</f>
        <v>201964.79999999999</v>
      </c>
      <c r="CU34" s="375" t="s">
        <v>645</v>
      </c>
      <c r="CV34" s="208"/>
      <c r="CW34" s="152"/>
      <c r="CX34" s="152"/>
      <c r="CY34" s="275"/>
      <c r="CZ34" s="366"/>
      <c r="DA34" s="152">
        <f>IF(CS34&gt;CW34,CS34-CW34,"0")</f>
        <v>3216</v>
      </c>
      <c r="DB34" s="152">
        <f>IF(CT34&gt;CX34,CT34-CX34,"0")</f>
        <v>201964.79999999999</v>
      </c>
      <c r="DC34" s="153">
        <v>45792</v>
      </c>
      <c r="DD34" s="377" t="s">
        <v>667</v>
      </c>
      <c r="DE34" s="153" t="s">
        <v>45</v>
      </c>
      <c r="DF34" s="389" t="s">
        <v>360</v>
      </c>
      <c r="DG34" s="368" t="s">
        <v>371</v>
      </c>
      <c r="DH34" s="181">
        <f>75360*55/70</f>
        <v>59211.428571428572</v>
      </c>
      <c r="DI34" s="153">
        <v>45791</v>
      </c>
      <c r="DJ34" s="392">
        <v>1200</v>
      </c>
      <c r="DK34" s="181">
        <v>75360</v>
      </c>
      <c r="DL34" s="182">
        <v>13090.91</v>
      </c>
      <c r="DM34" s="181">
        <f t="shared" si="17"/>
        <v>1085184075.3600001</v>
      </c>
      <c r="DN34" s="446">
        <f t="shared" si="18"/>
        <v>0.1000000000000001</v>
      </c>
      <c r="DO34" s="182">
        <f t="shared" si="19"/>
        <v>986530977.60000002</v>
      </c>
      <c r="DP34" s="275">
        <v>45800</v>
      </c>
      <c r="DQ34" s="152">
        <f>SUMIF($I:$I,I34,$DJ:$DJ)</f>
        <v>3216</v>
      </c>
      <c r="DR34" s="152">
        <f>SUMIF($I:$I,I34,$DK:$DK)</f>
        <v>201964.79999999999</v>
      </c>
      <c r="DS34" s="151"/>
      <c r="DT34" s="275"/>
      <c r="DU34" s="370"/>
      <c r="DV34" s="208"/>
      <c r="DW34" s="208"/>
      <c r="DX34" s="152"/>
      <c r="DY34" s="152"/>
      <c r="DZ34" s="152"/>
      <c r="EA34" s="152"/>
      <c r="EB34" s="152"/>
      <c r="EC34" s="152"/>
      <c r="ED34" s="152"/>
      <c r="EE34" s="371"/>
      <c r="EF34" s="371"/>
      <c r="EG34" s="371"/>
      <c r="EH34" s="371"/>
      <c r="EI34" s="153"/>
      <c r="EJ34" s="153"/>
      <c r="EK34" s="153"/>
      <c r="EL34" s="153"/>
      <c r="EM34" s="153"/>
      <c r="EN34" s="153"/>
      <c r="EO34" s="152">
        <f>SUMIF($I:$I,I34,$EC:$EC)</f>
        <v>0</v>
      </c>
      <c r="EP34" s="151">
        <f>SUMIF($I:$I,I34,$ED:$ED)</f>
        <v>0</v>
      </c>
      <c r="EQ34" s="153"/>
      <c r="ER34" s="153"/>
      <c r="ES34" s="153"/>
      <c r="ET34" s="153"/>
      <c r="EU34" s="152">
        <f>DQ34+EO34</f>
        <v>3216</v>
      </c>
      <c r="EV34" s="152">
        <f>DR34+EP34</f>
        <v>201964.79999999999</v>
      </c>
      <c r="EW34" s="152">
        <f t="shared" ref="EW34" si="50">DA34-EU34</f>
        <v>0</v>
      </c>
      <c r="EX34" s="152">
        <f t="shared" ref="EX34" si="51">DB34-EV34</f>
        <v>0</v>
      </c>
      <c r="EY34" s="151" t="str">
        <f>IF(EW34&lt;0,"Thừa",IF(EW34=0,"Đủ","Thiếu"))</f>
        <v>Đủ</v>
      </c>
      <c r="EZ34" s="152"/>
      <c r="FA34" s="372"/>
      <c r="FB34" s="373"/>
      <c r="FC34" s="367"/>
      <c r="FD34" s="374"/>
      <c r="FE34" s="183"/>
      <c r="FF34" s="184"/>
      <c r="FG34" s="185"/>
      <c r="FH34" s="185"/>
    </row>
    <row r="35" spans="1:164" s="386" customFormat="1" ht="14" hidden="1" customHeight="1">
      <c r="A35" s="208" t="str">
        <f t="shared" si="4"/>
        <v>ok</v>
      </c>
      <c r="B35" s="151"/>
      <c r="C35" s="151"/>
      <c r="D35" s="151"/>
      <c r="E35" s="151"/>
      <c r="F35" s="151"/>
      <c r="G35" s="151"/>
      <c r="H35" s="151"/>
      <c r="I35" s="171" t="s">
        <v>251</v>
      </c>
      <c r="J35" s="164" t="s">
        <v>235</v>
      </c>
      <c r="K35" s="171" t="s">
        <v>296</v>
      </c>
      <c r="L35" s="233" t="s">
        <v>289</v>
      </c>
      <c r="M35" s="163" t="s">
        <v>44</v>
      </c>
      <c r="N35" s="172"/>
      <c r="O35" s="177"/>
      <c r="P35" s="172"/>
      <c r="Q35" s="161"/>
      <c r="R35" s="162"/>
      <c r="S35" s="161"/>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209"/>
      <c r="CT35" s="209"/>
      <c r="CU35" s="375"/>
      <c r="CV35" s="208"/>
      <c r="CW35" s="152"/>
      <c r="CX35" s="152"/>
      <c r="CY35" s="275"/>
      <c r="CZ35" s="366"/>
      <c r="DA35" s="152"/>
      <c r="DB35" s="152"/>
      <c r="DC35" s="153"/>
      <c r="DD35" s="377" t="s">
        <v>668</v>
      </c>
      <c r="DE35" s="153" t="s">
        <v>45</v>
      </c>
      <c r="DF35" s="213" t="s">
        <v>671</v>
      </c>
      <c r="DG35" s="213" t="s">
        <v>678</v>
      </c>
      <c r="DH35" s="181">
        <v>21100.799999999999</v>
      </c>
      <c r="DI35" s="153">
        <v>45853</v>
      </c>
      <c r="DJ35" s="378">
        <v>336</v>
      </c>
      <c r="DK35" s="181">
        <v>21100.799999999999</v>
      </c>
      <c r="DL35" s="182">
        <v>13136.36</v>
      </c>
      <c r="DM35" s="181">
        <f t="shared" si="17"/>
        <v>304906475.59680003</v>
      </c>
      <c r="DN35" s="446">
        <f t="shared" si="18"/>
        <v>0.1000000000000001</v>
      </c>
      <c r="DO35" s="182">
        <f t="shared" si="19"/>
        <v>277187705.088</v>
      </c>
      <c r="DP35" s="275">
        <v>45856</v>
      </c>
      <c r="DQ35" s="152"/>
      <c r="DR35" s="152"/>
      <c r="DS35" s="151"/>
      <c r="DT35" s="275"/>
      <c r="DU35" s="370"/>
      <c r="DV35" s="208"/>
      <c r="DW35" s="208"/>
      <c r="DX35" s="152"/>
      <c r="DY35" s="152"/>
      <c r="DZ35" s="152"/>
      <c r="EA35" s="152"/>
      <c r="EB35" s="152"/>
      <c r="EC35" s="152"/>
      <c r="ED35" s="152"/>
      <c r="EE35" s="371"/>
      <c r="EF35" s="371"/>
      <c r="EG35" s="371"/>
      <c r="EH35" s="371"/>
      <c r="EI35" s="153"/>
      <c r="EJ35" s="153"/>
      <c r="EK35" s="153"/>
      <c r="EL35" s="153"/>
      <c r="EM35" s="153"/>
      <c r="EN35" s="153"/>
      <c r="EO35" s="152"/>
      <c r="EP35" s="151"/>
      <c r="EQ35" s="153"/>
      <c r="ER35" s="153"/>
      <c r="ES35" s="153"/>
      <c r="ET35" s="153"/>
      <c r="EU35" s="152"/>
      <c r="EV35" s="152"/>
      <c r="EW35" s="152"/>
      <c r="EX35" s="152"/>
      <c r="EY35" s="151"/>
      <c r="EZ35" s="152"/>
      <c r="FA35" s="372"/>
      <c r="FB35" s="373"/>
      <c r="FC35" s="379"/>
      <c r="FD35" s="380"/>
      <c r="FE35" s="219"/>
      <c r="FF35" s="220"/>
      <c r="FG35" s="221"/>
      <c r="FH35" s="221"/>
    </row>
    <row r="36" spans="1:164" s="386" customFormat="1" ht="14" hidden="1" customHeight="1">
      <c r="A36" s="208" t="str">
        <f t="shared" si="4"/>
        <v>ok</v>
      </c>
      <c r="B36" s="151"/>
      <c r="C36" s="151"/>
      <c r="D36" s="151"/>
      <c r="E36" s="151"/>
      <c r="F36" s="151"/>
      <c r="G36" s="151"/>
      <c r="H36" s="151"/>
      <c r="I36" s="171" t="s">
        <v>251</v>
      </c>
      <c r="J36" s="164" t="s">
        <v>235</v>
      </c>
      <c r="K36" s="171" t="s">
        <v>296</v>
      </c>
      <c r="L36" s="233" t="s">
        <v>289</v>
      </c>
      <c r="M36" s="163" t="s">
        <v>44</v>
      </c>
      <c r="N36" s="172"/>
      <c r="O36" s="177"/>
      <c r="P36" s="172"/>
      <c r="Q36" s="161"/>
      <c r="R36" s="162"/>
      <c r="S36" s="161"/>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209"/>
      <c r="CT36" s="209"/>
      <c r="CU36" s="375"/>
      <c r="CV36" s="208"/>
      <c r="CW36" s="152"/>
      <c r="CX36" s="152"/>
      <c r="CY36" s="275"/>
      <c r="CZ36" s="366"/>
      <c r="DA36" s="152"/>
      <c r="DB36" s="152"/>
      <c r="DC36" s="153"/>
      <c r="DD36" s="377" t="s">
        <v>455</v>
      </c>
      <c r="DE36" s="153" t="s">
        <v>45</v>
      </c>
      <c r="DF36" s="213" t="s">
        <v>461</v>
      </c>
      <c r="DG36" s="213" t="s">
        <v>43</v>
      </c>
      <c r="DH36" s="181">
        <v>105504</v>
      </c>
      <c r="DI36" s="387">
        <v>45812</v>
      </c>
      <c r="DJ36" s="225">
        <v>1680</v>
      </c>
      <c r="DK36" s="181">
        <v>105504</v>
      </c>
      <c r="DL36" s="182">
        <v>13090.91</v>
      </c>
      <c r="DM36" s="181">
        <f t="shared" si="17"/>
        <v>1519257705.5039999</v>
      </c>
      <c r="DN36" s="446">
        <f t="shared" si="18"/>
        <v>0.10000000000000007</v>
      </c>
      <c r="DO36" s="182">
        <f t="shared" si="19"/>
        <v>1381143368.6399999</v>
      </c>
      <c r="DP36" s="275">
        <v>45819</v>
      </c>
      <c r="DQ36" s="152"/>
      <c r="DR36" s="152"/>
      <c r="DS36" s="151"/>
      <c r="DT36" s="275"/>
      <c r="DU36" s="370"/>
      <c r="DV36" s="208"/>
      <c r="DW36" s="208"/>
      <c r="DX36" s="152"/>
      <c r="DY36" s="152"/>
      <c r="DZ36" s="152"/>
      <c r="EA36" s="152"/>
      <c r="EB36" s="152"/>
      <c r="EC36" s="152"/>
      <c r="ED36" s="152"/>
      <c r="EE36" s="371"/>
      <c r="EF36" s="371"/>
      <c r="EG36" s="371"/>
      <c r="EH36" s="371"/>
      <c r="EI36" s="153"/>
      <c r="EJ36" s="153"/>
      <c r="EK36" s="153"/>
      <c r="EL36" s="153"/>
      <c r="EM36" s="153"/>
      <c r="EN36" s="153"/>
      <c r="EO36" s="152"/>
      <c r="EP36" s="151"/>
      <c r="EQ36" s="153"/>
      <c r="ER36" s="153"/>
      <c r="ES36" s="153"/>
      <c r="ET36" s="153"/>
      <c r="EU36" s="152"/>
      <c r="EV36" s="152"/>
      <c r="EW36" s="152"/>
      <c r="EX36" s="152"/>
      <c r="EY36" s="151"/>
      <c r="EZ36" s="152"/>
      <c r="FA36" s="372"/>
      <c r="FB36" s="373"/>
      <c r="FC36" s="381"/>
      <c r="FD36" s="382"/>
      <c r="FE36" s="222"/>
      <c r="FF36" s="223"/>
      <c r="FG36" s="224"/>
      <c r="FH36" s="224"/>
    </row>
    <row r="37" spans="1:164" s="157" customFormat="1" ht="14" hidden="1" customHeight="1">
      <c r="A37" s="208" t="str">
        <f t="shared" si="4"/>
        <v>Hiện</v>
      </c>
      <c r="B37" s="151" t="str">
        <f t="shared" ref="B37:B43" si="52">EY37</f>
        <v>Đủ</v>
      </c>
      <c r="C37" s="151">
        <f t="shared" ref="C37:C49" si="53">EW37</f>
        <v>0</v>
      </c>
      <c r="D37" s="151"/>
      <c r="E37" s="151"/>
      <c r="F37" s="151"/>
      <c r="G37" s="151"/>
      <c r="H37" s="151"/>
      <c r="I37" s="171" t="s">
        <v>478</v>
      </c>
      <c r="J37" s="164" t="s">
        <v>235</v>
      </c>
      <c r="K37" s="171" t="s">
        <v>479</v>
      </c>
      <c r="L37" s="233" t="s">
        <v>289</v>
      </c>
      <c r="M37" s="163" t="s">
        <v>44</v>
      </c>
      <c r="N37" s="172">
        <v>62.8</v>
      </c>
      <c r="O37" s="177"/>
      <c r="P37" s="172"/>
      <c r="Q37" s="161"/>
      <c r="R37" s="162"/>
      <c r="S37" s="161"/>
      <c r="T37" s="162"/>
      <c r="U37" s="162"/>
      <c r="V37" s="162"/>
      <c r="W37" s="162"/>
      <c r="X37" s="162"/>
      <c r="Y37" s="162"/>
      <c r="Z37" s="162"/>
      <c r="AA37" s="162">
        <v>1737</v>
      </c>
      <c r="AB37" s="162">
        <v>109083.59999999999</v>
      </c>
      <c r="AC37" s="162">
        <v>0</v>
      </c>
      <c r="AD37" s="162">
        <v>0</v>
      </c>
      <c r="AE37" s="162">
        <v>0</v>
      </c>
      <c r="AF37" s="162">
        <v>0</v>
      </c>
      <c r="AG37" s="162">
        <v>0</v>
      </c>
      <c r="AH37" s="162">
        <v>0</v>
      </c>
      <c r="AI37" s="162">
        <f>VLOOKUP(I37,'[119]MTO-rev09'!$A:$O,11,0)</f>
        <v>0</v>
      </c>
      <c r="AJ37" s="162">
        <f>VLOOKUP(I37,'[119]MTO-rev09'!$A:$O,12,0)</f>
        <v>0</v>
      </c>
      <c r="AK37" s="162">
        <v>0</v>
      </c>
      <c r="AL37" s="162">
        <v>0</v>
      </c>
      <c r="AM37" s="162"/>
      <c r="AN37" s="162"/>
      <c r="AO37" s="162">
        <v>0</v>
      </c>
      <c r="AP37" s="162">
        <v>0</v>
      </c>
      <c r="AQ37" s="162">
        <v>0</v>
      </c>
      <c r="AR37" s="162">
        <v>0</v>
      </c>
      <c r="AS37" s="162">
        <v>0</v>
      </c>
      <c r="AT37" s="162">
        <v>0</v>
      </c>
      <c r="AU37" s="162">
        <v>0</v>
      </c>
      <c r="AV37" s="162">
        <v>0</v>
      </c>
      <c r="AW37" s="162">
        <v>0</v>
      </c>
      <c r="AX37" s="162">
        <v>0</v>
      </c>
      <c r="AY37" s="162">
        <v>0</v>
      </c>
      <c r="AZ37" s="162">
        <v>0</v>
      </c>
      <c r="BA37" s="162"/>
      <c r="BB37" s="162"/>
      <c r="BC37" s="162">
        <v>0</v>
      </c>
      <c r="BD37" s="162">
        <v>0</v>
      </c>
      <c r="BE37" s="162">
        <v>0</v>
      </c>
      <c r="BF37" s="162">
        <v>0</v>
      </c>
      <c r="BG37" s="162">
        <v>0</v>
      </c>
      <c r="BH37" s="162">
        <v>0</v>
      </c>
      <c r="BI37" s="162">
        <v>0</v>
      </c>
      <c r="BJ37" s="162">
        <v>0</v>
      </c>
      <c r="BK37" s="162">
        <v>0</v>
      </c>
      <c r="BL37" s="162">
        <v>0</v>
      </c>
      <c r="BM37" s="162">
        <v>0</v>
      </c>
      <c r="BN37" s="162">
        <v>0</v>
      </c>
      <c r="BO37" s="162"/>
      <c r="BP37" s="162"/>
      <c r="BQ37" s="162">
        <v>0</v>
      </c>
      <c r="BR37" s="162">
        <v>0</v>
      </c>
      <c r="BS37" s="162">
        <v>0</v>
      </c>
      <c r="BT37" s="162">
        <v>0</v>
      </c>
      <c r="BU37" s="162">
        <v>0</v>
      </c>
      <c r="BV37" s="162">
        <v>0</v>
      </c>
      <c r="BW37" s="162"/>
      <c r="BX37" s="162"/>
      <c r="BY37" s="162">
        <v>0</v>
      </c>
      <c r="BZ37" s="162">
        <v>0</v>
      </c>
      <c r="CA37" s="162">
        <v>0</v>
      </c>
      <c r="CB37" s="162">
        <v>0</v>
      </c>
      <c r="CC37" s="162">
        <v>0</v>
      </c>
      <c r="CD37" s="162">
        <v>0</v>
      </c>
      <c r="CE37" s="162">
        <f>VLOOKUP(I37,[120]REV33!$A:$O,11,0)</f>
        <v>0</v>
      </c>
      <c r="CF37" s="162">
        <f>VLOOKUP(I37,[120]REV33!$A:$O,12,0)</f>
        <v>0</v>
      </c>
      <c r="CG37" s="162"/>
      <c r="CH37" s="162"/>
      <c r="CI37" s="162"/>
      <c r="CJ37" s="162"/>
      <c r="CK37" s="162"/>
      <c r="CL37" s="162"/>
      <c r="CM37" s="162"/>
      <c r="CN37" s="162"/>
      <c r="CO37" s="162">
        <v>0</v>
      </c>
      <c r="CP37" s="162">
        <v>0</v>
      </c>
      <c r="CQ37" s="162">
        <v>0</v>
      </c>
      <c r="CR37" s="162">
        <v>0</v>
      </c>
      <c r="CS37" s="209">
        <f>Q37+S37+U37+W37+Y37+AA37+AC37+AE37+AG37+AI37+AK37+AM37+AO37+AQ37+AS37+AU37+AW37+AY37+BA37+BC37+BE37+BG37+BI37+BK37+BM37+BO37+BQ37+BS37+BU37+BW37+BY37+CA37+CC37+CE37+CG37+CI37+CK37+CM37+CO37+CQ37</f>
        <v>1737</v>
      </c>
      <c r="CT37" s="209">
        <f>R37+T37+V37+X37+Z37+AB37+AD37+AF37+AH37+AJ37+AL37+AN37+AP37+AR37+AT37+AV37+AX37+AZ37+BB37+BD37+BF37+BH37+BJ37+BL37+BN37+BP37+BR37+BT37+BV37+BX37+BZ37+CB37+CD37+CF37+CH37+CJ37+CL37+CN37+CP37+CR37</f>
        <v>109083.59999999999</v>
      </c>
      <c r="CU37" s="375" t="s">
        <v>496</v>
      </c>
      <c r="CV37" s="208"/>
      <c r="CW37" s="152"/>
      <c r="CX37" s="152"/>
      <c r="CY37" s="275"/>
      <c r="CZ37" s="366"/>
      <c r="DA37" s="152">
        <f t="shared" ref="DA37:DA38" si="54">IF(CS37&gt;CW37,CS37-CW37,"0")</f>
        <v>1737</v>
      </c>
      <c r="DB37" s="152">
        <f t="shared" ref="DB37:DB38" si="55">IF(CT37&gt;CX37,CT37-CX37,"0")</f>
        <v>109083.59999999999</v>
      </c>
      <c r="DC37" s="153"/>
      <c r="DD37" s="153" t="s">
        <v>655</v>
      </c>
      <c r="DE37" s="153" t="s">
        <v>45</v>
      </c>
      <c r="DF37" s="213" t="s">
        <v>555</v>
      </c>
      <c r="DG37" s="213" t="s">
        <v>43</v>
      </c>
      <c r="DH37" s="181">
        <v>109083.6</v>
      </c>
      <c r="DI37" s="153">
        <v>45829</v>
      </c>
      <c r="DJ37" s="225">
        <v>1737</v>
      </c>
      <c r="DK37" s="181">
        <v>109083.6</v>
      </c>
      <c r="DL37" s="182">
        <v>13181.82</v>
      </c>
      <c r="DM37" s="181">
        <f t="shared" si="17"/>
        <v>1581712418.1672001</v>
      </c>
      <c r="DN37" s="446">
        <f t="shared" si="18"/>
        <v>0.1000000000000001</v>
      </c>
      <c r="DO37" s="182">
        <f t="shared" si="19"/>
        <v>1437920380.152</v>
      </c>
      <c r="DP37" s="275">
        <v>45832</v>
      </c>
      <c r="DQ37" s="152">
        <f>SUMIF($I:$I,I37,$DJ:$DJ)</f>
        <v>1737</v>
      </c>
      <c r="DR37" s="152">
        <f>SUMIF($I:$I,I37,$DK:$DK)</f>
        <v>109083.6</v>
      </c>
      <c r="DS37" s="151"/>
      <c r="DT37" s="275"/>
      <c r="DU37" s="370"/>
      <c r="DV37" s="208"/>
      <c r="DW37" s="208"/>
      <c r="DX37" s="152"/>
      <c r="DY37" s="152"/>
      <c r="DZ37" s="152"/>
      <c r="EA37" s="152"/>
      <c r="EB37" s="152"/>
      <c r="EC37" s="152"/>
      <c r="ED37" s="152"/>
      <c r="EE37" s="371"/>
      <c r="EF37" s="371"/>
      <c r="EG37" s="371"/>
      <c r="EH37" s="371"/>
      <c r="EI37" s="153"/>
      <c r="EJ37" s="153"/>
      <c r="EK37" s="153"/>
      <c r="EL37" s="153"/>
      <c r="EM37" s="153"/>
      <c r="EN37" s="153"/>
      <c r="EO37" s="152">
        <f>SUMIF($I:$I,I37,$EC:$EC)</f>
        <v>0</v>
      </c>
      <c r="EP37" s="151">
        <f>SUMIF($I:$I,I37,$ED:$ED)</f>
        <v>0</v>
      </c>
      <c r="EQ37" s="153"/>
      <c r="ER37" s="153"/>
      <c r="ES37" s="153"/>
      <c r="ET37" s="153"/>
      <c r="EU37" s="152">
        <f t="shared" ref="EU37:EU38" si="56">DQ37+EO37</f>
        <v>1737</v>
      </c>
      <c r="EV37" s="152">
        <f t="shared" ref="EV37:EV38" si="57">DR37+EP37</f>
        <v>109083.6</v>
      </c>
      <c r="EW37" s="152">
        <f t="shared" ref="EW37:EW38" si="58">DA37-EU37</f>
        <v>0</v>
      </c>
      <c r="EX37" s="152">
        <f t="shared" ref="EX37:EX38" si="59">DB37-EV37</f>
        <v>0</v>
      </c>
      <c r="EY37" s="151" t="str">
        <f t="shared" ref="EY37:EY38" si="60">IF(EW37&lt;0,"Thừa",IF(EW37=0,"Đủ","Thiếu"))</f>
        <v>Đủ</v>
      </c>
      <c r="EZ37" s="152"/>
      <c r="FA37" s="372"/>
      <c r="FB37" s="373"/>
      <c r="FC37" s="367"/>
      <c r="FD37" s="374"/>
      <c r="FE37" s="183"/>
      <c r="FF37" s="184"/>
      <c r="FG37" s="185"/>
      <c r="FH37" s="185"/>
    </row>
    <row r="38" spans="1:164" s="157" customFormat="1" ht="14" hidden="1" customHeight="1">
      <c r="A38" s="208" t="str">
        <f t="shared" si="4"/>
        <v>Hiện</v>
      </c>
      <c r="B38" s="151" t="str">
        <f t="shared" si="52"/>
        <v>Đủ</v>
      </c>
      <c r="C38" s="151">
        <f t="shared" si="53"/>
        <v>0</v>
      </c>
      <c r="D38" s="151"/>
      <c r="E38" s="151"/>
      <c r="F38" s="151"/>
      <c r="G38" s="151"/>
      <c r="H38" s="151"/>
      <c r="I38" s="171" t="s">
        <v>252</v>
      </c>
      <c r="J38" s="164" t="s">
        <v>235</v>
      </c>
      <c r="K38" s="171" t="s">
        <v>713</v>
      </c>
      <c r="L38" s="233" t="s">
        <v>289</v>
      </c>
      <c r="M38" s="163" t="s">
        <v>44</v>
      </c>
      <c r="N38" s="172">
        <v>78.5</v>
      </c>
      <c r="O38" s="177">
        <v>189.65961783439474</v>
      </c>
      <c r="P38" s="172">
        <v>14888.279999999988</v>
      </c>
      <c r="Q38" s="161"/>
      <c r="R38" s="162"/>
      <c r="S38" s="161">
        <v>198</v>
      </c>
      <c r="T38" s="162">
        <f>S38*$N$38</f>
        <v>15543</v>
      </c>
      <c r="U38" s="162"/>
      <c r="V38" s="162"/>
      <c r="W38" s="162">
        <v>0</v>
      </c>
      <c r="X38" s="162">
        <v>0</v>
      </c>
      <c r="Y38" s="162">
        <v>0</v>
      </c>
      <c r="Z38" s="162">
        <v>0</v>
      </c>
      <c r="AA38" s="162">
        <v>288</v>
      </c>
      <c r="AB38" s="162">
        <f>AA38*$N$38</f>
        <v>22608</v>
      </c>
      <c r="AC38" s="162">
        <v>0</v>
      </c>
      <c r="AD38" s="162">
        <v>0</v>
      </c>
      <c r="AE38" s="162">
        <v>0</v>
      </c>
      <c r="AF38" s="162">
        <v>0</v>
      </c>
      <c r="AG38" s="162">
        <v>24</v>
      </c>
      <c r="AH38" s="162">
        <f>AG38*$N$38</f>
        <v>1884</v>
      </c>
      <c r="AI38" s="162">
        <f>VLOOKUP(I38,'[119]MTO-rev09'!$A:$O,11,0)</f>
        <v>0</v>
      </c>
      <c r="AJ38" s="162">
        <f>VLOOKUP(I38,'[119]MTO-rev09'!$A:$O,12,0)</f>
        <v>0</v>
      </c>
      <c r="AK38" s="162">
        <v>0</v>
      </c>
      <c r="AL38" s="162">
        <v>0</v>
      </c>
      <c r="AM38" s="162">
        <v>120</v>
      </c>
      <c r="AN38" s="162">
        <f>AM38*$N$38</f>
        <v>9420</v>
      </c>
      <c r="AO38" s="162">
        <v>0</v>
      </c>
      <c r="AP38" s="162">
        <v>0</v>
      </c>
      <c r="AQ38" s="162">
        <v>0</v>
      </c>
      <c r="AR38" s="162">
        <v>0</v>
      </c>
      <c r="AS38" s="162">
        <v>0</v>
      </c>
      <c r="AT38" s="162">
        <v>0</v>
      </c>
      <c r="AU38" s="162">
        <v>0</v>
      </c>
      <c r="AV38" s="162">
        <v>0</v>
      </c>
      <c r="AW38" s="162">
        <v>0</v>
      </c>
      <c r="AX38" s="162">
        <v>0</v>
      </c>
      <c r="AY38" s="162">
        <v>0</v>
      </c>
      <c r="AZ38" s="162">
        <v>0</v>
      </c>
      <c r="BA38" s="162">
        <v>84</v>
      </c>
      <c r="BB38" s="162">
        <f>BA38*$N$38</f>
        <v>6594</v>
      </c>
      <c r="BC38" s="162">
        <v>0</v>
      </c>
      <c r="BD38" s="162">
        <v>0</v>
      </c>
      <c r="BE38" s="162">
        <v>0</v>
      </c>
      <c r="BF38" s="162">
        <v>0</v>
      </c>
      <c r="BG38" s="162">
        <v>0</v>
      </c>
      <c r="BH38" s="162">
        <v>0</v>
      </c>
      <c r="BI38" s="162">
        <v>0</v>
      </c>
      <c r="BJ38" s="162">
        <v>0</v>
      </c>
      <c r="BK38" s="162">
        <v>0</v>
      </c>
      <c r="BL38" s="162">
        <v>0</v>
      </c>
      <c r="BM38" s="162">
        <v>0</v>
      </c>
      <c r="BN38" s="162">
        <v>0</v>
      </c>
      <c r="BO38" s="162"/>
      <c r="BP38" s="162"/>
      <c r="BQ38" s="162">
        <v>0</v>
      </c>
      <c r="BR38" s="162">
        <v>0</v>
      </c>
      <c r="BS38" s="162">
        <v>0</v>
      </c>
      <c r="BT38" s="162">
        <v>0</v>
      </c>
      <c r="BU38" s="162">
        <v>0</v>
      </c>
      <c r="BV38" s="162">
        <v>0</v>
      </c>
      <c r="BW38" s="162"/>
      <c r="BX38" s="162"/>
      <c r="BY38" s="162">
        <v>0</v>
      </c>
      <c r="BZ38" s="162">
        <v>0</v>
      </c>
      <c r="CA38" s="162">
        <v>0</v>
      </c>
      <c r="CB38" s="162">
        <v>0</v>
      </c>
      <c r="CC38" s="162">
        <v>0</v>
      </c>
      <c r="CD38" s="162">
        <v>0</v>
      </c>
      <c r="CE38" s="162">
        <f>VLOOKUP(I38,[120]REV33!$A:$O,11,0)</f>
        <v>0</v>
      </c>
      <c r="CF38" s="162">
        <f>VLOOKUP(I38,[120]REV33!$A:$O,12,0)</f>
        <v>0</v>
      </c>
      <c r="CG38" s="162"/>
      <c r="CH38" s="162"/>
      <c r="CI38" s="162"/>
      <c r="CJ38" s="162"/>
      <c r="CK38" s="162"/>
      <c r="CL38" s="162"/>
      <c r="CM38" s="162"/>
      <c r="CN38" s="162"/>
      <c r="CO38" s="162">
        <v>0</v>
      </c>
      <c r="CP38" s="162">
        <v>0</v>
      </c>
      <c r="CQ38" s="162">
        <v>0</v>
      </c>
      <c r="CR38" s="162">
        <v>0</v>
      </c>
      <c r="CS38" s="209">
        <f>Q38+S38+U38+W38+Y38+AA38+AC38+AE38+AG38+AI38+AK38+AM38+AO38+AQ38+AS38+AU38+AW38+AY38+BA38+BC38+BE38+BG38+BI38+BK38+BM38+BO38+BQ38+BS38+BU38+BW38+BY38+CA38+CC38+CE38+CG38+CI38+CK38+CM38+CO38+CQ38</f>
        <v>714</v>
      </c>
      <c r="CT38" s="209">
        <f>R38+T38+V38+X38+Z38+AB38+AD38+AF38+AH38+AJ38+AL38+AN38+AP38+AR38+AT38+AV38+AX38+AZ38+BB38+BD38+BF38+BH38+BJ38+BL38+BN38+BP38+BR38+BT38+BV38+BX38+BZ38+CB38+CD38+CF38+CH38+CJ38+CL38+CN38+CP38+CR38</f>
        <v>56049</v>
      </c>
      <c r="CU38" s="375" t="s">
        <v>1486</v>
      </c>
      <c r="CV38" s="208"/>
      <c r="CW38" s="152"/>
      <c r="CX38" s="152"/>
      <c r="CY38" s="366"/>
      <c r="CZ38" s="366"/>
      <c r="DA38" s="152">
        <f t="shared" si="54"/>
        <v>714</v>
      </c>
      <c r="DB38" s="152">
        <f t="shared" si="55"/>
        <v>56049</v>
      </c>
      <c r="DC38" s="153">
        <v>45792</v>
      </c>
      <c r="DD38" s="377" t="s">
        <v>667</v>
      </c>
      <c r="DE38" s="153" t="s">
        <v>45</v>
      </c>
      <c r="DF38" s="365" t="s">
        <v>361</v>
      </c>
      <c r="DG38" s="368" t="s">
        <v>370</v>
      </c>
      <c r="DH38" s="181">
        <v>15543</v>
      </c>
      <c r="DI38" s="153">
        <v>45791</v>
      </c>
      <c r="DJ38" s="1000">
        <v>198</v>
      </c>
      <c r="DK38" s="181">
        <v>15543</v>
      </c>
      <c r="DL38" s="182">
        <v>13090.91</v>
      </c>
      <c r="DM38" s="181">
        <f t="shared" si="17"/>
        <v>223819215.54300001</v>
      </c>
      <c r="DN38" s="446">
        <f t="shared" si="18"/>
        <v>0.10000000000000009</v>
      </c>
      <c r="DO38" s="182">
        <f t="shared" si="19"/>
        <v>203472014.13</v>
      </c>
      <c r="DP38" s="275">
        <v>45794</v>
      </c>
      <c r="DQ38" s="152">
        <f>SUMIF($I:$I,I38,$DJ:$DJ)</f>
        <v>714</v>
      </c>
      <c r="DR38" s="152">
        <f>SUMIF($I:$I,I38,$DK:$DK)</f>
        <v>56049</v>
      </c>
      <c r="DS38" s="151"/>
      <c r="DT38" s="275"/>
      <c r="DU38" s="370"/>
      <c r="DV38" s="208"/>
      <c r="DW38" s="208"/>
      <c r="DX38" s="152"/>
      <c r="DY38" s="152"/>
      <c r="DZ38" s="152"/>
      <c r="EA38" s="152"/>
      <c r="EB38" s="152"/>
      <c r="EC38" s="152"/>
      <c r="ED38" s="152"/>
      <c r="EE38" s="371"/>
      <c r="EF38" s="371"/>
      <c r="EG38" s="371"/>
      <c r="EH38" s="371"/>
      <c r="EI38" s="153"/>
      <c r="EJ38" s="153"/>
      <c r="EK38" s="153"/>
      <c r="EL38" s="153"/>
      <c r="EM38" s="153"/>
      <c r="EN38" s="153"/>
      <c r="EO38" s="152">
        <f>SUMIF($I:$I,I38,$EC:$EC)</f>
        <v>0</v>
      </c>
      <c r="EP38" s="151">
        <f>SUMIF($I:$I,I38,$ED:$ED)</f>
        <v>0</v>
      </c>
      <c r="EQ38" s="153"/>
      <c r="ER38" s="153"/>
      <c r="ES38" s="153"/>
      <c r="ET38" s="153"/>
      <c r="EU38" s="152">
        <f t="shared" si="56"/>
        <v>714</v>
      </c>
      <c r="EV38" s="152">
        <f t="shared" si="57"/>
        <v>56049</v>
      </c>
      <c r="EW38" s="152">
        <f t="shared" si="58"/>
        <v>0</v>
      </c>
      <c r="EX38" s="152">
        <f t="shared" si="59"/>
        <v>0</v>
      </c>
      <c r="EY38" s="151" t="str">
        <f t="shared" si="60"/>
        <v>Đủ</v>
      </c>
      <c r="EZ38" s="152"/>
      <c r="FA38" s="372"/>
      <c r="FB38" s="373"/>
      <c r="FC38" s="367"/>
      <c r="FD38" s="374"/>
      <c r="FE38" s="183"/>
      <c r="FF38" s="184"/>
      <c r="FG38" s="185"/>
      <c r="FH38" s="185"/>
    </row>
    <row r="39" spans="1:164" s="386" customFormat="1" ht="14" hidden="1" customHeight="1">
      <c r="A39" s="208" t="str">
        <f t="shared" si="4"/>
        <v>ok</v>
      </c>
      <c r="B39" s="151"/>
      <c r="C39" s="151"/>
      <c r="D39" s="151"/>
      <c r="E39" s="151"/>
      <c r="F39" s="151"/>
      <c r="G39" s="151"/>
      <c r="H39" s="151"/>
      <c r="I39" s="171" t="s">
        <v>252</v>
      </c>
      <c r="J39" s="164" t="s">
        <v>235</v>
      </c>
      <c r="K39" s="171" t="s">
        <v>713</v>
      </c>
      <c r="L39" s="233" t="s">
        <v>289</v>
      </c>
      <c r="M39" s="163" t="s">
        <v>44</v>
      </c>
      <c r="N39" s="172"/>
      <c r="O39" s="177"/>
      <c r="P39" s="172"/>
      <c r="Q39" s="161"/>
      <c r="R39" s="162"/>
      <c r="S39" s="161"/>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209"/>
      <c r="CT39" s="209"/>
      <c r="CU39" s="375"/>
      <c r="CV39" s="208"/>
      <c r="CW39" s="152"/>
      <c r="CX39" s="152"/>
      <c r="CY39" s="366"/>
      <c r="CZ39" s="366"/>
      <c r="DA39" s="152"/>
      <c r="DB39" s="152"/>
      <c r="DC39" s="153"/>
      <c r="DD39" s="153" t="s">
        <v>655</v>
      </c>
      <c r="DE39" s="153" t="s">
        <v>45</v>
      </c>
      <c r="DF39" s="213" t="s">
        <v>556</v>
      </c>
      <c r="DG39" s="213" t="s">
        <v>43</v>
      </c>
      <c r="DH39" s="181">
        <v>22608</v>
      </c>
      <c r="DI39" s="153">
        <v>45829</v>
      </c>
      <c r="DJ39" s="1000">
        <v>288</v>
      </c>
      <c r="DK39" s="181">
        <v>22608</v>
      </c>
      <c r="DL39" s="182">
        <v>13181.82</v>
      </c>
      <c r="DM39" s="181">
        <f t="shared" si="17"/>
        <v>327816045.21600002</v>
      </c>
      <c r="DN39" s="446">
        <f t="shared" si="18"/>
        <v>0.10000000000000006</v>
      </c>
      <c r="DO39" s="182">
        <f t="shared" si="19"/>
        <v>298014586.56</v>
      </c>
      <c r="DP39" s="275">
        <v>45835</v>
      </c>
      <c r="DQ39" s="152"/>
      <c r="DR39" s="152"/>
      <c r="DS39" s="151"/>
      <c r="DT39" s="275"/>
      <c r="DU39" s="370"/>
      <c r="DV39" s="208"/>
      <c r="DW39" s="208"/>
      <c r="DX39" s="152"/>
      <c r="DY39" s="152"/>
      <c r="DZ39" s="152"/>
      <c r="EA39" s="152"/>
      <c r="EB39" s="152"/>
      <c r="EC39" s="152"/>
      <c r="ED39" s="152"/>
      <c r="EE39" s="371"/>
      <c r="EF39" s="371"/>
      <c r="EG39" s="371"/>
      <c r="EH39" s="371"/>
      <c r="EI39" s="153"/>
      <c r="EJ39" s="153"/>
      <c r="EK39" s="153"/>
      <c r="EL39" s="153"/>
      <c r="EM39" s="153"/>
      <c r="EN39" s="153"/>
      <c r="EO39" s="152"/>
      <c r="EP39" s="151"/>
      <c r="EQ39" s="153"/>
      <c r="ER39" s="153"/>
      <c r="ES39" s="153"/>
      <c r="ET39" s="153"/>
      <c r="EU39" s="152"/>
      <c r="EV39" s="152"/>
      <c r="EW39" s="152"/>
      <c r="EX39" s="152"/>
      <c r="EY39" s="151"/>
      <c r="EZ39" s="152"/>
      <c r="FA39" s="372"/>
      <c r="FB39" s="373"/>
      <c r="FC39" s="379"/>
      <c r="FD39" s="380"/>
      <c r="FE39" s="219"/>
      <c r="FF39" s="220"/>
      <c r="FG39" s="221"/>
      <c r="FH39" s="221"/>
    </row>
    <row r="40" spans="1:164" s="276" customFormat="1" ht="14" hidden="1" customHeight="1">
      <c r="A40" s="208" t="str">
        <f t="shared" si="4"/>
        <v>ok</v>
      </c>
      <c r="B40" s="151"/>
      <c r="C40" s="151"/>
      <c r="D40" s="151"/>
      <c r="E40" s="151"/>
      <c r="F40" s="151"/>
      <c r="G40" s="151"/>
      <c r="H40" s="151"/>
      <c r="I40" s="171" t="s">
        <v>252</v>
      </c>
      <c r="J40" s="164" t="s">
        <v>235</v>
      </c>
      <c r="K40" s="171" t="s">
        <v>713</v>
      </c>
      <c r="L40" s="233" t="s">
        <v>289</v>
      </c>
      <c r="M40" s="163" t="s">
        <v>44</v>
      </c>
      <c r="N40" s="172"/>
      <c r="O40" s="177"/>
      <c r="P40" s="172"/>
      <c r="Q40" s="161"/>
      <c r="R40" s="162"/>
      <c r="S40" s="161"/>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209"/>
      <c r="CT40" s="209"/>
      <c r="CU40" s="375"/>
      <c r="CV40" s="208"/>
      <c r="CW40" s="152"/>
      <c r="CX40" s="152"/>
      <c r="CY40" s="366"/>
      <c r="CZ40" s="366"/>
      <c r="DA40" s="152"/>
      <c r="DB40" s="152"/>
      <c r="DC40" s="153"/>
      <c r="DD40" s="153" t="s">
        <v>1695</v>
      </c>
      <c r="DE40" s="277" t="s">
        <v>45</v>
      </c>
      <c r="DF40" s="213" t="s">
        <v>723</v>
      </c>
      <c r="DG40" s="213" t="s">
        <v>43</v>
      </c>
      <c r="DH40" s="181">
        <v>1884</v>
      </c>
      <c r="DI40" s="153">
        <v>45866</v>
      </c>
      <c r="DJ40" s="1000">
        <v>24</v>
      </c>
      <c r="DK40" s="181">
        <v>1884</v>
      </c>
      <c r="DL40" s="182">
        <v>13636.36</v>
      </c>
      <c r="DM40" s="181">
        <f t="shared" si="17"/>
        <v>28259992.464000005</v>
      </c>
      <c r="DN40" s="446">
        <f t="shared" si="18"/>
        <v>0.10000000000000012</v>
      </c>
      <c r="DO40" s="182">
        <f t="shared" si="19"/>
        <v>25690902.240000002</v>
      </c>
      <c r="DP40" s="275">
        <v>45867</v>
      </c>
      <c r="DQ40" s="152"/>
      <c r="DR40" s="152"/>
      <c r="DS40" s="151"/>
      <c r="DT40" s="275"/>
      <c r="DU40" s="370"/>
      <c r="DV40" s="208"/>
      <c r="DW40" s="208"/>
      <c r="DX40" s="152"/>
      <c r="DY40" s="152"/>
      <c r="DZ40" s="152"/>
      <c r="EA40" s="152"/>
      <c r="EB40" s="152"/>
      <c r="EC40" s="152"/>
      <c r="ED40" s="152"/>
      <c r="EE40" s="371"/>
      <c r="EF40" s="371"/>
      <c r="EG40" s="371"/>
      <c r="EH40" s="371"/>
      <c r="EI40" s="153"/>
      <c r="EJ40" s="153"/>
      <c r="EK40" s="153"/>
      <c r="EL40" s="153"/>
      <c r="EM40" s="153"/>
      <c r="EN40" s="153"/>
      <c r="EO40" s="152"/>
      <c r="EP40" s="151"/>
      <c r="EQ40" s="153"/>
      <c r="ER40" s="153"/>
      <c r="ES40" s="153"/>
      <c r="ET40" s="153"/>
      <c r="EU40" s="152"/>
      <c r="EV40" s="152"/>
      <c r="EW40" s="152"/>
      <c r="EX40" s="152"/>
      <c r="EY40" s="151"/>
      <c r="EZ40" s="152"/>
      <c r="FA40" s="372"/>
      <c r="FB40" s="373"/>
      <c r="FC40" s="367"/>
      <c r="FD40" s="374"/>
      <c r="FE40" s="183"/>
      <c r="FF40" s="184"/>
      <c r="FG40" s="185"/>
      <c r="FH40" s="185"/>
    </row>
    <row r="41" spans="1:164" s="386" customFormat="1" ht="14" hidden="1" customHeight="1">
      <c r="A41" s="208" t="str">
        <f t="shared" si="4"/>
        <v>ok</v>
      </c>
      <c r="B41" s="151"/>
      <c r="C41" s="151"/>
      <c r="D41" s="151"/>
      <c r="E41" s="151"/>
      <c r="F41" s="151"/>
      <c r="G41" s="151"/>
      <c r="H41" s="151"/>
      <c r="I41" s="171" t="s">
        <v>252</v>
      </c>
      <c r="J41" s="164" t="s">
        <v>235</v>
      </c>
      <c r="K41" s="171" t="s">
        <v>713</v>
      </c>
      <c r="L41" s="233" t="s">
        <v>289</v>
      </c>
      <c r="M41" s="163" t="s">
        <v>44</v>
      </c>
      <c r="N41" s="172"/>
      <c r="O41" s="177"/>
      <c r="P41" s="172"/>
      <c r="Q41" s="161"/>
      <c r="R41" s="162"/>
      <c r="S41" s="161"/>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209"/>
      <c r="CT41" s="209"/>
      <c r="CU41" s="375"/>
      <c r="CV41" s="208"/>
      <c r="CW41" s="152"/>
      <c r="CX41" s="152"/>
      <c r="CY41" s="366"/>
      <c r="CZ41" s="366"/>
      <c r="DA41" s="152"/>
      <c r="DB41" s="152"/>
      <c r="DC41" s="153"/>
      <c r="DD41" s="153" t="s">
        <v>1691</v>
      </c>
      <c r="DE41" s="277" t="s">
        <v>45</v>
      </c>
      <c r="DF41" s="213" t="s">
        <v>1009</v>
      </c>
      <c r="DG41" s="213" t="s">
        <v>678</v>
      </c>
      <c r="DH41" s="227">
        <v>9420</v>
      </c>
      <c r="DI41" s="153">
        <v>45888</v>
      </c>
      <c r="DJ41" s="228">
        <v>120</v>
      </c>
      <c r="DK41" s="227">
        <v>9420</v>
      </c>
      <c r="DL41" s="227">
        <v>13090.91</v>
      </c>
      <c r="DM41" s="181">
        <f t="shared" si="17"/>
        <v>135648009.42000002</v>
      </c>
      <c r="DN41" s="446">
        <f t="shared" si="18"/>
        <v>0.1000000000000001</v>
      </c>
      <c r="DO41" s="182">
        <f t="shared" si="19"/>
        <v>123316372.2</v>
      </c>
      <c r="DP41" s="275">
        <v>45891</v>
      </c>
      <c r="DQ41" s="152"/>
      <c r="DR41" s="152"/>
      <c r="DS41" s="151"/>
      <c r="DT41" s="275"/>
      <c r="DU41" s="370"/>
      <c r="DV41" s="208"/>
      <c r="DW41" s="208"/>
      <c r="DX41" s="152"/>
      <c r="DY41" s="152"/>
      <c r="DZ41" s="152"/>
      <c r="EA41" s="152"/>
      <c r="EB41" s="152"/>
      <c r="EC41" s="152"/>
      <c r="ED41" s="152"/>
      <c r="EE41" s="371"/>
      <c r="EF41" s="371"/>
      <c r="EG41" s="371"/>
      <c r="EH41" s="371"/>
      <c r="EI41" s="153"/>
      <c r="EJ41" s="153"/>
      <c r="EK41" s="153"/>
      <c r="EL41" s="153"/>
      <c r="EM41" s="153"/>
      <c r="EN41" s="153"/>
      <c r="EO41" s="152"/>
      <c r="EP41" s="151"/>
      <c r="EQ41" s="153"/>
      <c r="ER41" s="153"/>
      <c r="ES41" s="153"/>
      <c r="ET41" s="153"/>
      <c r="EU41" s="152"/>
      <c r="EV41" s="152"/>
      <c r="EW41" s="152"/>
      <c r="EX41" s="152"/>
      <c r="EY41" s="151"/>
      <c r="EZ41" s="152"/>
      <c r="FA41" s="372"/>
      <c r="FB41" s="373"/>
      <c r="FC41" s="381"/>
      <c r="FD41" s="382"/>
      <c r="FE41" s="222"/>
      <c r="FF41" s="223"/>
      <c r="FG41" s="224"/>
      <c r="FH41" s="224"/>
    </row>
    <row r="42" spans="1:164" s="386" customFormat="1" ht="14" hidden="1" customHeight="1">
      <c r="A42" s="208" t="str">
        <f t="shared" si="4"/>
        <v>ok</v>
      </c>
      <c r="B42" s="151"/>
      <c r="C42" s="151"/>
      <c r="D42" s="151"/>
      <c r="E42" s="151"/>
      <c r="F42" s="151"/>
      <c r="G42" s="151"/>
      <c r="H42" s="151"/>
      <c r="I42" s="171" t="s">
        <v>252</v>
      </c>
      <c r="J42" s="164" t="s">
        <v>235</v>
      </c>
      <c r="K42" s="171" t="s">
        <v>713</v>
      </c>
      <c r="L42" s="233" t="s">
        <v>289</v>
      </c>
      <c r="M42" s="163" t="s">
        <v>44</v>
      </c>
      <c r="N42" s="172"/>
      <c r="O42" s="177"/>
      <c r="P42" s="172"/>
      <c r="Q42" s="161"/>
      <c r="R42" s="162"/>
      <c r="S42" s="161"/>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209"/>
      <c r="CT42" s="209"/>
      <c r="CU42" s="375"/>
      <c r="CV42" s="208"/>
      <c r="CW42" s="152"/>
      <c r="CX42" s="152"/>
      <c r="CY42" s="366"/>
      <c r="CZ42" s="366"/>
      <c r="DA42" s="152"/>
      <c r="DB42" s="152"/>
      <c r="DC42" s="153"/>
      <c r="DD42" s="153" t="s">
        <v>1694</v>
      </c>
      <c r="DE42" s="277" t="s">
        <v>45</v>
      </c>
      <c r="DF42" s="213" t="s">
        <v>1503</v>
      </c>
      <c r="DG42" s="213"/>
      <c r="DH42" s="227">
        <v>6594</v>
      </c>
      <c r="DI42" s="153">
        <v>45915</v>
      </c>
      <c r="DJ42" s="228">
        <f>3.5*24</f>
        <v>84</v>
      </c>
      <c r="DK42" s="227">
        <v>6594</v>
      </c>
      <c r="DL42" s="227">
        <f>14600/1.1</f>
        <v>13272.727272727272</v>
      </c>
      <c r="DM42" s="181">
        <f t="shared" si="17"/>
        <v>96272400</v>
      </c>
      <c r="DN42" s="446">
        <f t="shared" si="18"/>
        <v>0.10000000000000013</v>
      </c>
      <c r="DO42" s="182">
        <f t="shared" si="19"/>
        <v>87520363.636363626</v>
      </c>
      <c r="DP42" s="275">
        <v>45918</v>
      </c>
      <c r="DQ42" s="152"/>
      <c r="DR42" s="152"/>
      <c r="DS42" s="151"/>
      <c r="DT42" s="275"/>
      <c r="DU42" s="370"/>
      <c r="DV42" s="208"/>
      <c r="DW42" s="208"/>
      <c r="DX42" s="152"/>
      <c r="DY42" s="152"/>
      <c r="DZ42" s="152"/>
      <c r="EA42" s="152"/>
      <c r="EB42" s="152"/>
      <c r="EC42" s="152"/>
      <c r="ED42" s="152"/>
      <c r="EE42" s="371"/>
      <c r="EF42" s="371"/>
      <c r="EG42" s="371"/>
      <c r="EH42" s="371"/>
      <c r="EI42" s="153"/>
      <c r="EJ42" s="153"/>
      <c r="EK42" s="153"/>
      <c r="EL42" s="153"/>
      <c r="EM42" s="153"/>
      <c r="EN42" s="153"/>
      <c r="EO42" s="152"/>
      <c r="EP42" s="151"/>
      <c r="EQ42" s="153"/>
      <c r="ER42" s="153"/>
      <c r="ES42" s="153"/>
      <c r="ET42" s="153"/>
      <c r="EU42" s="152"/>
      <c r="EV42" s="152"/>
      <c r="EW42" s="152"/>
      <c r="EX42" s="152"/>
      <c r="EY42" s="151"/>
      <c r="EZ42" s="152"/>
      <c r="FA42" s="372"/>
      <c r="FB42" s="373"/>
      <c r="FC42" s="381"/>
      <c r="FD42" s="382"/>
      <c r="FE42" s="222"/>
      <c r="FF42" s="223"/>
      <c r="FG42" s="224"/>
      <c r="FH42" s="224"/>
    </row>
    <row r="43" spans="1:164" s="157" customFormat="1" ht="14" hidden="1" customHeight="1">
      <c r="A43" s="208" t="str">
        <f t="shared" si="4"/>
        <v>Hiện</v>
      </c>
      <c r="B43" s="151" t="str">
        <f t="shared" si="52"/>
        <v>Đủ</v>
      </c>
      <c r="C43" s="151">
        <f t="shared" si="53"/>
        <v>0</v>
      </c>
      <c r="D43" s="151"/>
      <c r="E43" s="151"/>
      <c r="F43" s="151"/>
      <c r="G43" s="151"/>
      <c r="H43" s="151"/>
      <c r="I43" s="171" t="s">
        <v>253</v>
      </c>
      <c r="J43" s="164" t="s">
        <v>235</v>
      </c>
      <c r="K43" s="171" t="s">
        <v>714</v>
      </c>
      <c r="L43" s="233" t="s">
        <v>289</v>
      </c>
      <c r="M43" s="163" t="s">
        <v>44</v>
      </c>
      <c r="N43" s="172">
        <v>94.199999999999989</v>
      </c>
      <c r="O43" s="177">
        <v>61.20382165605097</v>
      </c>
      <c r="P43" s="172">
        <v>5765.4000000000005</v>
      </c>
      <c r="Q43" s="161"/>
      <c r="R43" s="162"/>
      <c r="S43" s="161">
        <v>54</v>
      </c>
      <c r="T43" s="162">
        <v>5086.7999999999993</v>
      </c>
      <c r="U43" s="162"/>
      <c r="V43" s="162"/>
      <c r="W43" s="162">
        <v>0</v>
      </c>
      <c r="X43" s="162">
        <v>0</v>
      </c>
      <c r="Y43" s="162">
        <v>0</v>
      </c>
      <c r="Z43" s="162">
        <v>0</v>
      </c>
      <c r="AA43" s="162">
        <v>90</v>
      </c>
      <c r="AB43" s="162">
        <v>8477.9999999999982</v>
      </c>
      <c r="AC43" s="162">
        <v>24</v>
      </c>
      <c r="AD43" s="162">
        <v>2260.7999999999997</v>
      </c>
      <c r="AE43" s="162">
        <v>48</v>
      </c>
      <c r="AF43" s="162">
        <v>4521.5999999999995</v>
      </c>
      <c r="AG43" s="162">
        <v>0</v>
      </c>
      <c r="AH43" s="162">
        <v>0</v>
      </c>
      <c r="AI43" s="162">
        <f>VLOOKUP(I43,'[119]MTO-rev09'!$A:$O,11,0)</f>
        <v>0</v>
      </c>
      <c r="AJ43" s="162">
        <f>VLOOKUP(I43,'[119]MTO-rev09'!$A:$O,12,0)</f>
        <v>0</v>
      </c>
      <c r="AK43" s="162">
        <v>48</v>
      </c>
      <c r="AL43" s="162">
        <v>4521.5999999999995</v>
      </c>
      <c r="AM43" s="162"/>
      <c r="AN43" s="162"/>
      <c r="AO43" s="162">
        <v>0</v>
      </c>
      <c r="AP43" s="162">
        <v>0</v>
      </c>
      <c r="AQ43" s="162">
        <v>0</v>
      </c>
      <c r="AR43" s="162">
        <v>0</v>
      </c>
      <c r="AS43" s="162">
        <v>0</v>
      </c>
      <c r="AT43" s="162">
        <v>0</v>
      </c>
      <c r="AU43" s="162">
        <v>0</v>
      </c>
      <c r="AV43" s="162">
        <v>0</v>
      </c>
      <c r="AW43" s="162">
        <v>0</v>
      </c>
      <c r="AX43" s="162">
        <v>0</v>
      </c>
      <c r="AY43" s="162">
        <v>0</v>
      </c>
      <c r="AZ43" s="162">
        <v>0</v>
      </c>
      <c r="BA43" s="162"/>
      <c r="BB43" s="162"/>
      <c r="BC43" s="162">
        <v>0</v>
      </c>
      <c r="BD43" s="162">
        <v>0</v>
      </c>
      <c r="BE43" s="162">
        <v>0</v>
      </c>
      <c r="BF43" s="162">
        <v>0</v>
      </c>
      <c r="BG43" s="162">
        <v>0</v>
      </c>
      <c r="BH43" s="162">
        <v>0</v>
      </c>
      <c r="BI43" s="162">
        <v>0</v>
      </c>
      <c r="BJ43" s="162">
        <v>0</v>
      </c>
      <c r="BK43" s="162">
        <v>0</v>
      </c>
      <c r="BL43" s="162">
        <v>0</v>
      </c>
      <c r="BM43" s="162">
        <v>0</v>
      </c>
      <c r="BN43" s="162">
        <v>0</v>
      </c>
      <c r="BO43" s="162"/>
      <c r="BP43" s="162"/>
      <c r="BQ43" s="162">
        <v>0</v>
      </c>
      <c r="BR43" s="162">
        <v>0</v>
      </c>
      <c r="BS43" s="162">
        <v>0</v>
      </c>
      <c r="BT43" s="162">
        <v>0</v>
      </c>
      <c r="BU43" s="162">
        <v>0</v>
      </c>
      <c r="BV43" s="162">
        <v>0</v>
      </c>
      <c r="BW43" s="162"/>
      <c r="BX43" s="162"/>
      <c r="BY43" s="162">
        <v>0</v>
      </c>
      <c r="BZ43" s="162">
        <v>0</v>
      </c>
      <c r="CA43" s="162">
        <v>0</v>
      </c>
      <c r="CB43" s="162">
        <v>0</v>
      </c>
      <c r="CC43" s="162">
        <v>0</v>
      </c>
      <c r="CD43" s="162">
        <v>0</v>
      </c>
      <c r="CE43" s="162">
        <f>VLOOKUP(I43,[120]REV33!$A:$O,11,0)</f>
        <v>0</v>
      </c>
      <c r="CF43" s="162">
        <f>VLOOKUP(I43,[120]REV33!$A:$O,12,0)</f>
        <v>0</v>
      </c>
      <c r="CG43" s="162"/>
      <c r="CH43" s="162"/>
      <c r="CI43" s="162"/>
      <c r="CJ43" s="162"/>
      <c r="CK43" s="162"/>
      <c r="CL43" s="162"/>
      <c r="CM43" s="162"/>
      <c r="CN43" s="162"/>
      <c r="CO43" s="162">
        <v>0</v>
      </c>
      <c r="CP43" s="162">
        <v>0</v>
      </c>
      <c r="CQ43" s="162">
        <v>0</v>
      </c>
      <c r="CR43" s="162">
        <v>0</v>
      </c>
      <c r="CS43" s="209">
        <f>Q43+S43+U43+W43+Y43+AA43+AC43+AE43+AG43+AI43+AK43+AM43+AO43+AQ43+AS43+AU43+AW43+AY43+BA43+BC43+BE43+BG43+BI43+BK43+BM43+BO43+BQ43+BS43+BU43+BW43+BY43+CA43+CC43+CE43+CG43+CI43+CK43+CM43+CO43+CQ43</f>
        <v>264</v>
      </c>
      <c r="CT43" s="209">
        <f>R43+T43+V43+X43+Z43+AB43+AD43+AF43+AH43+AJ43+AL43+AN43+AP43+AR43+AT43+AV43+AX43+AZ43+BB43+BD43+BF43+BH43+BJ43+BL43+BN43+BP43+BR43+BT43+BV43+BX43+BZ43+CB43+CD43+CF43+CH43+CJ43+CL43+CN43+CP43+CR43</f>
        <v>24868.799999999996</v>
      </c>
      <c r="CU43" s="375" t="s">
        <v>996</v>
      </c>
      <c r="CV43" s="208"/>
      <c r="CW43" s="152"/>
      <c r="CX43" s="152"/>
      <c r="CY43" s="388"/>
      <c r="CZ43" s="366"/>
      <c r="DA43" s="152">
        <f>IF(CS43&gt;CW43,CS43-CW43,"0")</f>
        <v>264</v>
      </c>
      <c r="DB43" s="152">
        <f>IF(CT43&gt;CX43,CT43-CX43,"0")</f>
        <v>24868.799999999996</v>
      </c>
      <c r="DC43" s="153">
        <v>45792</v>
      </c>
      <c r="DD43" s="377" t="s">
        <v>667</v>
      </c>
      <c r="DE43" s="153" t="s">
        <v>45</v>
      </c>
      <c r="DF43" s="365" t="s">
        <v>574</v>
      </c>
      <c r="DG43" s="368" t="s">
        <v>370</v>
      </c>
      <c r="DH43" s="181">
        <v>5086.8</v>
      </c>
      <c r="DI43" s="153">
        <v>45791</v>
      </c>
      <c r="DJ43" s="1000">
        <v>54</v>
      </c>
      <c r="DK43" s="181">
        <v>5086.8</v>
      </c>
      <c r="DL43" s="182">
        <v>13090.91</v>
      </c>
      <c r="DM43" s="181">
        <f t="shared" si="17"/>
        <v>73249925.086800009</v>
      </c>
      <c r="DN43" s="446">
        <f t="shared" si="18"/>
        <v>0.10000000000000017</v>
      </c>
      <c r="DO43" s="182">
        <f t="shared" si="19"/>
        <v>66590840.987999998</v>
      </c>
      <c r="DP43" s="275">
        <v>45794</v>
      </c>
      <c r="DQ43" s="152">
        <f>SUMIF($I:$I,I43,$DJ:$DJ)</f>
        <v>264</v>
      </c>
      <c r="DR43" s="152">
        <f>SUMIF($I:$I,I43,$DK:$DK)</f>
        <v>24868.800000000003</v>
      </c>
      <c r="DS43" s="151"/>
      <c r="DT43" s="275"/>
      <c r="DU43" s="370"/>
      <c r="DV43" s="208"/>
      <c r="DW43" s="208"/>
      <c r="DX43" s="152"/>
      <c r="DY43" s="152"/>
      <c r="DZ43" s="152"/>
      <c r="EA43" s="152"/>
      <c r="EB43" s="152"/>
      <c r="EC43" s="152"/>
      <c r="ED43" s="152"/>
      <c r="EE43" s="371"/>
      <c r="EF43" s="371"/>
      <c r="EG43" s="371"/>
      <c r="EH43" s="371"/>
      <c r="EI43" s="153"/>
      <c r="EJ43" s="153"/>
      <c r="EK43" s="153"/>
      <c r="EL43" s="153"/>
      <c r="EM43" s="153"/>
      <c r="EN43" s="153"/>
      <c r="EO43" s="152">
        <f>SUMIF($I:$I,I43,$EC:$EC)</f>
        <v>0</v>
      </c>
      <c r="EP43" s="151">
        <f>SUMIF($I:$I,I43,$ED:$ED)</f>
        <v>0</v>
      </c>
      <c r="EQ43" s="153"/>
      <c r="ER43" s="153"/>
      <c r="ES43" s="153"/>
      <c r="ET43" s="153"/>
      <c r="EU43" s="152">
        <f>DQ43+EO43</f>
        <v>264</v>
      </c>
      <c r="EV43" s="152">
        <f>DR43+EP43</f>
        <v>24868.800000000003</v>
      </c>
      <c r="EW43" s="152">
        <f t="shared" ref="EW43" si="61">DA43-EU43</f>
        <v>0</v>
      </c>
      <c r="EX43" s="152">
        <f t="shared" ref="EX43" si="62">DB43-EV43</f>
        <v>0</v>
      </c>
      <c r="EY43" s="151" t="str">
        <f>IF(EW43&lt;0,"Thừa",IF(EW43=0,"Đủ","Thiếu"))</f>
        <v>Đủ</v>
      </c>
      <c r="EZ43" s="152"/>
      <c r="FA43" s="372"/>
      <c r="FB43" s="373"/>
      <c r="FC43" s="367"/>
      <c r="FD43" s="374"/>
      <c r="FE43" s="183"/>
      <c r="FF43" s="184"/>
      <c r="FG43" s="185"/>
      <c r="FH43" s="185"/>
    </row>
    <row r="44" spans="1:164" s="386" customFormat="1" ht="14" hidden="1" customHeight="1">
      <c r="A44" s="208" t="str">
        <f t="shared" si="4"/>
        <v>ok</v>
      </c>
      <c r="B44" s="151"/>
      <c r="C44" s="151"/>
      <c r="D44" s="151"/>
      <c r="E44" s="151"/>
      <c r="F44" s="151"/>
      <c r="G44" s="151"/>
      <c r="H44" s="151"/>
      <c r="I44" s="171" t="s">
        <v>253</v>
      </c>
      <c r="J44" s="164" t="s">
        <v>235</v>
      </c>
      <c r="K44" s="171" t="s">
        <v>714</v>
      </c>
      <c r="L44" s="233" t="s">
        <v>289</v>
      </c>
      <c r="M44" s="163" t="s">
        <v>44</v>
      </c>
      <c r="N44" s="172"/>
      <c r="O44" s="177"/>
      <c r="P44" s="172"/>
      <c r="Q44" s="161"/>
      <c r="R44" s="162"/>
      <c r="S44" s="161"/>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209"/>
      <c r="CT44" s="209"/>
      <c r="CU44" s="375"/>
      <c r="CV44" s="208"/>
      <c r="CW44" s="152"/>
      <c r="CX44" s="152"/>
      <c r="CY44" s="388"/>
      <c r="CZ44" s="366"/>
      <c r="DA44" s="152"/>
      <c r="DB44" s="152"/>
      <c r="DC44" s="153"/>
      <c r="DD44" s="377" t="s">
        <v>668</v>
      </c>
      <c r="DE44" s="153" t="s">
        <v>45</v>
      </c>
      <c r="DF44" s="213" t="s">
        <v>672</v>
      </c>
      <c r="DG44" s="213" t="s">
        <v>678</v>
      </c>
      <c r="DH44" s="181">
        <v>4521.6000000000004</v>
      </c>
      <c r="DI44" s="153">
        <v>45853</v>
      </c>
      <c r="DJ44" s="378">
        <v>48</v>
      </c>
      <c r="DK44" s="181">
        <v>4521.6000000000004</v>
      </c>
      <c r="DL44" s="182">
        <v>13136.36</v>
      </c>
      <c r="DM44" s="181">
        <f t="shared" si="17"/>
        <v>65337101.913600013</v>
      </c>
      <c r="DN44" s="446">
        <f t="shared" si="18"/>
        <v>0.10000000000000003</v>
      </c>
      <c r="DO44" s="182">
        <f t="shared" si="19"/>
        <v>59397365.376000009</v>
      </c>
      <c r="DP44" s="275">
        <v>45856</v>
      </c>
      <c r="DQ44" s="152"/>
      <c r="DR44" s="152"/>
      <c r="DS44" s="151"/>
      <c r="DT44" s="275"/>
      <c r="DU44" s="370"/>
      <c r="DV44" s="208"/>
      <c r="DW44" s="208"/>
      <c r="DX44" s="152"/>
      <c r="DY44" s="152"/>
      <c r="DZ44" s="152"/>
      <c r="EA44" s="152"/>
      <c r="EB44" s="152"/>
      <c r="EC44" s="152"/>
      <c r="ED44" s="152"/>
      <c r="EE44" s="371"/>
      <c r="EF44" s="371"/>
      <c r="EG44" s="371"/>
      <c r="EH44" s="371"/>
      <c r="EI44" s="153"/>
      <c r="EJ44" s="153"/>
      <c r="EK44" s="153"/>
      <c r="EL44" s="153"/>
      <c r="EM44" s="153"/>
      <c r="EN44" s="153"/>
      <c r="EO44" s="152"/>
      <c r="EP44" s="151"/>
      <c r="EQ44" s="153"/>
      <c r="ER44" s="153"/>
      <c r="ES44" s="153"/>
      <c r="ET44" s="153"/>
      <c r="EU44" s="152"/>
      <c r="EV44" s="152"/>
      <c r="EW44" s="152"/>
      <c r="EX44" s="152"/>
      <c r="EY44" s="151"/>
      <c r="EZ44" s="152"/>
      <c r="FA44" s="372"/>
      <c r="FB44" s="373"/>
      <c r="FC44" s="379"/>
      <c r="FD44" s="380"/>
      <c r="FE44" s="219"/>
      <c r="FF44" s="220"/>
      <c r="FG44" s="221"/>
      <c r="FH44" s="221"/>
    </row>
    <row r="45" spans="1:164" s="276" customFormat="1" ht="14" hidden="1" customHeight="1">
      <c r="A45" s="208" t="str">
        <f t="shared" si="4"/>
        <v>ok</v>
      </c>
      <c r="B45" s="151"/>
      <c r="C45" s="151"/>
      <c r="D45" s="151"/>
      <c r="E45" s="151"/>
      <c r="F45" s="151"/>
      <c r="G45" s="151"/>
      <c r="H45" s="151"/>
      <c r="I45" s="171" t="s">
        <v>253</v>
      </c>
      <c r="J45" s="164" t="s">
        <v>235</v>
      </c>
      <c r="K45" s="171" t="s">
        <v>714</v>
      </c>
      <c r="L45" s="233" t="s">
        <v>289</v>
      </c>
      <c r="M45" s="163" t="s">
        <v>44</v>
      </c>
      <c r="N45" s="172"/>
      <c r="O45" s="177"/>
      <c r="P45" s="172"/>
      <c r="Q45" s="161"/>
      <c r="R45" s="162"/>
      <c r="S45" s="161"/>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209"/>
      <c r="CT45" s="209"/>
      <c r="CU45" s="375"/>
      <c r="CV45" s="208"/>
      <c r="CW45" s="152"/>
      <c r="CX45" s="152"/>
      <c r="CY45" s="388"/>
      <c r="CZ45" s="366"/>
      <c r="DA45" s="152"/>
      <c r="DB45" s="152"/>
      <c r="DC45" s="152"/>
      <c r="DD45" s="153" t="s">
        <v>655</v>
      </c>
      <c r="DE45" s="153" t="s">
        <v>45</v>
      </c>
      <c r="DF45" s="213" t="s">
        <v>557</v>
      </c>
      <c r="DG45" s="213" t="s">
        <v>43</v>
      </c>
      <c r="DH45" s="181">
        <v>6782.4</v>
      </c>
      <c r="DI45" s="153">
        <v>45829</v>
      </c>
      <c r="DJ45" s="1000">
        <v>72</v>
      </c>
      <c r="DK45" s="181">
        <v>6782.4</v>
      </c>
      <c r="DL45" s="182">
        <v>13181.82</v>
      </c>
      <c r="DM45" s="181">
        <f t="shared" ref="DM45:DM76" si="63">DL45*DK45*1.1</f>
        <v>98344813.564800009</v>
      </c>
      <c r="DN45" s="446">
        <f t="shared" ref="DN45:DN76" si="64">(DM45-DO45)/DO45</f>
        <v>0.10000000000000017</v>
      </c>
      <c r="DO45" s="182">
        <f t="shared" ref="DO45:DO76" si="65">DL45*DK45</f>
        <v>89404375.967999995</v>
      </c>
      <c r="DP45" s="275">
        <v>45832</v>
      </c>
      <c r="DQ45" s="152"/>
      <c r="DR45" s="152"/>
      <c r="DS45" s="151"/>
      <c r="DT45" s="275"/>
      <c r="DU45" s="370"/>
      <c r="DV45" s="208"/>
      <c r="DW45" s="208"/>
      <c r="DX45" s="152"/>
      <c r="DY45" s="152"/>
      <c r="DZ45" s="152"/>
      <c r="EA45" s="152"/>
      <c r="EB45" s="152"/>
      <c r="EC45" s="152"/>
      <c r="ED45" s="152"/>
      <c r="EE45" s="371"/>
      <c r="EF45" s="371"/>
      <c r="EG45" s="371"/>
      <c r="EH45" s="371"/>
      <c r="EI45" s="153"/>
      <c r="EJ45" s="153"/>
      <c r="EK45" s="153"/>
      <c r="EL45" s="153"/>
      <c r="EM45" s="153"/>
      <c r="EN45" s="153"/>
      <c r="EO45" s="152"/>
      <c r="EP45" s="151"/>
      <c r="EQ45" s="153"/>
      <c r="ER45" s="153"/>
      <c r="ES45" s="153"/>
      <c r="ET45" s="153"/>
      <c r="EU45" s="152"/>
      <c r="EV45" s="152"/>
      <c r="EW45" s="152"/>
      <c r="EX45" s="152"/>
      <c r="EY45" s="151"/>
      <c r="EZ45" s="152"/>
      <c r="FA45" s="372"/>
      <c r="FB45" s="373"/>
      <c r="FC45" s="367"/>
      <c r="FD45" s="374"/>
      <c r="FE45" s="183"/>
      <c r="FF45" s="184"/>
      <c r="FG45" s="185"/>
      <c r="FH45" s="185"/>
    </row>
    <row r="46" spans="1:164" s="276" customFormat="1" ht="14" hidden="1" customHeight="1">
      <c r="A46" s="208" t="str">
        <f t="shared" si="4"/>
        <v>ok</v>
      </c>
      <c r="B46" s="151"/>
      <c r="C46" s="151"/>
      <c r="D46" s="151"/>
      <c r="E46" s="151"/>
      <c r="F46" s="151"/>
      <c r="G46" s="151"/>
      <c r="H46" s="151"/>
      <c r="I46" s="171" t="s">
        <v>253</v>
      </c>
      <c r="J46" s="164" t="s">
        <v>235</v>
      </c>
      <c r="K46" s="171" t="s">
        <v>714</v>
      </c>
      <c r="L46" s="233" t="s">
        <v>289</v>
      </c>
      <c r="M46" s="163" t="s">
        <v>44</v>
      </c>
      <c r="N46" s="172"/>
      <c r="O46" s="177"/>
      <c r="P46" s="172"/>
      <c r="Q46" s="161"/>
      <c r="R46" s="162"/>
      <c r="S46" s="161"/>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209"/>
      <c r="CT46" s="209"/>
      <c r="CU46" s="375"/>
      <c r="CV46" s="208"/>
      <c r="CW46" s="152"/>
      <c r="CX46" s="152"/>
      <c r="CY46" s="388"/>
      <c r="CZ46" s="366"/>
      <c r="DA46" s="152"/>
      <c r="DB46" s="152"/>
      <c r="DC46" s="153"/>
      <c r="DD46" s="153" t="s">
        <v>655</v>
      </c>
      <c r="DE46" s="153" t="s">
        <v>45</v>
      </c>
      <c r="DF46" s="213" t="s">
        <v>558</v>
      </c>
      <c r="DG46" s="213" t="s">
        <v>43</v>
      </c>
      <c r="DH46" s="181">
        <v>1695.6</v>
      </c>
      <c r="DI46" s="153">
        <v>45829</v>
      </c>
      <c r="DJ46" s="1000">
        <v>18</v>
      </c>
      <c r="DK46" s="181">
        <v>1695.6</v>
      </c>
      <c r="DL46" s="182">
        <v>13181.82</v>
      </c>
      <c r="DM46" s="181">
        <f t="shared" si="63"/>
        <v>24586203.391200002</v>
      </c>
      <c r="DN46" s="446">
        <f t="shared" si="64"/>
        <v>0.10000000000000017</v>
      </c>
      <c r="DO46" s="182">
        <f t="shared" si="65"/>
        <v>22351093.991999999</v>
      </c>
      <c r="DP46" s="275">
        <v>45832</v>
      </c>
      <c r="DQ46" s="152"/>
      <c r="DR46" s="152"/>
      <c r="DS46" s="151"/>
      <c r="DT46" s="275"/>
      <c r="DU46" s="370"/>
      <c r="DV46" s="208"/>
      <c r="DW46" s="208"/>
      <c r="DX46" s="152"/>
      <c r="DY46" s="152"/>
      <c r="DZ46" s="152"/>
      <c r="EA46" s="152"/>
      <c r="EB46" s="152"/>
      <c r="EC46" s="152"/>
      <c r="ED46" s="152"/>
      <c r="EE46" s="371"/>
      <c r="EF46" s="371"/>
      <c r="EG46" s="371"/>
      <c r="EH46" s="371"/>
      <c r="EI46" s="153"/>
      <c r="EJ46" s="153"/>
      <c r="EK46" s="153"/>
      <c r="EL46" s="153"/>
      <c r="EM46" s="153"/>
      <c r="EN46" s="153"/>
      <c r="EO46" s="152"/>
      <c r="EP46" s="151"/>
      <c r="EQ46" s="153"/>
      <c r="ER46" s="153"/>
      <c r="ES46" s="153"/>
      <c r="ET46" s="153"/>
      <c r="EU46" s="152"/>
      <c r="EV46" s="152"/>
      <c r="EW46" s="152"/>
      <c r="EX46" s="152"/>
      <c r="EY46" s="151"/>
      <c r="EZ46" s="152"/>
      <c r="FA46" s="372"/>
      <c r="FB46" s="373"/>
      <c r="FC46" s="367"/>
      <c r="FD46" s="374"/>
      <c r="FE46" s="183"/>
      <c r="FF46" s="184"/>
      <c r="FG46" s="185"/>
      <c r="FH46" s="185"/>
    </row>
    <row r="47" spans="1:164" s="276" customFormat="1" ht="14" hidden="1" customHeight="1">
      <c r="A47" s="208" t="str">
        <f t="shared" si="4"/>
        <v>ok</v>
      </c>
      <c r="B47" s="151"/>
      <c r="C47" s="151"/>
      <c r="D47" s="151"/>
      <c r="E47" s="151"/>
      <c r="F47" s="151"/>
      <c r="G47" s="151"/>
      <c r="H47" s="151"/>
      <c r="I47" s="171" t="s">
        <v>253</v>
      </c>
      <c r="J47" s="164" t="s">
        <v>235</v>
      </c>
      <c r="K47" s="171" t="s">
        <v>714</v>
      </c>
      <c r="L47" s="233" t="s">
        <v>289</v>
      </c>
      <c r="M47" s="163" t="s">
        <v>44</v>
      </c>
      <c r="N47" s="172"/>
      <c r="O47" s="177"/>
      <c r="P47" s="172"/>
      <c r="Q47" s="161"/>
      <c r="R47" s="162"/>
      <c r="S47" s="161"/>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209"/>
      <c r="CT47" s="209"/>
      <c r="CU47" s="375"/>
      <c r="CV47" s="208"/>
      <c r="CW47" s="152"/>
      <c r="CX47" s="152"/>
      <c r="CY47" s="388"/>
      <c r="CZ47" s="366"/>
      <c r="DA47" s="152"/>
      <c r="DB47" s="152"/>
      <c r="DC47" s="153"/>
      <c r="DD47" s="153" t="s">
        <v>655</v>
      </c>
      <c r="DE47" s="153" t="s">
        <v>45</v>
      </c>
      <c r="DF47" s="213" t="s">
        <v>568</v>
      </c>
      <c r="DG47" s="213" t="s">
        <v>43</v>
      </c>
      <c r="DH47" s="181">
        <v>2260.8000000000002</v>
      </c>
      <c r="DI47" s="153">
        <v>45829</v>
      </c>
      <c r="DJ47" s="1000">
        <v>24</v>
      </c>
      <c r="DK47" s="181">
        <v>2260.8000000000002</v>
      </c>
      <c r="DL47" s="182">
        <v>13181.82</v>
      </c>
      <c r="DM47" s="181">
        <f t="shared" si="63"/>
        <v>32781604.521600008</v>
      </c>
      <c r="DN47" s="446">
        <f t="shared" si="64"/>
        <v>0.10000000000000014</v>
      </c>
      <c r="DO47" s="182">
        <f t="shared" si="65"/>
        <v>29801458.656000003</v>
      </c>
      <c r="DP47" s="275">
        <v>45835</v>
      </c>
      <c r="DQ47" s="152"/>
      <c r="DR47" s="152"/>
      <c r="DS47" s="151"/>
      <c r="DT47" s="275"/>
      <c r="DU47" s="370"/>
      <c r="DV47" s="208"/>
      <c r="DW47" s="208"/>
      <c r="DX47" s="152"/>
      <c r="DY47" s="152"/>
      <c r="DZ47" s="152"/>
      <c r="EA47" s="152"/>
      <c r="EB47" s="152"/>
      <c r="EC47" s="152"/>
      <c r="ED47" s="152"/>
      <c r="EE47" s="371"/>
      <c r="EF47" s="371"/>
      <c r="EG47" s="371"/>
      <c r="EH47" s="371"/>
      <c r="EI47" s="153"/>
      <c r="EJ47" s="153"/>
      <c r="EK47" s="153"/>
      <c r="EL47" s="153"/>
      <c r="EM47" s="153"/>
      <c r="EN47" s="153"/>
      <c r="EO47" s="152"/>
      <c r="EP47" s="151"/>
      <c r="EQ47" s="153"/>
      <c r="ER47" s="153"/>
      <c r="ES47" s="153"/>
      <c r="ET47" s="153"/>
      <c r="EU47" s="152"/>
      <c r="EV47" s="152"/>
      <c r="EW47" s="152"/>
      <c r="EX47" s="152"/>
      <c r="EY47" s="151"/>
      <c r="EZ47" s="152"/>
      <c r="FA47" s="372"/>
      <c r="FB47" s="373"/>
      <c r="FC47" s="367"/>
      <c r="FD47" s="374"/>
      <c r="FE47" s="183"/>
      <c r="FF47" s="184"/>
      <c r="FG47" s="185"/>
      <c r="FH47" s="185"/>
    </row>
    <row r="48" spans="1:164" s="386" customFormat="1" ht="14" hidden="1" customHeight="1">
      <c r="A48" s="208" t="str">
        <f t="shared" si="4"/>
        <v>ok</v>
      </c>
      <c r="B48" s="151"/>
      <c r="C48" s="151"/>
      <c r="D48" s="151"/>
      <c r="E48" s="151"/>
      <c r="F48" s="151"/>
      <c r="G48" s="151"/>
      <c r="H48" s="151"/>
      <c r="I48" s="171" t="s">
        <v>253</v>
      </c>
      <c r="J48" s="164" t="s">
        <v>235</v>
      </c>
      <c r="K48" s="171" t="s">
        <v>714</v>
      </c>
      <c r="L48" s="233" t="s">
        <v>289</v>
      </c>
      <c r="M48" s="163" t="s">
        <v>44</v>
      </c>
      <c r="N48" s="172"/>
      <c r="O48" s="177"/>
      <c r="P48" s="172"/>
      <c r="Q48" s="161"/>
      <c r="R48" s="162"/>
      <c r="S48" s="161"/>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209"/>
      <c r="CT48" s="209"/>
      <c r="CU48" s="375"/>
      <c r="CV48" s="208"/>
      <c r="CW48" s="152"/>
      <c r="CX48" s="152"/>
      <c r="CY48" s="388"/>
      <c r="CZ48" s="366"/>
      <c r="DA48" s="152"/>
      <c r="DB48" s="152"/>
      <c r="DC48" s="153"/>
      <c r="DD48" s="153" t="s">
        <v>1691</v>
      </c>
      <c r="DE48" s="277" t="s">
        <v>45</v>
      </c>
      <c r="DF48" s="213" t="s">
        <v>1010</v>
      </c>
      <c r="DG48" s="213" t="s">
        <v>678</v>
      </c>
      <c r="DH48" s="227">
        <v>4521.6000000000004</v>
      </c>
      <c r="DI48" s="153">
        <v>45888</v>
      </c>
      <c r="DJ48" s="228">
        <v>48</v>
      </c>
      <c r="DK48" s="227">
        <v>4521.6000000000004</v>
      </c>
      <c r="DL48" s="227">
        <v>13090.91</v>
      </c>
      <c r="DM48" s="181">
        <f t="shared" si="63"/>
        <v>65111044.521600008</v>
      </c>
      <c r="DN48" s="446">
        <f t="shared" si="64"/>
        <v>0.10000000000000007</v>
      </c>
      <c r="DO48" s="182">
        <f t="shared" si="65"/>
        <v>59191858.656000003</v>
      </c>
      <c r="DP48" s="275">
        <v>45891</v>
      </c>
      <c r="DQ48" s="152"/>
      <c r="DR48" s="152"/>
      <c r="DS48" s="151"/>
      <c r="DT48" s="275"/>
      <c r="DU48" s="370"/>
      <c r="DV48" s="208"/>
      <c r="DW48" s="208"/>
      <c r="DX48" s="152"/>
      <c r="DY48" s="152"/>
      <c r="DZ48" s="152"/>
      <c r="EA48" s="152"/>
      <c r="EB48" s="152"/>
      <c r="EC48" s="152"/>
      <c r="ED48" s="152"/>
      <c r="EE48" s="371"/>
      <c r="EF48" s="371"/>
      <c r="EG48" s="371"/>
      <c r="EH48" s="371"/>
      <c r="EI48" s="153"/>
      <c r="EJ48" s="153"/>
      <c r="EK48" s="153"/>
      <c r="EL48" s="153"/>
      <c r="EM48" s="153"/>
      <c r="EN48" s="153"/>
      <c r="EO48" s="152"/>
      <c r="EP48" s="151"/>
      <c r="EQ48" s="153"/>
      <c r="ER48" s="153"/>
      <c r="ES48" s="153"/>
      <c r="ET48" s="153"/>
      <c r="EU48" s="152"/>
      <c r="EV48" s="152"/>
      <c r="EW48" s="152"/>
      <c r="EX48" s="152"/>
      <c r="EY48" s="151"/>
      <c r="EZ48" s="152"/>
      <c r="FA48" s="372"/>
      <c r="FB48" s="373"/>
      <c r="FC48" s="381"/>
      <c r="FD48" s="382"/>
      <c r="FE48" s="222"/>
      <c r="FF48" s="223"/>
      <c r="FG48" s="224"/>
      <c r="FH48" s="224"/>
    </row>
    <row r="49" spans="1:164" s="157" customFormat="1" ht="14" hidden="1" customHeight="1">
      <c r="A49" s="208" t="str">
        <f t="shared" si="4"/>
        <v>Hiện</v>
      </c>
      <c r="B49" s="151" t="str">
        <f>CONCATENATE(EY49," Đã đủ")</f>
        <v>Thiếu Đã đủ</v>
      </c>
      <c r="C49" s="151">
        <f t="shared" si="53"/>
        <v>12</v>
      </c>
      <c r="D49" s="151"/>
      <c r="E49" s="151"/>
      <c r="F49" s="151"/>
      <c r="G49" s="151"/>
      <c r="H49" s="151"/>
      <c r="I49" s="171" t="s">
        <v>254</v>
      </c>
      <c r="J49" s="164" t="s">
        <v>235</v>
      </c>
      <c r="K49" s="171" t="s">
        <v>297</v>
      </c>
      <c r="L49" s="233" t="s">
        <v>289</v>
      </c>
      <c r="M49" s="163" t="s">
        <v>44</v>
      </c>
      <c r="N49" s="172">
        <v>117.75</v>
      </c>
      <c r="O49" s="177">
        <v>388.05690021231419</v>
      </c>
      <c r="P49" s="172">
        <v>45693.7</v>
      </c>
      <c r="Q49" s="161"/>
      <c r="R49" s="162"/>
      <c r="S49" s="161">
        <v>396</v>
      </c>
      <c r="T49" s="162">
        <v>46629</v>
      </c>
      <c r="U49" s="162"/>
      <c r="V49" s="162"/>
      <c r="W49" s="162">
        <v>0</v>
      </c>
      <c r="X49" s="162">
        <v>0</v>
      </c>
      <c r="Y49" s="162">
        <v>288</v>
      </c>
      <c r="Z49" s="162">
        <v>33912</v>
      </c>
      <c r="AA49" s="162">
        <v>126</v>
      </c>
      <c r="AB49" s="162">
        <v>14836.5</v>
      </c>
      <c r="AC49" s="162">
        <v>18</v>
      </c>
      <c r="AD49" s="162">
        <v>2119.5</v>
      </c>
      <c r="AE49" s="162">
        <v>18</v>
      </c>
      <c r="AF49" s="162">
        <v>2119.5</v>
      </c>
      <c r="AG49" s="162">
        <v>0</v>
      </c>
      <c r="AH49" s="162">
        <v>0</v>
      </c>
      <c r="AI49" s="162">
        <f>VLOOKUP(I49,'[119]MTO-rev09'!$A:$O,11,0)</f>
        <v>0</v>
      </c>
      <c r="AJ49" s="162">
        <f>VLOOKUP(I49,'[119]MTO-rev09'!$A:$O,12,0)</f>
        <v>0</v>
      </c>
      <c r="AK49" s="162">
        <v>0</v>
      </c>
      <c r="AL49" s="162">
        <v>0</v>
      </c>
      <c r="AM49" s="162">
        <v>36</v>
      </c>
      <c r="AN49" s="162">
        <v>4239</v>
      </c>
      <c r="AO49" s="162">
        <v>0</v>
      </c>
      <c r="AP49" s="162">
        <v>0</v>
      </c>
      <c r="AQ49" s="162">
        <v>0</v>
      </c>
      <c r="AR49" s="162">
        <v>0</v>
      </c>
      <c r="AS49" s="162">
        <v>0</v>
      </c>
      <c r="AT49" s="162">
        <v>0</v>
      </c>
      <c r="AU49" s="162">
        <v>0</v>
      </c>
      <c r="AV49" s="162">
        <v>0</v>
      </c>
      <c r="AW49" s="162">
        <v>0</v>
      </c>
      <c r="AX49" s="162">
        <v>0</v>
      </c>
      <c r="AY49" s="162">
        <v>0</v>
      </c>
      <c r="AZ49" s="162">
        <v>0</v>
      </c>
      <c r="BA49" s="162"/>
      <c r="BB49" s="162"/>
      <c r="BC49" s="162">
        <v>0</v>
      </c>
      <c r="BD49" s="162">
        <v>0</v>
      </c>
      <c r="BE49" s="162">
        <v>0</v>
      </c>
      <c r="BF49" s="162">
        <v>0</v>
      </c>
      <c r="BG49" s="162">
        <v>0</v>
      </c>
      <c r="BH49" s="162">
        <v>0</v>
      </c>
      <c r="BI49" s="162">
        <v>0</v>
      </c>
      <c r="BJ49" s="162">
        <v>0</v>
      </c>
      <c r="BK49" s="162">
        <v>0</v>
      </c>
      <c r="BL49" s="162">
        <v>0</v>
      </c>
      <c r="BM49" s="162">
        <v>0</v>
      </c>
      <c r="BN49" s="162">
        <v>0</v>
      </c>
      <c r="BO49" s="162"/>
      <c r="BP49" s="162"/>
      <c r="BQ49" s="162">
        <v>0</v>
      </c>
      <c r="BR49" s="162">
        <v>0</v>
      </c>
      <c r="BS49" s="162">
        <v>0</v>
      </c>
      <c r="BT49" s="162">
        <v>0</v>
      </c>
      <c r="BU49" s="162">
        <v>0</v>
      </c>
      <c r="BV49" s="162">
        <v>0</v>
      </c>
      <c r="BW49" s="162"/>
      <c r="BX49" s="162"/>
      <c r="BY49" s="162">
        <v>0</v>
      </c>
      <c r="BZ49" s="162">
        <v>0</v>
      </c>
      <c r="CA49" s="162">
        <v>0</v>
      </c>
      <c r="CB49" s="162">
        <v>0</v>
      </c>
      <c r="CC49" s="162">
        <v>0</v>
      </c>
      <c r="CD49" s="162">
        <v>0</v>
      </c>
      <c r="CE49" s="162">
        <f>VLOOKUP(I49,[120]REV33!$A:$O,11,0)</f>
        <v>0</v>
      </c>
      <c r="CF49" s="162">
        <f>VLOOKUP(I49,[120]REV33!$A:$O,12,0)</f>
        <v>0</v>
      </c>
      <c r="CG49" s="162"/>
      <c r="CH49" s="162"/>
      <c r="CI49" s="162"/>
      <c r="CJ49" s="162"/>
      <c r="CK49" s="162"/>
      <c r="CL49" s="162"/>
      <c r="CM49" s="162"/>
      <c r="CN49" s="162"/>
      <c r="CO49" s="162">
        <v>0</v>
      </c>
      <c r="CP49" s="162">
        <v>0</v>
      </c>
      <c r="CQ49" s="162">
        <v>0</v>
      </c>
      <c r="CR49" s="162">
        <v>0</v>
      </c>
      <c r="CS49" s="209">
        <f>Q49+S49+U49+W49+Y49+AA49+AC49+AE49+AG49+AI49+AK49+AM49+AO49+AQ49+AS49+AU49+AW49+AY49+BA49+BC49+BE49+BG49+BI49+BK49+BM49+BO49+BQ49+BS49+BU49+BW49+BY49+CA49+CC49+CE49+CG49+CI49+CK49+CM49+CO49+CQ49</f>
        <v>882</v>
      </c>
      <c r="CT49" s="209">
        <f>R49+T49+V49+X49+Z49+AB49+AD49+AF49+AH49+AJ49+AL49+AN49+AP49+AR49+AT49+AV49+AX49+AZ49+BB49+BD49+BF49+BH49+BJ49+BL49+BN49+BP49+BR49+BT49+BV49+BX49+BZ49+CB49+CD49+CF49+CH49+CJ49+CL49+CN49+CP49+CR49</f>
        <v>103855.5</v>
      </c>
      <c r="CU49" s="375" t="s">
        <v>1007</v>
      </c>
      <c r="CV49" s="208"/>
      <c r="CW49" s="152"/>
      <c r="CX49" s="152"/>
      <c r="CY49" s="390"/>
      <c r="CZ49" s="390"/>
      <c r="DA49" s="152">
        <f>IF(CS49&gt;CW49,CS49-CW49,"0")</f>
        <v>882</v>
      </c>
      <c r="DB49" s="152">
        <f>IF(CT49&gt;CX49,CT49-CX49,"0")</f>
        <v>103855.5</v>
      </c>
      <c r="DC49" s="153">
        <v>45792</v>
      </c>
      <c r="DD49" s="377" t="s">
        <v>667</v>
      </c>
      <c r="DE49" s="153" t="s">
        <v>45</v>
      </c>
      <c r="DF49" s="365" t="s">
        <v>362</v>
      </c>
      <c r="DG49" s="368" t="s">
        <v>370</v>
      </c>
      <c r="DH49" s="181">
        <v>27129.599999999999</v>
      </c>
      <c r="DI49" s="153">
        <v>45791</v>
      </c>
      <c r="DJ49" s="1000">
        <v>216</v>
      </c>
      <c r="DK49" s="181">
        <v>27129.599999999999</v>
      </c>
      <c r="DL49" s="182">
        <v>13363.64</v>
      </c>
      <c r="DM49" s="181">
        <f t="shared" si="63"/>
        <v>398805228.51840001</v>
      </c>
      <c r="DN49" s="446">
        <f t="shared" si="64"/>
        <v>0.10000000000000016</v>
      </c>
      <c r="DO49" s="182">
        <f t="shared" si="65"/>
        <v>362550207.74399996</v>
      </c>
      <c r="DP49" s="275">
        <v>45797</v>
      </c>
      <c r="DQ49" s="152">
        <f>SUMIF($I:$I,I49,$DJ:$DJ)</f>
        <v>870</v>
      </c>
      <c r="DR49" s="152">
        <f>SUMIF($I:$I,I49,$DK:$DK)</f>
        <v>109272</v>
      </c>
      <c r="DS49" s="151"/>
      <c r="DT49" s="275"/>
      <c r="DU49" s="370"/>
      <c r="DV49" s="208"/>
      <c r="DW49" s="208"/>
      <c r="DX49" s="152"/>
      <c r="DY49" s="152"/>
      <c r="DZ49" s="152"/>
      <c r="EA49" s="152"/>
      <c r="EB49" s="152"/>
      <c r="EC49" s="152"/>
      <c r="ED49" s="152"/>
      <c r="EE49" s="371"/>
      <c r="EF49" s="371"/>
      <c r="EG49" s="371"/>
      <c r="EH49" s="371"/>
      <c r="EI49" s="153"/>
      <c r="EJ49" s="153"/>
      <c r="EK49" s="153"/>
      <c r="EL49" s="153"/>
      <c r="EM49" s="153"/>
      <c r="EN49" s="153"/>
      <c r="EO49" s="152">
        <f>SUMIF($I:$I,I49,$EC:$EC)</f>
        <v>0</v>
      </c>
      <c r="EP49" s="151">
        <f>SUMIF($I:$I,I49,$ED:$ED)</f>
        <v>0</v>
      </c>
      <c r="EQ49" s="153"/>
      <c r="ER49" s="153"/>
      <c r="ES49" s="153"/>
      <c r="ET49" s="153"/>
      <c r="EU49" s="152">
        <f>DQ49+EO49</f>
        <v>870</v>
      </c>
      <c r="EV49" s="152">
        <f>DR49+EP49</f>
        <v>109272</v>
      </c>
      <c r="EW49" s="152">
        <f t="shared" ref="EW49" si="66">DA49-EU49</f>
        <v>12</v>
      </c>
      <c r="EX49" s="152">
        <f t="shared" ref="EX49" si="67">DB49-EV49</f>
        <v>-5416.5</v>
      </c>
      <c r="EY49" s="151" t="str">
        <f>IF(EW49&lt;0,"Thừa",IF(EW49=0,"Đủ","Thiếu"))</f>
        <v>Thiếu</v>
      </c>
      <c r="EZ49" s="152"/>
      <c r="FA49" s="372"/>
      <c r="FB49" s="373"/>
      <c r="FC49" s="367"/>
      <c r="FD49" s="374"/>
      <c r="FE49" s="183"/>
      <c r="FF49" s="184"/>
      <c r="FG49" s="185"/>
      <c r="FH49" s="185"/>
    </row>
    <row r="50" spans="1:164" s="386" customFormat="1" ht="14" hidden="1" customHeight="1">
      <c r="A50" s="208" t="str">
        <f t="shared" si="4"/>
        <v>ok</v>
      </c>
      <c r="B50" s="151"/>
      <c r="C50" s="151"/>
      <c r="D50" s="151"/>
      <c r="E50" s="151"/>
      <c r="F50" s="151"/>
      <c r="G50" s="151"/>
      <c r="H50" s="151"/>
      <c r="I50" s="171" t="s">
        <v>254</v>
      </c>
      <c r="J50" s="164" t="s">
        <v>235</v>
      </c>
      <c r="K50" s="171" t="s">
        <v>297</v>
      </c>
      <c r="L50" s="233" t="s">
        <v>289</v>
      </c>
      <c r="M50" s="163" t="s">
        <v>44</v>
      </c>
      <c r="N50" s="172"/>
      <c r="O50" s="177"/>
      <c r="P50" s="172"/>
      <c r="Q50" s="161"/>
      <c r="R50" s="162"/>
      <c r="S50" s="161"/>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209"/>
      <c r="CT50" s="209"/>
      <c r="CU50" s="375"/>
      <c r="CV50" s="208"/>
      <c r="CW50" s="152"/>
      <c r="CX50" s="152"/>
      <c r="CY50" s="390"/>
      <c r="CZ50" s="390"/>
      <c r="DA50" s="152"/>
      <c r="DB50" s="152"/>
      <c r="DC50" s="153"/>
      <c r="DD50" s="377" t="s">
        <v>455</v>
      </c>
      <c r="DE50" s="153" t="s">
        <v>45</v>
      </c>
      <c r="DF50" s="213" t="s">
        <v>462</v>
      </c>
      <c r="DG50" s="213" t="s">
        <v>43</v>
      </c>
      <c r="DH50" s="181">
        <v>58780.800000000003</v>
      </c>
      <c r="DI50" s="387">
        <v>45812</v>
      </c>
      <c r="DJ50" s="225">
        <v>468</v>
      </c>
      <c r="DK50" s="181">
        <v>58780.800000000003</v>
      </c>
      <c r="DL50" s="182">
        <v>13363.64</v>
      </c>
      <c r="DM50" s="181">
        <f t="shared" si="63"/>
        <v>864077995.12320006</v>
      </c>
      <c r="DN50" s="446">
        <f t="shared" si="64"/>
        <v>0.10000000000000009</v>
      </c>
      <c r="DO50" s="182">
        <f t="shared" si="65"/>
        <v>785525450.11199999</v>
      </c>
      <c r="DP50" s="275">
        <v>45817</v>
      </c>
      <c r="DQ50" s="152"/>
      <c r="DR50" s="152"/>
      <c r="DS50" s="151"/>
      <c r="DT50" s="275"/>
      <c r="DU50" s="370"/>
      <c r="DV50" s="208"/>
      <c r="DW50" s="208"/>
      <c r="DX50" s="152"/>
      <c r="DY50" s="152"/>
      <c r="DZ50" s="152"/>
      <c r="EA50" s="152"/>
      <c r="EB50" s="152"/>
      <c r="EC50" s="152"/>
      <c r="ED50" s="152"/>
      <c r="EE50" s="371"/>
      <c r="EF50" s="371"/>
      <c r="EG50" s="371"/>
      <c r="EH50" s="371"/>
      <c r="EI50" s="153"/>
      <c r="EJ50" s="153"/>
      <c r="EK50" s="153"/>
      <c r="EL50" s="153"/>
      <c r="EM50" s="153"/>
      <c r="EN50" s="153"/>
      <c r="EO50" s="152"/>
      <c r="EP50" s="151"/>
      <c r="EQ50" s="153"/>
      <c r="ER50" s="153"/>
      <c r="ES50" s="153"/>
      <c r="ET50" s="153"/>
      <c r="EU50" s="152"/>
      <c r="EV50" s="152"/>
      <c r="EW50" s="152"/>
      <c r="EX50" s="152"/>
      <c r="EY50" s="151"/>
      <c r="EZ50" s="152"/>
      <c r="FA50" s="372"/>
      <c r="FB50" s="373"/>
      <c r="FC50" s="379"/>
      <c r="FD50" s="380"/>
      <c r="FE50" s="219"/>
      <c r="FF50" s="220"/>
      <c r="FG50" s="221"/>
      <c r="FH50" s="221"/>
    </row>
    <row r="51" spans="1:164" s="276" customFormat="1" ht="14" hidden="1" customHeight="1">
      <c r="A51" s="208" t="str">
        <f t="shared" si="4"/>
        <v>ok</v>
      </c>
      <c r="B51" s="151"/>
      <c r="C51" s="151"/>
      <c r="D51" s="151"/>
      <c r="E51" s="151"/>
      <c r="F51" s="151"/>
      <c r="G51" s="151"/>
      <c r="H51" s="151"/>
      <c r="I51" s="171" t="s">
        <v>254</v>
      </c>
      <c r="J51" s="164" t="s">
        <v>235</v>
      </c>
      <c r="K51" s="171" t="s">
        <v>297</v>
      </c>
      <c r="L51" s="233" t="s">
        <v>289</v>
      </c>
      <c r="M51" s="163" t="s">
        <v>44</v>
      </c>
      <c r="N51" s="172"/>
      <c r="O51" s="177"/>
      <c r="P51" s="172"/>
      <c r="Q51" s="161"/>
      <c r="R51" s="162"/>
      <c r="S51" s="161"/>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209"/>
      <c r="CT51" s="209"/>
      <c r="CU51" s="375"/>
      <c r="CV51" s="208"/>
      <c r="CW51" s="152"/>
      <c r="CX51" s="152"/>
      <c r="CY51" s="390"/>
      <c r="CZ51" s="390"/>
      <c r="DA51" s="152"/>
      <c r="DB51" s="152"/>
      <c r="DC51" s="153"/>
      <c r="DD51" s="153" t="s">
        <v>655</v>
      </c>
      <c r="DE51" s="153" t="s">
        <v>45</v>
      </c>
      <c r="DF51" s="213" t="s">
        <v>362</v>
      </c>
      <c r="DG51" s="213" t="s">
        <v>43</v>
      </c>
      <c r="DH51" s="181">
        <v>15825.6</v>
      </c>
      <c r="DI51" s="153">
        <v>45829</v>
      </c>
      <c r="DJ51" s="225">
        <v>126</v>
      </c>
      <c r="DK51" s="181">
        <v>15825.6</v>
      </c>
      <c r="DL51" s="182">
        <v>13363.64</v>
      </c>
      <c r="DM51" s="181">
        <f t="shared" si="63"/>
        <v>232636383.30239999</v>
      </c>
      <c r="DN51" s="446">
        <f t="shared" si="64"/>
        <v>0.10000000000000005</v>
      </c>
      <c r="DO51" s="182">
        <f t="shared" si="65"/>
        <v>211487621.18399999</v>
      </c>
      <c r="DP51" s="275">
        <v>45838</v>
      </c>
      <c r="DQ51" s="152"/>
      <c r="DR51" s="152"/>
      <c r="DS51" s="151"/>
      <c r="DT51" s="275"/>
      <c r="DU51" s="370"/>
      <c r="DV51" s="208"/>
      <c r="DW51" s="208"/>
      <c r="DX51" s="152"/>
      <c r="DY51" s="152"/>
      <c r="DZ51" s="152"/>
      <c r="EA51" s="152"/>
      <c r="EB51" s="152"/>
      <c r="EC51" s="152"/>
      <c r="ED51" s="152"/>
      <c r="EE51" s="371"/>
      <c r="EF51" s="371"/>
      <c r="EG51" s="371"/>
      <c r="EH51" s="371"/>
      <c r="EI51" s="153"/>
      <c r="EJ51" s="153"/>
      <c r="EK51" s="153"/>
      <c r="EL51" s="153"/>
      <c r="EM51" s="153"/>
      <c r="EN51" s="153"/>
      <c r="EO51" s="152"/>
      <c r="EP51" s="151"/>
      <c r="EQ51" s="153"/>
      <c r="ER51" s="153"/>
      <c r="ES51" s="153"/>
      <c r="ET51" s="153"/>
      <c r="EU51" s="152"/>
      <c r="EV51" s="152"/>
      <c r="EW51" s="152"/>
      <c r="EX51" s="152"/>
      <c r="EY51" s="151"/>
      <c r="EZ51" s="152"/>
      <c r="FA51" s="372"/>
      <c r="FB51" s="373"/>
      <c r="FC51" s="367"/>
      <c r="FD51" s="374"/>
      <c r="FE51" s="183"/>
      <c r="FF51" s="184"/>
      <c r="FG51" s="185"/>
      <c r="FH51" s="185"/>
    </row>
    <row r="52" spans="1:164" s="276" customFormat="1" ht="14" hidden="1" customHeight="1">
      <c r="A52" s="208" t="str">
        <f t="shared" si="4"/>
        <v>ok</v>
      </c>
      <c r="B52" s="151"/>
      <c r="C52" s="151"/>
      <c r="D52" s="151"/>
      <c r="E52" s="151"/>
      <c r="F52" s="151"/>
      <c r="G52" s="151"/>
      <c r="H52" s="151"/>
      <c r="I52" s="171" t="s">
        <v>254</v>
      </c>
      <c r="J52" s="164" t="s">
        <v>235</v>
      </c>
      <c r="K52" s="171" t="s">
        <v>297</v>
      </c>
      <c r="L52" s="233" t="s">
        <v>289</v>
      </c>
      <c r="M52" s="163" t="s">
        <v>44</v>
      </c>
      <c r="N52" s="172"/>
      <c r="O52" s="177"/>
      <c r="P52" s="172"/>
      <c r="Q52" s="161"/>
      <c r="R52" s="162"/>
      <c r="S52" s="161"/>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209"/>
      <c r="CT52" s="209"/>
      <c r="CU52" s="375"/>
      <c r="CV52" s="208"/>
      <c r="CW52" s="152"/>
      <c r="CX52" s="152"/>
      <c r="CY52" s="390"/>
      <c r="CZ52" s="390"/>
      <c r="DA52" s="152"/>
      <c r="DB52" s="152"/>
      <c r="DC52" s="153"/>
      <c r="DD52" s="153" t="s">
        <v>655</v>
      </c>
      <c r="DE52" s="153" t="s">
        <v>45</v>
      </c>
      <c r="DF52" s="213" t="s">
        <v>362</v>
      </c>
      <c r="DG52" s="213" t="s">
        <v>43</v>
      </c>
      <c r="DH52" s="181">
        <v>4521.6000000000004</v>
      </c>
      <c r="DI52" s="153">
        <v>45829</v>
      </c>
      <c r="DJ52" s="225">
        <v>36</v>
      </c>
      <c r="DK52" s="181">
        <v>4521.6000000000004</v>
      </c>
      <c r="DL52" s="182">
        <v>13363.64</v>
      </c>
      <c r="DM52" s="181">
        <f t="shared" si="63"/>
        <v>66467538.08640001</v>
      </c>
      <c r="DN52" s="446">
        <f t="shared" si="64"/>
        <v>0.10000000000000006</v>
      </c>
      <c r="DO52" s="182">
        <f t="shared" si="65"/>
        <v>60425034.624000005</v>
      </c>
      <c r="DP52" s="275">
        <v>45838</v>
      </c>
      <c r="DQ52" s="152"/>
      <c r="DR52" s="152"/>
      <c r="DS52" s="151"/>
      <c r="DT52" s="275"/>
      <c r="DU52" s="370"/>
      <c r="DV52" s="208"/>
      <c r="DW52" s="208"/>
      <c r="DX52" s="152"/>
      <c r="DY52" s="152"/>
      <c r="DZ52" s="152"/>
      <c r="EA52" s="152"/>
      <c r="EB52" s="152"/>
      <c r="EC52" s="152"/>
      <c r="ED52" s="152"/>
      <c r="EE52" s="371"/>
      <c r="EF52" s="371"/>
      <c r="EG52" s="371"/>
      <c r="EH52" s="371"/>
      <c r="EI52" s="153"/>
      <c r="EJ52" s="153"/>
      <c r="EK52" s="153"/>
      <c r="EL52" s="153"/>
      <c r="EM52" s="153"/>
      <c r="EN52" s="153"/>
      <c r="EO52" s="152"/>
      <c r="EP52" s="151"/>
      <c r="EQ52" s="153"/>
      <c r="ER52" s="153"/>
      <c r="ES52" s="153"/>
      <c r="ET52" s="153"/>
      <c r="EU52" s="152"/>
      <c r="EV52" s="152"/>
      <c r="EW52" s="152"/>
      <c r="EX52" s="152"/>
      <c r="EY52" s="151"/>
      <c r="EZ52" s="152"/>
      <c r="FA52" s="372"/>
      <c r="FB52" s="373"/>
      <c r="FC52" s="367"/>
      <c r="FD52" s="374"/>
      <c r="FE52" s="183"/>
      <c r="FF52" s="184"/>
      <c r="FG52" s="185"/>
      <c r="FH52" s="185"/>
    </row>
    <row r="53" spans="1:164" s="386" customFormat="1" ht="14" hidden="1" customHeight="1">
      <c r="A53" s="208" t="str">
        <f t="shared" si="4"/>
        <v>ok</v>
      </c>
      <c r="B53" s="151"/>
      <c r="C53" s="151"/>
      <c r="D53" s="151"/>
      <c r="E53" s="151"/>
      <c r="F53" s="151"/>
      <c r="G53" s="151"/>
      <c r="H53" s="151"/>
      <c r="I53" s="171" t="s">
        <v>254</v>
      </c>
      <c r="J53" s="164" t="s">
        <v>235</v>
      </c>
      <c r="K53" s="171" t="s">
        <v>297</v>
      </c>
      <c r="L53" s="233" t="s">
        <v>289</v>
      </c>
      <c r="M53" s="163" t="s">
        <v>44</v>
      </c>
      <c r="N53" s="172"/>
      <c r="O53" s="177"/>
      <c r="P53" s="172"/>
      <c r="Q53" s="161"/>
      <c r="R53" s="162"/>
      <c r="S53" s="161"/>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209"/>
      <c r="CT53" s="209"/>
      <c r="CU53" s="375"/>
      <c r="CV53" s="208"/>
      <c r="CW53" s="152"/>
      <c r="CX53" s="152"/>
      <c r="CY53" s="390"/>
      <c r="CZ53" s="390"/>
      <c r="DA53" s="152"/>
      <c r="DB53" s="152"/>
      <c r="DC53" s="153"/>
      <c r="DD53" s="153" t="s">
        <v>1691</v>
      </c>
      <c r="DE53" s="277" t="s">
        <v>45</v>
      </c>
      <c r="DF53" s="213" t="s">
        <v>1011</v>
      </c>
      <c r="DG53" s="213" t="s">
        <v>678</v>
      </c>
      <c r="DH53" s="227">
        <v>3014.4</v>
      </c>
      <c r="DI53" s="153">
        <v>45888</v>
      </c>
      <c r="DJ53" s="228">
        <v>24</v>
      </c>
      <c r="DK53" s="227">
        <v>3014.4</v>
      </c>
      <c r="DL53" s="227">
        <v>13454.55</v>
      </c>
      <c r="DM53" s="181">
        <f t="shared" si="63"/>
        <v>44613135.071999997</v>
      </c>
      <c r="DN53" s="446">
        <f t="shared" si="64"/>
        <v>0.10000000000000003</v>
      </c>
      <c r="DO53" s="182">
        <f t="shared" si="65"/>
        <v>40557395.519999996</v>
      </c>
      <c r="DP53" s="275">
        <v>45891</v>
      </c>
      <c r="DQ53" s="152"/>
      <c r="DR53" s="152"/>
      <c r="DS53" s="151"/>
      <c r="DT53" s="275"/>
      <c r="DU53" s="370"/>
      <c r="DV53" s="208"/>
      <c r="DW53" s="208"/>
      <c r="DX53" s="152"/>
      <c r="DY53" s="152"/>
      <c r="DZ53" s="152"/>
      <c r="EA53" s="152"/>
      <c r="EB53" s="152"/>
      <c r="EC53" s="152"/>
      <c r="ED53" s="152"/>
      <c r="EE53" s="371"/>
      <c r="EF53" s="371"/>
      <c r="EG53" s="371"/>
      <c r="EH53" s="371"/>
      <c r="EI53" s="153"/>
      <c r="EJ53" s="153"/>
      <c r="EK53" s="153"/>
      <c r="EL53" s="153"/>
      <c r="EM53" s="153"/>
      <c r="EN53" s="153"/>
      <c r="EO53" s="152"/>
      <c r="EP53" s="151"/>
      <c r="EQ53" s="153"/>
      <c r="ER53" s="153"/>
      <c r="ES53" s="153"/>
      <c r="ET53" s="153"/>
      <c r="EU53" s="152"/>
      <c r="EV53" s="152"/>
      <c r="EW53" s="152"/>
      <c r="EX53" s="152"/>
      <c r="EY53" s="151"/>
      <c r="EZ53" s="152"/>
      <c r="FA53" s="372"/>
      <c r="FB53" s="373"/>
      <c r="FC53" s="381"/>
      <c r="FD53" s="382"/>
      <c r="FE53" s="222"/>
      <c r="FF53" s="223"/>
      <c r="FG53" s="224"/>
      <c r="FH53" s="224"/>
    </row>
    <row r="54" spans="1:164" s="157" customFormat="1" ht="14" hidden="1" customHeight="1">
      <c r="A54" s="208" t="str">
        <f t="shared" si="4"/>
        <v>Hiện</v>
      </c>
      <c r="B54" s="151" t="str">
        <f t="shared" ref="B54:B55" si="68">EY54</f>
        <v>Đủ</v>
      </c>
      <c r="C54" s="151">
        <f t="shared" ref="C54:C55" si="69">EW54</f>
        <v>0</v>
      </c>
      <c r="D54" s="151"/>
      <c r="E54" s="151"/>
      <c r="F54" s="151"/>
      <c r="G54" s="151"/>
      <c r="H54" s="151"/>
      <c r="I54" s="171" t="s">
        <v>255</v>
      </c>
      <c r="J54" s="164" t="s">
        <v>235</v>
      </c>
      <c r="K54" s="171" t="s">
        <v>298</v>
      </c>
      <c r="L54" s="233" t="s">
        <v>289</v>
      </c>
      <c r="M54" s="163" t="s">
        <v>44</v>
      </c>
      <c r="N54" s="172">
        <v>141.29999999999998</v>
      </c>
      <c r="O54" s="177">
        <v>7.5583864118895994</v>
      </c>
      <c r="P54" s="172">
        <v>1068.0000000000002</v>
      </c>
      <c r="Q54" s="161"/>
      <c r="R54" s="162"/>
      <c r="S54" s="161">
        <v>9</v>
      </c>
      <c r="T54" s="162">
        <v>1271.6999999999998</v>
      </c>
      <c r="U54" s="162"/>
      <c r="V54" s="162"/>
      <c r="W54" s="162">
        <v>0</v>
      </c>
      <c r="X54" s="162">
        <v>0</v>
      </c>
      <c r="Y54" s="162">
        <v>0</v>
      </c>
      <c r="Z54" s="162">
        <v>0</v>
      </c>
      <c r="AA54" s="162">
        <v>0</v>
      </c>
      <c r="AB54" s="162">
        <v>0</v>
      </c>
      <c r="AC54" s="162">
        <v>0</v>
      </c>
      <c r="AD54" s="162">
        <v>0</v>
      </c>
      <c r="AE54" s="162">
        <v>0</v>
      </c>
      <c r="AF54" s="162">
        <v>0</v>
      </c>
      <c r="AG54" s="162">
        <v>0</v>
      </c>
      <c r="AH54" s="162">
        <v>0</v>
      </c>
      <c r="AI54" s="162">
        <f>VLOOKUP(I54,'[119]MTO-rev09'!$A:$O,11,0)</f>
        <v>0</v>
      </c>
      <c r="AJ54" s="162">
        <f>VLOOKUP(I54,'[119]MTO-rev09'!$A:$O,12,0)</f>
        <v>0</v>
      </c>
      <c r="AK54" s="162">
        <v>0</v>
      </c>
      <c r="AL54" s="162">
        <v>0</v>
      </c>
      <c r="AM54" s="162"/>
      <c r="AN54" s="162"/>
      <c r="AO54" s="162">
        <v>0</v>
      </c>
      <c r="AP54" s="162">
        <v>0</v>
      </c>
      <c r="AQ54" s="162">
        <v>0</v>
      </c>
      <c r="AR54" s="162">
        <v>0</v>
      </c>
      <c r="AS54" s="162">
        <v>0</v>
      </c>
      <c r="AT54" s="162">
        <v>0</v>
      </c>
      <c r="AU54" s="162">
        <v>0</v>
      </c>
      <c r="AV54" s="162">
        <v>0</v>
      </c>
      <c r="AW54" s="162">
        <v>0</v>
      </c>
      <c r="AX54" s="162">
        <v>0</v>
      </c>
      <c r="AY54" s="162">
        <v>0</v>
      </c>
      <c r="AZ54" s="162">
        <v>0</v>
      </c>
      <c r="BA54" s="162"/>
      <c r="BB54" s="162"/>
      <c r="BC54" s="162">
        <v>0</v>
      </c>
      <c r="BD54" s="162">
        <v>0</v>
      </c>
      <c r="BE54" s="162">
        <v>0</v>
      </c>
      <c r="BF54" s="162">
        <v>0</v>
      </c>
      <c r="BG54" s="162">
        <v>0</v>
      </c>
      <c r="BH54" s="162">
        <v>0</v>
      </c>
      <c r="BI54" s="162">
        <v>0</v>
      </c>
      <c r="BJ54" s="162">
        <v>0</v>
      </c>
      <c r="BK54" s="162">
        <v>0</v>
      </c>
      <c r="BL54" s="162">
        <v>0</v>
      </c>
      <c r="BM54" s="162">
        <v>0</v>
      </c>
      <c r="BN54" s="162">
        <v>0</v>
      </c>
      <c r="BO54" s="162"/>
      <c r="BP54" s="162"/>
      <c r="BQ54" s="162">
        <v>0</v>
      </c>
      <c r="BR54" s="162">
        <v>0</v>
      </c>
      <c r="BS54" s="162">
        <v>0</v>
      </c>
      <c r="BT54" s="162">
        <v>0</v>
      </c>
      <c r="BU54" s="162">
        <v>0</v>
      </c>
      <c r="BV54" s="162">
        <v>0</v>
      </c>
      <c r="BW54" s="162"/>
      <c r="BX54" s="162"/>
      <c r="BY54" s="162">
        <v>0</v>
      </c>
      <c r="BZ54" s="162">
        <v>0</v>
      </c>
      <c r="CA54" s="162">
        <v>0</v>
      </c>
      <c r="CB54" s="162">
        <v>0</v>
      </c>
      <c r="CC54" s="162">
        <v>0</v>
      </c>
      <c r="CD54" s="162">
        <v>0</v>
      </c>
      <c r="CE54" s="162">
        <f>VLOOKUP(I54,[120]REV33!$A:$O,11,0)</f>
        <v>0</v>
      </c>
      <c r="CF54" s="162">
        <f>VLOOKUP(I54,[120]REV33!$A:$O,12,0)</f>
        <v>0</v>
      </c>
      <c r="CG54" s="162"/>
      <c r="CH54" s="162"/>
      <c r="CI54" s="162"/>
      <c r="CJ54" s="162"/>
      <c r="CK54" s="162"/>
      <c r="CL54" s="162"/>
      <c r="CM54" s="162"/>
      <c r="CN54" s="162"/>
      <c r="CO54" s="162">
        <v>0</v>
      </c>
      <c r="CP54" s="162">
        <v>0</v>
      </c>
      <c r="CQ54" s="162">
        <v>0</v>
      </c>
      <c r="CR54" s="162">
        <v>0</v>
      </c>
      <c r="CS54" s="209">
        <f>Q54+S54+U54+W54+Y54+AA54+AC54+AE54+AG54+AI54+AK54+AM54+AO54+AQ54+AS54+AU54+AW54+AY54+BA54+BC54+BE54+BG54+BI54+BK54+BM54+BO54+BQ54+BS54+BU54+BW54+BY54+CA54+CC54+CE54+CG54+CI54+CK54+CM54+CO54+CQ54</f>
        <v>9</v>
      </c>
      <c r="CT54" s="209">
        <f>R54+T54+V54+X54+Z54+AB54+AD54+AF54+AH54+AJ54+AL54+AN54+AP54+AR54+AT54+AV54+AX54+AZ54+BB54+BD54+BF54+BH54+BJ54+BL54+BN54+BP54+BR54+BT54+BV54+BX54+BZ54+CB54+CD54+CF54+CH54+CJ54+CL54+CN54+CP54+CR54</f>
        <v>1271.6999999999998</v>
      </c>
      <c r="CU54" s="375" t="s">
        <v>333</v>
      </c>
      <c r="CV54" s="208"/>
      <c r="CW54" s="209"/>
      <c r="CX54" s="209"/>
      <c r="CY54" s="208"/>
      <c r="CZ54" s="390"/>
      <c r="DA54" s="152">
        <f t="shared" ref="DA54:DA55" si="70">IF(CS54&gt;CW54,CS54-CW54,"0")</f>
        <v>9</v>
      </c>
      <c r="DB54" s="152">
        <f t="shared" ref="DB54:DB55" si="71">IF(CT54&gt;CX54,CT54-CX54,"0")</f>
        <v>1271.6999999999998</v>
      </c>
      <c r="DC54" s="153">
        <v>45792</v>
      </c>
      <c r="DD54" s="377" t="s">
        <v>667</v>
      </c>
      <c r="DE54" s="153" t="s">
        <v>45</v>
      </c>
      <c r="DF54" s="365" t="s">
        <v>363</v>
      </c>
      <c r="DG54" s="368" t="s">
        <v>370</v>
      </c>
      <c r="DH54" s="208">
        <v>1271.7</v>
      </c>
      <c r="DI54" s="153">
        <v>45791</v>
      </c>
      <c r="DJ54" s="392">
        <v>9</v>
      </c>
      <c r="DK54" s="391">
        <v>1271.7</v>
      </c>
      <c r="DL54" s="209">
        <v>13545.45</v>
      </c>
      <c r="DM54" s="181">
        <f t="shared" si="63"/>
        <v>18948323.641500004</v>
      </c>
      <c r="DN54" s="446">
        <f t="shared" si="64"/>
        <v>0.10000000000000017</v>
      </c>
      <c r="DO54" s="182">
        <f t="shared" si="65"/>
        <v>17225748.765000001</v>
      </c>
      <c r="DP54" s="275">
        <v>45794</v>
      </c>
      <c r="DQ54" s="152">
        <f>SUMIF($I:$I,I54,$DJ:$DJ)</f>
        <v>9</v>
      </c>
      <c r="DR54" s="152">
        <f>SUMIF($I:$I,I54,$DK:$DK)</f>
        <v>1271.7</v>
      </c>
      <c r="DS54" s="151"/>
      <c r="DT54" s="388"/>
      <c r="DU54" s="370"/>
      <c r="DV54" s="208"/>
      <c r="DW54" s="208"/>
      <c r="DX54" s="152"/>
      <c r="DY54" s="152"/>
      <c r="DZ54" s="152"/>
      <c r="EA54" s="152"/>
      <c r="EB54" s="152"/>
      <c r="EC54" s="152"/>
      <c r="ED54" s="152"/>
      <c r="EE54" s="371"/>
      <c r="EF54" s="371"/>
      <c r="EG54" s="371"/>
      <c r="EH54" s="371"/>
      <c r="EI54" s="153"/>
      <c r="EJ54" s="153"/>
      <c r="EK54" s="153"/>
      <c r="EL54" s="153"/>
      <c r="EM54" s="153"/>
      <c r="EN54" s="153"/>
      <c r="EO54" s="152">
        <f>SUMIF($I:$I,I54,$EC:$EC)</f>
        <v>0</v>
      </c>
      <c r="EP54" s="151">
        <f>SUMIF($I:$I,I54,$ED:$ED)</f>
        <v>0</v>
      </c>
      <c r="EQ54" s="153"/>
      <c r="ER54" s="153"/>
      <c r="ES54" s="153"/>
      <c r="ET54" s="153"/>
      <c r="EU54" s="152">
        <f t="shared" ref="EU54:EU55" si="72">DQ54+EO54</f>
        <v>9</v>
      </c>
      <c r="EV54" s="152">
        <f t="shared" ref="EV54:EV55" si="73">DR54+EP54</f>
        <v>1271.7</v>
      </c>
      <c r="EW54" s="152">
        <f t="shared" ref="EW54:EW55" si="74">DA54-EU54</f>
        <v>0</v>
      </c>
      <c r="EX54" s="152">
        <f t="shared" ref="EX54:EX55" si="75">DB54-EV54</f>
        <v>0</v>
      </c>
      <c r="EY54" s="151" t="str">
        <f t="shared" ref="EY54:EY55" si="76">IF(EW54&lt;0,"Thừa",IF(EW54=0,"Đủ","Thiếu"))</f>
        <v>Đủ</v>
      </c>
      <c r="EZ54" s="152"/>
      <c r="FA54" s="372"/>
      <c r="FB54" s="373"/>
      <c r="FC54" s="367"/>
      <c r="FD54" s="374"/>
      <c r="FE54" s="183"/>
      <c r="FF54" s="184"/>
      <c r="FG54" s="185"/>
      <c r="FH54" s="185"/>
    </row>
    <row r="55" spans="1:164" s="157" customFormat="1" ht="14" hidden="1" customHeight="1">
      <c r="A55" s="208" t="str">
        <f t="shared" si="4"/>
        <v>Hiện</v>
      </c>
      <c r="B55" s="151" t="str">
        <f t="shared" si="68"/>
        <v>Thừa</v>
      </c>
      <c r="C55" s="151">
        <f t="shared" si="69"/>
        <v>-6</v>
      </c>
      <c r="D55" s="151"/>
      <c r="E55" s="151"/>
      <c r="F55" s="151"/>
      <c r="G55" s="151"/>
      <c r="H55" s="151"/>
      <c r="I55" s="171" t="s">
        <v>256</v>
      </c>
      <c r="J55" s="164" t="s">
        <v>235</v>
      </c>
      <c r="K55" s="171" t="s">
        <v>299</v>
      </c>
      <c r="L55" s="233" t="s">
        <v>289</v>
      </c>
      <c r="M55" s="163" t="s">
        <v>44</v>
      </c>
      <c r="N55" s="172">
        <v>157</v>
      </c>
      <c r="O55" s="177">
        <v>107.17477707006368</v>
      </c>
      <c r="P55" s="172">
        <v>16826.439999999999</v>
      </c>
      <c r="Q55" s="161"/>
      <c r="R55" s="162"/>
      <c r="S55" s="161">
        <v>108</v>
      </c>
      <c r="T55" s="162">
        <v>16956</v>
      </c>
      <c r="U55" s="162"/>
      <c r="V55" s="162"/>
      <c r="W55" s="162">
        <v>0</v>
      </c>
      <c r="X55" s="162">
        <v>0</v>
      </c>
      <c r="Y55" s="162">
        <v>0</v>
      </c>
      <c r="Z55" s="162">
        <v>0</v>
      </c>
      <c r="AA55" s="162">
        <v>72</v>
      </c>
      <c r="AB55" s="162">
        <v>11304</v>
      </c>
      <c r="AC55" s="162">
        <v>0</v>
      </c>
      <c r="AD55" s="162">
        <v>0</v>
      </c>
      <c r="AE55" s="162">
        <v>18</v>
      </c>
      <c r="AF55" s="162">
        <v>2826</v>
      </c>
      <c r="AG55" s="162">
        <v>0</v>
      </c>
      <c r="AH55" s="162">
        <v>0</v>
      </c>
      <c r="AI55" s="162">
        <f>VLOOKUP(I55,'[119]MTO-rev09'!$A:$O,11,0)</f>
        <v>0</v>
      </c>
      <c r="AJ55" s="162">
        <f>VLOOKUP(I55,'[119]MTO-rev09'!$A:$O,12,0)</f>
        <v>0</v>
      </c>
      <c r="AK55" s="162">
        <v>72</v>
      </c>
      <c r="AL55" s="162">
        <v>11304</v>
      </c>
      <c r="AM55" s="162"/>
      <c r="AN55" s="162"/>
      <c r="AO55" s="162">
        <v>0</v>
      </c>
      <c r="AP55" s="162">
        <v>0</v>
      </c>
      <c r="AQ55" s="162">
        <v>0</v>
      </c>
      <c r="AR55" s="162">
        <v>0</v>
      </c>
      <c r="AS55" s="162">
        <v>0</v>
      </c>
      <c r="AT55" s="162">
        <v>0</v>
      </c>
      <c r="AU55" s="162">
        <v>0</v>
      </c>
      <c r="AV55" s="162">
        <v>0</v>
      </c>
      <c r="AW55" s="162">
        <v>0</v>
      </c>
      <c r="AX55" s="162">
        <v>0</v>
      </c>
      <c r="AY55" s="162">
        <v>0</v>
      </c>
      <c r="AZ55" s="162">
        <v>0</v>
      </c>
      <c r="BA55" s="162"/>
      <c r="BB55" s="162"/>
      <c r="BC55" s="162">
        <v>0</v>
      </c>
      <c r="BD55" s="162">
        <v>0</v>
      </c>
      <c r="BE55" s="162">
        <v>0</v>
      </c>
      <c r="BF55" s="162">
        <v>0</v>
      </c>
      <c r="BG55" s="162">
        <v>0</v>
      </c>
      <c r="BH55" s="162">
        <v>0</v>
      </c>
      <c r="BI55" s="162">
        <v>0</v>
      </c>
      <c r="BJ55" s="162">
        <v>0</v>
      </c>
      <c r="BK55" s="162">
        <v>0</v>
      </c>
      <c r="BL55" s="162">
        <v>0</v>
      </c>
      <c r="BM55" s="162">
        <v>0</v>
      </c>
      <c r="BN55" s="162">
        <v>0</v>
      </c>
      <c r="BO55" s="162"/>
      <c r="BP55" s="162"/>
      <c r="BQ55" s="162">
        <v>0</v>
      </c>
      <c r="BR55" s="162">
        <v>0</v>
      </c>
      <c r="BS55" s="162">
        <v>0</v>
      </c>
      <c r="BT55" s="162">
        <v>0</v>
      </c>
      <c r="BU55" s="162">
        <v>0</v>
      </c>
      <c r="BV55" s="162">
        <v>0</v>
      </c>
      <c r="BW55" s="162"/>
      <c r="BX55" s="162"/>
      <c r="BY55" s="162">
        <v>0</v>
      </c>
      <c r="BZ55" s="162">
        <v>0</v>
      </c>
      <c r="CA55" s="162">
        <v>0</v>
      </c>
      <c r="CB55" s="162">
        <v>0</v>
      </c>
      <c r="CC55" s="162">
        <v>0</v>
      </c>
      <c r="CD55" s="162">
        <v>0</v>
      </c>
      <c r="CE55" s="162">
        <f>VLOOKUP(I55,[120]REV33!$A:$O,11,0)</f>
        <v>0</v>
      </c>
      <c r="CF55" s="162">
        <f>VLOOKUP(I55,[120]REV33!$A:$O,12,0)</f>
        <v>0</v>
      </c>
      <c r="CG55" s="162"/>
      <c r="CH55" s="162"/>
      <c r="CI55" s="162"/>
      <c r="CJ55" s="162"/>
      <c r="CK55" s="162"/>
      <c r="CL55" s="162"/>
      <c r="CM55" s="162"/>
      <c r="CN55" s="162"/>
      <c r="CO55" s="162">
        <v>0</v>
      </c>
      <c r="CP55" s="162">
        <v>0</v>
      </c>
      <c r="CQ55" s="162">
        <v>0</v>
      </c>
      <c r="CR55" s="162">
        <v>0</v>
      </c>
      <c r="CS55" s="209">
        <f>Q55+S55+U55+W55+Y55+AA55+AC55+AE55+AG55+AI55+AK55+AM55+AO55+AQ55+AS55+AU55+AW55+AY55+BA55+BC55+BE55+BG55+BI55+BK55+BM55+BO55+BQ55+BS55+BU55+BW55+BY55+CA55+CC55+CE55+CG55+CI55+CK55+CM55+CO55+CQ55</f>
        <v>270</v>
      </c>
      <c r="CT55" s="209">
        <f>R55+T55+V55+X55+Z55+AB55+AD55+AF55+AH55+AJ55+AL55+AN55+AP55+AR55+AT55+AV55+AX55+AZ55+BB55+BD55+BF55+BH55+BJ55+BL55+BN55+BP55+BR55+BT55+BV55+BX55+BZ55+CB55+CD55+CF55+CH55+CJ55+CL55+CN55+CP55+CR55</f>
        <v>42390</v>
      </c>
      <c r="CU55" s="375" t="s">
        <v>997</v>
      </c>
      <c r="CV55" s="208"/>
      <c r="CW55" s="152"/>
      <c r="CX55" s="152"/>
      <c r="CY55" s="208"/>
      <c r="CZ55" s="390"/>
      <c r="DA55" s="152">
        <f t="shared" si="70"/>
        <v>270</v>
      </c>
      <c r="DB55" s="152">
        <f t="shared" si="71"/>
        <v>42390</v>
      </c>
      <c r="DC55" s="153">
        <v>45792</v>
      </c>
      <c r="DD55" s="377" t="s">
        <v>667</v>
      </c>
      <c r="DE55" s="153" t="s">
        <v>45</v>
      </c>
      <c r="DF55" s="376" t="s">
        <v>364</v>
      </c>
      <c r="DG55" s="368" t="s">
        <v>370</v>
      </c>
      <c r="DH55" s="181">
        <v>8478</v>
      </c>
      <c r="DI55" s="153">
        <v>45791</v>
      </c>
      <c r="DJ55" s="1000">
        <v>54</v>
      </c>
      <c r="DK55" s="181">
        <v>8478</v>
      </c>
      <c r="DL55" s="182">
        <v>13545.45</v>
      </c>
      <c r="DM55" s="181">
        <f t="shared" si="63"/>
        <v>126322157.61000001</v>
      </c>
      <c r="DN55" s="446">
        <f t="shared" si="64"/>
        <v>0.10000000000000003</v>
      </c>
      <c r="DO55" s="182">
        <f t="shared" si="65"/>
        <v>114838325.10000001</v>
      </c>
      <c r="DP55" s="275">
        <v>45794</v>
      </c>
      <c r="DQ55" s="152">
        <f>SUMIF($I:$I,I55,$DJ:$DJ)</f>
        <v>276</v>
      </c>
      <c r="DR55" s="152">
        <f>SUMIF($I:$I,I55,$DK:$DK)</f>
        <v>43332</v>
      </c>
      <c r="DS55" s="151"/>
      <c r="DT55" s="275"/>
      <c r="DU55" s="370"/>
      <c r="DV55" s="208"/>
      <c r="DW55" s="208"/>
      <c r="DX55" s="152"/>
      <c r="DY55" s="152"/>
      <c r="DZ55" s="152"/>
      <c r="EA55" s="152"/>
      <c r="EB55" s="152"/>
      <c r="EC55" s="152"/>
      <c r="ED55" s="152"/>
      <c r="EE55" s="371"/>
      <c r="EF55" s="371"/>
      <c r="EG55" s="153"/>
      <c r="EH55" s="153"/>
      <c r="EI55" s="153"/>
      <c r="EJ55" s="153"/>
      <c r="EK55" s="153"/>
      <c r="EL55" s="153"/>
      <c r="EM55" s="153"/>
      <c r="EN55" s="153"/>
      <c r="EO55" s="152">
        <f>SUMIF($I:$I,I55,$EC:$EC)</f>
        <v>0</v>
      </c>
      <c r="EP55" s="151">
        <f>SUMIF($I:$I,I55,$ED:$ED)</f>
        <v>0</v>
      </c>
      <c r="EQ55" s="153"/>
      <c r="ER55" s="153"/>
      <c r="ES55" s="153"/>
      <c r="ET55" s="153"/>
      <c r="EU55" s="152">
        <f t="shared" si="72"/>
        <v>276</v>
      </c>
      <c r="EV55" s="152">
        <f t="shared" si="73"/>
        <v>43332</v>
      </c>
      <c r="EW55" s="152">
        <f t="shared" si="74"/>
        <v>-6</v>
      </c>
      <c r="EX55" s="152">
        <f t="shared" si="75"/>
        <v>-942</v>
      </c>
      <c r="EY55" s="151" t="str">
        <f t="shared" si="76"/>
        <v>Thừa</v>
      </c>
      <c r="EZ55" s="152"/>
      <c r="FA55" s="372"/>
      <c r="FB55" s="373"/>
      <c r="FC55" s="367"/>
      <c r="FD55" s="374"/>
      <c r="FE55" s="183"/>
      <c r="FF55" s="184"/>
      <c r="FG55" s="185"/>
      <c r="FH55" s="185"/>
    </row>
    <row r="56" spans="1:164" s="386" customFormat="1" ht="14" hidden="1" customHeight="1">
      <c r="A56" s="208" t="str">
        <f t="shared" si="4"/>
        <v>ok</v>
      </c>
      <c r="B56" s="151"/>
      <c r="C56" s="151"/>
      <c r="D56" s="151"/>
      <c r="E56" s="151"/>
      <c r="F56" s="151"/>
      <c r="G56" s="151"/>
      <c r="H56" s="151"/>
      <c r="I56" s="171" t="s">
        <v>256</v>
      </c>
      <c r="J56" s="164" t="s">
        <v>235</v>
      </c>
      <c r="K56" s="171" t="s">
        <v>299</v>
      </c>
      <c r="L56" s="233" t="s">
        <v>289</v>
      </c>
      <c r="M56" s="163" t="s">
        <v>44</v>
      </c>
      <c r="N56" s="172"/>
      <c r="O56" s="177"/>
      <c r="P56" s="172"/>
      <c r="Q56" s="161"/>
      <c r="R56" s="162"/>
      <c r="S56" s="161"/>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162"/>
      <c r="BS56" s="162"/>
      <c r="BT56" s="162"/>
      <c r="BU56" s="162"/>
      <c r="BV56" s="162"/>
      <c r="BW56" s="162"/>
      <c r="BX56" s="162"/>
      <c r="BY56" s="162"/>
      <c r="BZ56" s="162"/>
      <c r="CA56" s="162"/>
      <c r="CB56" s="162"/>
      <c r="CC56" s="162"/>
      <c r="CD56" s="162"/>
      <c r="CE56" s="162"/>
      <c r="CF56" s="162"/>
      <c r="CG56" s="162"/>
      <c r="CH56" s="162"/>
      <c r="CI56" s="162"/>
      <c r="CJ56" s="162"/>
      <c r="CK56" s="162"/>
      <c r="CL56" s="162"/>
      <c r="CM56" s="162"/>
      <c r="CN56" s="162"/>
      <c r="CO56" s="162"/>
      <c r="CP56" s="162"/>
      <c r="CQ56" s="162"/>
      <c r="CR56" s="162"/>
      <c r="CS56" s="209"/>
      <c r="CT56" s="209"/>
      <c r="CU56" s="375"/>
      <c r="CV56" s="208"/>
      <c r="CW56" s="152"/>
      <c r="CX56" s="152"/>
      <c r="CY56" s="208"/>
      <c r="CZ56" s="390"/>
      <c r="DA56" s="152"/>
      <c r="DB56" s="152"/>
      <c r="DC56" s="153"/>
      <c r="DD56" s="377" t="s">
        <v>668</v>
      </c>
      <c r="DE56" s="153" t="s">
        <v>45</v>
      </c>
      <c r="DF56" s="213" t="s">
        <v>673</v>
      </c>
      <c r="DG56" s="213" t="s">
        <v>678</v>
      </c>
      <c r="DH56" s="181">
        <v>3768</v>
      </c>
      <c r="DI56" s="153">
        <v>45853</v>
      </c>
      <c r="DJ56" s="378">
        <v>24</v>
      </c>
      <c r="DK56" s="181">
        <v>3768</v>
      </c>
      <c r="DL56" s="182">
        <v>13590.91</v>
      </c>
      <c r="DM56" s="181">
        <f t="shared" si="63"/>
        <v>56331603.768000007</v>
      </c>
      <c r="DN56" s="446">
        <f t="shared" si="64"/>
        <v>0.10000000000000007</v>
      </c>
      <c r="DO56" s="182">
        <f t="shared" si="65"/>
        <v>51210548.880000003</v>
      </c>
      <c r="DP56" s="275">
        <v>45856</v>
      </c>
      <c r="DQ56" s="152"/>
      <c r="DR56" s="152"/>
      <c r="DS56" s="151"/>
      <c r="DT56" s="275"/>
      <c r="DU56" s="370"/>
      <c r="DV56" s="208"/>
      <c r="DW56" s="208"/>
      <c r="DX56" s="152"/>
      <c r="DY56" s="152"/>
      <c r="DZ56" s="152"/>
      <c r="EA56" s="152"/>
      <c r="EB56" s="152"/>
      <c r="EC56" s="152"/>
      <c r="ED56" s="152"/>
      <c r="EE56" s="371"/>
      <c r="EF56" s="371"/>
      <c r="EG56" s="153"/>
      <c r="EH56" s="153"/>
      <c r="EI56" s="153"/>
      <c r="EJ56" s="153"/>
      <c r="EK56" s="153"/>
      <c r="EL56" s="153"/>
      <c r="EM56" s="153"/>
      <c r="EN56" s="153"/>
      <c r="EO56" s="152"/>
      <c r="EP56" s="151"/>
      <c r="EQ56" s="153"/>
      <c r="ER56" s="153"/>
      <c r="ES56" s="153"/>
      <c r="ET56" s="153"/>
      <c r="EU56" s="152"/>
      <c r="EV56" s="152"/>
      <c r="EW56" s="152"/>
      <c r="EX56" s="152"/>
      <c r="EY56" s="151"/>
      <c r="EZ56" s="152"/>
      <c r="FA56" s="372"/>
      <c r="FB56" s="373"/>
      <c r="FC56" s="379"/>
      <c r="FD56" s="380"/>
      <c r="FE56" s="219"/>
      <c r="FF56" s="220"/>
      <c r="FG56" s="221"/>
      <c r="FH56" s="221"/>
    </row>
    <row r="57" spans="1:164" s="276" customFormat="1" ht="14" hidden="1" customHeight="1">
      <c r="A57" s="208" t="str">
        <f t="shared" si="4"/>
        <v>ok</v>
      </c>
      <c r="B57" s="151"/>
      <c r="C57" s="151"/>
      <c r="D57" s="151"/>
      <c r="E57" s="151"/>
      <c r="F57" s="151"/>
      <c r="G57" s="151"/>
      <c r="H57" s="151"/>
      <c r="I57" s="171" t="s">
        <v>256</v>
      </c>
      <c r="J57" s="164" t="s">
        <v>235</v>
      </c>
      <c r="K57" s="171" t="s">
        <v>299</v>
      </c>
      <c r="L57" s="233" t="s">
        <v>289</v>
      </c>
      <c r="M57" s="163" t="s">
        <v>44</v>
      </c>
      <c r="N57" s="172"/>
      <c r="O57" s="177"/>
      <c r="P57" s="172"/>
      <c r="Q57" s="161"/>
      <c r="R57" s="162"/>
      <c r="S57" s="161"/>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209"/>
      <c r="CT57" s="209"/>
      <c r="CU57" s="375"/>
      <c r="CV57" s="208"/>
      <c r="CW57" s="152"/>
      <c r="CX57" s="152"/>
      <c r="CY57" s="208"/>
      <c r="CZ57" s="390"/>
      <c r="DA57" s="152"/>
      <c r="DB57" s="152"/>
      <c r="DC57" s="153"/>
      <c r="DD57" s="153" t="s">
        <v>655</v>
      </c>
      <c r="DE57" s="153" t="s">
        <v>45</v>
      </c>
      <c r="DF57" s="213" t="s">
        <v>364</v>
      </c>
      <c r="DG57" s="213" t="s">
        <v>43</v>
      </c>
      <c r="DH57" s="181">
        <v>11304</v>
      </c>
      <c r="DI57" s="153">
        <v>45829</v>
      </c>
      <c r="DJ57" s="1000">
        <v>72</v>
      </c>
      <c r="DK57" s="181">
        <v>11304</v>
      </c>
      <c r="DL57" s="182">
        <v>13454.55</v>
      </c>
      <c r="DM57" s="181">
        <f t="shared" si="63"/>
        <v>167299256.52000001</v>
      </c>
      <c r="DN57" s="446">
        <f t="shared" si="64"/>
        <v>0.10000000000000016</v>
      </c>
      <c r="DO57" s="182">
        <f t="shared" si="65"/>
        <v>152090233.19999999</v>
      </c>
      <c r="DP57" s="275">
        <v>45838</v>
      </c>
      <c r="DQ57" s="152"/>
      <c r="DR57" s="152"/>
      <c r="DS57" s="151"/>
      <c r="DT57" s="275"/>
      <c r="DU57" s="370"/>
      <c r="DV57" s="208"/>
      <c r="DW57" s="208"/>
      <c r="DX57" s="152"/>
      <c r="DY57" s="152"/>
      <c r="DZ57" s="152"/>
      <c r="EA57" s="152"/>
      <c r="EB57" s="152"/>
      <c r="EC57" s="152"/>
      <c r="ED57" s="152"/>
      <c r="EE57" s="371"/>
      <c r="EF57" s="371"/>
      <c r="EG57" s="153"/>
      <c r="EH57" s="153"/>
      <c r="EI57" s="153"/>
      <c r="EJ57" s="153"/>
      <c r="EK57" s="153"/>
      <c r="EL57" s="153"/>
      <c r="EM57" s="153"/>
      <c r="EN57" s="153"/>
      <c r="EO57" s="152"/>
      <c r="EP57" s="151"/>
      <c r="EQ57" s="153"/>
      <c r="ER57" s="153"/>
      <c r="ES57" s="153"/>
      <c r="ET57" s="153"/>
      <c r="EU57" s="152"/>
      <c r="EV57" s="152"/>
      <c r="EW57" s="152"/>
      <c r="EX57" s="152"/>
      <c r="EY57" s="151"/>
      <c r="EZ57" s="152"/>
      <c r="FA57" s="372"/>
      <c r="FB57" s="373"/>
      <c r="FC57" s="367"/>
      <c r="FD57" s="374"/>
      <c r="FE57" s="183"/>
      <c r="FF57" s="184"/>
      <c r="FG57" s="185"/>
      <c r="FH57" s="185"/>
    </row>
    <row r="58" spans="1:164" s="276" customFormat="1" ht="14" hidden="1" customHeight="1">
      <c r="A58" s="208" t="str">
        <f t="shared" si="4"/>
        <v>ok</v>
      </c>
      <c r="B58" s="151"/>
      <c r="C58" s="151"/>
      <c r="D58" s="151"/>
      <c r="E58" s="151"/>
      <c r="F58" s="151"/>
      <c r="G58" s="151"/>
      <c r="H58" s="151"/>
      <c r="I58" s="171" t="s">
        <v>256</v>
      </c>
      <c r="J58" s="164" t="s">
        <v>235</v>
      </c>
      <c r="K58" s="171" t="s">
        <v>299</v>
      </c>
      <c r="L58" s="233" t="s">
        <v>289</v>
      </c>
      <c r="M58" s="163" t="s">
        <v>44</v>
      </c>
      <c r="N58" s="172"/>
      <c r="O58" s="177"/>
      <c r="P58" s="172"/>
      <c r="Q58" s="161"/>
      <c r="R58" s="162"/>
      <c r="S58" s="161"/>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162"/>
      <c r="BS58" s="162"/>
      <c r="BT58" s="162"/>
      <c r="BU58" s="162"/>
      <c r="BV58" s="162"/>
      <c r="BW58" s="162"/>
      <c r="BX58" s="162"/>
      <c r="BY58" s="162"/>
      <c r="BZ58" s="162"/>
      <c r="CA58" s="162"/>
      <c r="CB58" s="162"/>
      <c r="CC58" s="162"/>
      <c r="CD58" s="162"/>
      <c r="CE58" s="162"/>
      <c r="CF58" s="162"/>
      <c r="CG58" s="162"/>
      <c r="CH58" s="162"/>
      <c r="CI58" s="162"/>
      <c r="CJ58" s="162"/>
      <c r="CK58" s="162"/>
      <c r="CL58" s="162"/>
      <c r="CM58" s="162"/>
      <c r="CN58" s="162"/>
      <c r="CO58" s="162"/>
      <c r="CP58" s="162"/>
      <c r="CQ58" s="162"/>
      <c r="CR58" s="162"/>
      <c r="CS58" s="209"/>
      <c r="CT58" s="209"/>
      <c r="CU58" s="375"/>
      <c r="CV58" s="208"/>
      <c r="CW58" s="152"/>
      <c r="CX58" s="152"/>
      <c r="CY58" s="208"/>
      <c r="CZ58" s="390"/>
      <c r="DA58" s="152"/>
      <c r="DB58" s="152"/>
      <c r="DC58" s="153"/>
      <c r="DD58" s="377" t="s">
        <v>455</v>
      </c>
      <c r="DE58" s="153" t="s">
        <v>45</v>
      </c>
      <c r="DF58" s="213" t="s">
        <v>463</v>
      </c>
      <c r="DG58" s="213" t="s">
        <v>43</v>
      </c>
      <c r="DH58" s="181">
        <v>8478</v>
      </c>
      <c r="DI58" s="387">
        <v>45812</v>
      </c>
      <c r="DJ58" s="225">
        <v>54</v>
      </c>
      <c r="DK58" s="181">
        <v>8478</v>
      </c>
      <c r="DL58" s="182">
        <v>13545.45</v>
      </c>
      <c r="DM58" s="181">
        <f t="shared" si="63"/>
        <v>126322157.61000001</v>
      </c>
      <c r="DN58" s="446">
        <f t="shared" si="64"/>
        <v>0.10000000000000003</v>
      </c>
      <c r="DO58" s="182">
        <f t="shared" si="65"/>
        <v>114838325.10000001</v>
      </c>
      <c r="DP58" s="275">
        <v>45819</v>
      </c>
      <c r="DQ58" s="152"/>
      <c r="DR58" s="152"/>
      <c r="DS58" s="151"/>
      <c r="DT58" s="275"/>
      <c r="DU58" s="370"/>
      <c r="DV58" s="208"/>
      <c r="DW58" s="208"/>
      <c r="DX58" s="152"/>
      <c r="DY58" s="152"/>
      <c r="DZ58" s="152"/>
      <c r="EA58" s="152"/>
      <c r="EB58" s="152"/>
      <c r="EC58" s="152"/>
      <c r="ED58" s="152"/>
      <c r="EE58" s="371"/>
      <c r="EF58" s="371"/>
      <c r="EG58" s="153"/>
      <c r="EH58" s="153"/>
      <c r="EI58" s="153"/>
      <c r="EJ58" s="153"/>
      <c r="EK58" s="153"/>
      <c r="EL58" s="153"/>
      <c r="EM58" s="153"/>
      <c r="EN58" s="153"/>
      <c r="EO58" s="152"/>
      <c r="EP58" s="151"/>
      <c r="EQ58" s="153"/>
      <c r="ER58" s="153"/>
      <c r="ES58" s="153"/>
      <c r="ET58" s="153"/>
      <c r="EU58" s="152"/>
      <c r="EV58" s="152"/>
      <c r="EW58" s="152"/>
      <c r="EX58" s="152"/>
      <c r="EY58" s="151"/>
      <c r="EZ58" s="152"/>
      <c r="FA58" s="372"/>
      <c r="FB58" s="373"/>
      <c r="FC58" s="367"/>
      <c r="FD58" s="374"/>
      <c r="FE58" s="183"/>
      <c r="FF58" s="184"/>
      <c r="FG58" s="185"/>
      <c r="FH58" s="185"/>
    </row>
    <row r="59" spans="1:164" s="386" customFormat="1" ht="14" hidden="1" customHeight="1">
      <c r="A59" s="208" t="str">
        <f t="shared" si="4"/>
        <v>ok</v>
      </c>
      <c r="B59" s="151"/>
      <c r="C59" s="151"/>
      <c r="D59" s="151"/>
      <c r="E59" s="151"/>
      <c r="F59" s="151"/>
      <c r="G59" s="151"/>
      <c r="H59" s="151"/>
      <c r="I59" s="171" t="s">
        <v>256</v>
      </c>
      <c r="J59" s="164" t="s">
        <v>235</v>
      </c>
      <c r="K59" s="171" t="s">
        <v>299</v>
      </c>
      <c r="L59" s="233" t="s">
        <v>289</v>
      </c>
      <c r="M59" s="163" t="s">
        <v>44</v>
      </c>
      <c r="N59" s="172"/>
      <c r="O59" s="177"/>
      <c r="P59" s="172"/>
      <c r="Q59" s="161"/>
      <c r="R59" s="162"/>
      <c r="S59" s="161"/>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162"/>
      <c r="BS59" s="162"/>
      <c r="BT59" s="162"/>
      <c r="BU59" s="162"/>
      <c r="BV59" s="162"/>
      <c r="BW59" s="162"/>
      <c r="BX59" s="162"/>
      <c r="BY59" s="162"/>
      <c r="BZ59" s="162"/>
      <c r="CA59" s="162"/>
      <c r="CB59" s="162"/>
      <c r="CC59" s="162"/>
      <c r="CD59" s="162"/>
      <c r="CE59" s="162"/>
      <c r="CF59" s="162"/>
      <c r="CG59" s="162"/>
      <c r="CH59" s="162"/>
      <c r="CI59" s="162"/>
      <c r="CJ59" s="162"/>
      <c r="CK59" s="162"/>
      <c r="CL59" s="162"/>
      <c r="CM59" s="162"/>
      <c r="CN59" s="162"/>
      <c r="CO59" s="162"/>
      <c r="CP59" s="162"/>
      <c r="CQ59" s="162"/>
      <c r="CR59" s="162"/>
      <c r="CS59" s="209"/>
      <c r="CT59" s="209"/>
      <c r="CU59" s="375"/>
      <c r="CV59" s="208"/>
      <c r="CW59" s="152"/>
      <c r="CX59" s="152"/>
      <c r="CY59" s="208"/>
      <c r="CZ59" s="390"/>
      <c r="DA59" s="152"/>
      <c r="DB59" s="152"/>
      <c r="DC59" s="153"/>
      <c r="DD59" s="153" t="s">
        <v>1691</v>
      </c>
      <c r="DE59" s="277" t="s">
        <v>45</v>
      </c>
      <c r="DF59" s="213" t="s">
        <v>1012</v>
      </c>
      <c r="DG59" s="213" t="s">
        <v>678</v>
      </c>
      <c r="DH59" s="227">
        <v>11304</v>
      </c>
      <c r="DI59" s="153">
        <v>45888</v>
      </c>
      <c r="DJ59" s="228">
        <v>72</v>
      </c>
      <c r="DK59" s="227">
        <v>11304</v>
      </c>
      <c r="DL59" s="227">
        <v>14090.91</v>
      </c>
      <c r="DM59" s="181">
        <f t="shared" si="63"/>
        <v>175212011.30399999</v>
      </c>
      <c r="DN59" s="446">
        <f t="shared" si="64"/>
        <v>0.10000000000000003</v>
      </c>
      <c r="DO59" s="182">
        <f t="shared" si="65"/>
        <v>159283646.63999999</v>
      </c>
      <c r="DP59" s="275">
        <v>45891</v>
      </c>
      <c r="DQ59" s="152"/>
      <c r="DR59" s="152"/>
      <c r="DS59" s="151"/>
      <c r="DT59" s="275"/>
      <c r="DU59" s="370"/>
      <c r="DV59" s="208"/>
      <c r="DW59" s="208"/>
      <c r="DX59" s="152"/>
      <c r="DY59" s="152"/>
      <c r="DZ59" s="152"/>
      <c r="EA59" s="152"/>
      <c r="EB59" s="152"/>
      <c r="EC59" s="152"/>
      <c r="ED59" s="152"/>
      <c r="EE59" s="371"/>
      <c r="EF59" s="371"/>
      <c r="EG59" s="153"/>
      <c r="EH59" s="153"/>
      <c r="EI59" s="153"/>
      <c r="EJ59" s="153"/>
      <c r="EK59" s="153"/>
      <c r="EL59" s="153"/>
      <c r="EM59" s="153"/>
      <c r="EN59" s="153"/>
      <c r="EO59" s="152"/>
      <c r="EP59" s="151"/>
      <c r="EQ59" s="153"/>
      <c r="ER59" s="153"/>
      <c r="ES59" s="153"/>
      <c r="ET59" s="153"/>
      <c r="EU59" s="152"/>
      <c r="EV59" s="152"/>
      <c r="EW59" s="152"/>
      <c r="EX59" s="152"/>
      <c r="EY59" s="151"/>
      <c r="EZ59" s="152"/>
      <c r="FA59" s="372"/>
      <c r="FB59" s="373"/>
      <c r="FC59" s="381"/>
      <c r="FD59" s="382"/>
      <c r="FE59" s="222"/>
      <c r="FF59" s="223"/>
      <c r="FG59" s="224"/>
      <c r="FH59" s="224"/>
    </row>
    <row r="60" spans="1:164" s="157" customFormat="1" ht="35" hidden="1" customHeight="1">
      <c r="A60" s="208" t="str">
        <f t="shared" si="4"/>
        <v>Hiện</v>
      </c>
      <c r="B60" s="151" t="str">
        <f t="shared" ref="B60" si="77">EY60</f>
        <v>Thừa</v>
      </c>
      <c r="C60" s="151">
        <f t="shared" ref="C60:C64" si="78">EW60</f>
        <v>-4</v>
      </c>
      <c r="D60" s="151" t="s">
        <v>1414</v>
      </c>
      <c r="E60" s="151"/>
      <c r="F60" s="151"/>
      <c r="G60" s="151"/>
      <c r="H60" s="151"/>
      <c r="I60" s="171" t="s">
        <v>257</v>
      </c>
      <c r="J60" s="164" t="s">
        <v>235</v>
      </c>
      <c r="K60" s="171" t="s">
        <v>300</v>
      </c>
      <c r="L60" s="233" t="s">
        <v>289</v>
      </c>
      <c r="M60" s="163" t="s">
        <v>44</v>
      </c>
      <c r="N60" s="172">
        <v>196.25</v>
      </c>
      <c r="O60" s="177">
        <v>16.954394904458596</v>
      </c>
      <c r="P60" s="172">
        <v>3327.2999999999997</v>
      </c>
      <c r="Q60" s="161"/>
      <c r="R60" s="162"/>
      <c r="S60" s="161">
        <v>18</v>
      </c>
      <c r="T60" s="162">
        <v>3532.5</v>
      </c>
      <c r="U60" s="162"/>
      <c r="V60" s="162"/>
      <c r="W60" s="162">
        <v>0</v>
      </c>
      <c r="X60" s="162">
        <v>0</v>
      </c>
      <c r="Y60" s="162">
        <v>0</v>
      </c>
      <c r="Z60" s="162">
        <v>0</v>
      </c>
      <c r="AA60" s="162">
        <v>18</v>
      </c>
      <c r="AB60" s="162">
        <v>3532.5</v>
      </c>
      <c r="AC60" s="162">
        <v>0</v>
      </c>
      <c r="AD60" s="162">
        <v>0</v>
      </c>
      <c r="AE60" s="162">
        <v>36</v>
      </c>
      <c r="AF60" s="162">
        <v>7065</v>
      </c>
      <c r="AG60" s="162">
        <v>0</v>
      </c>
      <c r="AH60" s="162">
        <v>0</v>
      </c>
      <c r="AI60" s="162">
        <f>VLOOKUP(I60,'[119]MTO-rev09'!$A:$O,11,0)</f>
        <v>0</v>
      </c>
      <c r="AJ60" s="162">
        <f>VLOOKUP(I60,'[119]MTO-rev09'!$A:$O,12,0)</f>
        <v>0</v>
      </c>
      <c r="AK60" s="162">
        <v>0</v>
      </c>
      <c r="AL60" s="162">
        <v>0</v>
      </c>
      <c r="AM60" s="162"/>
      <c r="AN60" s="162"/>
      <c r="AO60" s="162">
        <v>30</v>
      </c>
      <c r="AP60" s="162">
        <v>5887.5</v>
      </c>
      <c r="AQ60" s="162">
        <v>0</v>
      </c>
      <c r="AR60" s="162">
        <v>0</v>
      </c>
      <c r="AS60" s="162">
        <v>0</v>
      </c>
      <c r="AT60" s="162">
        <v>0</v>
      </c>
      <c r="AU60" s="162">
        <v>0</v>
      </c>
      <c r="AV60" s="162">
        <v>0</v>
      </c>
      <c r="AW60" s="162">
        <v>10</v>
      </c>
      <c r="AX60" s="162">
        <v>1962.5</v>
      </c>
      <c r="AY60" s="162">
        <v>0</v>
      </c>
      <c r="AZ60" s="162">
        <v>0</v>
      </c>
      <c r="BA60" s="162">
        <v>44</v>
      </c>
      <c r="BB60" s="162">
        <v>8635</v>
      </c>
      <c r="BC60" s="162">
        <v>0</v>
      </c>
      <c r="BD60" s="162">
        <v>0</v>
      </c>
      <c r="BE60" s="162">
        <v>0</v>
      </c>
      <c r="BF60" s="162">
        <v>0</v>
      </c>
      <c r="BG60" s="162">
        <v>0</v>
      </c>
      <c r="BH60" s="162">
        <v>0</v>
      </c>
      <c r="BI60" s="162">
        <v>0</v>
      </c>
      <c r="BJ60" s="162">
        <v>0</v>
      </c>
      <c r="BK60" s="162">
        <v>0</v>
      </c>
      <c r="BL60" s="162">
        <v>0</v>
      </c>
      <c r="BM60" s="162">
        <v>0</v>
      </c>
      <c r="BN60" s="162">
        <v>0</v>
      </c>
      <c r="BO60" s="162"/>
      <c r="BP60" s="162"/>
      <c r="BQ60" s="162">
        <v>0</v>
      </c>
      <c r="BR60" s="162">
        <v>0</v>
      </c>
      <c r="BS60" s="162">
        <v>0</v>
      </c>
      <c r="BT60" s="162">
        <v>0</v>
      </c>
      <c r="BU60" s="162">
        <v>0</v>
      </c>
      <c r="BV60" s="162">
        <v>0</v>
      </c>
      <c r="BW60" s="162"/>
      <c r="BX60" s="162"/>
      <c r="BY60" s="162">
        <v>0</v>
      </c>
      <c r="BZ60" s="162">
        <v>0</v>
      </c>
      <c r="CA60" s="162">
        <v>0</v>
      </c>
      <c r="CB60" s="162">
        <v>0</v>
      </c>
      <c r="CC60" s="162">
        <v>0</v>
      </c>
      <c r="CD60" s="162">
        <v>0</v>
      </c>
      <c r="CE60" s="162">
        <f>VLOOKUP(I60,[120]REV33!$A:$O,11,0)</f>
        <v>0</v>
      </c>
      <c r="CF60" s="162">
        <f>VLOOKUP(I60,[120]REV33!$A:$O,12,0)</f>
        <v>0</v>
      </c>
      <c r="CG60" s="162"/>
      <c r="CH60" s="162"/>
      <c r="CI60" s="162"/>
      <c r="CJ60" s="162"/>
      <c r="CK60" s="162"/>
      <c r="CL60" s="162"/>
      <c r="CM60" s="162"/>
      <c r="CN60" s="162"/>
      <c r="CO60" s="162">
        <v>0</v>
      </c>
      <c r="CP60" s="162">
        <v>0</v>
      </c>
      <c r="CQ60" s="162">
        <v>0</v>
      </c>
      <c r="CR60" s="162">
        <v>0</v>
      </c>
      <c r="CS60" s="209">
        <f>Q60+S60+U60+W60+Y60+AA60+AC60+AE60+AG60+AI60+AK60+AM60+AO60+AQ60+AS60+AU60+AW60+AY60+BA60+BC60+BE60+BG60+BI60+BK60+BM60+BO60+BQ60+BS60+BU60+BW60+BY60+CA60+CC60+CE60+CG60+CI60+CK60+CM60+CO60+CQ60</f>
        <v>156</v>
      </c>
      <c r="CT60" s="209">
        <f>R60+T60+V60+X60+Z60+AB60+AD60+AF60+AH60+AJ60+AL60+AN60+AP60+AR60+AT60+AV60+AX60+AZ60+BB60+BD60+BF60+BH60+BJ60+BL60+BN60+BP60+BR60+BT60+BV60+BX60+BZ60+CB60+CD60+CF60+CH60+CJ60+CL60+CN60+CP60+CR60</f>
        <v>30615</v>
      </c>
      <c r="CU60" s="375" t="s">
        <v>1487</v>
      </c>
      <c r="CV60" s="208"/>
      <c r="CW60" s="152">
        <f>1.5*12+2*11</f>
        <v>40</v>
      </c>
      <c r="CX60" s="152">
        <f>CW60*N60</f>
        <v>7850</v>
      </c>
      <c r="CY60" s="208"/>
      <c r="CZ60" s="390" t="s">
        <v>1495</v>
      </c>
      <c r="DA60" s="152">
        <f>IF(CS60&gt;CW60,CS60-CW60,"0")</f>
        <v>116</v>
      </c>
      <c r="DB60" s="152">
        <f>IF(CT60&gt;CX60,CT60-CX60,"0")</f>
        <v>22765</v>
      </c>
      <c r="DC60" s="153">
        <v>45792</v>
      </c>
      <c r="DD60" s="153" t="s">
        <v>552</v>
      </c>
      <c r="DE60" s="153" t="s">
        <v>466</v>
      </c>
      <c r="DF60" s="365" t="s">
        <v>569</v>
      </c>
      <c r="DG60" s="368" t="s">
        <v>371</v>
      </c>
      <c r="DH60" s="152">
        <v>4710</v>
      </c>
      <c r="DI60" s="153">
        <v>45783</v>
      </c>
      <c r="DJ60" s="392">
        <v>24</v>
      </c>
      <c r="DK60" s="392">
        <v>4710</v>
      </c>
      <c r="DL60" s="182">
        <v>13909.09</v>
      </c>
      <c r="DM60" s="181">
        <f t="shared" si="63"/>
        <v>72062995.290000007</v>
      </c>
      <c r="DN60" s="446">
        <f t="shared" si="64"/>
        <v>0.10000000000000013</v>
      </c>
      <c r="DO60" s="182">
        <f t="shared" si="65"/>
        <v>65511813.899999999</v>
      </c>
      <c r="DP60" s="275">
        <v>45835</v>
      </c>
      <c r="DQ60" s="152">
        <f>SUMIF($I:$I,I60,$DJ:$DJ)</f>
        <v>120</v>
      </c>
      <c r="DR60" s="152">
        <f>SUMIF($I:$I,I60,$DK:$DK)</f>
        <v>23550</v>
      </c>
      <c r="DS60" s="151"/>
      <c r="DT60" s="275"/>
      <c r="DU60" s="370"/>
      <c r="DV60" s="208"/>
      <c r="DW60" s="208"/>
      <c r="DX60" s="152"/>
      <c r="DY60" s="152"/>
      <c r="DZ60" s="152"/>
      <c r="EA60" s="152"/>
      <c r="EB60" s="152"/>
      <c r="EC60" s="152"/>
      <c r="ED60" s="152"/>
      <c r="EE60" s="371"/>
      <c r="EF60" s="371"/>
      <c r="EG60" s="371"/>
      <c r="EH60" s="371"/>
      <c r="EI60" s="153"/>
      <c r="EJ60" s="153"/>
      <c r="EK60" s="153"/>
      <c r="EL60" s="153"/>
      <c r="EM60" s="153"/>
      <c r="EN60" s="153"/>
      <c r="EO60" s="152">
        <f>SUMIF($I:$I,I60,$EC:$EC)</f>
        <v>0</v>
      </c>
      <c r="EP60" s="151">
        <f>SUMIF($I:$I,I60,$ED:$ED)</f>
        <v>0</v>
      </c>
      <c r="EQ60" s="153"/>
      <c r="ER60" s="153"/>
      <c r="ES60" s="153"/>
      <c r="ET60" s="153"/>
      <c r="EU60" s="152">
        <f>DQ60+EO60</f>
        <v>120</v>
      </c>
      <c r="EV60" s="152">
        <f>DR60+EP60</f>
        <v>23550</v>
      </c>
      <c r="EW60" s="152">
        <f t="shared" ref="EW60" si="79">DA60-EU60</f>
        <v>-4</v>
      </c>
      <c r="EX60" s="152">
        <f t="shared" ref="EX60" si="80">DB60-EV60</f>
        <v>-785</v>
      </c>
      <c r="EY60" s="151" t="str">
        <f>IF(EW60&lt;0,"Thừa",IF(EW60=0,"Đủ","Thiếu"))</f>
        <v>Thừa</v>
      </c>
      <c r="EZ60" s="152"/>
      <c r="FA60" s="372"/>
      <c r="FB60" s="373"/>
      <c r="FC60" s="367"/>
      <c r="FD60" s="374"/>
      <c r="FE60" s="183"/>
      <c r="FF60" s="184"/>
      <c r="FG60" s="185"/>
      <c r="FH60" s="185"/>
    </row>
    <row r="61" spans="1:164" s="386" customFormat="1" ht="14" hidden="1" customHeight="1">
      <c r="A61" s="208" t="str">
        <f t="shared" si="4"/>
        <v>ok</v>
      </c>
      <c r="B61" s="151"/>
      <c r="C61" s="151"/>
      <c r="D61" s="151"/>
      <c r="E61" s="151"/>
      <c r="F61" s="151"/>
      <c r="G61" s="151"/>
      <c r="H61" s="151"/>
      <c r="I61" s="171" t="s">
        <v>257</v>
      </c>
      <c r="J61" s="164" t="s">
        <v>235</v>
      </c>
      <c r="K61" s="171" t="s">
        <v>300</v>
      </c>
      <c r="L61" s="233" t="s">
        <v>289</v>
      </c>
      <c r="M61" s="163" t="s">
        <v>44</v>
      </c>
      <c r="N61" s="172"/>
      <c r="O61" s="177"/>
      <c r="P61" s="172"/>
      <c r="Q61" s="161"/>
      <c r="R61" s="162"/>
      <c r="S61" s="161"/>
      <c r="T61" s="162"/>
      <c r="U61" s="162"/>
      <c r="V61" s="162"/>
      <c r="W61" s="162"/>
      <c r="X61" s="162"/>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c r="AX61" s="162"/>
      <c r="AY61" s="162"/>
      <c r="AZ61" s="162"/>
      <c r="BA61" s="162"/>
      <c r="BB61" s="162"/>
      <c r="BC61" s="162"/>
      <c r="BD61" s="162"/>
      <c r="BE61" s="162"/>
      <c r="BF61" s="162"/>
      <c r="BG61" s="162"/>
      <c r="BH61" s="162"/>
      <c r="BI61" s="162"/>
      <c r="BJ61" s="162"/>
      <c r="BK61" s="162"/>
      <c r="BL61" s="162"/>
      <c r="BM61" s="162"/>
      <c r="BN61" s="162"/>
      <c r="BO61" s="162"/>
      <c r="BP61" s="162"/>
      <c r="BQ61" s="162"/>
      <c r="BR61" s="162"/>
      <c r="BS61" s="162"/>
      <c r="BT61" s="162"/>
      <c r="BU61" s="162"/>
      <c r="BV61" s="162"/>
      <c r="BW61" s="162"/>
      <c r="BX61" s="162"/>
      <c r="BY61" s="162"/>
      <c r="BZ61" s="162"/>
      <c r="CA61" s="162"/>
      <c r="CB61" s="162"/>
      <c r="CC61" s="162"/>
      <c r="CD61" s="162"/>
      <c r="CE61" s="162"/>
      <c r="CF61" s="162"/>
      <c r="CG61" s="162"/>
      <c r="CH61" s="162"/>
      <c r="CI61" s="162"/>
      <c r="CJ61" s="162"/>
      <c r="CK61" s="162"/>
      <c r="CL61" s="162"/>
      <c r="CM61" s="162"/>
      <c r="CN61" s="162"/>
      <c r="CO61" s="162"/>
      <c r="CP61" s="162"/>
      <c r="CQ61" s="162"/>
      <c r="CR61" s="162"/>
      <c r="CS61" s="209"/>
      <c r="CT61" s="209"/>
      <c r="CU61" s="375"/>
      <c r="CV61" s="208"/>
      <c r="CW61" s="152"/>
      <c r="CX61" s="152"/>
      <c r="CY61" s="208"/>
      <c r="CZ61" s="390"/>
      <c r="DA61" s="152"/>
      <c r="DB61" s="152"/>
      <c r="DC61" s="153"/>
      <c r="DD61" s="377" t="s">
        <v>668</v>
      </c>
      <c r="DE61" s="153" t="s">
        <v>45</v>
      </c>
      <c r="DF61" s="213" t="s">
        <v>674</v>
      </c>
      <c r="DG61" s="213" t="s">
        <v>678</v>
      </c>
      <c r="DH61" s="181">
        <v>4710</v>
      </c>
      <c r="DI61" s="153">
        <v>45853</v>
      </c>
      <c r="DJ61" s="378">
        <v>24</v>
      </c>
      <c r="DK61" s="181">
        <v>4710</v>
      </c>
      <c r="DL61" s="182">
        <v>14090.91</v>
      </c>
      <c r="DM61" s="181">
        <f t="shared" si="63"/>
        <v>73005004.710000008</v>
      </c>
      <c r="DN61" s="446">
        <f t="shared" si="64"/>
        <v>0.1000000000000001</v>
      </c>
      <c r="DO61" s="182">
        <f t="shared" si="65"/>
        <v>66368186.100000001</v>
      </c>
      <c r="DP61" s="275">
        <v>45856</v>
      </c>
      <c r="DQ61" s="152"/>
      <c r="DR61" s="152"/>
      <c r="DS61" s="151"/>
      <c r="DT61" s="275"/>
      <c r="DU61" s="370"/>
      <c r="DV61" s="208"/>
      <c r="DW61" s="208"/>
      <c r="DX61" s="152"/>
      <c r="DY61" s="152"/>
      <c r="DZ61" s="152"/>
      <c r="EA61" s="152"/>
      <c r="EB61" s="152"/>
      <c r="EC61" s="152"/>
      <c r="ED61" s="152"/>
      <c r="EE61" s="371"/>
      <c r="EF61" s="371"/>
      <c r="EG61" s="371"/>
      <c r="EH61" s="371"/>
      <c r="EI61" s="153"/>
      <c r="EJ61" s="153"/>
      <c r="EK61" s="153"/>
      <c r="EL61" s="153"/>
      <c r="EM61" s="153"/>
      <c r="EN61" s="153"/>
      <c r="EO61" s="152"/>
      <c r="EP61" s="151"/>
      <c r="EQ61" s="153"/>
      <c r="ER61" s="153"/>
      <c r="ES61" s="153"/>
      <c r="ET61" s="153"/>
      <c r="EU61" s="152"/>
      <c r="EV61" s="152"/>
      <c r="EW61" s="152"/>
      <c r="EX61" s="152"/>
      <c r="EY61" s="151"/>
      <c r="EZ61" s="152"/>
      <c r="FA61" s="372"/>
      <c r="FB61" s="373"/>
      <c r="FC61" s="379"/>
      <c r="FD61" s="380"/>
      <c r="FE61" s="219"/>
      <c r="FF61" s="220"/>
      <c r="FG61" s="221"/>
      <c r="FH61" s="221"/>
    </row>
    <row r="62" spans="1:164" s="386" customFormat="1" ht="14" hidden="1" customHeight="1">
      <c r="A62" s="208" t="str">
        <f t="shared" si="4"/>
        <v>ok</v>
      </c>
      <c r="B62" s="151"/>
      <c r="C62" s="151"/>
      <c r="D62" s="393"/>
      <c r="E62" s="393"/>
      <c r="F62" s="151"/>
      <c r="G62" s="151"/>
      <c r="H62" s="151"/>
      <c r="I62" s="171" t="s">
        <v>257</v>
      </c>
      <c r="J62" s="164" t="s">
        <v>235</v>
      </c>
      <c r="K62" s="171" t="s">
        <v>300</v>
      </c>
      <c r="L62" s="233" t="s">
        <v>289</v>
      </c>
      <c r="M62" s="163" t="s">
        <v>44</v>
      </c>
      <c r="N62" s="172"/>
      <c r="O62" s="177"/>
      <c r="P62" s="172"/>
      <c r="Q62" s="161"/>
      <c r="R62" s="162"/>
      <c r="S62" s="161"/>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c r="AX62" s="162"/>
      <c r="AY62" s="162"/>
      <c r="AZ62" s="162"/>
      <c r="BA62" s="162"/>
      <c r="BB62" s="162"/>
      <c r="BC62" s="162"/>
      <c r="BD62" s="162"/>
      <c r="BE62" s="162"/>
      <c r="BF62" s="162"/>
      <c r="BG62" s="162"/>
      <c r="BH62" s="162"/>
      <c r="BI62" s="162"/>
      <c r="BJ62" s="162"/>
      <c r="BK62" s="162"/>
      <c r="BL62" s="162"/>
      <c r="BM62" s="162"/>
      <c r="BN62" s="162"/>
      <c r="BO62" s="162"/>
      <c r="BP62" s="162"/>
      <c r="BQ62" s="162"/>
      <c r="BR62" s="162"/>
      <c r="BS62" s="162"/>
      <c r="BT62" s="162"/>
      <c r="BU62" s="162"/>
      <c r="BV62" s="162"/>
      <c r="BW62" s="162"/>
      <c r="BX62" s="162"/>
      <c r="BY62" s="162"/>
      <c r="BZ62" s="162"/>
      <c r="CA62" s="162"/>
      <c r="CB62" s="162"/>
      <c r="CC62" s="162"/>
      <c r="CD62" s="162"/>
      <c r="CE62" s="162"/>
      <c r="CF62" s="162"/>
      <c r="CG62" s="162"/>
      <c r="CH62" s="162"/>
      <c r="CI62" s="162"/>
      <c r="CJ62" s="162"/>
      <c r="CK62" s="162"/>
      <c r="CL62" s="162"/>
      <c r="CM62" s="162"/>
      <c r="CN62" s="162"/>
      <c r="CO62" s="162"/>
      <c r="CP62" s="162"/>
      <c r="CQ62" s="162"/>
      <c r="CR62" s="162"/>
      <c r="CS62" s="209"/>
      <c r="CT62" s="209"/>
      <c r="CU62" s="375"/>
      <c r="CV62" s="208"/>
      <c r="CW62" s="152"/>
      <c r="CX62" s="152"/>
      <c r="CY62" s="208"/>
      <c r="CZ62" s="390"/>
      <c r="DA62" s="152"/>
      <c r="DB62" s="152"/>
      <c r="DC62" s="153"/>
      <c r="DD62" s="153" t="s">
        <v>655</v>
      </c>
      <c r="DE62" s="153" t="s">
        <v>45</v>
      </c>
      <c r="DF62" s="213" t="s">
        <v>559</v>
      </c>
      <c r="DG62" s="394" t="s">
        <v>561</v>
      </c>
      <c r="DH62" s="152">
        <v>4710</v>
      </c>
      <c r="DI62" s="153">
        <v>45829</v>
      </c>
      <c r="DJ62" s="392">
        <v>24</v>
      </c>
      <c r="DK62" s="392">
        <v>4710</v>
      </c>
      <c r="DL62" s="182">
        <v>14136.36</v>
      </c>
      <c r="DM62" s="181">
        <f t="shared" si="63"/>
        <v>73240481.160000011</v>
      </c>
      <c r="DN62" s="446">
        <f t="shared" si="64"/>
        <v>0.10000000000000014</v>
      </c>
      <c r="DO62" s="182">
        <f t="shared" si="65"/>
        <v>66582255.600000001</v>
      </c>
      <c r="DP62" s="275">
        <v>45832</v>
      </c>
      <c r="DQ62" s="152"/>
      <c r="DR62" s="152"/>
      <c r="DS62" s="151"/>
      <c r="DT62" s="275"/>
      <c r="DU62" s="370"/>
      <c r="DV62" s="208"/>
      <c r="DW62" s="208"/>
      <c r="DX62" s="152"/>
      <c r="DY62" s="152"/>
      <c r="DZ62" s="152"/>
      <c r="EA62" s="152"/>
      <c r="EB62" s="152"/>
      <c r="EC62" s="152"/>
      <c r="ED62" s="152"/>
      <c r="EE62" s="371"/>
      <c r="EF62" s="371"/>
      <c r="EG62" s="371"/>
      <c r="EH62" s="371"/>
      <c r="EI62" s="153"/>
      <c r="EJ62" s="153"/>
      <c r="EK62" s="153"/>
      <c r="EL62" s="153"/>
      <c r="EM62" s="153"/>
      <c r="EN62" s="153"/>
      <c r="EO62" s="152"/>
      <c r="EP62" s="151"/>
      <c r="EQ62" s="153"/>
      <c r="ER62" s="153"/>
      <c r="ES62" s="153"/>
      <c r="ET62" s="153"/>
      <c r="EU62" s="152"/>
      <c r="EV62" s="152"/>
      <c r="EW62" s="152"/>
      <c r="EX62" s="152"/>
      <c r="EY62" s="151"/>
      <c r="EZ62" s="152"/>
      <c r="FA62" s="372"/>
      <c r="FB62" s="373"/>
      <c r="FC62" s="381"/>
      <c r="FD62" s="382"/>
      <c r="FE62" s="222"/>
      <c r="FF62" s="223"/>
      <c r="FG62" s="224"/>
      <c r="FH62" s="224"/>
    </row>
    <row r="63" spans="1:164" s="386" customFormat="1" ht="14" hidden="1" customHeight="1">
      <c r="A63" s="208" t="str">
        <f t="shared" si="4"/>
        <v>ok</v>
      </c>
      <c r="B63" s="151"/>
      <c r="C63" s="151"/>
      <c r="D63" s="393"/>
      <c r="E63" s="393"/>
      <c r="F63" s="151"/>
      <c r="G63" s="151"/>
      <c r="H63" s="151"/>
      <c r="I63" s="171" t="s">
        <v>257</v>
      </c>
      <c r="J63" s="164" t="s">
        <v>235</v>
      </c>
      <c r="K63" s="171" t="s">
        <v>300</v>
      </c>
      <c r="L63" s="233" t="s">
        <v>289</v>
      </c>
      <c r="M63" s="163" t="s">
        <v>44</v>
      </c>
      <c r="N63" s="172"/>
      <c r="O63" s="177"/>
      <c r="P63" s="172"/>
      <c r="Q63" s="161"/>
      <c r="R63" s="162"/>
      <c r="S63" s="161"/>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c r="AX63" s="162"/>
      <c r="AY63" s="162"/>
      <c r="AZ63" s="162"/>
      <c r="BA63" s="162"/>
      <c r="BB63" s="162"/>
      <c r="BC63" s="162"/>
      <c r="BD63" s="162"/>
      <c r="BE63" s="162"/>
      <c r="BF63" s="162"/>
      <c r="BG63" s="162"/>
      <c r="BH63" s="162"/>
      <c r="BI63" s="162"/>
      <c r="BJ63" s="162"/>
      <c r="BK63" s="162"/>
      <c r="BL63" s="162"/>
      <c r="BM63" s="162"/>
      <c r="BN63" s="162"/>
      <c r="BO63" s="162"/>
      <c r="BP63" s="162"/>
      <c r="BQ63" s="162"/>
      <c r="BR63" s="162"/>
      <c r="BS63" s="162"/>
      <c r="BT63" s="162"/>
      <c r="BU63" s="162"/>
      <c r="BV63" s="162"/>
      <c r="BW63" s="162"/>
      <c r="BX63" s="162"/>
      <c r="BY63" s="162"/>
      <c r="BZ63" s="162"/>
      <c r="CA63" s="162"/>
      <c r="CB63" s="162"/>
      <c r="CC63" s="162"/>
      <c r="CD63" s="162"/>
      <c r="CE63" s="162"/>
      <c r="CF63" s="162"/>
      <c r="CG63" s="162"/>
      <c r="CH63" s="162"/>
      <c r="CI63" s="162"/>
      <c r="CJ63" s="162"/>
      <c r="CK63" s="162"/>
      <c r="CL63" s="162"/>
      <c r="CM63" s="162"/>
      <c r="CN63" s="162"/>
      <c r="CO63" s="162"/>
      <c r="CP63" s="162"/>
      <c r="CQ63" s="162"/>
      <c r="CR63" s="162"/>
      <c r="CS63" s="209"/>
      <c r="CT63" s="209"/>
      <c r="CU63" s="375"/>
      <c r="CV63" s="208"/>
      <c r="CW63" s="152"/>
      <c r="CX63" s="152"/>
      <c r="CY63" s="208"/>
      <c r="CZ63" s="390"/>
      <c r="DA63" s="152"/>
      <c r="DB63" s="152"/>
      <c r="DC63" s="153"/>
      <c r="DD63" s="153" t="s">
        <v>1497</v>
      </c>
      <c r="DE63" s="153" t="s">
        <v>1496</v>
      </c>
      <c r="DF63" s="213" t="s">
        <v>559</v>
      </c>
      <c r="DG63" s="394" t="s">
        <v>371</v>
      </c>
      <c r="DH63" s="152">
        <v>9420</v>
      </c>
      <c r="DI63" s="153">
        <v>45915</v>
      </c>
      <c r="DJ63" s="392">
        <v>48</v>
      </c>
      <c r="DK63" s="392">
        <v>9420</v>
      </c>
      <c r="DL63" s="182">
        <v>14909.09</v>
      </c>
      <c r="DM63" s="181">
        <f t="shared" si="63"/>
        <v>154487990.58000001</v>
      </c>
      <c r="DN63" s="446">
        <f t="shared" si="64"/>
        <v>0.1</v>
      </c>
      <c r="DO63" s="182">
        <f t="shared" si="65"/>
        <v>140443627.80000001</v>
      </c>
      <c r="DP63" s="275"/>
      <c r="DQ63" s="152"/>
      <c r="DR63" s="152"/>
      <c r="DS63" s="151"/>
      <c r="DT63" s="275"/>
      <c r="DU63" s="370"/>
      <c r="DV63" s="208"/>
      <c r="DW63" s="208"/>
      <c r="DX63" s="152"/>
      <c r="DY63" s="152"/>
      <c r="DZ63" s="152"/>
      <c r="EA63" s="152"/>
      <c r="EB63" s="152"/>
      <c r="EC63" s="152"/>
      <c r="ED63" s="152"/>
      <c r="EE63" s="371"/>
      <c r="EF63" s="371"/>
      <c r="EG63" s="371"/>
      <c r="EH63" s="371"/>
      <c r="EI63" s="153"/>
      <c r="EJ63" s="153"/>
      <c r="EK63" s="153"/>
      <c r="EL63" s="153"/>
      <c r="EM63" s="153"/>
      <c r="EN63" s="153"/>
      <c r="EO63" s="152"/>
      <c r="EP63" s="151"/>
      <c r="EQ63" s="153"/>
      <c r="ER63" s="153"/>
      <c r="ES63" s="153"/>
      <c r="ET63" s="153"/>
      <c r="EU63" s="152"/>
      <c r="EV63" s="152"/>
      <c r="EW63" s="152"/>
      <c r="EX63" s="152"/>
      <c r="EY63" s="151"/>
      <c r="EZ63" s="152"/>
      <c r="FA63" s="372"/>
      <c r="FB63" s="373"/>
      <c r="FC63" s="381"/>
      <c r="FD63" s="382"/>
      <c r="FE63" s="222"/>
      <c r="FF63" s="223"/>
      <c r="FG63" s="224"/>
      <c r="FH63" s="224"/>
    </row>
    <row r="64" spans="1:164" s="157" customFormat="1" ht="14" hidden="1" customHeight="1">
      <c r="A64" s="208" t="str">
        <f t="shared" si="4"/>
        <v>Hiện</v>
      </c>
      <c r="B64" s="151" t="str">
        <f t="shared" ref="B64" si="81">EY64</f>
        <v>Đủ</v>
      </c>
      <c r="C64" s="151">
        <f t="shared" si="78"/>
        <v>0</v>
      </c>
      <c r="D64" s="151"/>
      <c r="E64" s="151"/>
      <c r="F64" s="151"/>
      <c r="G64" s="151"/>
      <c r="H64" s="151"/>
      <c r="I64" s="171" t="s">
        <v>258</v>
      </c>
      <c r="J64" s="164" t="s">
        <v>235</v>
      </c>
      <c r="K64" s="171" t="s">
        <v>301</v>
      </c>
      <c r="L64" s="233" t="s">
        <v>289</v>
      </c>
      <c r="M64" s="163" t="s">
        <v>44</v>
      </c>
      <c r="N64" s="172">
        <v>235.5</v>
      </c>
      <c r="O64" s="1397">
        <v>27.252653927813164</v>
      </c>
      <c r="P64" s="1398">
        <v>6418</v>
      </c>
      <c r="Q64" s="161"/>
      <c r="R64" s="162"/>
      <c r="S64" s="161">
        <v>24</v>
      </c>
      <c r="T64" s="162">
        <v>5652</v>
      </c>
      <c r="U64" s="162"/>
      <c r="V64" s="162"/>
      <c r="W64" s="162">
        <v>0</v>
      </c>
      <c r="X64" s="162">
        <v>0</v>
      </c>
      <c r="Y64" s="162">
        <v>84</v>
      </c>
      <c r="Z64" s="162">
        <v>19782</v>
      </c>
      <c r="AA64" s="162">
        <v>48</v>
      </c>
      <c r="AB64" s="162">
        <v>11304</v>
      </c>
      <c r="AC64" s="162">
        <v>0</v>
      </c>
      <c r="AD64" s="162">
        <v>0</v>
      </c>
      <c r="AE64" s="162">
        <v>0</v>
      </c>
      <c r="AF64" s="162">
        <v>0</v>
      </c>
      <c r="AG64" s="162">
        <v>0</v>
      </c>
      <c r="AH64" s="162">
        <v>0</v>
      </c>
      <c r="AI64" s="162">
        <f>VLOOKUP(I64,'[119]MTO-rev09'!$A:$O,11,0)</f>
        <v>0</v>
      </c>
      <c r="AJ64" s="162">
        <f>VLOOKUP(I64,'[119]MTO-rev09'!$A:$O,12,0)</f>
        <v>0</v>
      </c>
      <c r="AK64" s="162">
        <v>0</v>
      </c>
      <c r="AL64" s="162">
        <v>0</v>
      </c>
      <c r="AM64" s="162"/>
      <c r="AN64" s="162"/>
      <c r="AO64" s="162">
        <v>0</v>
      </c>
      <c r="AP64" s="162">
        <v>0</v>
      </c>
      <c r="AQ64" s="162">
        <v>0</v>
      </c>
      <c r="AR64" s="162">
        <v>0</v>
      </c>
      <c r="AS64" s="162">
        <v>0</v>
      </c>
      <c r="AT64" s="162">
        <v>0</v>
      </c>
      <c r="AU64" s="162">
        <v>0</v>
      </c>
      <c r="AV64" s="162">
        <v>0</v>
      </c>
      <c r="AW64" s="162">
        <v>0</v>
      </c>
      <c r="AX64" s="162">
        <v>0</v>
      </c>
      <c r="AY64" s="162">
        <v>0</v>
      </c>
      <c r="AZ64" s="162">
        <v>0</v>
      </c>
      <c r="BA64" s="162"/>
      <c r="BB64" s="162"/>
      <c r="BC64" s="162">
        <v>0</v>
      </c>
      <c r="BD64" s="162">
        <v>0</v>
      </c>
      <c r="BE64" s="162">
        <v>0</v>
      </c>
      <c r="BF64" s="162">
        <v>0</v>
      </c>
      <c r="BG64" s="162">
        <v>0</v>
      </c>
      <c r="BH64" s="162">
        <v>0</v>
      </c>
      <c r="BI64" s="162">
        <v>0</v>
      </c>
      <c r="BJ64" s="162">
        <v>0</v>
      </c>
      <c r="BK64" s="162">
        <v>0</v>
      </c>
      <c r="BL64" s="162">
        <v>0</v>
      </c>
      <c r="BM64" s="162">
        <v>0</v>
      </c>
      <c r="BN64" s="162">
        <v>0</v>
      </c>
      <c r="BO64" s="162"/>
      <c r="BP64" s="162"/>
      <c r="BQ64" s="162">
        <v>0</v>
      </c>
      <c r="BR64" s="162">
        <v>0</v>
      </c>
      <c r="BS64" s="162">
        <v>0</v>
      </c>
      <c r="BT64" s="162">
        <v>0</v>
      </c>
      <c r="BU64" s="162">
        <v>0</v>
      </c>
      <c r="BV64" s="162">
        <v>0</v>
      </c>
      <c r="BW64" s="162"/>
      <c r="BX64" s="162"/>
      <c r="BY64" s="162">
        <v>0</v>
      </c>
      <c r="BZ64" s="162">
        <v>0</v>
      </c>
      <c r="CA64" s="162">
        <v>0</v>
      </c>
      <c r="CB64" s="162">
        <v>0</v>
      </c>
      <c r="CC64" s="162">
        <v>0</v>
      </c>
      <c r="CD64" s="162">
        <v>0</v>
      </c>
      <c r="CE64" s="162">
        <f>VLOOKUP(I64,[120]REV33!$A:$O,11,0)</f>
        <v>0</v>
      </c>
      <c r="CF64" s="162">
        <f>VLOOKUP(I64,[120]REV33!$A:$O,12,0)</f>
        <v>0</v>
      </c>
      <c r="CG64" s="162"/>
      <c r="CH64" s="162"/>
      <c r="CI64" s="162"/>
      <c r="CJ64" s="162"/>
      <c r="CK64" s="162"/>
      <c r="CL64" s="162"/>
      <c r="CM64" s="162"/>
      <c r="CN64" s="162"/>
      <c r="CO64" s="162">
        <v>0</v>
      </c>
      <c r="CP64" s="162">
        <v>0</v>
      </c>
      <c r="CQ64" s="162">
        <v>0</v>
      </c>
      <c r="CR64" s="162">
        <v>0</v>
      </c>
      <c r="CS64" s="209">
        <f>Q64+S64+U64+W64+Y64+AA64+AC64+AE64+AG64+AI64+AK64+AM64+AO64+AQ64+AS64+AU64+AW64+AY64+BA64+BC64+BE64+BG64+BI64+BK64+BM64+BO64+BQ64+BS64+BU64+BW64+BY64+CA64+CC64+CE64+CG64+CI64+CK64+CM64+CO64+CQ64</f>
        <v>156</v>
      </c>
      <c r="CT64" s="209">
        <f>R64+T64+V64+X64+Z64+AB64+AD64+AF64+AH64+AJ64+AL64+AN64+AP64+AR64+AT64+AV64+AX64+AZ64+BB64+BD64+BF64+BH64+BJ64+BL64+BN64+BP64+BR64+BT64+BV64+BX64+BZ64+CB64+CD64+CF64+CH64+CJ64+CL64+CN64+CP64+CR64</f>
        <v>36738</v>
      </c>
      <c r="CU64" s="375" t="s">
        <v>497</v>
      </c>
      <c r="CV64" s="208"/>
      <c r="CW64" s="152"/>
      <c r="CX64" s="152"/>
      <c r="CY64" s="208"/>
      <c r="CZ64" s="208"/>
      <c r="DA64" s="152">
        <f>IF(CS64&gt;CW64,CS64-CW64,"0")</f>
        <v>156</v>
      </c>
      <c r="DB64" s="152">
        <f>IF(CT64&gt;CX64,CT64-CX64,"0")</f>
        <v>36738</v>
      </c>
      <c r="DC64" s="153">
        <v>45792</v>
      </c>
      <c r="DD64" s="377" t="s">
        <v>667</v>
      </c>
      <c r="DE64" s="153" t="s">
        <v>45</v>
      </c>
      <c r="DF64" s="376" t="s">
        <v>365</v>
      </c>
      <c r="DG64" s="368" t="s">
        <v>371</v>
      </c>
      <c r="DH64" s="181">
        <v>5652</v>
      </c>
      <c r="DI64" s="153">
        <v>45791</v>
      </c>
      <c r="DJ64" s="1000">
        <v>24</v>
      </c>
      <c r="DK64" s="181">
        <v>5652</v>
      </c>
      <c r="DL64" s="182">
        <v>14090.91</v>
      </c>
      <c r="DM64" s="181">
        <f t="shared" si="63"/>
        <v>87606005.651999995</v>
      </c>
      <c r="DN64" s="446">
        <f t="shared" si="64"/>
        <v>0.10000000000000003</v>
      </c>
      <c r="DO64" s="182">
        <f t="shared" si="65"/>
        <v>79641823.319999993</v>
      </c>
      <c r="DP64" s="275">
        <v>45797</v>
      </c>
      <c r="DQ64" s="152">
        <f>SUMIF($I:$I,I64,$DJ:$DJ)</f>
        <v>156</v>
      </c>
      <c r="DR64" s="152">
        <f>SUMIF($I:$I,I64,$DK:$DK)</f>
        <v>36738</v>
      </c>
      <c r="DS64" s="151"/>
      <c r="DT64" s="275"/>
      <c r="DU64" s="370"/>
      <c r="DV64" s="208"/>
      <c r="DW64" s="208"/>
      <c r="DX64" s="152"/>
      <c r="DY64" s="152"/>
      <c r="DZ64" s="152"/>
      <c r="EA64" s="152"/>
      <c r="EB64" s="152"/>
      <c r="EC64" s="152"/>
      <c r="ED64" s="152"/>
      <c r="EE64" s="371"/>
      <c r="EF64" s="371"/>
      <c r="EG64" s="153"/>
      <c r="EH64" s="153"/>
      <c r="EI64" s="153"/>
      <c r="EJ64" s="153"/>
      <c r="EK64" s="153"/>
      <c r="EL64" s="153"/>
      <c r="EM64" s="153"/>
      <c r="EN64" s="153"/>
      <c r="EO64" s="152">
        <f>SUMIF($I:$I,I64,$EC:$EC)</f>
        <v>0</v>
      </c>
      <c r="EP64" s="151">
        <f>SUMIF($I:$I,I64,$ED:$ED)</f>
        <v>0</v>
      </c>
      <c r="EQ64" s="153"/>
      <c r="ER64" s="153"/>
      <c r="ES64" s="153"/>
      <c r="ET64" s="153"/>
      <c r="EU64" s="152">
        <f>DQ64+EO64</f>
        <v>156</v>
      </c>
      <c r="EV64" s="152">
        <f>DR64+EP64</f>
        <v>36738</v>
      </c>
      <c r="EW64" s="152">
        <f t="shared" ref="EW64" si="82">DA64-EU64</f>
        <v>0</v>
      </c>
      <c r="EX64" s="152">
        <f t="shared" ref="EX64" si="83">DB64-EV64</f>
        <v>0</v>
      </c>
      <c r="EY64" s="151" t="str">
        <f>IF(EW64&lt;0,"Thừa",IF(EW64=0,"Đủ","Thiếu"))</f>
        <v>Đủ</v>
      </c>
      <c r="EZ64" s="152"/>
      <c r="FA64" s="372"/>
      <c r="FB64" s="373"/>
      <c r="FC64" s="367"/>
      <c r="FD64" s="374"/>
      <c r="FE64" s="183"/>
      <c r="FF64" s="184"/>
      <c r="FG64" s="185"/>
      <c r="FH64" s="185"/>
    </row>
    <row r="65" spans="1:164" s="386" customFormat="1" ht="14" hidden="1" customHeight="1">
      <c r="A65" s="208" t="str">
        <f t="shared" si="4"/>
        <v>ok</v>
      </c>
      <c r="B65" s="151"/>
      <c r="C65" s="151"/>
      <c r="D65" s="151"/>
      <c r="E65" s="151"/>
      <c r="F65" s="151"/>
      <c r="G65" s="151"/>
      <c r="H65" s="151"/>
      <c r="I65" s="171" t="s">
        <v>258</v>
      </c>
      <c r="J65" s="164" t="s">
        <v>235</v>
      </c>
      <c r="K65" s="171" t="s">
        <v>301</v>
      </c>
      <c r="L65" s="233" t="s">
        <v>289</v>
      </c>
      <c r="M65" s="163" t="s">
        <v>44</v>
      </c>
      <c r="N65" s="172"/>
      <c r="O65" s="1397"/>
      <c r="P65" s="1398"/>
      <c r="Q65" s="161"/>
      <c r="R65" s="162"/>
      <c r="S65" s="161"/>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c r="AX65" s="162"/>
      <c r="AY65" s="162"/>
      <c r="AZ65" s="162"/>
      <c r="BA65" s="162"/>
      <c r="BB65" s="162"/>
      <c r="BC65" s="162"/>
      <c r="BD65" s="162"/>
      <c r="BE65" s="162"/>
      <c r="BF65" s="162"/>
      <c r="BG65" s="162"/>
      <c r="BH65" s="162"/>
      <c r="BI65" s="162"/>
      <c r="BJ65" s="162"/>
      <c r="BK65" s="162"/>
      <c r="BL65" s="162"/>
      <c r="BM65" s="162"/>
      <c r="BN65" s="162"/>
      <c r="BO65" s="162"/>
      <c r="BP65" s="162"/>
      <c r="BQ65" s="162"/>
      <c r="BR65" s="162"/>
      <c r="BS65" s="162"/>
      <c r="BT65" s="162"/>
      <c r="BU65" s="162"/>
      <c r="BV65" s="162"/>
      <c r="BW65" s="162"/>
      <c r="BX65" s="162"/>
      <c r="BY65" s="162"/>
      <c r="BZ65" s="162"/>
      <c r="CA65" s="162"/>
      <c r="CB65" s="162"/>
      <c r="CC65" s="162"/>
      <c r="CD65" s="162"/>
      <c r="CE65" s="162"/>
      <c r="CF65" s="162"/>
      <c r="CG65" s="162"/>
      <c r="CH65" s="162"/>
      <c r="CI65" s="162"/>
      <c r="CJ65" s="162"/>
      <c r="CK65" s="162"/>
      <c r="CL65" s="162"/>
      <c r="CM65" s="162"/>
      <c r="CN65" s="162"/>
      <c r="CO65" s="162"/>
      <c r="CP65" s="162"/>
      <c r="CQ65" s="162"/>
      <c r="CR65" s="162"/>
      <c r="CS65" s="209"/>
      <c r="CT65" s="209"/>
      <c r="CU65" s="375"/>
      <c r="CV65" s="208"/>
      <c r="CW65" s="152"/>
      <c r="CX65" s="152"/>
      <c r="CY65" s="208"/>
      <c r="CZ65" s="208"/>
      <c r="DA65" s="152"/>
      <c r="DB65" s="152"/>
      <c r="DC65" s="153"/>
      <c r="DD65" s="377" t="s">
        <v>455</v>
      </c>
      <c r="DE65" s="153" t="s">
        <v>45</v>
      </c>
      <c r="DF65" s="213" t="s">
        <v>464</v>
      </c>
      <c r="DG65" s="394" t="s">
        <v>456</v>
      </c>
      <c r="DH65" s="181">
        <v>19782</v>
      </c>
      <c r="DI65" s="387">
        <v>45812</v>
      </c>
      <c r="DJ65" s="225">
        <v>84</v>
      </c>
      <c r="DK65" s="181">
        <v>19782</v>
      </c>
      <c r="DL65" s="182">
        <v>14090.91</v>
      </c>
      <c r="DM65" s="181">
        <f t="shared" si="63"/>
        <v>306621019.78200001</v>
      </c>
      <c r="DN65" s="446">
        <f t="shared" si="64"/>
        <v>0.1</v>
      </c>
      <c r="DO65" s="182">
        <f t="shared" si="65"/>
        <v>278746381.62</v>
      </c>
      <c r="DP65" s="275">
        <v>45819</v>
      </c>
      <c r="DQ65" s="152"/>
      <c r="DR65" s="152"/>
      <c r="DS65" s="151"/>
      <c r="DT65" s="275"/>
      <c r="DU65" s="370"/>
      <c r="DV65" s="208"/>
      <c r="DW65" s="208"/>
      <c r="DX65" s="152"/>
      <c r="DY65" s="152"/>
      <c r="DZ65" s="152"/>
      <c r="EA65" s="152"/>
      <c r="EB65" s="152"/>
      <c r="EC65" s="152"/>
      <c r="ED65" s="152"/>
      <c r="EE65" s="371"/>
      <c r="EF65" s="371"/>
      <c r="EG65" s="153"/>
      <c r="EH65" s="153"/>
      <c r="EI65" s="153"/>
      <c r="EJ65" s="153"/>
      <c r="EK65" s="153"/>
      <c r="EL65" s="153"/>
      <c r="EM65" s="153"/>
      <c r="EN65" s="153"/>
      <c r="EO65" s="152"/>
      <c r="EP65" s="151"/>
      <c r="EQ65" s="153"/>
      <c r="ER65" s="153"/>
      <c r="ES65" s="153"/>
      <c r="ET65" s="153"/>
      <c r="EU65" s="152"/>
      <c r="EV65" s="152"/>
      <c r="EW65" s="152"/>
      <c r="EX65" s="152"/>
      <c r="EY65" s="151"/>
      <c r="EZ65" s="152"/>
      <c r="FA65" s="372"/>
      <c r="FB65" s="373"/>
      <c r="FC65" s="379"/>
      <c r="FD65" s="380"/>
      <c r="FE65" s="219"/>
      <c r="FF65" s="220"/>
      <c r="FG65" s="221"/>
      <c r="FH65" s="221"/>
    </row>
    <row r="66" spans="1:164" s="386" customFormat="1" ht="14" hidden="1" customHeight="1">
      <c r="A66" s="208" t="str">
        <f t="shared" si="4"/>
        <v>ok</v>
      </c>
      <c r="B66" s="151"/>
      <c r="C66" s="151"/>
      <c r="D66" s="151"/>
      <c r="E66" s="151"/>
      <c r="F66" s="151"/>
      <c r="G66" s="151"/>
      <c r="H66" s="151"/>
      <c r="I66" s="171" t="s">
        <v>258</v>
      </c>
      <c r="J66" s="164" t="s">
        <v>235</v>
      </c>
      <c r="K66" s="171" t="s">
        <v>301</v>
      </c>
      <c r="L66" s="233" t="s">
        <v>289</v>
      </c>
      <c r="M66" s="163" t="s">
        <v>44</v>
      </c>
      <c r="N66" s="172"/>
      <c r="O66" s="1397"/>
      <c r="P66" s="1398"/>
      <c r="Q66" s="161"/>
      <c r="R66" s="162"/>
      <c r="S66" s="161"/>
      <c r="T66" s="162"/>
      <c r="U66" s="162"/>
      <c r="V66" s="162"/>
      <c r="W66" s="162"/>
      <c r="X66" s="162"/>
      <c r="Y66" s="162"/>
      <c r="Z66" s="162"/>
      <c r="AA66" s="162"/>
      <c r="AB66" s="162"/>
      <c r="AC66" s="162"/>
      <c r="AD66" s="162"/>
      <c r="AE66" s="162"/>
      <c r="AF66" s="162"/>
      <c r="AG66" s="162"/>
      <c r="AH66" s="162"/>
      <c r="AI66" s="162"/>
      <c r="AJ66" s="162"/>
      <c r="AK66" s="162"/>
      <c r="AL66" s="162"/>
      <c r="AM66" s="162"/>
      <c r="AN66" s="162"/>
      <c r="AO66" s="162"/>
      <c r="AP66" s="162"/>
      <c r="AQ66" s="162"/>
      <c r="AR66" s="162"/>
      <c r="AS66" s="162"/>
      <c r="AT66" s="162"/>
      <c r="AU66" s="162"/>
      <c r="AV66" s="162"/>
      <c r="AW66" s="162"/>
      <c r="AX66" s="162"/>
      <c r="AY66" s="162"/>
      <c r="AZ66" s="162"/>
      <c r="BA66" s="162"/>
      <c r="BB66" s="162"/>
      <c r="BC66" s="162"/>
      <c r="BD66" s="162"/>
      <c r="BE66" s="162"/>
      <c r="BF66" s="162"/>
      <c r="BG66" s="162"/>
      <c r="BH66" s="162"/>
      <c r="BI66" s="162"/>
      <c r="BJ66" s="162"/>
      <c r="BK66" s="162"/>
      <c r="BL66" s="162"/>
      <c r="BM66" s="162"/>
      <c r="BN66" s="162"/>
      <c r="BO66" s="162"/>
      <c r="BP66" s="162"/>
      <c r="BQ66" s="162"/>
      <c r="BR66" s="162"/>
      <c r="BS66" s="162"/>
      <c r="BT66" s="162"/>
      <c r="BU66" s="162"/>
      <c r="BV66" s="162"/>
      <c r="BW66" s="162"/>
      <c r="BX66" s="162"/>
      <c r="BY66" s="162"/>
      <c r="BZ66" s="162"/>
      <c r="CA66" s="162"/>
      <c r="CB66" s="162"/>
      <c r="CC66" s="162"/>
      <c r="CD66" s="162"/>
      <c r="CE66" s="162"/>
      <c r="CF66" s="162"/>
      <c r="CG66" s="162"/>
      <c r="CH66" s="162"/>
      <c r="CI66" s="162"/>
      <c r="CJ66" s="162"/>
      <c r="CK66" s="162"/>
      <c r="CL66" s="162"/>
      <c r="CM66" s="162"/>
      <c r="CN66" s="162"/>
      <c r="CO66" s="162"/>
      <c r="CP66" s="162"/>
      <c r="CQ66" s="162"/>
      <c r="CR66" s="162"/>
      <c r="CS66" s="209"/>
      <c r="CT66" s="209"/>
      <c r="CU66" s="375"/>
      <c r="CV66" s="208"/>
      <c r="CW66" s="152"/>
      <c r="CX66" s="152"/>
      <c r="CY66" s="208"/>
      <c r="CZ66" s="208"/>
      <c r="DA66" s="152"/>
      <c r="DB66" s="152"/>
      <c r="DC66" s="153"/>
      <c r="DD66" s="153" t="s">
        <v>655</v>
      </c>
      <c r="DE66" s="153" t="s">
        <v>45</v>
      </c>
      <c r="DF66" s="213" t="s">
        <v>365</v>
      </c>
      <c r="DG66" s="394" t="s">
        <v>561</v>
      </c>
      <c r="DH66" s="181">
        <v>11304</v>
      </c>
      <c r="DI66" s="153">
        <v>45829</v>
      </c>
      <c r="DJ66" s="225">
        <v>48</v>
      </c>
      <c r="DK66" s="181">
        <v>11304</v>
      </c>
      <c r="DL66" s="182">
        <v>14136.36</v>
      </c>
      <c r="DM66" s="181">
        <f t="shared" si="63"/>
        <v>175777154.78400001</v>
      </c>
      <c r="DN66" s="446">
        <f t="shared" si="64"/>
        <v>0.10000000000000007</v>
      </c>
      <c r="DO66" s="182">
        <f t="shared" si="65"/>
        <v>159797413.44</v>
      </c>
      <c r="DP66" s="275">
        <v>45832</v>
      </c>
      <c r="DQ66" s="152"/>
      <c r="DR66" s="152"/>
      <c r="DS66" s="151"/>
      <c r="DT66" s="275"/>
      <c r="DU66" s="370"/>
      <c r="DV66" s="208"/>
      <c r="DW66" s="208"/>
      <c r="DX66" s="152"/>
      <c r="DY66" s="152"/>
      <c r="DZ66" s="152"/>
      <c r="EA66" s="152"/>
      <c r="EB66" s="152"/>
      <c r="EC66" s="152"/>
      <c r="ED66" s="152"/>
      <c r="EE66" s="371"/>
      <c r="EF66" s="371"/>
      <c r="EG66" s="153"/>
      <c r="EH66" s="153"/>
      <c r="EI66" s="153"/>
      <c r="EJ66" s="153"/>
      <c r="EK66" s="153"/>
      <c r="EL66" s="153"/>
      <c r="EM66" s="153"/>
      <c r="EN66" s="153"/>
      <c r="EO66" s="152"/>
      <c r="EP66" s="151"/>
      <c r="EQ66" s="153"/>
      <c r="ER66" s="153"/>
      <c r="ES66" s="153"/>
      <c r="ET66" s="153"/>
      <c r="EU66" s="152"/>
      <c r="EV66" s="152"/>
      <c r="EW66" s="152"/>
      <c r="EX66" s="152"/>
      <c r="EY66" s="151"/>
      <c r="EZ66" s="152"/>
      <c r="FA66" s="372"/>
      <c r="FB66" s="373"/>
      <c r="FC66" s="381"/>
      <c r="FD66" s="382"/>
      <c r="FE66" s="222"/>
      <c r="FF66" s="223"/>
      <c r="FG66" s="224"/>
      <c r="FH66" s="224"/>
    </row>
    <row r="67" spans="1:164" s="157" customFormat="1" ht="14" hidden="1" customHeight="1">
      <c r="A67" s="208" t="str">
        <f t="shared" si="4"/>
        <v>Hiện</v>
      </c>
      <c r="B67" s="151" t="str">
        <f t="shared" ref="B67:B143" si="84">EY67</f>
        <v>Đủ</v>
      </c>
      <c r="C67" s="151">
        <f>EW67</f>
        <v>0</v>
      </c>
      <c r="D67" s="151"/>
      <c r="E67" s="151"/>
      <c r="F67" s="151"/>
      <c r="G67" s="151"/>
      <c r="H67" s="151"/>
      <c r="I67" s="171" t="s">
        <v>259</v>
      </c>
      <c r="J67" s="164" t="s">
        <v>235</v>
      </c>
      <c r="K67" s="171" t="s">
        <v>715</v>
      </c>
      <c r="L67" s="233" t="s">
        <v>289</v>
      </c>
      <c r="M67" s="163" t="s">
        <v>44</v>
      </c>
      <c r="N67" s="172">
        <v>235.5</v>
      </c>
      <c r="O67" s="1397"/>
      <c r="P67" s="1398"/>
      <c r="Q67" s="161"/>
      <c r="R67" s="162"/>
      <c r="S67" s="161">
        <v>12</v>
      </c>
      <c r="T67" s="162">
        <v>2826</v>
      </c>
      <c r="U67" s="162"/>
      <c r="V67" s="162"/>
      <c r="W67" s="162">
        <v>0</v>
      </c>
      <c r="X67" s="162">
        <v>0</v>
      </c>
      <c r="Y67" s="162">
        <v>0</v>
      </c>
      <c r="Z67" s="162">
        <v>0</v>
      </c>
      <c r="AA67" s="162">
        <v>0</v>
      </c>
      <c r="AB67" s="162">
        <v>0</v>
      </c>
      <c r="AC67" s="162">
        <v>0</v>
      </c>
      <c r="AD67" s="162">
        <v>0</v>
      </c>
      <c r="AE67" s="162">
        <v>24</v>
      </c>
      <c r="AF67" s="162">
        <v>5652</v>
      </c>
      <c r="AG67" s="162">
        <v>0</v>
      </c>
      <c r="AH67" s="162">
        <v>0</v>
      </c>
      <c r="AI67" s="162">
        <f>VLOOKUP(I67,'[119]MTO-rev09'!$A:$O,11,0)</f>
        <v>0</v>
      </c>
      <c r="AJ67" s="162">
        <f>VLOOKUP(I67,'[119]MTO-rev09'!$A:$O,12,0)</f>
        <v>0</v>
      </c>
      <c r="AK67" s="162">
        <v>0</v>
      </c>
      <c r="AL67" s="162">
        <v>0</v>
      </c>
      <c r="AM67" s="162"/>
      <c r="AN67" s="162"/>
      <c r="AO67" s="162">
        <v>0</v>
      </c>
      <c r="AP67" s="162">
        <v>0</v>
      </c>
      <c r="AQ67" s="162">
        <v>0</v>
      </c>
      <c r="AR67" s="162">
        <v>0</v>
      </c>
      <c r="AS67" s="162">
        <v>0</v>
      </c>
      <c r="AT67" s="162">
        <v>0</v>
      </c>
      <c r="AU67" s="162">
        <v>0</v>
      </c>
      <c r="AV67" s="162">
        <v>0</v>
      </c>
      <c r="AW67" s="162">
        <v>0</v>
      </c>
      <c r="AX67" s="162">
        <v>0</v>
      </c>
      <c r="AY67" s="162">
        <v>0</v>
      </c>
      <c r="AZ67" s="162">
        <v>0</v>
      </c>
      <c r="BA67" s="162"/>
      <c r="BB67" s="162"/>
      <c r="BC67" s="162">
        <v>0</v>
      </c>
      <c r="BD67" s="162">
        <v>0</v>
      </c>
      <c r="BE67" s="162">
        <v>0</v>
      </c>
      <c r="BF67" s="162">
        <v>0</v>
      </c>
      <c r="BG67" s="162">
        <v>0</v>
      </c>
      <c r="BH67" s="162">
        <v>0</v>
      </c>
      <c r="BI67" s="162">
        <v>0</v>
      </c>
      <c r="BJ67" s="162">
        <v>0</v>
      </c>
      <c r="BK67" s="162">
        <v>0</v>
      </c>
      <c r="BL67" s="162">
        <v>0</v>
      </c>
      <c r="BM67" s="162">
        <v>0</v>
      </c>
      <c r="BN67" s="162">
        <v>0</v>
      </c>
      <c r="BO67" s="162"/>
      <c r="BP67" s="162"/>
      <c r="BQ67" s="162">
        <v>0</v>
      </c>
      <c r="BR67" s="162">
        <v>0</v>
      </c>
      <c r="BS67" s="162">
        <v>0</v>
      </c>
      <c r="BT67" s="162">
        <v>0</v>
      </c>
      <c r="BU67" s="162">
        <v>0</v>
      </c>
      <c r="BV67" s="162">
        <v>0</v>
      </c>
      <c r="BW67" s="162"/>
      <c r="BX67" s="162"/>
      <c r="BY67" s="162">
        <v>0</v>
      </c>
      <c r="BZ67" s="162">
        <v>0</v>
      </c>
      <c r="CA67" s="162">
        <v>0</v>
      </c>
      <c r="CB67" s="162">
        <v>0</v>
      </c>
      <c r="CC67" s="162">
        <v>0</v>
      </c>
      <c r="CD67" s="162">
        <v>0</v>
      </c>
      <c r="CE67" s="162">
        <f>VLOOKUP(I67,[120]REV33!$A:$O,11,0)</f>
        <v>0</v>
      </c>
      <c r="CF67" s="162">
        <f>VLOOKUP(I67,[120]REV33!$A:$O,12,0)</f>
        <v>0</v>
      </c>
      <c r="CG67" s="162"/>
      <c r="CH67" s="162"/>
      <c r="CI67" s="162"/>
      <c r="CJ67" s="162"/>
      <c r="CK67" s="162"/>
      <c r="CL67" s="162"/>
      <c r="CM67" s="162"/>
      <c r="CN67" s="162"/>
      <c r="CO67" s="162">
        <v>0</v>
      </c>
      <c r="CP67" s="162">
        <v>0</v>
      </c>
      <c r="CQ67" s="162">
        <v>0</v>
      </c>
      <c r="CR67" s="162">
        <v>0</v>
      </c>
      <c r="CS67" s="209">
        <f>Q67+S67+U67+W67+Y67+AA67+AC67+AE67+AG67+AI67+AK67+AM67+AO67+AQ67+AS67+AU67+AW67+AY67+BA67+BC67+BE67+BG67+BI67+BK67+BM67+BO67+BQ67+BS67+BU67+BW67+BY67+CA67+CC67+CE67+CG67+CI67+CK67+CM67+CO67+CQ67</f>
        <v>36</v>
      </c>
      <c r="CT67" s="209">
        <f>R67+T67+V67+X67+Z67+AB67+AD67+AF67+AH67+AJ67+AL67+AN67+AP67+AR67+AT67+AV67+AX67+AZ67+BB67+BD67+BF67+BH67+BJ67+BL67+BN67+BP67+BR67+BT67+BV67+BX67+BZ67+CB67+CD67+CF67+CH67+CJ67+CL67+CN67+CP67+CR67</f>
        <v>8478</v>
      </c>
      <c r="CU67" s="375" t="s">
        <v>646</v>
      </c>
      <c r="CV67" s="208"/>
      <c r="CW67" s="152"/>
      <c r="CX67" s="152"/>
      <c r="CY67" s="208"/>
      <c r="CZ67" s="208"/>
      <c r="DA67" s="152">
        <f>IF(CS67&gt;CW67,CS67-CW67,"0")</f>
        <v>36</v>
      </c>
      <c r="DB67" s="152">
        <f>IF(CT67&gt;CX67,CT67-CX67,"0")</f>
        <v>8478</v>
      </c>
      <c r="DC67" s="153">
        <v>45792</v>
      </c>
      <c r="DD67" s="377" t="s">
        <v>667</v>
      </c>
      <c r="DE67" s="153" t="s">
        <v>45</v>
      </c>
      <c r="DF67" s="376" t="s">
        <v>366</v>
      </c>
      <c r="DG67" s="368" t="s">
        <v>371</v>
      </c>
      <c r="DH67" s="181">
        <v>2826</v>
      </c>
      <c r="DI67" s="153">
        <v>45791</v>
      </c>
      <c r="DJ67" s="1000">
        <v>12</v>
      </c>
      <c r="DK67" s="181">
        <v>2826</v>
      </c>
      <c r="DL67" s="182">
        <v>14090.91</v>
      </c>
      <c r="DM67" s="181">
        <f t="shared" si="63"/>
        <v>43803002.825999998</v>
      </c>
      <c r="DN67" s="446">
        <f t="shared" si="64"/>
        <v>0.10000000000000003</v>
      </c>
      <c r="DO67" s="182">
        <f t="shared" si="65"/>
        <v>39820911.659999996</v>
      </c>
      <c r="DP67" s="275">
        <v>45800</v>
      </c>
      <c r="DQ67" s="152">
        <f>SUMIF($I:$I,I67,$DJ:$DJ)</f>
        <v>36</v>
      </c>
      <c r="DR67" s="152">
        <f>SUMIF($I:$I,I67,$DK:$DK)</f>
        <v>8478</v>
      </c>
      <c r="DS67" s="151"/>
      <c r="DT67" s="275"/>
      <c r="DU67" s="370"/>
      <c r="DV67" s="208"/>
      <c r="DW67" s="208"/>
      <c r="DX67" s="152"/>
      <c r="DY67" s="152"/>
      <c r="DZ67" s="152"/>
      <c r="EA67" s="152"/>
      <c r="EB67" s="152"/>
      <c r="EC67" s="152"/>
      <c r="ED67" s="152"/>
      <c r="EE67" s="371"/>
      <c r="EF67" s="371"/>
      <c r="EG67" s="153"/>
      <c r="EH67" s="153"/>
      <c r="EI67" s="153"/>
      <c r="EJ67" s="153"/>
      <c r="EK67" s="153"/>
      <c r="EL67" s="153"/>
      <c r="EM67" s="153"/>
      <c r="EN67" s="153"/>
      <c r="EO67" s="152">
        <f>SUMIF($I:$I,I67,$EC:$EC)</f>
        <v>0</v>
      </c>
      <c r="EP67" s="151">
        <f>SUMIF($I:$I,I67,$ED:$ED)</f>
        <v>0</v>
      </c>
      <c r="EQ67" s="153"/>
      <c r="ER67" s="153"/>
      <c r="ES67" s="153"/>
      <c r="ET67" s="153"/>
      <c r="EU67" s="152">
        <f>DQ67+EO67</f>
        <v>36</v>
      </c>
      <c r="EV67" s="152">
        <f>DR67+EP67</f>
        <v>8478</v>
      </c>
      <c r="EW67" s="152">
        <f t="shared" ref="EW67" si="85">DA67-EU67</f>
        <v>0</v>
      </c>
      <c r="EX67" s="152">
        <f t="shared" ref="EX67" si="86">DB67-EV67</f>
        <v>0</v>
      </c>
      <c r="EY67" s="151" t="str">
        <f>IF(EW67&lt;0,"Thừa",IF(EW67=0,"Đủ","Thiếu"))</f>
        <v>Đủ</v>
      </c>
      <c r="EZ67" s="152"/>
      <c r="FA67" s="372"/>
      <c r="FB67" s="373"/>
      <c r="FC67" s="367"/>
      <c r="FD67" s="374"/>
      <c r="FE67" s="183"/>
      <c r="FF67" s="184"/>
      <c r="FG67" s="185"/>
      <c r="FH67" s="185"/>
    </row>
    <row r="68" spans="1:164" s="386" customFormat="1" ht="14" hidden="1" customHeight="1">
      <c r="A68" s="208" t="str">
        <f t="shared" si="4"/>
        <v>ok</v>
      </c>
      <c r="B68" s="151"/>
      <c r="C68" s="151"/>
      <c r="D68" s="151"/>
      <c r="E68" s="151"/>
      <c r="F68" s="151"/>
      <c r="G68" s="151"/>
      <c r="H68" s="151"/>
      <c r="I68" s="171" t="s">
        <v>259</v>
      </c>
      <c r="J68" s="164" t="s">
        <v>235</v>
      </c>
      <c r="K68" s="171" t="s">
        <v>715</v>
      </c>
      <c r="L68" s="233" t="s">
        <v>289</v>
      </c>
      <c r="M68" s="163" t="s">
        <v>44</v>
      </c>
      <c r="N68" s="172"/>
      <c r="O68" s="177"/>
      <c r="P68" s="172"/>
      <c r="Q68" s="161"/>
      <c r="R68" s="162"/>
      <c r="S68" s="161"/>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c r="AY68" s="162"/>
      <c r="AZ68" s="162"/>
      <c r="BA68" s="162"/>
      <c r="BB68" s="162"/>
      <c r="BC68" s="162"/>
      <c r="BD68" s="162"/>
      <c r="BE68" s="162"/>
      <c r="BF68" s="162"/>
      <c r="BG68" s="162"/>
      <c r="BH68" s="162"/>
      <c r="BI68" s="162"/>
      <c r="BJ68" s="162"/>
      <c r="BK68" s="162"/>
      <c r="BL68" s="162"/>
      <c r="BM68" s="162"/>
      <c r="BN68" s="162"/>
      <c r="BO68" s="162"/>
      <c r="BP68" s="162"/>
      <c r="BQ68" s="162"/>
      <c r="BR68" s="162"/>
      <c r="BS68" s="162"/>
      <c r="BT68" s="162"/>
      <c r="BU68" s="162"/>
      <c r="BV68" s="162"/>
      <c r="BW68" s="162"/>
      <c r="BX68" s="162"/>
      <c r="BY68" s="162"/>
      <c r="BZ68" s="162"/>
      <c r="CA68" s="162"/>
      <c r="CB68" s="162"/>
      <c r="CC68" s="162"/>
      <c r="CD68" s="162"/>
      <c r="CE68" s="162"/>
      <c r="CF68" s="162"/>
      <c r="CG68" s="162"/>
      <c r="CH68" s="162"/>
      <c r="CI68" s="162"/>
      <c r="CJ68" s="162"/>
      <c r="CK68" s="162"/>
      <c r="CL68" s="162"/>
      <c r="CM68" s="162"/>
      <c r="CN68" s="162"/>
      <c r="CO68" s="162"/>
      <c r="CP68" s="162"/>
      <c r="CQ68" s="162"/>
      <c r="CR68" s="162"/>
      <c r="CS68" s="209"/>
      <c r="CT68" s="209"/>
      <c r="CU68" s="375"/>
      <c r="CV68" s="208"/>
      <c r="CW68" s="152"/>
      <c r="CX68" s="152"/>
      <c r="CY68" s="208"/>
      <c r="CZ68" s="208"/>
      <c r="DA68" s="152"/>
      <c r="DB68" s="152"/>
      <c r="DC68" s="153"/>
      <c r="DD68" s="377" t="s">
        <v>668</v>
      </c>
      <c r="DE68" s="153" t="s">
        <v>45</v>
      </c>
      <c r="DF68" s="213" t="s">
        <v>675</v>
      </c>
      <c r="DG68" s="213" t="s">
        <v>678</v>
      </c>
      <c r="DH68" s="181">
        <v>5652</v>
      </c>
      <c r="DI68" s="153">
        <v>45853</v>
      </c>
      <c r="DJ68" s="378">
        <v>24</v>
      </c>
      <c r="DK68" s="181">
        <v>5652</v>
      </c>
      <c r="DL68" s="182">
        <v>14090.91</v>
      </c>
      <c r="DM68" s="181">
        <f t="shared" si="63"/>
        <v>87606005.651999995</v>
      </c>
      <c r="DN68" s="446">
        <f t="shared" si="64"/>
        <v>0.10000000000000003</v>
      </c>
      <c r="DO68" s="182">
        <f t="shared" si="65"/>
        <v>79641823.319999993</v>
      </c>
      <c r="DP68" s="275">
        <v>45856</v>
      </c>
      <c r="DQ68" s="152"/>
      <c r="DR68" s="152"/>
      <c r="DS68" s="151"/>
      <c r="DT68" s="275"/>
      <c r="DU68" s="370"/>
      <c r="DV68" s="208"/>
      <c r="DW68" s="208"/>
      <c r="DX68" s="152"/>
      <c r="DY68" s="152"/>
      <c r="DZ68" s="152"/>
      <c r="EA68" s="152"/>
      <c r="EB68" s="152"/>
      <c r="EC68" s="152"/>
      <c r="ED68" s="152"/>
      <c r="EE68" s="371"/>
      <c r="EF68" s="371"/>
      <c r="EG68" s="153"/>
      <c r="EH68" s="153"/>
      <c r="EI68" s="153"/>
      <c r="EJ68" s="153"/>
      <c r="EK68" s="153"/>
      <c r="EL68" s="153"/>
      <c r="EM68" s="153"/>
      <c r="EN68" s="153"/>
      <c r="EO68" s="152"/>
      <c r="EP68" s="151"/>
      <c r="EQ68" s="153"/>
      <c r="ER68" s="153"/>
      <c r="ES68" s="153"/>
      <c r="ET68" s="153"/>
      <c r="EU68" s="152"/>
      <c r="EV68" s="152"/>
      <c r="EW68" s="152"/>
      <c r="EX68" s="152"/>
      <c r="EY68" s="151"/>
      <c r="EZ68" s="152"/>
      <c r="FA68" s="372"/>
      <c r="FB68" s="373"/>
      <c r="FC68" s="384"/>
      <c r="FD68" s="385"/>
      <c r="FE68" s="210"/>
      <c r="FF68" s="211"/>
      <c r="FG68" s="212"/>
      <c r="FH68" s="212"/>
    </row>
    <row r="69" spans="1:164" s="157" customFormat="1" ht="14" hidden="1" customHeight="1">
      <c r="A69" s="208" t="str">
        <f t="shared" si="4"/>
        <v>Hiện</v>
      </c>
      <c r="B69" s="151" t="str">
        <f t="shared" si="84"/>
        <v>Đủ</v>
      </c>
      <c r="C69" s="151">
        <f>EW69</f>
        <v>0</v>
      </c>
      <c r="D69" s="151"/>
      <c r="E69" s="151"/>
      <c r="F69" s="151"/>
      <c r="G69" s="151"/>
      <c r="H69" s="275"/>
      <c r="I69" s="171" t="s">
        <v>260</v>
      </c>
      <c r="J69" s="164" t="s">
        <v>235</v>
      </c>
      <c r="K69" s="171" t="s">
        <v>302</v>
      </c>
      <c r="L69" s="233" t="s">
        <v>289</v>
      </c>
      <c r="M69" s="163" t="s">
        <v>44</v>
      </c>
      <c r="N69" s="172">
        <v>274.75</v>
      </c>
      <c r="O69" s="177">
        <v>33.579617834394902</v>
      </c>
      <c r="P69" s="172">
        <v>9226</v>
      </c>
      <c r="Q69" s="161"/>
      <c r="R69" s="162"/>
      <c r="S69" s="161">
        <v>36</v>
      </c>
      <c r="T69" s="162">
        <v>9891</v>
      </c>
      <c r="U69" s="162"/>
      <c r="V69" s="162"/>
      <c r="W69" s="162">
        <v>0</v>
      </c>
      <c r="X69" s="162">
        <v>0</v>
      </c>
      <c r="Y69" s="162">
        <v>0</v>
      </c>
      <c r="Z69" s="162">
        <v>0</v>
      </c>
      <c r="AA69" s="162">
        <v>36</v>
      </c>
      <c r="AB69" s="162">
        <v>9891</v>
      </c>
      <c r="AC69" s="162">
        <v>0</v>
      </c>
      <c r="AD69" s="162">
        <v>0</v>
      </c>
      <c r="AE69" s="162">
        <v>0</v>
      </c>
      <c r="AF69" s="162">
        <v>0</v>
      </c>
      <c r="AG69" s="162">
        <v>0</v>
      </c>
      <c r="AH69" s="162">
        <v>0</v>
      </c>
      <c r="AI69" s="162">
        <f>VLOOKUP(I69,'[119]MTO-rev09'!$A:$O,11,0)</f>
        <v>0</v>
      </c>
      <c r="AJ69" s="162">
        <f>VLOOKUP(I69,'[119]MTO-rev09'!$A:$O,12,0)</f>
        <v>0</v>
      </c>
      <c r="AK69" s="162">
        <v>12</v>
      </c>
      <c r="AL69" s="162">
        <v>3297</v>
      </c>
      <c r="AM69" s="162"/>
      <c r="AN69" s="162"/>
      <c r="AO69" s="162">
        <v>0</v>
      </c>
      <c r="AP69" s="162">
        <v>0</v>
      </c>
      <c r="AQ69" s="162">
        <v>0</v>
      </c>
      <c r="AR69" s="162">
        <v>0</v>
      </c>
      <c r="AS69" s="162">
        <v>0</v>
      </c>
      <c r="AT69" s="162">
        <v>0</v>
      </c>
      <c r="AU69" s="162">
        <v>0</v>
      </c>
      <c r="AV69" s="162">
        <v>0</v>
      </c>
      <c r="AW69" s="162">
        <v>0</v>
      </c>
      <c r="AX69" s="162">
        <v>0</v>
      </c>
      <c r="AY69" s="162">
        <v>0</v>
      </c>
      <c r="AZ69" s="162">
        <v>0</v>
      </c>
      <c r="BA69" s="162"/>
      <c r="BB69" s="162"/>
      <c r="BC69" s="162">
        <v>0</v>
      </c>
      <c r="BD69" s="162">
        <v>0</v>
      </c>
      <c r="BE69" s="162">
        <v>0</v>
      </c>
      <c r="BF69" s="162">
        <v>0</v>
      </c>
      <c r="BG69" s="162">
        <v>0</v>
      </c>
      <c r="BH69" s="162">
        <v>0</v>
      </c>
      <c r="BI69" s="162">
        <v>0</v>
      </c>
      <c r="BJ69" s="162">
        <v>0</v>
      </c>
      <c r="BK69" s="162">
        <v>0</v>
      </c>
      <c r="BL69" s="162">
        <v>0</v>
      </c>
      <c r="BM69" s="162">
        <v>0</v>
      </c>
      <c r="BN69" s="162">
        <v>0</v>
      </c>
      <c r="BO69" s="162"/>
      <c r="BP69" s="162"/>
      <c r="BQ69" s="162">
        <v>0</v>
      </c>
      <c r="BR69" s="162">
        <v>0</v>
      </c>
      <c r="BS69" s="162">
        <v>0</v>
      </c>
      <c r="BT69" s="162">
        <v>0</v>
      </c>
      <c r="BU69" s="162">
        <v>0</v>
      </c>
      <c r="BV69" s="162">
        <v>0</v>
      </c>
      <c r="BW69" s="162"/>
      <c r="BX69" s="162"/>
      <c r="BY69" s="162">
        <v>0</v>
      </c>
      <c r="BZ69" s="162">
        <v>0</v>
      </c>
      <c r="CA69" s="162">
        <v>0</v>
      </c>
      <c r="CB69" s="162">
        <v>0</v>
      </c>
      <c r="CC69" s="162">
        <v>0</v>
      </c>
      <c r="CD69" s="162">
        <v>0</v>
      </c>
      <c r="CE69" s="162">
        <f>VLOOKUP(I69,[120]REV33!$A:$O,11,0)</f>
        <v>0</v>
      </c>
      <c r="CF69" s="162">
        <f>VLOOKUP(I69,[120]REV33!$A:$O,12,0)</f>
        <v>0</v>
      </c>
      <c r="CG69" s="162"/>
      <c r="CH69" s="162"/>
      <c r="CI69" s="162"/>
      <c r="CJ69" s="162"/>
      <c r="CK69" s="162"/>
      <c r="CL69" s="162"/>
      <c r="CM69" s="162"/>
      <c r="CN69" s="162"/>
      <c r="CO69" s="162">
        <v>0</v>
      </c>
      <c r="CP69" s="162">
        <v>0</v>
      </c>
      <c r="CQ69" s="162">
        <v>0</v>
      </c>
      <c r="CR69" s="162">
        <v>0</v>
      </c>
      <c r="CS69" s="209">
        <f>Q69+S69+U69+W69+Y69+AA69+AC69+AE69+AG69+AI69+AK69+AM69+AO69+AQ69+AS69+AU69+AW69+AY69+BA69+BC69+BE69+BG69+BI69+BK69+BM69+BO69+BQ69+BS69+BU69+BW69+BY69+CA69+CC69+CE69+CG69+CI69+CK69+CM69+CO69+CQ69</f>
        <v>84</v>
      </c>
      <c r="CT69" s="209">
        <f>R69+T69+V69+X69+Z69+AB69+AD69+AF69+AH69+AJ69+AL69+AN69+AP69+AR69+AT69+AV69+AX69+AZ69+BB69+BD69+BF69+BH69+BJ69+BL69+BN69+BP69+BR69+BT69+BV69+BX69+BZ69+CB69+CD69+CF69+CH69+CJ69+CL69+CN69+CP69+CR69</f>
        <v>23079</v>
      </c>
      <c r="CU69" s="375" t="s">
        <v>1155</v>
      </c>
      <c r="CV69" s="208"/>
      <c r="CW69" s="152"/>
      <c r="CX69" s="152"/>
      <c r="CY69" s="208"/>
      <c r="CZ69" s="208"/>
      <c r="DA69" s="152">
        <f>IF(CS69&gt;CW69,CS69-CW69,"0")</f>
        <v>84</v>
      </c>
      <c r="DB69" s="152">
        <f>IF(CT69&gt;CX69,CT69-CX69,"0")</f>
        <v>23079</v>
      </c>
      <c r="DC69" s="153">
        <v>45792</v>
      </c>
      <c r="DD69" s="377" t="s">
        <v>667</v>
      </c>
      <c r="DE69" s="153" t="s">
        <v>45</v>
      </c>
      <c r="DF69" s="376" t="s">
        <v>367</v>
      </c>
      <c r="DG69" s="368" t="s">
        <v>371</v>
      </c>
      <c r="DH69" s="181">
        <v>9891</v>
      </c>
      <c r="DI69" s="153">
        <v>45791</v>
      </c>
      <c r="DJ69" s="1000">
        <v>36</v>
      </c>
      <c r="DK69" s="181">
        <v>9891</v>
      </c>
      <c r="DL69" s="182">
        <v>14363.64</v>
      </c>
      <c r="DM69" s="181">
        <f t="shared" si="63"/>
        <v>156277839.56399998</v>
      </c>
      <c r="DN69" s="446">
        <f t="shared" si="64"/>
        <v>0.10000000000000002</v>
      </c>
      <c r="DO69" s="182">
        <f t="shared" si="65"/>
        <v>142070763.23999998</v>
      </c>
      <c r="DP69" s="275">
        <v>45797</v>
      </c>
      <c r="DQ69" s="152">
        <f>SUMIF($I:$I,I69,$DJ:$DJ)</f>
        <v>84</v>
      </c>
      <c r="DR69" s="152">
        <f>SUMIF($I:$I,I69,$DK:$DK)</f>
        <v>23079</v>
      </c>
      <c r="DS69" s="151"/>
      <c r="DT69" s="275"/>
      <c r="DU69" s="370"/>
      <c r="DV69" s="208"/>
      <c r="DW69" s="208"/>
      <c r="DX69" s="152"/>
      <c r="DY69" s="152"/>
      <c r="DZ69" s="152"/>
      <c r="EA69" s="152"/>
      <c r="EB69" s="152"/>
      <c r="EC69" s="152"/>
      <c r="ED69" s="152"/>
      <c r="EE69" s="371"/>
      <c r="EF69" s="371"/>
      <c r="EG69" s="153"/>
      <c r="EH69" s="153"/>
      <c r="EI69" s="153"/>
      <c r="EJ69" s="153"/>
      <c r="EK69" s="153"/>
      <c r="EL69" s="153"/>
      <c r="EM69" s="153"/>
      <c r="EN69" s="153"/>
      <c r="EO69" s="152">
        <f>SUMIF($I:$I,I69,$EC:$EC)</f>
        <v>0</v>
      </c>
      <c r="EP69" s="151">
        <f>SUMIF($I:$I,I69,$ED:$ED)</f>
        <v>0</v>
      </c>
      <c r="EQ69" s="153"/>
      <c r="ER69" s="153"/>
      <c r="ES69" s="153"/>
      <c r="ET69" s="153"/>
      <c r="EU69" s="152">
        <f>DQ69+EO69</f>
        <v>84</v>
      </c>
      <c r="EV69" s="152">
        <f>DR69+EP69</f>
        <v>23079</v>
      </c>
      <c r="EW69" s="152">
        <f t="shared" ref="EW69" si="87">DA69-EU69</f>
        <v>0</v>
      </c>
      <c r="EX69" s="152">
        <f t="shared" ref="EX69" si="88">DB69-EV69</f>
        <v>0</v>
      </c>
      <c r="EY69" s="151" t="str">
        <f>IF(EW69&lt;0,"Thừa",IF(EW69=0,"Đủ","Thiếu"))</f>
        <v>Đủ</v>
      </c>
      <c r="EZ69" s="152"/>
      <c r="FA69" s="372"/>
      <c r="FB69" s="373"/>
      <c r="FC69" s="367"/>
      <c r="FD69" s="374"/>
      <c r="FE69" s="183"/>
      <c r="FF69" s="184"/>
      <c r="FG69" s="185"/>
      <c r="FH69" s="185"/>
    </row>
    <row r="70" spans="1:164" s="386" customFormat="1" ht="14" hidden="1" customHeight="1">
      <c r="A70" s="208" t="str">
        <f t="shared" si="4"/>
        <v>ok</v>
      </c>
      <c r="B70" s="151"/>
      <c r="C70" s="151"/>
      <c r="D70" s="151"/>
      <c r="E70" s="151"/>
      <c r="F70" s="151"/>
      <c r="G70" s="151"/>
      <c r="H70" s="275"/>
      <c r="I70" s="171" t="s">
        <v>260</v>
      </c>
      <c r="J70" s="164" t="s">
        <v>235</v>
      </c>
      <c r="K70" s="171" t="s">
        <v>302</v>
      </c>
      <c r="L70" s="233" t="s">
        <v>289</v>
      </c>
      <c r="M70" s="163" t="s">
        <v>44</v>
      </c>
      <c r="N70" s="172"/>
      <c r="O70" s="177"/>
      <c r="P70" s="172"/>
      <c r="Q70" s="161"/>
      <c r="R70" s="162"/>
      <c r="S70" s="161"/>
      <c r="T70" s="162"/>
      <c r="U70" s="162"/>
      <c r="V70" s="162"/>
      <c r="W70" s="162"/>
      <c r="X70" s="162"/>
      <c r="Y70" s="162"/>
      <c r="Z70" s="162"/>
      <c r="AA70" s="162"/>
      <c r="AB70" s="162"/>
      <c r="AC70" s="162"/>
      <c r="AD70" s="162"/>
      <c r="AE70" s="162"/>
      <c r="AF70" s="162"/>
      <c r="AG70" s="162"/>
      <c r="AH70" s="162"/>
      <c r="AI70" s="162"/>
      <c r="AJ70" s="162"/>
      <c r="AK70" s="162"/>
      <c r="AL70" s="162"/>
      <c r="AM70" s="162"/>
      <c r="AN70" s="162"/>
      <c r="AO70" s="162"/>
      <c r="AP70" s="162"/>
      <c r="AQ70" s="162"/>
      <c r="AR70" s="162"/>
      <c r="AS70" s="162"/>
      <c r="AT70" s="162"/>
      <c r="AU70" s="162"/>
      <c r="AV70" s="162"/>
      <c r="AW70" s="162"/>
      <c r="AX70" s="162"/>
      <c r="AY70" s="162"/>
      <c r="AZ70" s="162"/>
      <c r="BA70" s="162"/>
      <c r="BB70" s="162"/>
      <c r="BC70" s="162"/>
      <c r="BD70" s="162"/>
      <c r="BE70" s="162"/>
      <c r="BF70" s="162"/>
      <c r="BG70" s="162"/>
      <c r="BH70" s="162"/>
      <c r="BI70" s="162"/>
      <c r="BJ70" s="162"/>
      <c r="BK70" s="162"/>
      <c r="BL70" s="162"/>
      <c r="BM70" s="162"/>
      <c r="BN70" s="162"/>
      <c r="BO70" s="162"/>
      <c r="BP70" s="162"/>
      <c r="BQ70" s="162"/>
      <c r="BR70" s="162"/>
      <c r="BS70" s="162"/>
      <c r="BT70" s="162"/>
      <c r="BU70" s="162"/>
      <c r="BV70" s="162"/>
      <c r="BW70" s="162"/>
      <c r="BX70" s="162"/>
      <c r="BY70" s="162"/>
      <c r="BZ70" s="162"/>
      <c r="CA70" s="162"/>
      <c r="CB70" s="162"/>
      <c r="CC70" s="162"/>
      <c r="CD70" s="162"/>
      <c r="CE70" s="162"/>
      <c r="CF70" s="162"/>
      <c r="CG70" s="162"/>
      <c r="CH70" s="162"/>
      <c r="CI70" s="162"/>
      <c r="CJ70" s="162"/>
      <c r="CK70" s="162"/>
      <c r="CL70" s="162"/>
      <c r="CM70" s="162"/>
      <c r="CN70" s="162"/>
      <c r="CO70" s="162"/>
      <c r="CP70" s="162"/>
      <c r="CQ70" s="162"/>
      <c r="CR70" s="162"/>
      <c r="CS70" s="209"/>
      <c r="CT70" s="209"/>
      <c r="CU70" s="375"/>
      <c r="CV70" s="208"/>
      <c r="CW70" s="152"/>
      <c r="CX70" s="152"/>
      <c r="CY70" s="208"/>
      <c r="CZ70" s="208"/>
      <c r="DA70" s="152"/>
      <c r="DB70" s="152"/>
      <c r="DC70" s="153"/>
      <c r="DD70" s="153" t="s">
        <v>655</v>
      </c>
      <c r="DE70" s="153" t="s">
        <v>45</v>
      </c>
      <c r="DF70" s="213" t="s">
        <v>560</v>
      </c>
      <c r="DG70" s="394" t="s">
        <v>87</v>
      </c>
      <c r="DH70" s="181">
        <v>9891</v>
      </c>
      <c r="DI70" s="153">
        <v>45829</v>
      </c>
      <c r="DJ70" s="1000">
        <v>36</v>
      </c>
      <c r="DK70" s="181">
        <v>9891</v>
      </c>
      <c r="DL70" s="182">
        <v>14363.64</v>
      </c>
      <c r="DM70" s="181">
        <f t="shared" si="63"/>
        <v>156277839.56399998</v>
      </c>
      <c r="DN70" s="446">
        <f t="shared" si="64"/>
        <v>0.10000000000000002</v>
      </c>
      <c r="DO70" s="182">
        <f t="shared" si="65"/>
        <v>142070763.23999998</v>
      </c>
      <c r="DP70" s="275">
        <v>45832</v>
      </c>
      <c r="DQ70" s="152"/>
      <c r="DR70" s="152"/>
      <c r="DS70" s="151"/>
      <c r="DT70" s="275"/>
      <c r="DU70" s="370"/>
      <c r="DV70" s="208"/>
      <c r="DW70" s="208"/>
      <c r="DX70" s="152"/>
      <c r="DY70" s="152"/>
      <c r="DZ70" s="152"/>
      <c r="EA70" s="152"/>
      <c r="EB70" s="152"/>
      <c r="EC70" s="152"/>
      <c r="ED70" s="152"/>
      <c r="EE70" s="371"/>
      <c r="EF70" s="371"/>
      <c r="EG70" s="153"/>
      <c r="EH70" s="153"/>
      <c r="EI70" s="153"/>
      <c r="EJ70" s="153"/>
      <c r="EK70" s="153"/>
      <c r="EL70" s="153"/>
      <c r="EM70" s="153"/>
      <c r="EN70" s="153"/>
      <c r="EO70" s="152"/>
      <c r="EP70" s="151"/>
      <c r="EQ70" s="153"/>
      <c r="ER70" s="153"/>
      <c r="ES70" s="153"/>
      <c r="ET70" s="153"/>
      <c r="EU70" s="152"/>
      <c r="EV70" s="152"/>
      <c r="EW70" s="152"/>
      <c r="EX70" s="152"/>
      <c r="EY70" s="151"/>
      <c r="EZ70" s="152"/>
      <c r="FA70" s="372"/>
      <c r="FB70" s="373"/>
      <c r="FC70" s="379"/>
      <c r="FD70" s="380"/>
      <c r="FE70" s="219"/>
      <c r="FF70" s="220"/>
      <c r="FG70" s="221"/>
      <c r="FH70" s="221"/>
    </row>
    <row r="71" spans="1:164" s="386" customFormat="1" ht="14" hidden="1" customHeight="1">
      <c r="A71" s="208" t="str">
        <f t="shared" si="4"/>
        <v>ok</v>
      </c>
      <c r="B71" s="151"/>
      <c r="C71" s="151"/>
      <c r="D71" s="151"/>
      <c r="E71" s="151"/>
      <c r="F71" s="151"/>
      <c r="G71" s="151"/>
      <c r="H71" s="275"/>
      <c r="I71" s="171" t="s">
        <v>260</v>
      </c>
      <c r="J71" s="164" t="s">
        <v>235</v>
      </c>
      <c r="K71" s="171" t="s">
        <v>302</v>
      </c>
      <c r="L71" s="233" t="s">
        <v>289</v>
      </c>
      <c r="M71" s="163" t="s">
        <v>44</v>
      </c>
      <c r="N71" s="172"/>
      <c r="O71" s="177"/>
      <c r="P71" s="172"/>
      <c r="Q71" s="161"/>
      <c r="R71" s="162"/>
      <c r="S71" s="161"/>
      <c r="T71" s="162"/>
      <c r="U71" s="162"/>
      <c r="V71" s="162"/>
      <c r="W71" s="162"/>
      <c r="X71" s="162"/>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c r="BF71" s="162"/>
      <c r="BG71" s="162"/>
      <c r="BH71" s="162"/>
      <c r="BI71" s="162"/>
      <c r="BJ71" s="162"/>
      <c r="BK71" s="162"/>
      <c r="BL71" s="162"/>
      <c r="BM71" s="162"/>
      <c r="BN71" s="162"/>
      <c r="BO71" s="162"/>
      <c r="BP71" s="162"/>
      <c r="BQ71" s="162"/>
      <c r="BR71" s="162"/>
      <c r="BS71" s="162"/>
      <c r="BT71" s="162"/>
      <c r="BU71" s="162"/>
      <c r="BV71" s="162"/>
      <c r="BW71" s="162"/>
      <c r="BX71" s="162"/>
      <c r="BY71" s="162"/>
      <c r="BZ71" s="162"/>
      <c r="CA71" s="162"/>
      <c r="CB71" s="162"/>
      <c r="CC71" s="162"/>
      <c r="CD71" s="162"/>
      <c r="CE71" s="162"/>
      <c r="CF71" s="162"/>
      <c r="CG71" s="162"/>
      <c r="CH71" s="162"/>
      <c r="CI71" s="162"/>
      <c r="CJ71" s="162"/>
      <c r="CK71" s="162"/>
      <c r="CL71" s="162"/>
      <c r="CM71" s="162"/>
      <c r="CN71" s="162"/>
      <c r="CO71" s="162"/>
      <c r="CP71" s="162"/>
      <c r="CQ71" s="162"/>
      <c r="CR71" s="162"/>
      <c r="CS71" s="209"/>
      <c r="CT71" s="209"/>
      <c r="CU71" s="375"/>
      <c r="CV71" s="208"/>
      <c r="CW71" s="152"/>
      <c r="CX71" s="152"/>
      <c r="CY71" s="208"/>
      <c r="CZ71" s="208"/>
      <c r="DA71" s="152"/>
      <c r="DB71" s="152"/>
      <c r="DC71" s="153"/>
      <c r="DD71" s="153" t="s">
        <v>1691</v>
      </c>
      <c r="DE71" s="277" t="s">
        <v>45</v>
      </c>
      <c r="DF71" s="213" t="s">
        <v>1013</v>
      </c>
      <c r="DG71" s="213" t="s">
        <v>678</v>
      </c>
      <c r="DH71" s="227">
        <v>3297</v>
      </c>
      <c r="DI71" s="153">
        <v>45888</v>
      </c>
      <c r="DJ71" s="228">
        <v>12</v>
      </c>
      <c r="DK71" s="227">
        <v>3297</v>
      </c>
      <c r="DL71" s="227">
        <v>14363.64</v>
      </c>
      <c r="DM71" s="181">
        <f t="shared" si="63"/>
        <v>52092613.188000001</v>
      </c>
      <c r="DN71" s="446">
        <f t="shared" si="64"/>
        <v>0.10000000000000006</v>
      </c>
      <c r="DO71" s="182">
        <f t="shared" si="65"/>
        <v>47356921.079999998</v>
      </c>
      <c r="DP71" s="275">
        <v>45891</v>
      </c>
      <c r="DQ71" s="152"/>
      <c r="DR71" s="152"/>
      <c r="DS71" s="151"/>
      <c r="DT71" s="275"/>
      <c r="DU71" s="370"/>
      <c r="DV71" s="208"/>
      <c r="DW71" s="208"/>
      <c r="DX71" s="152"/>
      <c r="DY71" s="152"/>
      <c r="DZ71" s="152"/>
      <c r="EA71" s="152"/>
      <c r="EB71" s="152"/>
      <c r="EC71" s="152"/>
      <c r="ED71" s="152"/>
      <c r="EE71" s="371"/>
      <c r="EF71" s="371"/>
      <c r="EG71" s="153"/>
      <c r="EH71" s="153"/>
      <c r="EI71" s="153"/>
      <c r="EJ71" s="153"/>
      <c r="EK71" s="153"/>
      <c r="EL71" s="153"/>
      <c r="EM71" s="153"/>
      <c r="EN71" s="153"/>
      <c r="EO71" s="152"/>
      <c r="EP71" s="151"/>
      <c r="EQ71" s="153"/>
      <c r="ER71" s="153"/>
      <c r="ES71" s="153"/>
      <c r="ET71" s="153"/>
      <c r="EU71" s="152"/>
      <c r="EV71" s="152"/>
      <c r="EW71" s="152"/>
      <c r="EX71" s="152"/>
      <c r="EY71" s="151"/>
      <c r="EZ71" s="152"/>
      <c r="FA71" s="372"/>
      <c r="FB71" s="373"/>
      <c r="FC71" s="381"/>
      <c r="FD71" s="382"/>
      <c r="FE71" s="222"/>
      <c r="FF71" s="223"/>
      <c r="FG71" s="224"/>
      <c r="FH71" s="224"/>
    </row>
    <row r="72" spans="1:164" s="157" customFormat="1" ht="14" hidden="1" customHeight="1">
      <c r="A72" s="208" t="str">
        <f t="shared" ref="A72:A135" si="89">IF(I72=I71,"ok","Hiện")</f>
        <v>Hiện</v>
      </c>
      <c r="B72" s="151" t="str">
        <f t="shared" si="84"/>
        <v>Thừa</v>
      </c>
      <c r="C72" s="151">
        <f>EW72</f>
        <v>-1</v>
      </c>
      <c r="D72" s="151"/>
      <c r="E72" s="151"/>
      <c r="F72" s="151"/>
      <c r="G72" s="151"/>
      <c r="H72" s="151"/>
      <c r="I72" s="171" t="s">
        <v>261</v>
      </c>
      <c r="J72" s="164" t="s">
        <v>235</v>
      </c>
      <c r="K72" s="171" t="s">
        <v>716</v>
      </c>
      <c r="L72" s="233" t="s">
        <v>289</v>
      </c>
      <c r="M72" s="163" t="s">
        <v>44</v>
      </c>
      <c r="N72" s="172">
        <v>353.25</v>
      </c>
      <c r="O72" s="177">
        <v>7.83037508846426</v>
      </c>
      <c r="P72" s="172">
        <v>2766.08</v>
      </c>
      <c r="Q72" s="161"/>
      <c r="R72" s="162"/>
      <c r="S72" s="161">
        <v>9</v>
      </c>
      <c r="T72" s="162">
        <v>3179.25</v>
      </c>
      <c r="U72" s="162"/>
      <c r="V72" s="162"/>
      <c r="W72" s="162">
        <v>0</v>
      </c>
      <c r="X72" s="162">
        <v>0</v>
      </c>
      <c r="Y72" s="162">
        <v>0</v>
      </c>
      <c r="Z72" s="162">
        <v>0</v>
      </c>
      <c r="AA72" s="162">
        <v>14</v>
      </c>
      <c r="AB72" s="162">
        <v>4945.5</v>
      </c>
      <c r="AC72" s="162">
        <v>0</v>
      </c>
      <c r="AD72" s="162">
        <v>0</v>
      </c>
      <c r="AE72" s="162">
        <v>0</v>
      </c>
      <c r="AF72" s="162">
        <v>0</v>
      </c>
      <c r="AG72" s="162">
        <v>0</v>
      </c>
      <c r="AH72" s="162">
        <v>0</v>
      </c>
      <c r="AI72" s="162">
        <f>VLOOKUP(I72,'[119]MTO-rev09'!$A:$O,11,0)</f>
        <v>0</v>
      </c>
      <c r="AJ72" s="162">
        <f>VLOOKUP(I72,'[119]MTO-rev09'!$A:$O,12,0)</f>
        <v>0</v>
      </c>
      <c r="AK72" s="162">
        <v>0</v>
      </c>
      <c r="AL72" s="162">
        <v>0</v>
      </c>
      <c r="AM72" s="162"/>
      <c r="AN72" s="162"/>
      <c r="AO72" s="162">
        <v>0</v>
      </c>
      <c r="AP72" s="162">
        <v>0</v>
      </c>
      <c r="AQ72" s="162">
        <v>0</v>
      </c>
      <c r="AR72" s="162">
        <v>0</v>
      </c>
      <c r="AS72" s="162">
        <v>0</v>
      </c>
      <c r="AT72" s="162">
        <v>0</v>
      </c>
      <c r="AU72" s="162">
        <v>0</v>
      </c>
      <c r="AV72" s="162">
        <v>0</v>
      </c>
      <c r="AW72" s="162">
        <v>0</v>
      </c>
      <c r="AX72" s="162">
        <v>0</v>
      </c>
      <c r="AY72" s="162">
        <v>0</v>
      </c>
      <c r="AZ72" s="162">
        <v>0</v>
      </c>
      <c r="BA72" s="162"/>
      <c r="BB72" s="162"/>
      <c r="BC72" s="162">
        <v>0</v>
      </c>
      <c r="BD72" s="162">
        <v>0</v>
      </c>
      <c r="BE72" s="162">
        <v>0</v>
      </c>
      <c r="BF72" s="162">
        <v>0</v>
      </c>
      <c r="BG72" s="162">
        <v>0</v>
      </c>
      <c r="BH72" s="162">
        <v>0</v>
      </c>
      <c r="BI72" s="162">
        <v>0</v>
      </c>
      <c r="BJ72" s="162">
        <v>0</v>
      </c>
      <c r="BK72" s="162">
        <v>0</v>
      </c>
      <c r="BL72" s="162">
        <v>0</v>
      </c>
      <c r="BM72" s="162">
        <v>0</v>
      </c>
      <c r="BN72" s="162">
        <v>0</v>
      </c>
      <c r="BO72" s="162"/>
      <c r="BP72" s="162"/>
      <c r="BQ72" s="162">
        <v>0</v>
      </c>
      <c r="BR72" s="162">
        <v>0</v>
      </c>
      <c r="BS72" s="162">
        <v>0</v>
      </c>
      <c r="BT72" s="162">
        <v>0</v>
      </c>
      <c r="BU72" s="162">
        <v>0</v>
      </c>
      <c r="BV72" s="162">
        <v>0</v>
      </c>
      <c r="BW72" s="162"/>
      <c r="BX72" s="162"/>
      <c r="BY72" s="162">
        <v>0</v>
      </c>
      <c r="BZ72" s="162">
        <v>0</v>
      </c>
      <c r="CA72" s="162">
        <v>0</v>
      </c>
      <c r="CB72" s="162">
        <v>0</v>
      </c>
      <c r="CC72" s="162">
        <v>0</v>
      </c>
      <c r="CD72" s="162">
        <v>0</v>
      </c>
      <c r="CE72" s="162">
        <f>VLOOKUP(I72,[120]REV33!$A:$O,11,0)</f>
        <v>0</v>
      </c>
      <c r="CF72" s="162">
        <f>VLOOKUP(I72,[120]REV33!$A:$O,12,0)</f>
        <v>0</v>
      </c>
      <c r="CG72" s="162"/>
      <c r="CH72" s="162"/>
      <c r="CI72" s="162"/>
      <c r="CJ72" s="162"/>
      <c r="CK72" s="162"/>
      <c r="CL72" s="162"/>
      <c r="CM72" s="162"/>
      <c r="CN72" s="162"/>
      <c r="CO72" s="162">
        <v>0</v>
      </c>
      <c r="CP72" s="162">
        <v>0</v>
      </c>
      <c r="CQ72" s="162">
        <v>0</v>
      </c>
      <c r="CR72" s="162">
        <v>0</v>
      </c>
      <c r="CS72" s="209">
        <f>Q72+S72+U72+W72+Y72+AA72+AC72+AE72+AG72+AI72+AK72+AM72+AO72+AQ72+AS72+AU72+AW72+AY72+BA72+BC72+BE72+BG72+BI72+BK72+BM72+BO72+BQ72+BS72+BU72+BW72+BY72+CA72+CC72+CE72+CG72+CI72+CK72+CM72+CO72+CQ72</f>
        <v>23</v>
      </c>
      <c r="CT72" s="209">
        <f>R72+T72+V72+X72+Z72+AB72+AD72+AF72+AH72+AJ72+AL72+AN72+AP72+AR72+AT72+AV72+AX72+AZ72+BB72+BD72+BF72+BH72+BJ72+BL72+BN72+BP72+BR72+BT72+BV72+BX72+BZ72+CB72+CD72+CF72+CH72+CJ72+CL72+CN72+CP72+CR72</f>
        <v>8124.75</v>
      </c>
      <c r="CU72" s="375" t="s">
        <v>498</v>
      </c>
      <c r="CV72" s="208"/>
      <c r="CW72" s="152"/>
      <c r="CX72" s="152"/>
      <c r="CY72" s="208"/>
      <c r="CZ72" s="208"/>
      <c r="DA72" s="152">
        <f t="shared" ref="DA72:DA73" si="90">IF(CS72&gt;CW72,CS72-CW72,"0")</f>
        <v>23</v>
      </c>
      <c r="DB72" s="152">
        <f t="shared" ref="DB72:DB73" si="91">IF(CT72&gt;CX72,CT72-CX72,"0")</f>
        <v>8124.75</v>
      </c>
      <c r="DC72" s="153">
        <v>45792</v>
      </c>
      <c r="DD72" s="153" t="s">
        <v>550</v>
      </c>
      <c r="DE72" s="153" t="s">
        <v>465</v>
      </c>
      <c r="DF72" s="376" t="s">
        <v>549</v>
      </c>
      <c r="DG72" s="368" t="s">
        <v>371</v>
      </c>
      <c r="DH72" s="181">
        <v>8500</v>
      </c>
      <c r="DI72" s="369">
        <v>1</v>
      </c>
      <c r="DJ72" s="1000">
        <v>24</v>
      </c>
      <c r="DK72" s="181">
        <v>8500</v>
      </c>
      <c r="DL72" s="182">
        <v>14728</v>
      </c>
      <c r="DM72" s="181">
        <f t="shared" si="63"/>
        <v>137706800</v>
      </c>
      <c r="DN72" s="446">
        <f t="shared" si="64"/>
        <v>0.1</v>
      </c>
      <c r="DO72" s="182">
        <f t="shared" si="65"/>
        <v>125188000</v>
      </c>
      <c r="DP72" s="275">
        <v>45828</v>
      </c>
      <c r="DQ72" s="152">
        <f>SUMIF($I:$I,I72,$DJ:$DJ)</f>
        <v>24</v>
      </c>
      <c r="DR72" s="152">
        <f>SUMIF($I:$I,I72,$DK:$DK)</f>
        <v>8500</v>
      </c>
      <c r="DS72" s="151"/>
      <c r="DT72" s="275"/>
      <c r="DU72" s="370"/>
      <c r="DV72" s="208"/>
      <c r="DW72" s="208"/>
      <c r="DX72" s="152"/>
      <c r="DY72" s="152"/>
      <c r="DZ72" s="152"/>
      <c r="EA72" s="152"/>
      <c r="EB72" s="152"/>
      <c r="EC72" s="152"/>
      <c r="ED72" s="152"/>
      <c r="EE72" s="371"/>
      <c r="EF72" s="371"/>
      <c r="EG72" s="153"/>
      <c r="EH72" s="153"/>
      <c r="EI72" s="153"/>
      <c r="EJ72" s="153"/>
      <c r="EK72" s="153"/>
      <c r="EL72" s="153"/>
      <c r="EM72" s="153"/>
      <c r="EN72" s="153"/>
      <c r="EO72" s="152">
        <f>SUMIF($I:$I,I72,$EC:$EC)</f>
        <v>0</v>
      </c>
      <c r="EP72" s="151">
        <f>SUMIF($I:$I,I72,$ED:$ED)</f>
        <v>0</v>
      </c>
      <c r="EQ72" s="153"/>
      <c r="ER72" s="153"/>
      <c r="ES72" s="153"/>
      <c r="ET72" s="153"/>
      <c r="EU72" s="152">
        <f t="shared" ref="EU72:EU73" si="92">DQ72+EO72</f>
        <v>24</v>
      </c>
      <c r="EV72" s="152">
        <f t="shared" ref="EV72:EV73" si="93">DR72+EP72</f>
        <v>8500</v>
      </c>
      <c r="EW72" s="152">
        <f t="shared" ref="EW72:EW73" si="94">DA72-EU72</f>
        <v>-1</v>
      </c>
      <c r="EX72" s="152">
        <f t="shared" ref="EX72:EX73" si="95">DB72-EV72</f>
        <v>-375.25</v>
      </c>
      <c r="EY72" s="151" t="str">
        <f t="shared" ref="EY72:EY73" si="96">IF(EW72&lt;0,"Thừa",IF(EW72=0,"Đủ","Thiếu"))</f>
        <v>Thừa</v>
      </c>
      <c r="EZ72" s="152"/>
      <c r="FA72" s="372"/>
      <c r="FB72" s="373"/>
      <c r="FC72" s="367"/>
      <c r="FD72" s="374"/>
      <c r="FE72" s="183"/>
      <c r="FF72" s="184"/>
      <c r="FG72" s="185"/>
      <c r="FH72" s="185"/>
    </row>
    <row r="73" spans="1:164" s="157" customFormat="1" ht="14" hidden="1" customHeight="1">
      <c r="A73" s="208" t="str">
        <f t="shared" si="89"/>
        <v>Hiện</v>
      </c>
      <c r="B73" s="151" t="str">
        <f t="shared" si="84"/>
        <v>Thừa</v>
      </c>
      <c r="C73" s="151">
        <f>EW73</f>
        <v>-0.80000000000000071</v>
      </c>
      <c r="D73" s="151"/>
      <c r="E73" s="151"/>
      <c r="F73" s="151"/>
      <c r="G73" s="151"/>
      <c r="H73" s="151"/>
      <c r="I73" s="171" t="s">
        <v>262</v>
      </c>
      <c r="J73" s="164" t="s">
        <v>235</v>
      </c>
      <c r="K73" s="171" t="s">
        <v>717</v>
      </c>
      <c r="L73" s="233" t="s">
        <v>289</v>
      </c>
      <c r="M73" s="163" t="s">
        <v>44</v>
      </c>
      <c r="N73" s="172">
        <v>392.5</v>
      </c>
      <c r="O73" s="177">
        <v>7.3192356687898092</v>
      </c>
      <c r="P73" s="172">
        <v>2872.8</v>
      </c>
      <c r="Q73" s="161"/>
      <c r="R73" s="162"/>
      <c r="S73" s="161">
        <v>0</v>
      </c>
      <c r="T73" s="162">
        <v>0</v>
      </c>
      <c r="U73" s="162"/>
      <c r="V73" s="162"/>
      <c r="W73" s="162">
        <v>18.2</v>
      </c>
      <c r="X73" s="162">
        <v>7143.5</v>
      </c>
      <c r="Y73" s="162">
        <v>-9</v>
      </c>
      <c r="Z73" s="162">
        <v>-3532.5</v>
      </c>
      <c r="AA73" s="162">
        <v>14</v>
      </c>
      <c r="AB73" s="162">
        <v>5495</v>
      </c>
      <c r="AC73" s="162">
        <v>0</v>
      </c>
      <c r="AD73" s="162">
        <v>0</v>
      </c>
      <c r="AE73" s="162">
        <v>0</v>
      </c>
      <c r="AF73" s="162">
        <v>0</v>
      </c>
      <c r="AG73" s="162">
        <v>0</v>
      </c>
      <c r="AH73" s="162">
        <v>0</v>
      </c>
      <c r="AI73" s="162">
        <f>VLOOKUP(I73,'[119]MTO-rev09'!$A:$O,11,0)</f>
        <v>0</v>
      </c>
      <c r="AJ73" s="162">
        <f>VLOOKUP(I73,'[119]MTO-rev09'!$A:$O,12,0)</f>
        <v>0</v>
      </c>
      <c r="AK73" s="162">
        <v>0</v>
      </c>
      <c r="AL73" s="162">
        <v>0</v>
      </c>
      <c r="AM73" s="162"/>
      <c r="AN73" s="162"/>
      <c r="AO73" s="162">
        <v>0</v>
      </c>
      <c r="AP73" s="162">
        <v>0</v>
      </c>
      <c r="AQ73" s="162">
        <v>0</v>
      </c>
      <c r="AR73" s="162">
        <v>0</v>
      </c>
      <c r="AS73" s="162">
        <v>0</v>
      </c>
      <c r="AT73" s="162">
        <v>0</v>
      </c>
      <c r="AU73" s="162">
        <v>0</v>
      </c>
      <c r="AV73" s="162">
        <v>0</v>
      </c>
      <c r="AW73" s="162">
        <v>0</v>
      </c>
      <c r="AX73" s="162">
        <v>0</v>
      </c>
      <c r="AY73" s="162">
        <v>0</v>
      </c>
      <c r="AZ73" s="162">
        <v>0</v>
      </c>
      <c r="BA73" s="162"/>
      <c r="BB73" s="162"/>
      <c r="BC73" s="162">
        <v>0</v>
      </c>
      <c r="BD73" s="162">
        <v>0</v>
      </c>
      <c r="BE73" s="162">
        <v>0</v>
      </c>
      <c r="BF73" s="162">
        <v>0</v>
      </c>
      <c r="BG73" s="162">
        <v>0</v>
      </c>
      <c r="BH73" s="162">
        <v>0</v>
      </c>
      <c r="BI73" s="162">
        <v>0</v>
      </c>
      <c r="BJ73" s="162">
        <v>0</v>
      </c>
      <c r="BK73" s="162">
        <v>0</v>
      </c>
      <c r="BL73" s="162">
        <v>0</v>
      </c>
      <c r="BM73" s="162">
        <v>0</v>
      </c>
      <c r="BN73" s="162">
        <v>0</v>
      </c>
      <c r="BO73" s="162"/>
      <c r="BP73" s="162"/>
      <c r="BQ73" s="162">
        <v>0</v>
      </c>
      <c r="BR73" s="162">
        <v>0</v>
      </c>
      <c r="BS73" s="162">
        <v>0</v>
      </c>
      <c r="BT73" s="162">
        <v>0</v>
      </c>
      <c r="BU73" s="162">
        <v>0</v>
      </c>
      <c r="BV73" s="162">
        <v>0</v>
      </c>
      <c r="BW73" s="162"/>
      <c r="BX73" s="162"/>
      <c r="BY73" s="162">
        <v>0</v>
      </c>
      <c r="BZ73" s="162">
        <v>0</v>
      </c>
      <c r="CA73" s="162">
        <v>0</v>
      </c>
      <c r="CB73" s="162">
        <v>0</v>
      </c>
      <c r="CC73" s="162">
        <v>0</v>
      </c>
      <c r="CD73" s="162">
        <v>0</v>
      </c>
      <c r="CE73" s="162">
        <f>VLOOKUP(I73,[120]REV33!$A:$O,11,0)</f>
        <v>0</v>
      </c>
      <c r="CF73" s="162">
        <f>VLOOKUP(I73,[120]REV33!$A:$O,12,0)</f>
        <v>0</v>
      </c>
      <c r="CG73" s="162"/>
      <c r="CH73" s="162"/>
      <c r="CI73" s="162"/>
      <c r="CJ73" s="162"/>
      <c r="CK73" s="162"/>
      <c r="CL73" s="162"/>
      <c r="CM73" s="162"/>
      <c r="CN73" s="162"/>
      <c r="CO73" s="162">
        <v>0</v>
      </c>
      <c r="CP73" s="162">
        <v>0</v>
      </c>
      <c r="CQ73" s="162">
        <v>0</v>
      </c>
      <c r="CR73" s="162">
        <v>0</v>
      </c>
      <c r="CS73" s="209">
        <f>Q73+S73+U73+W73+Y73+AA73+AC73+AE73+AG73+AI73+AK73+AM73+AO73+AQ73+AS73+AU73+AW73+AY73+BA73+BC73+BE73+BG73+BI73+BK73+BM73+BO73+BQ73+BS73+BU73+BW73+BY73+CA73+CC73+CE73+CG73+CI73+CK73+CM73+CO73+CQ73</f>
        <v>23.2</v>
      </c>
      <c r="CT73" s="209">
        <f>R73+T73+V73+X73+Z73+AB73+AD73+AF73+AH73+AJ73+AL73+AN73+AP73+AR73+AT73+AV73+AX73+AZ73+BB73+BD73+BF73+BH73+BJ73+BL73+BN73+BP73+BR73+BT73+BV73+BX73+BZ73+CB73+CD73+CF73+CH73+CJ73+CL73+CN73+CP73+CR73</f>
        <v>9106</v>
      </c>
      <c r="CU73" s="395" t="s">
        <v>499</v>
      </c>
      <c r="CV73" s="208"/>
      <c r="CW73" s="152"/>
      <c r="CX73" s="152"/>
      <c r="CY73" s="208"/>
      <c r="CZ73" s="208"/>
      <c r="DA73" s="152">
        <f t="shared" si="90"/>
        <v>23.2</v>
      </c>
      <c r="DB73" s="152">
        <f t="shared" si="91"/>
        <v>9106</v>
      </c>
      <c r="DC73" s="153">
        <v>45792</v>
      </c>
      <c r="DD73" s="377" t="s">
        <v>667</v>
      </c>
      <c r="DE73" s="153" t="s">
        <v>45</v>
      </c>
      <c r="DF73" s="376" t="s">
        <v>368</v>
      </c>
      <c r="DG73" s="368" t="s">
        <v>371</v>
      </c>
      <c r="DH73" s="181">
        <v>4710</v>
      </c>
      <c r="DI73" s="153">
        <v>45791</v>
      </c>
      <c r="DJ73" s="1000">
        <v>12</v>
      </c>
      <c r="DK73" s="181">
        <v>4710</v>
      </c>
      <c r="DL73" s="182">
        <v>14363.64</v>
      </c>
      <c r="DM73" s="181">
        <f t="shared" si="63"/>
        <v>74418018.840000004</v>
      </c>
      <c r="DN73" s="446">
        <f t="shared" si="64"/>
        <v>0.1000000000000002</v>
      </c>
      <c r="DO73" s="182">
        <f t="shared" si="65"/>
        <v>67652744.399999991</v>
      </c>
      <c r="DP73" s="275">
        <v>45794</v>
      </c>
      <c r="DQ73" s="152">
        <f>SUMIF($I:$I,I73,$DJ:$DJ)</f>
        <v>24</v>
      </c>
      <c r="DR73" s="152">
        <f>SUMIF($I:$I,I73,$DK:$DK)</f>
        <v>9420</v>
      </c>
      <c r="DS73" s="151"/>
      <c r="DT73" s="275"/>
      <c r="DU73" s="370"/>
      <c r="DV73" s="208"/>
      <c r="DW73" s="208"/>
      <c r="DX73" s="152"/>
      <c r="DY73" s="152"/>
      <c r="DZ73" s="152"/>
      <c r="EA73" s="152"/>
      <c r="EB73" s="152"/>
      <c r="EC73" s="152"/>
      <c r="ED73" s="152"/>
      <c r="EE73" s="371"/>
      <c r="EF73" s="371"/>
      <c r="EG73" s="153"/>
      <c r="EH73" s="153"/>
      <c r="EI73" s="153"/>
      <c r="EJ73" s="153"/>
      <c r="EK73" s="153"/>
      <c r="EL73" s="153"/>
      <c r="EM73" s="153"/>
      <c r="EN73" s="153"/>
      <c r="EO73" s="152">
        <f>SUMIF($I:$I,I73,$EC:$EC)</f>
        <v>0</v>
      </c>
      <c r="EP73" s="151">
        <f>SUMIF($I:$I,I73,$ED:$ED)</f>
        <v>0</v>
      </c>
      <c r="EQ73" s="153"/>
      <c r="ER73" s="153"/>
      <c r="ES73" s="153"/>
      <c r="ET73" s="153"/>
      <c r="EU73" s="152">
        <f t="shared" si="92"/>
        <v>24</v>
      </c>
      <c r="EV73" s="152">
        <f t="shared" si="93"/>
        <v>9420</v>
      </c>
      <c r="EW73" s="152">
        <f t="shared" si="94"/>
        <v>-0.80000000000000071</v>
      </c>
      <c r="EX73" s="152">
        <f t="shared" si="95"/>
        <v>-314</v>
      </c>
      <c r="EY73" s="151" t="str">
        <f t="shared" si="96"/>
        <v>Thừa</v>
      </c>
      <c r="EZ73" s="152"/>
      <c r="FA73" s="372"/>
      <c r="FB73" s="373"/>
      <c r="FC73" s="367"/>
      <c r="FD73" s="374"/>
      <c r="FE73" s="183"/>
      <c r="FF73" s="184"/>
      <c r="FG73" s="185"/>
      <c r="FH73" s="185"/>
    </row>
    <row r="74" spans="1:164" s="386" customFormat="1" ht="14" hidden="1" customHeight="1">
      <c r="A74" s="208" t="str">
        <f t="shared" si="89"/>
        <v>ok</v>
      </c>
      <c r="B74" s="151"/>
      <c r="C74" s="151"/>
      <c r="D74" s="151"/>
      <c r="E74" s="151"/>
      <c r="F74" s="151"/>
      <c r="G74" s="151"/>
      <c r="H74" s="151"/>
      <c r="I74" s="171" t="s">
        <v>262</v>
      </c>
      <c r="J74" s="164" t="s">
        <v>235</v>
      </c>
      <c r="K74" s="171" t="s">
        <v>717</v>
      </c>
      <c r="L74" s="233" t="s">
        <v>289</v>
      </c>
      <c r="M74" s="163" t="s">
        <v>44</v>
      </c>
      <c r="N74" s="172"/>
      <c r="O74" s="177"/>
      <c r="P74" s="172"/>
      <c r="Q74" s="161"/>
      <c r="R74" s="162"/>
      <c r="S74" s="161"/>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2"/>
      <c r="BQ74" s="162"/>
      <c r="BR74" s="162"/>
      <c r="BS74" s="162"/>
      <c r="BT74" s="162"/>
      <c r="BU74" s="162"/>
      <c r="BV74" s="162"/>
      <c r="BW74" s="162"/>
      <c r="BX74" s="162"/>
      <c r="BY74" s="162"/>
      <c r="BZ74" s="162"/>
      <c r="CA74" s="162"/>
      <c r="CB74" s="162"/>
      <c r="CC74" s="162"/>
      <c r="CD74" s="162"/>
      <c r="CE74" s="162"/>
      <c r="CF74" s="162"/>
      <c r="CG74" s="162"/>
      <c r="CH74" s="162"/>
      <c r="CI74" s="162"/>
      <c r="CJ74" s="162"/>
      <c r="CK74" s="162"/>
      <c r="CL74" s="162"/>
      <c r="CM74" s="162"/>
      <c r="CN74" s="162"/>
      <c r="CO74" s="162"/>
      <c r="CP74" s="162"/>
      <c r="CQ74" s="162"/>
      <c r="CR74" s="162"/>
      <c r="CS74" s="209"/>
      <c r="CT74" s="209"/>
      <c r="CU74" s="395"/>
      <c r="CV74" s="208"/>
      <c r="CW74" s="152"/>
      <c r="CX74" s="152"/>
      <c r="CY74" s="208"/>
      <c r="CZ74" s="208"/>
      <c r="DA74" s="152"/>
      <c r="DB74" s="152"/>
      <c r="DC74" s="153"/>
      <c r="DD74" s="153" t="s">
        <v>655</v>
      </c>
      <c r="DE74" s="153" t="s">
        <v>45</v>
      </c>
      <c r="DF74" s="213" t="s">
        <v>570</v>
      </c>
      <c r="DG74" s="394" t="s">
        <v>87</v>
      </c>
      <c r="DH74" s="181">
        <v>4710</v>
      </c>
      <c r="DI74" s="153">
        <v>45829</v>
      </c>
      <c r="DJ74" s="1000">
        <v>12</v>
      </c>
      <c r="DK74" s="181">
        <v>4710</v>
      </c>
      <c r="DL74" s="182">
        <v>14545.45</v>
      </c>
      <c r="DM74" s="181">
        <f t="shared" si="63"/>
        <v>75359976.450000003</v>
      </c>
      <c r="DN74" s="446">
        <f t="shared" si="64"/>
        <v>0.10000000000000005</v>
      </c>
      <c r="DO74" s="182">
        <f t="shared" si="65"/>
        <v>68509069.5</v>
      </c>
      <c r="DP74" s="275">
        <v>45835</v>
      </c>
      <c r="DQ74" s="152"/>
      <c r="DR74" s="152"/>
      <c r="DS74" s="151"/>
      <c r="DT74" s="275"/>
      <c r="DU74" s="370"/>
      <c r="DV74" s="208"/>
      <c r="DW74" s="208"/>
      <c r="DX74" s="152"/>
      <c r="DY74" s="152"/>
      <c r="DZ74" s="152"/>
      <c r="EA74" s="152"/>
      <c r="EB74" s="152"/>
      <c r="EC74" s="152"/>
      <c r="ED74" s="152"/>
      <c r="EE74" s="371"/>
      <c r="EF74" s="371"/>
      <c r="EG74" s="153"/>
      <c r="EH74" s="153"/>
      <c r="EI74" s="153"/>
      <c r="EJ74" s="153"/>
      <c r="EK74" s="153"/>
      <c r="EL74" s="153"/>
      <c r="EM74" s="153"/>
      <c r="EN74" s="153"/>
      <c r="EO74" s="152"/>
      <c r="EP74" s="151"/>
      <c r="EQ74" s="153"/>
      <c r="ER74" s="153"/>
      <c r="ES74" s="153"/>
      <c r="ET74" s="153"/>
      <c r="EU74" s="152"/>
      <c r="EV74" s="152"/>
      <c r="EW74" s="152"/>
      <c r="EX74" s="152"/>
      <c r="EY74" s="151"/>
      <c r="EZ74" s="152"/>
      <c r="FA74" s="372"/>
      <c r="FB74" s="373"/>
      <c r="FC74" s="384"/>
      <c r="FD74" s="385"/>
      <c r="FE74" s="210"/>
      <c r="FF74" s="211"/>
      <c r="FG74" s="212"/>
      <c r="FH74" s="212"/>
    </row>
    <row r="75" spans="1:164" s="157" customFormat="1" ht="14" hidden="1" customHeight="1">
      <c r="A75" s="208" t="str">
        <f t="shared" si="89"/>
        <v>Hiện</v>
      </c>
      <c r="B75" s="151" t="str">
        <f t="shared" si="84"/>
        <v>Đủ</v>
      </c>
      <c r="C75" s="151">
        <f>EW75</f>
        <v>0</v>
      </c>
      <c r="D75" s="151"/>
      <c r="E75" s="151"/>
      <c r="F75" s="151"/>
      <c r="G75" s="151"/>
      <c r="H75" s="151"/>
      <c r="I75" s="171" t="s">
        <v>263</v>
      </c>
      <c r="J75" s="164" t="s">
        <v>235</v>
      </c>
      <c r="K75" s="171" t="s">
        <v>303</v>
      </c>
      <c r="L75" s="233" t="s">
        <v>304</v>
      </c>
      <c r="M75" s="163" t="s">
        <v>44</v>
      </c>
      <c r="N75" s="172">
        <v>157</v>
      </c>
      <c r="O75" s="1397">
        <v>11.372484076433121</v>
      </c>
      <c r="P75" s="1398">
        <v>1785.48</v>
      </c>
      <c r="Q75" s="161"/>
      <c r="R75" s="162"/>
      <c r="S75" s="161">
        <v>12</v>
      </c>
      <c r="T75" s="162">
        <v>1884</v>
      </c>
      <c r="U75" s="162"/>
      <c r="V75" s="162"/>
      <c r="W75" s="162">
        <v>0</v>
      </c>
      <c r="X75" s="162">
        <v>0</v>
      </c>
      <c r="Y75" s="162">
        <v>0</v>
      </c>
      <c r="Z75" s="162">
        <v>0</v>
      </c>
      <c r="AA75" s="162">
        <v>0</v>
      </c>
      <c r="AB75" s="162">
        <v>0</v>
      </c>
      <c r="AC75" s="162">
        <v>0</v>
      </c>
      <c r="AD75" s="162">
        <v>0</v>
      </c>
      <c r="AE75" s="162">
        <v>0</v>
      </c>
      <c r="AF75" s="162">
        <v>0</v>
      </c>
      <c r="AG75" s="162">
        <v>0</v>
      </c>
      <c r="AH75" s="162">
        <v>0</v>
      </c>
      <c r="AI75" s="162">
        <f>VLOOKUP(I75,'[119]MTO-rev09'!$A:$O,11,0)</f>
        <v>0</v>
      </c>
      <c r="AJ75" s="162">
        <f>VLOOKUP(I75,'[119]MTO-rev09'!$A:$O,12,0)</f>
        <v>0</v>
      </c>
      <c r="AK75" s="162">
        <v>0</v>
      </c>
      <c r="AL75" s="162">
        <v>0</v>
      </c>
      <c r="AM75" s="162"/>
      <c r="AN75" s="162"/>
      <c r="AO75" s="162">
        <v>0</v>
      </c>
      <c r="AP75" s="162">
        <v>0</v>
      </c>
      <c r="AQ75" s="162">
        <v>0</v>
      </c>
      <c r="AR75" s="162">
        <v>0</v>
      </c>
      <c r="AS75" s="162">
        <v>0</v>
      </c>
      <c r="AT75" s="162">
        <v>0</v>
      </c>
      <c r="AU75" s="162">
        <v>0</v>
      </c>
      <c r="AV75" s="162">
        <v>0</v>
      </c>
      <c r="AW75" s="162">
        <v>0</v>
      </c>
      <c r="AX75" s="162">
        <v>0</v>
      </c>
      <c r="AY75" s="162">
        <v>0</v>
      </c>
      <c r="AZ75" s="162">
        <v>0</v>
      </c>
      <c r="BA75" s="162"/>
      <c r="BB75" s="162"/>
      <c r="BC75" s="162">
        <v>0</v>
      </c>
      <c r="BD75" s="162">
        <v>0</v>
      </c>
      <c r="BE75" s="162">
        <v>0</v>
      </c>
      <c r="BF75" s="162">
        <v>0</v>
      </c>
      <c r="BG75" s="162">
        <v>0</v>
      </c>
      <c r="BH75" s="162">
        <v>0</v>
      </c>
      <c r="BI75" s="162">
        <v>0</v>
      </c>
      <c r="BJ75" s="162">
        <v>0</v>
      </c>
      <c r="BK75" s="162">
        <v>0</v>
      </c>
      <c r="BL75" s="162">
        <v>0</v>
      </c>
      <c r="BM75" s="162">
        <v>0</v>
      </c>
      <c r="BN75" s="162">
        <v>0</v>
      </c>
      <c r="BO75" s="162"/>
      <c r="BP75" s="162"/>
      <c r="BQ75" s="162">
        <v>0</v>
      </c>
      <c r="BR75" s="162">
        <v>0</v>
      </c>
      <c r="BS75" s="162">
        <v>0</v>
      </c>
      <c r="BT75" s="162">
        <v>0</v>
      </c>
      <c r="BU75" s="162">
        <v>0</v>
      </c>
      <c r="BV75" s="162">
        <v>0</v>
      </c>
      <c r="BW75" s="162"/>
      <c r="BX75" s="162"/>
      <c r="BY75" s="162">
        <v>0</v>
      </c>
      <c r="BZ75" s="162">
        <v>0</v>
      </c>
      <c r="CA75" s="162">
        <v>0</v>
      </c>
      <c r="CB75" s="162">
        <v>0</v>
      </c>
      <c r="CC75" s="162">
        <v>0</v>
      </c>
      <c r="CD75" s="162">
        <v>0</v>
      </c>
      <c r="CE75" s="162">
        <f>VLOOKUP(I75,[120]REV33!$A:$O,11,0)</f>
        <v>0</v>
      </c>
      <c r="CF75" s="162">
        <f>VLOOKUP(I75,[120]REV33!$A:$O,12,0)</f>
        <v>0</v>
      </c>
      <c r="CG75" s="162"/>
      <c r="CH75" s="162"/>
      <c r="CI75" s="162"/>
      <c r="CJ75" s="162"/>
      <c r="CK75" s="162"/>
      <c r="CL75" s="162"/>
      <c r="CM75" s="162"/>
      <c r="CN75" s="162"/>
      <c r="CO75" s="162">
        <v>0</v>
      </c>
      <c r="CP75" s="162">
        <v>0</v>
      </c>
      <c r="CQ75" s="162">
        <v>0</v>
      </c>
      <c r="CR75" s="162">
        <v>0</v>
      </c>
      <c r="CS75" s="209">
        <f>Q75+S75+U75+W75+Y75+AA75+AC75+AE75+AG75+AI75+AK75+AM75+AO75+AQ75+AS75+AU75+AW75+AY75+BA75+BC75+BE75+BG75+BI75+BK75+BM75+BO75+BQ75+BS75+BU75+BW75+BY75+CA75+CC75+CE75+CG75+CI75+CK75+CM75+CO75+CQ75</f>
        <v>12</v>
      </c>
      <c r="CT75" s="209">
        <f>R75+T75+V75+X75+Z75+AB75+AD75+AF75+AH75+AJ75+AL75+AN75+AP75+AR75+AT75+AV75+AX75+AZ75+BB75+BD75+BF75+BH75+BJ75+BL75+BN75+BP75+BR75+BT75+BV75+BX75+BZ75+CB75+CD75+CF75+CH75+CJ75+CL75+CN75+CP75+CR75</f>
        <v>1884</v>
      </c>
      <c r="CU75" s="375" t="s">
        <v>334</v>
      </c>
      <c r="CV75" s="208"/>
      <c r="CW75" s="152"/>
      <c r="CX75" s="152"/>
      <c r="CY75" s="208"/>
      <c r="CZ75" s="208"/>
      <c r="DA75" s="152">
        <f t="shared" ref="DA75:DA79" si="97">IF(CS75&gt;CW75,CS75-CW75,"0")</f>
        <v>12</v>
      </c>
      <c r="DB75" s="152">
        <f t="shared" ref="DB75:DB79" si="98">IF(CT75&gt;CX75,CT75-CX75,"0")</f>
        <v>1884</v>
      </c>
      <c r="DC75" s="153">
        <v>45813</v>
      </c>
      <c r="DD75" s="377" t="s">
        <v>667</v>
      </c>
      <c r="DE75" s="153" t="s">
        <v>45</v>
      </c>
      <c r="DF75" s="376" t="s">
        <v>369</v>
      </c>
      <c r="DG75" s="368" t="s">
        <v>372</v>
      </c>
      <c r="DH75" s="181">
        <v>1884</v>
      </c>
      <c r="DI75" s="153">
        <v>45791</v>
      </c>
      <c r="DJ75" s="1000">
        <v>12</v>
      </c>
      <c r="DK75" s="181">
        <v>1884</v>
      </c>
      <c r="DL75" s="182">
        <v>15272.73</v>
      </c>
      <c r="DM75" s="181">
        <f t="shared" si="63"/>
        <v>31651205.652000003</v>
      </c>
      <c r="DN75" s="446">
        <f t="shared" si="64"/>
        <v>0.10000000000000007</v>
      </c>
      <c r="DO75" s="182">
        <f t="shared" si="65"/>
        <v>28773823.32</v>
      </c>
      <c r="DP75" s="275">
        <v>45794</v>
      </c>
      <c r="DQ75" s="152">
        <f>SUMIF($I:$I,I75,$DJ:$DJ)</f>
        <v>12</v>
      </c>
      <c r="DR75" s="152">
        <f>SUMIF($I:$I,I75,$DK:$DK)</f>
        <v>1884</v>
      </c>
      <c r="DS75" s="151"/>
      <c r="DT75" s="275"/>
      <c r="DU75" s="370"/>
      <c r="DV75" s="208"/>
      <c r="DW75" s="208"/>
      <c r="DX75" s="152"/>
      <c r="DY75" s="152"/>
      <c r="DZ75" s="152"/>
      <c r="EA75" s="152"/>
      <c r="EB75" s="152"/>
      <c r="EC75" s="152"/>
      <c r="ED75" s="152"/>
      <c r="EE75" s="371"/>
      <c r="EF75" s="371"/>
      <c r="EG75" s="153"/>
      <c r="EH75" s="153"/>
      <c r="EI75" s="153"/>
      <c r="EJ75" s="153"/>
      <c r="EK75" s="153"/>
      <c r="EL75" s="153"/>
      <c r="EM75" s="153"/>
      <c r="EN75" s="153"/>
      <c r="EO75" s="152">
        <f>SUMIF($I:$I,I75,$EC:$EC)</f>
        <v>0</v>
      </c>
      <c r="EP75" s="151">
        <f>SUMIF($I:$I,I75,$ED:$ED)</f>
        <v>0</v>
      </c>
      <c r="EQ75" s="153"/>
      <c r="ER75" s="153"/>
      <c r="ES75" s="153"/>
      <c r="ET75" s="153"/>
      <c r="EU75" s="152">
        <f t="shared" ref="EU75:EU79" si="99">DQ75+EO75</f>
        <v>12</v>
      </c>
      <c r="EV75" s="152">
        <f t="shared" ref="EV75:EV79" si="100">DR75+EP75</f>
        <v>1884</v>
      </c>
      <c r="EW75" s="152">
        <f t="shared" ref="EW75:EW79" si="101">DA75-EU75</f>
        <v>0</v>
      </c>
      <c r="EX75" s="152">
        <f t="shared" ref="EX75:EX79" si="102">DB75-EV75</f>
        <v>0</v>
      </c>
      <c r="EY75" s="151" t="str">
        <f t="shared" ref="EY75:EY79" si="103">IF(EW75&lt;0,"Thừa",IF(EW75=0,"Đủ","Thiếu"))</f>
        <v>Đủ</v>
      </c>
      <c r="EZ75" s="152"/>
      <c r="FA75" s="372"/>
      <c r="FB75" s="373"/>
      <c r="FC75" s="367"/>
      <c r="FD75" s="374"/>
      <c r="FE75" s="183"/>
      <c r="FF75" s="184"/>
      <c r="FG75" s="185"/>
      <c r="FH75" s="185"/>
    </row>
    <row r="76" spans="1:164" s="157" customFormat="1" ht="14" hidden="1" customHeight="1">
      <c r="A76" s="208" t="str">
        <f t="shared" si="89"/>
        <v>Hiện</v>
      </c>
      <c r="B76" s="151" t="str">
        <f t="shared" si="84"/>
        <v>Thừa</v>
      </c>
      <c r="C76" s="151">
        <f>EW76</f>
        <v>-10.4</v>
      </c>
      <c r="D76" s="151"/>
      <c r="E76" s="151"/>
      <c r="F76" s="151"/>
      <c r="G76" s="151"/>
      <c r="H76" s="151"/>
      <c r="I76" s="171" t="s">
        <v>264</v>
      </c>
      <c r="J76" s="164" t="s">
        <v>235</v>
      </c>
      <c r="K76" s="171" t="s">
        <v>305</v>
      </c>
      <c r="L76" s="233" t="s">
        <v>304</v>
      </c>
      <c r="M76" s="163" t="s">
        <v>44</v>
      </c>
      <c r="N76" s="172">
        <v>157</v>
      </c>
      <c r="O76" s="1397"/>
      <c r="P76" s="1398"/>
      <c r="Q76" s="161"/>
      <c r="R76" s="162"/>
      <c r="S76" s="161">
        <v>1.6</v>
      </c>
      <c r="T76" s="162">
        <v>251.20000000000002</v>
      </c>
      <c r="U76" s="162"/>
      <c r="V76" s="162"/>
      <c r="W76" s="162">
        <v>0</v>
      </c>
      <c r="X76" s="162">
        <v>0</v>
      </c>
      <c r="Y76" s="162">
        <v>0</v>
      </c>
      <c r="Z76" s="162">
        <v>0</v>
      </c>
      <c r="AA76" s="162">
        <v>0</v>
      </c>
      <c r="AB76" s="162">
        <v>0</v>
      </c>
      <c r="AC76" s="162">
        <v>0</v>
      </c>
      <c r="AD76" s="162">
        <v>0</v>
      </c>
      <c r="AE76" s="162">
        <v>0</v>
      </c>
      <c r="AF76" s="162">
        <v>0</v>
      </c>
      <c r="AG76" s="162">
        <v>0</v>
      </c>
      <c r="AH76" s="162">
        <v>0</v>
      </c>
      <c r="AI76" s="162">
        <f>VLOOKUP(I76,'[119]MTO-rev09'!$A:$O,11,0)</f>
        <v>0</v>
      </c>
      <c r="AJ76" s="162">
        <f>VLOOKUP(I76,'[119]MTO-rev09'!$A:$O,12,0)</f>
        <v>0</v>
      </c>
      <c r="AK76" s="162">
        <v>0</v>
      </c>
      <c r="AL76" s="162">
        <v>0</v>
      </c>
      <c r="AM76" s="162"/>
      <c r="AN76" s="162"/>
      <c r="AO76" s="162">
        <v>0</v>
      </c>
      <c r="AP76" s="162">
        <v>0</v>
      </c>
      <c r="AQ76" s="162">
        <v>0</v>
      </c>
      <c r="AR76" s="162">
        <v>0</v>
      </c>
      <c r="AS76" s="162">
        <v>0</v>
      </c>
      <c r="AT76" s="162">
        <v>0</v>
      </c>
      <c r="AU76" s="162">
        <v>0</v>
      </c>
      <c r="AV76" s="162">
        <v>0</v>
      </c>
      <c r="AW76" s="162">
        <v>0</v>
      </c>
      <c r="AX76" s="162">
        <v>0</v>
      </c>
      <c r="AY76" s="162">
        <v>0</v>
      </c>
      <c r="AZ76" s="162">
        <v>0</v>
      </c>
      <c r="BA76" s="162"/>
      <c r="BB76" s="162"/>
      <c r="BC76" s="162">
        <v>0</v>
      </c>
      <c r="BD76" s="162">
        <v>0</v>
      </c>
      <c r="BE76" s="162">
        <v>0</v>
      </c>
      <c r="BF76" s="162">
        <v>0</v>
      </c>
      <c r="BG76" s="162">
        <v>0</v>
      </c>
      <c r="BH76" s="162">
        <v>0</v>
      </c>
      <c r="BI76" s="162">
        <v>0</v>
      </c>
      <c r="BJ76" s="162">
        <v>0</v>
      </c>
      <c r="BK76" s="162">
        <v>0</v>
      </c>
      <c r="BL76" s="162">
        <v>0</v>
      </c>
      <c r="BM76" s="162">
        <v>0</v>
      </c>
      <c r="BN76" s="162">
        <v>0</v>
      </c>
      <c r="BO76" s="162"/>
      <c r="BP76" s="162"/>
      <c r="BQ76" s="162">
        <v>0</v>
      </c>
      <c r="BR76" s="162">
        <v>0</v>
      </c>
      <c r="BS76" s="162">
        <v>0</v>
      </c>
      <c r="BT76" s="162">
        <v>0</v>
      </c>
      <c r="BU76" s="162">
        <v>0</v>
      </c>
      <c r="BV76" s="162">
        <v>0</v>
      </c>
      <c r="BW76" s="162"/>
      <c r="BX76" s="162"/>
      <c r="BY76" s="162">
        <v>0</v>
      </c>
      <c r="BZ76" s="162">
        <v>0</v>
      </c>
      <c r="CA76" s="162">
        <v>0</v>
      </c>
      <c r="CB76" s="162">
        <v>0</v>
      </c>
      <c r="CC76" s="162">
        <v>0</v>
      </c>
      <c r="CD76" s="162">
        <v>0</v>
      </c>
      <c r="CE76" s="162">
        <f>VLOOKUP(I76,[120]REV33!$A:$O,11,0)</f>
        <v>0</v>
      </c>
      <c r="CF76" s="162">
        <f>VLOOKUP(I76,[120]REV33!$A:$O,12,0)</f>
        <v>0</v>
      </c>
      <c r="CG76" s="162"/>
      <c r="CH76" s="162"/>
      <c r="CI76" s="162"/>
      <c r="CJ76" s="162"/>
      <c r="CK76" s="162"/>
      <c r="CL76" s="162"/>
      <c r="CM76" s="162"/>
      <c r="CN76" s="162"/>
      <c r="CO76" s="162">
        <v>0</v>
      </c>
      <c r="CP76" s="162">
        <v>0</v>
      </c>
      <c r="CQ76" s="162">
        <v>0</v>
      </c>
      <c r="CR76" s="162">
        <v>0</v>
      </c>
      <c r="CS76" s="209">
        <f>Q76+S76+U76+W76+Y76+AA76+AC76+AE76+AG76+AI76+AK76+AM76+AO76+AQ76+AS76+AU76+AW76+AY76+BA76+BC76+BE76+BG76+BI76+BK76+BM76+BO76+BQ76+BS76+BU76+BW76+BY76+CA76+CC76+CE76+CG76+CI76+CK76+CM76+CO76+CQ76</f>
        <v>1.6</v>
      </c>
      <c r="CT76" s="209">
        <f>R76+T76+V76+X76+Z76+AB76+AD76+AF76+AH76+AJ76+AL76+AN76+AP76+AR76+AT76+AV76+AX76+AZ76+BB76+BD76+BF76+BH76+BJ76+BL76+BN76+BP76+BR76+BT76+BV76+BX76+BZ76+CB76+CD76+CF76+CH76+CJ76+CL76+CN76+CP76+CR76</f>
        <v>251.20000000000002</v>
      </c>
      <c r="CU76" s="375" t="s">
        <v>335</v>
      </c>
      <c r="CV76" s="208"/>
      <c r="CW76" s="152"/>
      <c r="CX76" s="152"/>
      <c r="CY76" s="208"/>
      <c r="CZ76" s="208"/>
      <c r="DA76" s="152">
        <f t="shared" si="97"/>
        <v>1.6</v>
      </c>
      <c r="DB76" s="152">
        <f t="shared" si="98"/>
        <v>251.20000000000002</v>
      </c>
      <c r="DC76" s="153">
        <v>45813</v>
      </c>
      <c r="DD76" s="377" t="s">
        <v>667</v>
      </c>
      <c r="DE76" s="153" t="s">
        <v>45</v>
      </c>
      <c r="DF76" s="376" t="s">
        <v>369</v>
      </c>
      <c r="DG76" s="368" t="s">
        <v>372</v>
      </c>
      <c r="DH76" s="181">
        <v>1884</v>
      </c>
      <c r="DI76" s="153">
        <v>45791</v>
      </c>
      <c r="DJ76" s="1000">
        <v>12</v>
      </c>
      <c r="DK76" s="181">
        <v>1884</v>
      </c>
      <c r="DL76" s="182">
        <v>15272.73</v>
      </c>
      <c r="DM76" s="181">
        <f t="shared" si="63"/>
        <v>31651205.652000003</v>
      </c>
      <c r="DN76" s="446">
        <f t="shared" si="64"/>
        <v>0.10000000000000007</v>
      </c>
      <c r="DO76" s="182">
        <f t="shared" si="65"/>
        <v>28773823.32</v>
      </c>
      <c r="DP76" s="275">
        <v>45794</v>
      </c>
      <c r="DQ76" s="152">
        <f>SUMIF($I:$I,I76,$DJ:$DJ)</f>
        <v>12</v>
      </c>
      <c r="DR76" s="152">
        <f>SUMIF($I:$I,I76,$DK:$DK)</f>
        <v>1884</v>
      </c>
      <c r="DS76" s="151"/>
      <c r="DT76" s="275"/>
      <c r="DU76" s="370"/>
      <c r="DV76" s="208"/>
      <c r="DW76" s="208"/>
      <c r="DX76" s="152"/>
      <c r="DY76" s="152"/>
      <c r="DZ76" s="152"/>
      <c r="EA76" s="152"/>
      <c r="EB76" s="152"/>
      <c r="EC76" s="152"/>
      <c r="ED76" s="152"/>
      <c r="EE76" s="371"/>
      <c r="EF76" s="371"/>
      <c r="EG76" s="153"/>
      <c r="EH76" s="153"/>
      <c r="EI76" s="153"/>
      <c r="EJ76" s="153"/>
      <c r="EK76" s="153"/>
      <c r="EL76" s="153"/>
      <c r="EM76" s="153"/>
      <c r="EN76" s="153"/>
      <c r="EO76" s="152">
        <f>SUMIF($I:$I,I76,$EC:$EC)</f>
        <v>0</v>
      </c>
      <c r="EP76" s="151">
        <f>SUMIF($I:$I,I76,$ED:$ED)</f>
        <v>0</v>
      </c>
      <c r="EQ76" s="153"/>
      <c r="ER76" s="153"/>
      <c r="ES76" s="153"/>
      <c r="ET76" s="153"/>
      <c r="EU76" s="152">
        <f t="shared" si="99"/>
        <v>12</v>
      </c>
      <c r="EV76" s="152">
        <f t="shared" si="100"/>
        <v>1884</v>
      </c>
      <c r="EW76" s="152">
        <f t="shared" si="101"/>
        <v>-10.4</v>
      </c>
      <c r="EX76" s="152">
        <f t="shared" si="102"/>
        <v>-1632.8</v>
      </c>
      <c r="EY76" s="151" t="str">
        <f t="shared" si="103"/>
        <v>Thừa</v>
      </c>
      <c r="EZ76" s="152"/>
      <c r="FA76" s="372"/>
      <c r="FB76" s="373"/>
      <c r="FC76" s="367"/>
      <c r="FD76" s="374"/>
      <c r="FE76" s="183"/>
      <c r="FF76" s="184"/>
      <c r="FG76" s="185"/>
      <c r="FH76" s="185"/>
    </row>
    <row r="77" spans="1:164" s="157" customFormat="1" ht="14" hidden="1" customHeight="1">
      <c r="A77" s="208" t="str">
        <f t="shared" si="89"/>
        <v>Hiện</v>
      </c>
      <c r="B77" s="151" t="str">
        <f t="shared" si="84"/>
        <v>Đủ</v>
      </c>
      <c r="C77" s="151">
        <f>EW77</f>
        <v>0</v>
      </c>
      <c r="D77" s="151"/>
      <c r="E77" s="151"/>
      <c r="F77" s="151"/>
      <c r="G77" s="151"/>
      <c r="H77" s="151"/>
      <c r="I77" s="171" t="s">
        <v>265</v>
      </c>
      <c r="J77" s="164" t="s">
        <v>235</v>
      </c>
      <c r="K77" s="171" t="s">
        <v>306</v>
      </c>
      <c r="L77" s="233" t="s">
        <v>304</v>
      </c>
      <c r="M77" s="163" t="s">
        <v>44</v>
      </c>
      <c r="N77" s="172">
        <v>314</v>
      </c>
      <c r="O77" s="177">
        <v>3.9515923566878981</v>
      </c>
      <c r="P77" s="172">
        <v>1240.8</v>
      </c>
      <c r="Q77" s="161"/>
      <c r="R77" s="162"/>
      <c r="S77" s="161">
        <v>4.8</v>
      </c>
      <c r="T77" s="162">
        <v>1507.2</v>
      </c>
      <c r="U77" s="162"/>
      <c r="V77" s="162"/>
      <c r="W77" s="162">
        <v>0</v>
      </c>
      <c r="X77" s="162">
        <v>0</v>
      </c>
      <c r="Y77" s="162">
        <v>0</v>
      </c>
      <c r="Z77" s="162">
        <v>0</v>
      </c>
      <c r="AA77" s="162">
        <v>0</v>
      </c>
      <c r="AB77" s="162">
        <v>0</v>
      </c>
      <c r="AC77" s="162">
        <v>0</v>
      </c>
      <c r="AD77" s="162">
        <v>0</v>
      </c>
      <c r="AE77" s="162">
        <v>0</v>
      </c>
      <c r="AF77" s="162">
        <v>0</v>
      </c>
      <c r="AG77" s="162">
        <v>0</v>
      </c>
      <c r="AH77" s="162">
        <v>0</v>
      </c>
      <c r="AI77" s="162">
        <f>VLOOKUP(I77,'[119]MTO-rev09'!$A:$O,11,0)</f>
        <v>0</v>
      </c>
      <c r="AJ77" s="162">
        <f>VLOOKUP(I77,'[119]MTO-rev09'!$A:$O,12,0)</f>
        <v>0</v>
      </c>
      <c r="AK77" s="162">
        <v>0</v>
      </c>
      <c r="AL77" s="162">
        <v>0</v>
      </c>
      <c r="AM77" s="162"/>
      <c r="AN77" s="162"/>
      <c r="AO77" s="162">
        <v>0</v>
      </c>
      <c r="AP77" s="162">
        <v>0</v>
      </c>
      <c r="AQ77" s="162">
        <v>0</v>
      </c>
      <c r="AR77" s="162">
        <v>0</v>
      </c>
      <c r="AS77" s="162">
        <v>0</v>
      </c>
      <c r="AT77" s="162">
        <v>0</v>
      </c>
      <c r="AU77" s="162">
        <v>0</v>
      </c>
      <c r="AV77" s="162">
        <v>0</v>
      </c>
      <c r="AW77" s="162">
        <v>0</v>
      </c>
      <c r="AX77" s="162">
        <v>0</v>
      </c>
      <c r="AY77" s="162">
        <v>0</v>
      </c>
      <c r="AZ77" s="162">
        <v>0</v>
      </c>
      <c r="BA77" s="162"/>
      <c r="BB77" s="162"/>
      <c r="BC77" s="162">
        <v>0</v>
      </c>
      <c r="BD77" s="162">
        <v>0</v>
      </c>
      <c r="BE77" s="162">
        <v>0</v>
      </c>
      <c r="BF77" s="162">
        <v>0</v>
      </c>
      <c r="BG77" s="162">
        <v>0</v>
      </c>
      <c r="BH77" s="162">
        <v>0</v>
      </c>
      <c r="BI77" s="162">
        <v>0</v>
      </c>
      <c r="BJ77" s="162">
        <v>0</v>
      </c>
      <c r="BK77" s="162">
        <v>0</v>
      </c>
      <c r="BL77" s="162">
        <v>0</v>
      </c>
      <c r="BM77" s="162">
        <v>0</v>
      </c>
      <c r="BN77" s="162">
        <v>0</v>
      </c>
      <c r="BO77" s="162"/>
      <c r="BP77" s="162"/>
      <c r="BQ77" s="162">
        <v>0</v>
      </c>
      <c r="BR77" s="162">
        <v>0</v>
      </c>
      <c r="BS77" s="162">
        <v>0</v>
      </c>
      <c r="BT77" s="162">
        <v>0</v>
      </c>
      <c r="BU77" s="162">
        <v>0</v>
      </c>
      <c r="BV77" s="162">
        <v>0</v>
      </c>
      <c r="BW77" s="162"/>
      <c r="BX77" s="162"/>
      <c r="BY77" s="162">
        <v>0</v>
      </c>
      <c r="BZ77" s="162">
        <v>0</v>
      </c>
      <c r="CA77" s="162">
        <v>0</v>
      </c>
      <c r="CB77" s="162">
        <v>0</v>
      </c>
      <c r="CC77" s="162">
        <v>0</v>
      </c>
      <c r="CD77" s="162">
        <v>0</v>
      </c>
      <c r="CE77" s="162">
        <f>VLOOKUP(I77,[120]REV33!$A:$O,11,0)</f>
        <v>0</v>
      </c>
      <c r="CF77" s="162">
        <f>VLOOKUP(I77,[120]REV33!$A:$O,12,0)</f>
        <v>0</v>
      </c>
      <c r="CG77" s="162"/>
      <c r="CH77" s="162"/>
      <c r="CI77" s="162"/>
      <c r="CJ77" s="162"/>
      <c r="CK77" s="162"/>
      <c r="CL77" s="162"/>
      <c r="CM77" s="162"/>
      <c r="CN77" s="162"/>
      <c r="CO77" s="162">
        <v>0</v>
      </c>
      <c r="CP77" s="162">
        <v>0</v>
      </c>
      <c r="CQ77" s="162">
        <v>0</v>
      </c>
      <c r="CR77" s="162">
        <v>0</v>
      </c>
      <c r="CS77" s="209">
        <f>Q77+S77+U77+W77+Y77+AA77+AC77+AE77+AG77+AI77+AK77+AM77+AO77+AQ77+AS77+AU77+AW77+AY77+BA77+BC77+BE77+BG77+BI77+BK77+BM77+BO77+BQ77+BS77+BU77+BW77+BY77+CA77+CC77+CE77+CG77+CI77+CK77+CM77+CO77+CQ77</f>
        <v>4.8</v>
      </c>
      <c r="CT77" s="209">
        <f>R77+T77+V77+X77+Z77+AB77+AD77+AF77+AH77+AJ77+AL77+AN77+AP77+AR77+AT77+AV77+AX77+AZ77+BB77+BD77+BF77+BH77+BJ77+BL77+BN77+BP77+BR77+BT77+BV77+BX77+BZ77+CB77+CD77+CF77+CH77+CJ77+CL77+CN77+CP77+CR77</f>
        <v>1507.2</v>
      </c>
      <c r="CU77" s="375" t="s">
        <v>336</v>
      </c>
      <c r="CV77" s="208"/>
      <c r="CW77" s="152">
        <v>4.8</v>
      </c>
      <c r="CX77" s="152">
        <v>1507.2</v>
      </c>
      <c r="CY77" s="208"/>
      <c r="CZ77" s="208" t="s">
        <v>373</v>
      </c>
      <c r="DA77" s="152" t="str">
        <f t="shared" si="97"/>
        <v>0</v>
      </c>
      <c r="DB77" s="152" t="str">
        <f t="shared" si="98"/>
        <v>0</v>
      </c>
      <c r="DC77" s="153">
        <v>45813</v>
      </c>
      <c r="DD77" s="153"/>
      <c r="DE77" s="153"/>
      <c r="DF77" s="376"/>
      <c r="DG77" s="368"/>
      <c r="DH77" s="181"/>
      <c r="DI77" s="275"/>
      <c r="DJ77" s="1000"/>
      <c r="DK77" s="181"/>
      <c r="DL77" s="182"/>
      <c r="DM77" s="182"/>
      <c r="DN77" s="182"/>
      <c r="DO77" s="182"/>
      <c r="DP77" s="275"/>
      <c r="DQ77" s="152">
        <f>SUMIF($I:$I,I77,$DJ:$DJ)</f>
        <v>0</v>
      </c>
      <c r="DR77" s="152">
        <f>SUMIF($I:$I,I77,$DK:$DK)</f>
        <v>0</v>
      </c>
      <c r="DS77" s="151"/>
      <c r="DT77" s="275"/>
      <c r="DU77" s="370"/>
      <c r="DV77" s="208"/>
      <c r="DW77" s="208"/>
      <c r="DX77" s="152"/>
      <c r="DY77" s="152"/>
      <c r="DZ77" s="152"/>
      <c r="EA77" s="152"/>
      <c r="EB77" s="152"/>
      <c r="EC77" s="152"/>
      <c r="ED77" s="152"/>
      <c r="EE77" s="371"/>
      <c r="EF77" s="371"/>
      <c r="EG77" s="153"/>
      <c r="EH77" s="153"/>
      <c r="EI77" s="153"/>
      <c r="EJ77" s="153"/>
      <c r="EK77" s="153"/>
      <c r="EL77" s="153"/>
      <c r="EM77" s="153"/>
      <c r="EN77" s="153"/>
      <c r="EO77" s="152">
        <f>SUMIF($I:$I,I77,$EC:$EC)</f>
        <v>0</v>
      </c>
      <c r="EP77" s="151">
        <f>SUMIF($I:$I,I77,$ED:$ED)</f>
        <v>0</v>
      </c>
      <c r="EQ77" s="153"/>
      <c r="ER77" s="153"/>
      <c r="ES77" s="153"/>
      <c r="ET77" s="153"/>
      <c r="EU77" s="152">
        <f t="shared" si="99"/>
        <v>0</v>
      </c>
      <c r="EV77" s="152">
        <f t="shared" si="100"/>
        <v>0</v>
      </c>
      <c r="EW77" s="152">
        <f t="shared" si="101"/>
        <v>0</v>
      </c>
      <c r="EX77" s="152">
        <f t="shared" si="102"/>
        <v>0</v>
      </c>
      <c r="EY77" s="151" t="str">
        <f t="shared" si="103"/>
        <v>Đủ</v>
      </c>
      <c r="EZ77" s="152"/>
      <c r="FA77" s="372"/>
      <c r="FB77" s="373"/>
      <c r="FC77" s="367"/>
      <c r="FD77" s="374"/>
      <c r="FE77" s="183"/>
      <c r="FF77" s="184"/>
      <c r="FG77" s="185"/>
      <c r="FH77" s="185"/>
    </row>
    <row r="78" spans="1:164" s="157" customFormat="1" ht="14" hidden="1" customHeight="1">
      <c r="A78" s="208" t="str">
        <f t="shared" si="89"/>
        <v>Hiện</v>
      </c>
      <c r="B78" s="151" t="str">
        <f t="shared" si="84"/>
        <v>Thừa</v>
      </c>
      <c r="C78" s="151">
        <f>EW78</f>
        <v>-4.7184000000000879</v>
      </c>
      <c r="D78" s="151"/>
      <c r="E78" s="151"/>
      <c r="F78" s="151"/>
      <c r="G78" s="151"/>
      <c r="H78" s="151"/>
      <c r="I78" s="171" t="s">
        <v>266</v>
      </c>
      <c r="J78" s="164" t="s">
        <v>267</v>
      </c>
      <c r="K78" s="171" t="s">
        <v>307</v>
      </c>
      <c r="L78" s="233" t="s">
        <v>308</v>
      </c>
      <c r="M78" s="163" t="s">
        <v>61</v>
      </c>
      <c r="N78" s="172">
        <v>19.899999999999999</v>
      </c>
      <c r="O78" s="172">
        <v>589.79199999999992</v>
      </c>
      <c r="P78" s="172">
        <v>11730.32</v>
      </c>
      <c r="Q78" s="161"/>
      <c r="R78" s="162"/>
      <c r="S78" s="161">
        <v>619.28159999999991</v>
      </c>
      <c r="T78" s="162">
        <v>12323.703839999996</v>
      </c>
      <c r="U78" s="162"/>
      <c r="V78" s="162"/>
      <c r="W78" s="162">
        <v>0</v>
      </c>
      <c r="X78" s="162">
        <v>0</v>
      </c>
      <c r="Y78" s="162">
        <v>0</v>
      </c>
      <c r="Z78" s="162">
        <v>0</v>
      </c>
      <c r="AA78" s="162">
        <v>0</v>
      </c>
      <c r="AB78" s="162">
        <v>0</v>
      </c>
      <c r="AC78" s="162">
        <v>0</v>
      </c>
      <c r="AD78" s="162">
        <v>0</v>
      </c>
      <c r="AE78" s="162">
        <v>0</v>
      </c>
      <c r="AF78" s="162">
        <v>0</v>
      </c>
      <c r="AG78" s="162">
        <v>0</v>
      </c>
      <c r="AH78" s="162">
        <v>0</v>
      </c>
      <c r="AI78" s="162">
        <f>VLOOKUP(I78,'[119]MTO-rev09'!$A:$O,11,0)</f>
        <v>0</v>
      </c>
      <c r="AJ78" s="162">
        <f>VLOOKUP(I78,'[119]MTO-rev09'!$A:$O,12,0)</f>
        <v>0</v>
      </c>
      <c r="AK78" s="162">
        <v>0</v>
      </c>
      <c r="AL78" s="162">
        <v>0</v>
      </c>
      <c r="AM78" s="162"/>
      <c r="AN78" s="162"/>
      <c r="AO78" s="162">
        <v>0</v>
      </c>
      <c r="AP78" s="162">
        <v>0</v>
      </c>
      <c r="AQ78" s="162">
        <v>0</v>
      </c>
      <c r="AR78" s="162">
        <v>0</v>
      </c>
      <c r="AS78" s="162">
        <v>0</v>
      </c>
      <c r="AT78" s="162">
        <v>0</v>
      </c>
      <c r="AU78" s="162">
        <v>0</v>
      </c>
      <c r="AV78" s="162">
        <v>0</v>
      </c>
      <c r="AW78" s="162">
        <v>0</v>
      </c>
      <c r="AX78" s="162">
        <v>0</v>
      </c>
      <c r="AY78" s="162">
        <v>0</v>
      </c>
      <c r="AZ78" s="162">
        <v>0</v>
      </c>
      <c r="BA78" s="162"/>
      <c r="BB78" s="162"/>
      <c r="BC78" s="162">
        <v>0</v>
      </c>
      <c r="BD78" s="162">
        <v>0</v>
      </c>
      <c r="BE78" s="162">
        <v>0</v>
      </c>
      <c r="BF78" s="162">
        <v>0</v>
      </c>
      <c r="BG78" s="162">
        <v>0</v>
      </c>
      <c r="BH78" s="162">
        <v>0</v>
      </c>
      <c r="BI78" s="162">
        <v>0</v>
      </c>
      <c r="BJ78" s="162">
        <v>0</v>
      </c>
      <c r="BK78" s="162">
        <v>0</v>
      </c>
      <c r="BL78" s="162">
        <v>0</v>
      </c>
      <c r="BM78" s="162">
        <v>0</v>
      </c>
      <c r="BN78" s="162">
        <v>0</v>
      </c>
      <c r="BO78" s="162"/>
      <c r="BP78" s="162"/>
      <c r="BQ78" s="162">
        <v>0</v>
      </c>
      <c r="BR78" s="162">
        <v>0</v>
      </c>
      <c r="BS78" s="162">
        <v>0</v>
      </c>
      <c r="BT78" s="162">
        <v>0</v>
      </c>
      <c r="BU78" s="162">
        <v>0</v>
      </c>
      <c r="BV78" s="162">
        <v>0</v>
      </c>
      <c r="BW78" s="162"/>
      <c r="BX78" s="162"/>
      <c r="BY78" s="162">
        <v>0</v>
      </c>
      <c r="BZ78" s="162">
        <v>0</v>
      </c>
      <c r="CA78" s="162">
        <v>0</v>
      </c>
      <c r="CB78" s="162">
        <v>0</v>
      </c>
      <c r="CC78" s="162">
        <v>0</v>
      </c>
      <c r="CD78" s="162">
        <v>0</v>
      </c>
      <c r="CE78" s="162">
        <f>VLOOKUP(I78,[120]REV33!$A:$O,11,0)</f>
        <v>0</v>
      </c>
      <c r="CF78" s="162">
        <f>VLOOKUP(I78,[120]REV33!$A:$O,12,0)</f>
        <v>0</v>
      </c>
      <c r="CG78" s="162"/>
      <c r="CH78" s="162"/>
      <c r="CI78" s="162"/>
      <c r="CJ78" s="162"/>
      <c r="CK78" s="162"/>
      <c r="CL78" s="162"/>
      <c r="CM78" s="162"/>
      <c r="CN78" s="162"/>
      <c r="CO78" s="162">
        <v>0</v>
      </c>
      <c r="CP78" s="162">
        <v>0</v>
      </c>
      <c r="CQ78" s="162">
        <v>0</v>
      </c>
      <c r="CR78" s="162">
        <v>0</v>
      </c>
      <c r="CS78" s="209">
        <f>Q78+S78+U78+W78+Y78+AA78+AC78+AE78+AG78+AI78+AK78+AM78+AO78+AQ78+AS78+AU78+AW78+AY78+BA78+BC78+BE78+BG78+BI78+BK78+BM78+BO78+BQ78+BS78+BU78+BW78+BY78+CA78+CC78+CE78+CG78+CI78+CK78+CM78+CO78+CQ78</f>
        <v>619.28159999999991</v>
      </c>
      <c r="CT78" s="209">
        <f>R78+T78+V78+X78+Z78+AB78+AD78+AF78+AH78+AJ78+AL78+AN78+AP78+AR78+AT78+AV78+AX78+AZ78+BB78+BD78+BF78+BH78+BJ78+BL78+BN78+BP78+BR78+BT78+BV78+BX78+BZ78+CB78+CD78+CF78+CH78+CJ78+CL78+CN78+CP78+CR78</f>
        <v>12323.703839999996</v>
      </c>
      <c r="CU78" s="375" t="s">
        <v>337</v>
      </c>
      <c r="CV78" s="208"/>
      <c r="CW78" s="152"/>
      <c r="CX78" s="152"/>
      <c r="CY78" s="208"/>
      <c r="CZ78" s="208"/>
      <c r="DA78" s="152">
        <f t="shared" si="97"/>
        <v>619.28159999999991</v>
      </c>
      <c r="DB78" s="152">
        <f t="shared" si="98"/>
        <v>12323.703839999996</v>
      </c>
      <c r="DC78" s="153">
        <v>45813</v>
      </c>
      <c r="DD78" s="153"/>
      <c r="DE78" s="153"/>
      <c r="DF78" s="376"/>
      <c r="DG78" s="368"/>
      <c r="DH78" s="181"/>
      <c r="DI78" s="275"/>
      <c r="DJ78" s="1000"/>
      <c r="DK78" s="181"/>
      <c r="DL78" s="182"/>
      <c r="DM78" s="182"/>
      <c r="DN78" s="182"/>
      <c r="DO78" s="182"/>
      <c r="DP78" s="275"/>
      <c r="DQ78" s="152">
        <f>SUMIF($I:$I,I78,$DJ:$DJ)</f>
        <v>0</v>
      </c>
      <c r="DR78" s="152">
        <f>SUMIF($I:$I,I78,$DK:$DK)</f>
        <v>0</v>
      </c>
      <c r="DS78" s="151"/>
      <c r="DT78" s="275"/>
      <c r="DU78" s="370"/>
      <c r="DV78" s="208"/>
      <c r="DW78" s="208" t="s">
        <v>517</v>
      </c>
      <c r="DX78" s="152" t="s">
        <v>46</v>
      </c>
      <c r="DY78" s="171" t="s">
        <v>307</v>
      </c>
      <c r="DZ78" s="152"/>
      <c r="EA78" s="152">
        <v>12417.6</v>
      </c>
      <c r="EB78" s="153">
        <v>45784</v>
      </c>
      <c r="EC78" s="152">
        <v>624</v>
      </c>
      <c r="ED78" s="152">
        <v>12417.6</v>
      </c>
      <c r="EE78" s="396">
        <f>0.0140000072674221+0.987</f>
        <v>1.0010000072674221</v>
      </c>
      <c r="EF78" s="371">
        <f>EE78*ED78</f>
        <v>12430.017690243942</v>
      </c>
      <c r="EG78" s="153">
        <v>45786</v>
      </c>
      <c r="EH78" s="153"/>
      <c r="EI78" s="153"/>
      <c r="EJ78" s="153"/>
      <c r="EK78" s="153"/>
      <c r="EL78" s="153">
        <v>45823</v>
      </c>
      <c r="EM78" s="153">
        <v>45824</v>
      </c>
      <c r="EN78" s="153"/>
      <c r="EO78" s="152">
        <f>SUMIF($I:$I,I78,$EC:$EC)</f>
        <v>624</v>
      </c>
      <c r="EP78" s="151">
        <f>SUMIF($I:$I,I78,$ED:$ED)</f>
        <v>12417.6</v>
      </c>
      <c r="EQ78" s="153"/>
      <c r="ER78" s="153"/>
      <c r="ES78" s="153"/>
      <c r="ET78" s="153"/>
      <c r="EU78" s="152">
        <f t="shared" si="99"/>
        <v>624</v>
      </c>
      <c r="EV78" s="152">
        <f t="shared" si="100"/>
        <v>12417.6</v>
      </c>
      <c r="EW78" s="152">
        <f t="shared" si="101"/>
        <v>-4.7184000000000879</v>
      </c>
      <c r="EX78" s="152">
        <f t="shared" si="102"/>
        <v>-93.896160000003874</v>
      </c>
      <c r="EY78" s="151" t="str">
        <f t="shared" si="103"/>
        <v>Thừa</v>
      </c>
      <c r="EZ78" s="152"/>
      <c r="FA78" s="372"/>
      <c r="FB78" s="373"/>
      <c r="FC78" s="367"/>
      <c r="FD78" s="374"/>
      <c r="FE78" s="183"/>
      <c r="FF78" s="184"/>
      <c r="FG78" s="185"/>
      <c r="FH78" s="185"/>
    </row>
    <row r="79" spans="1:164" s="157" customFormat="1" ht="14" hidden="1" customHeight="1">
      <c r="A79" s="208" t="str">
        <f t="shared" si="89"/>
        <v>Hiện</v>
      </c>
      <c r="B79" s="151" t="str">
        <f t="shared" si="84"/>
        <v>Thừa</v>
      </c>
      <c r="C79" s="151">
        <f>EW79</f>
        <v>-8.9793000000000021</v>
      </c>
      <c r="D79" s="151"/>
      <c r="E79" s="151"/>
      <c r="F79" s="151"/>
      <c r="G79" s="151"/>
      <c r="H79" s="151"/>
      <c r="I79" s="171" t="s">
        <v>268</v>
      </c>
      <c r="J79" s="164" t="s">
        <v>267</v>
      </c>
      <c r="K79" s="171" t="s">
        <v>309</v>
      </c>
      <c r="L79" s="233" t="s">
        <v>308</v>
      </c>
      <c r="M79" s="163" t="s">
        <v>61</v>
      </c>
      <c r="N79" s="172">
        <v>42.3</v>
      </c>
      <c r="O79" s="172">
        <v>25.733999999999998</v>
      </c>
      <c r="P79" s="172">
        <v>1087.8</v>
      </c>
      <c r="Q79" s="161"/>
      <c r="R79" s="162"/>
      <c r="S79" s="161">
        <v>27.020699999999998</v>
      </c>
      <c r="T79" s="162">
        <v>1142.9756099999997</v>
      </c>
      <c r="U79" s="162"/>
      <c r="V79" s="162"/>
      <c r="W79" s="162">
        <v>0</v>
      </c>
      <c r="X79" s="162">
        <v>0</v>
      </c>
      <c r="Y79" s="162">
        <v>0</v>
      </c>
      <c r="Z79" s="162">
        <v>0</v>
      </c>
      <c r="AA79" s="162">
        <v>12</v>
      </c>
      <c r="AB79" s="162">
        <v>507.59999999999997</v>
      </c>
      <c r="AC79" s="162">
        <v>0</v>
      </c>
      <c r="AD79" s="162">
        <v>0</v>
      </c>
      <c r="AE79" s="162">
        <v>0</v>
      </c>
      <c r="AF79" s="162">
        <v>0</v>
      </c>
      <c r="AG79" s="162">
        <v>0</v>
      </c>
      <c r="AH79" s="162">
        <v>0</v>
      </c>
      <c r="AI79" s="162">
        <f>VLOOKUP(I79,'[119]MTO-rev09'!$A:$O,11,0)</f>
        <v>0</v>
      </c>
      <c r="AJ79" s="162">
        <f>VLOOKUP(I79,'[119]MTO-rev09'!$A:$O,12,0)</f>
        <v>0</v>
      </c>
      <c r="AK79" s="162">
        <v>0</v>
      </c>
      <c r="AL79" s="162">
        <v>0</v>
      </c>
      <c r="AM79" s="162"/>
      <c r="AN79" s="162"/>
      <c r="AO79" s="162">
        <v>0</v>
      </c>
      <c r="AP79" s="162">
        <v>0</v>
      </c>
      <c r="AQ79" s="162">
        <v>0</v>
      </c>
      <c r="AR79" s="162">
        <v>0</v>
      </c>
      <c r="AS79" s="162">
        <v>0</v>
      </c>
      <c r="AT79" s="162">
        <v>0</v>
      </c>
      <c r="AU79" s="162">
        <v>0</v>
      </c>
      <c r="AV79" s="162">
        <v>0</v>
      </c>
      <c r="AW79" s="162">
        <v>0</v>
      </c>
      <c r="AX79" s="162">
        <v>0</v>
      </c>
      <c r="AY79" s="162">
        <v>0</v>
      </c>
      <c r="AZ79" s="162">
        <v>0</v>
      </c>
      <c r="BA79" s="162"/>
      <c r="BB79" s="162"/>
      <c r="BC79" s="162">
        <v>0</v>
      </c>
      <c r="BD79" s="162">
        <v>0</v>
      </c>
      <c r="BE79" s="162">
        <v>0</v>
      </c>
      <c r="BF79" s="162">
        <v>0</v>
      </c>
      <c r="BG79" s="162">
        <v>0</v>
      </c>
      <c r="BH79" s="162">
        <v>0</v>
      </c>
      <c r="BI79" s="162">
        <v>0</v>
      </c>
      <c r="BJ79" s="162">
        <v>0</v>
      </c>
      <c r="BK79" s="162">
        <v>0</v>
      </c>
      <c r="BL79" s="162">
        <v>0</v>
      </c>
      <c r="BM79" s="162">
        <v>0</v>
      </c>
      <c r="BN79" s="162">
        <v>0</v>
      </c>
      <c r="BO79" s="162"/>
      <c r="BP79" s="162"/>
      <c r="BQ79" s="162">
        <v>0</v>
      </c>
      <c r="BR79" s="162">
        <v>0</v>
      </c>
      <c r="BS79" s="162">
        <v>0</v>
      </c>
      <c r="BT79" s="162">
        <v>0</v>
      </c>
      <c r="BU79" s="162">
        <v>0</v>
      </c>
      <c r="BV79" s="162">
        <v>0</v>
      </c>
      <c r="BW79" s="162"/>
      <c r="BX79" s="162"/>
      <c r="BY79" s="162">
        <v>0</v>
      </c>
      <c r="BZ79" s="162">
        <v>0</v>
      </c>
      <c r="CA79" s="162">
        <v>0</v>
      </c>
      <c r="CB79" s="162">
        <v>0</v>
      </c>
      <c r="CC79" s="162">
        <v>0</v>
      </c>
      <c r="CD79" s="162">
        <v>0</v>
      </c>
      <c r="CE79" s="162">
        <f>VLOOKUP(I79,[120]REV33!$A:$O,11,0)</f>
        <v>0</v>
      </c>
      <c r="CF79" s="162">
        <f>VLOOKUP(I79,[120]REV33!$A:$O,12,0)</f>
        <v>0</v>
      </c>
      <c r="CG79" s="162"/>
      <c r="CH79" s="162"/>
      <c r="CI79" s="162"/>
      <c r="CJ79" s="162"/>
      <c r="CK79" s="162"/>
      <c r="CL79" s="162"/>
      <c r="CM79" s="162"/>
      <c r="CN79" s="162"/>
      <c r="CO79" s="162">
        <v>0</v>
      </c>
      <c r="CP79" s="162">
        <v>0</v>
      </c>
      <c r="CQ79" s="162">
        <v>0</v>
      </c>
      <c r="CR79" s="162">
        <v>0</v>
      </c>
      <c r="CS79" s="209">
        <f>Q79+S79+U79+W79+Y79+AA79+AC79+AE79+AG79+AI79+AK79+AM79+AO79+AQ79+AS79+AU79+AW79+AY79+BA79+BC79+BE79+BG79+BI79+BK79+BM79+BO79+BQ79+BS79+BU79+BW79+BY79+CA79+CC79+CE79+CG79+CI79+CK79+CM79+CO79+CQ79</f>
        <v>39.020699999999998</v>
      </c>
      <c r="CT79" s="209">
        <f>R79+T79+V79+X79+Z79+AB79+AD79+AF79+AH79+AJ79+AL79+AN79+AP79+AR79+AT79+AV79+AX79+AZ79+BB79+BD79+BF79+BH79+BJ79+BL79+BN79+BP79+BR79+BT79+BV79+BX79+BZ79+CB79+CD79+CF79+CH79+CJ79+CL79+CN79+CP79+CR79</f>
        <v>1650.5756099999996</v>
      </c>
      <c r="CU79" s="375" t="s">
        <v>500</v>
      </c>
      <c r="CV79" s="208"/>
      <c r="CW79" s="152"/>
      <c r="CX79" s="152"/>
      <c r="CY79" s="208"/>
      <c r="CZ79" s="208"/>
      <c r="DA79" s="152">
        <f t="shared" si="97"/>
        <v>39.020699999999998</v>
      </c>
      <c r="DB79" s="152">
        <f t="shared" si="98"/>
        <v>1650.5756099999996</v>
      </c>
      <c r="DC79" s="153">
        <v>45813</v>
      </c>
      <c r="DD79" s="153"/>
      <c r="DE79" s="153"/>
      <c r="DF79" s="376"/>
      <c r="DG79" s="368"/>
      <c r="DH79" s="181"/>
      <c r="DI79" s="275"/>
      <c r="DJ79" s="1000"/>
      <c r="DK79" s="181"/>
      <c r="DL79" s="182"/>
      <c r="DM79" s="182"/>
      <c r="DN79" s="182"/>
      <c r="DO79" s="182"/>
      <c r="DP79" s="275"/>
      <c r="DQ79" s="152">
        <f>SUMIF($I:$I,I79,$DJ:$DJ)</f>
        <v>0</v>
      </c>
      <c r="DR79" s="152">
        <f>SUMIF($I:$I,I79,$DK:$DK)</f>
        <v>0</v>
      </c>
      <c r="DS79" s="151"/>
      <c r="DT79" s="275"/>
      <c r="DU79" s="370"/>
      <c r="DV79" s="208"/>
      <c r="DW79" s="208" t="s">
        <v>517</v>
      </c>
      <c r="DX79" s="152" t="s">
        <v>46</v>
      </c>
      <c r="DY79" s="171" t="s">
        <v>309</v>
      </c>
      <c r="DZ79" s="152"/>
      <c r="EA79" s="152">
        <v>1522.8</v>
      </c>
      <c r="EB79" s="153">
        <v>45784</v>
      </c>
      <c r="EC79" s="152">
        <v>36</v>
      </c>
      <c r="ED79" s="152">
        <v>1522.8</v>
      </c>
      <c r="EE79" s="396">
        <f>0.0140000072674221+0.981</f>
        <v>0.9950000072674221</v>
      </c>
      <c r="EF79" s="371">
        <f t="shared" ref="EF79:EF98" si="104">EE79*ED79</f>
        <v>1515.1860110668304</v>
      </c>
      <c r="EG79" s="153">
        <v>45786</v>
      </c>
      <c r="EH79" s="153"/>
      <c r="EI79" s="153"/>
      <c r="EJ79" s="153"/>
      <c r="EK79" s="153"/>
      <c r="EL79" s="153">
        <v>45823</v>
      </c>
      <c r="EM79" s="153">
        <v>45824</v>
      </c>
      <c r="EN79" s="153"/>
      <c r="EO79" s="152">
        <f>SUMIF($I:$I,I79,$EC:$EC)</f>
        <v>48</v>
      </c>
      <c r="EP79" s="151">
        <f>SUMIF($I:$I,I79,$ED:$ED)</f>
        <v>2030.3999999999999</v>
      </c>
      <c r="EQ79" s="153"/>
      <c r="ER79" s="153"/>
      <c r="ES79" s="153"/>
      <c r="ET79" s="153"/>
      <c r="EU79" s="152">
        <f t="shared" si="99"/>
        <v>48</v>
      </c>
      <c r="EV79" s="152">
        <f t="shared" si="100"/>
        <v>2030.3999999999999</v>
      </c>
      <c r="EW79" s="152">
        <f t="shared" si="101"/>
        <v>-8.9793000000000021</v>
      </c>
      <c r="EX79" s="152">
        <f t="shared" si="102"/>
        <v>-379.82439000000022</v>
      </c>
      <c r="EY79" s="151" t="str">
        <f t="shared" si="103"/>
        <v>Thừa</v>
      </c>
      <c r="EZ79" s="152"/>
      <c r="FA79" s="372"/>
      <c r="FB79" s="373"/>
      <c r="FC79" s="367"/>
      <c r="FD79" s="374"/>
      <c r="FE79" s="183"/>
      <c r="FF79" s="184"/>
      <c r="FG79" s="185"/>
      <c r="FH79" s="185"/>
    </row>
    <row r="80" spans="1:164" s="386" customFormat="1" ht="14" hidden="1" customHeight="1">
      <c r="A80" s="208" t="str">
        <f t="shared" si="89"/>
        <v>ok</v>
      </c>
      <c r="B80" s="151"/>
      <c r="C80" s="151"/>
      <c r="D80" s="151"/>
      <c r="E80" s="151"/>
      <c r="F80" s="151"/>
      <c r="G80" s="151"/>
      <c r="H80" s="151"/>
      <c r="I80" s="171" t="s">
        <v>268</v>
      </c>
      <c r="J80" s="164" t="s">
        <v>267</v>
      </c>
      <c r="K80" s="171" t="s">
        <v>309</v>
      </c>
      <c r="L80" s="233" t="s">
        <v>308</v>
      </c>
      <c r="M80" s="163" t="s">
        <v>61</v>
      </c>
      <c r="N80" s="172"/>
      <c r="O80" s="172"/>
      <c r="P80" s="172"/>
      <c r="Q80" s="161"/>
      <c r="R80" s="162"/>
      <c r="S80" s="161"/>
      <c r="T80" s="162"/>
      <c r="U80" s="162"/>
      <c r="V80" s="162"/>
      <c r="W80" s="162"/>
      <c r="X80" s="162"/>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c r="BF80" s="162"/>
      <c r="BG80" s="162"/>
      <c r="BH80" s="162"/>
      <c r="BI80" s="162"/>
      <c r="BJ80" s="162"/>
      <c r="BK80" s="162"/>
      <c r="BL80" s="162"/>
      <c r="BM80" s="162"/>
      <c r="BN80" s="162"/>
      <c r="BO80" s="162"/>
      <c r="BP80" s="162"/>
      <c r="BQ80" s="162"/>
      <c r="BR80" s="162"/>
      <c r="BS80" s="162"/>
      <c r="BT80" s="162"/>
      <c r="BU80" s="162"/>
      <c r="BV80" s="162"/>
      <c r="BW80" s="162"/>
      <c r="BX80" s="162"/>
      <c r="BY80" s="162"/>
      <c r="BZ80" s="162"/>
      <c r="CA80" s="162"/>
      <c r="CB80" s="162"/>
      <c r="CC80" s="162"/>
      <c r="CD80" s="162"/>
      <c r="CE80" s="162"/>
      <c r="CF80" s="162"/>
      <c r="CG80" s="162"/>
      <c r="CH80" s="162"/>
      <c r="CI80" s="162"/>
      <c r="CJ80" s="162"/>
      <c r="CK80" s="162"/>
      <c r="CL80" s="162"/>
      <c r="CM80" s="162"/>
      <c r="CN80" s="162"/>
      <c r="CO80" s="162"/>
      <c r="CP80" s="162"/>
      <c r="CQ80" s="162"/>
      <c r="CR80" s="162"/>
      <c r="CS80" s="209"/>
      <c r="CT80" s="209"/>
      <c r="CU80" s="375"/>
      <c r="CV80" s="208"/>
      <c r="CW80" s="152"/>
      <c r="CX80" s="152"/>
      <c r="CY80" s="208"/>
      <c r="CZ80" s="208"/>
      <c r="DA80" s="152"/>
      <c r="DB80" s="152"/>
      <c r="DC80" s="153"/>
      <c r="DD80" s="153"/>
      <c r="DE80" s="153"/>
      <c r="DF80" s="376"/>
      <c r="DG80" s="368"/>
      <c r="DH80" s="181"/>
      <c r="DI80" s="275"/>
      <c r="DJ80" s="1000"/>
      <c r="DK80" s="181"/>
      <c r="DL80" s="182"/>
      <c r="DM80" s="182"/>
      <c r="DN80" s="182"/>
      <c r="DO80" s="182"/>
      <c r="DP80" s="275"/>
      <c r="DQ80" s="152"/>
      <c r="DR80" s="152"/>
      <c r="DS80" s="151"/>
      <c r="DT80" s="275"/>
      <c r="DU80" s="370"/>
      <c r="DV80" s="208"/>
      <c r="DW80" s="208" t="s">
        <v>594</v>
      </c>
      <c r="DX80" s="208" t="s">
        <v>46</v>
      </c>
      <c r="DY80" s="171" t="s">
        <v>595</v>
      </c>
      <c r="DZ80" s="152" t="s">
        <v>596</v>
      </c>
      <c r="EA80" s="152">
        <v>507.59999999999997</v>
      </c>
      <c r="EB80" s="153">
        <v>45833</v>
      </c>
      <c r="EC80" s="152">
        <v>12</v>
      </c>
      <c r="ED80" s="152">
        <v>507.59999999999997</v>
      </c>
      <c r="EE80" s="396">
        <f>0.113081035655641+0.994</f>
        <v>1.1070810356556411</v>
      </c>
      <c r="EF80" s="371">
        <f>EE80*ED80</f>
        <v>561.95433369880334</v>
      </c>
      <c r="EG80" s="153">
        <v>45846</v>
      </c>
      <c r="EH80" s="153"/>
      <c r="EI80" s="153"/>
      <c r="EJ80" s="153"/>
      <c r="EK80" s="153"/>
      <c r="EL80" s="153"/>
      <c r="EM80" s="153">
        <v>45869</v>
      </c>
      <c r="EN80" s="153">
        <v>45869</v>
      </c>
      <c r="EO80" s="152"/>
      <c r="EP80" s="151"/>
      <c r="EQ80" s="153"/>
      <c r="ER80" s="153"/>
      <c r="ES80" s="153"/>
      <c r="ET80" s="153"/>
      <c r="EU80" s="152"/>
      <c r="EV80" s="152"/>
      <c r="EW80" s="152"/>
      <c r="EX80" s="152"/>
      <c r="EY80" s="151"/>
      <c r="EZ80" s="152"/>
      <c r="FA80" s="372"/>
      <c r="FB80" s="373"/>
      <c r="FC80" s="384"/>
      <c r="FD80" s="385"/>
      <c r="FE80" s="210"/>
      <c r="FF80" s="211"/>
      <c r="FG80" s="212"/>
      <c r="FH80" s="212"/>
    </row>
    <row r="81" spans="1:164" s="157" customFormat="1" ht="14" hidden="1" customHeight="1">
      <c r="A81" s="208" t="str">
        <f t="shared" si="89"/>
        <v>Hiện</v>
      </c>
      <c r="B81" s="151" t="str">
        <f t="shared" si="84"/>
        <v>Đủ</v>
      </c>
      <c r="C81" s="151">
        <f>EW81</f>
        <v>0</v>
      </c>
      <c r="D81" s="151"/>
      <c r="E81" s="151"/>
      <c r="F81" s="151"/>
      <c r="G81" s="151"/>
      <c r="H81" s="151"/>
      <c r="I81" s="171" t="s">
        <v>269</v>
      </c>
      <c r="J81" s="164" t="s">
        <v>267</v>
      </c>
      <c r="K81" s="171" t="s">
        <v>310</v>
      </c>
      <c r="L81" s="233" t="s">
        <v>308</v>
      </c>
      <c r="M81" s="163" t="s">
        <v>61</v>
      </c>
      <c r="N81" s="172">
        <v>105</v>
      </c>
      <c r="O81" s="172">
        <v>850.33199999999999</v>
      </c>
      <c r="P81" s="172">
        <v>89053.1</v>
      </c>
      <c r="Q81" s="161"/>
      <c r="R81" s="162"/>
      <c r="S81" s="161">
        <v>876</v>
      </c>
      <c r="T81" s="162">
        <v>91980</v>
      </c>
      <c r="U81" s="162"/>
      <c r="V81" s="162"/>
      <c r="W81" s="162">
        <v>0</v>
      </c>
      <c r="X81" s="162">
        <v>0</v>
      </c>
      <c r="Y81" s="162">
        <v>72</v>
      </c>
      <c r="Z81" s="162">
        <v>7560</v>
      </c>
      <c r="AA81" s="162">
        <v>540</v>
      </c>
      <c r="AB81" s="162">
        <v>56700</v>
      </c>
      <c r="AC81" s="162">
        <v>0</v>
      </c>
      <c r="AD81" s="162">
        <v>0</v>
      </c>
      <c r="AE81" s="162">
        <v>0</v>
      </c>
      <c r="AF81" s="162">
        <v>0</v>
      </c>
      <c r="AG81" s="162">
        <v>0</v>
      </c>
      <c r="AH81" s="162">
        <v>0</v>
      </c>
      <c r="AI81" s="162">
        <f>VLOOKUP(I81,'[119]MTO-rev09'!$A:$O,11,0)</f>
        <v>0</v>
      </c>
      <c r="AJ81" s="162">
        <f>VLOOKUP(I81,'[119]MTO-rev09'!$A:$O,12,0)</f>
        <v>0</v>
      </c>
      <c r="AK81" s="162">
        <v>0</v>
      </c>
      <c r="AL81" s="162">
        <v>0</v>
      </c>
      <c r="AM81" s="162"/>
      <c r="AN81" s="162"/>
      <c r="AO81" s="162">
        <v>0</v>
      </c>
      <c r="AP81" s="162">
        <v>0</v>
      </c>
      <c r="AQ81" s="162">
        <v>0</v>
      </c>
      <c r="AR81" s="162">
        <v>0</v>
      </c>
      <c r="AS81" s="162">
        <v>0</v>
      </c>
      <c r="AT81" s="162">
        <v>0</v>
      </c>
      <c r="AU81" s="162">
        <v>0</v>
      </c>
      <c r="AV81" s="162">
        <v>0</v>
      </c>
      <c r="AW81" s="162">
        <v>0</v>
      </c>
      <c r="AX81" s="162">
        <v>0</v>
      </c>
      <c r="AY81" s="162">
        <v>0</v>
      </c>
      <c r="AZ81" s="162">
        <v>0</v>
      </c>
      <c r="BA81" s="162"/>
      <c r="BB81" s="162"/>
      <c r="BC81" s="162">
        <v>0</v>
      </c>
      <c r="BD81" s="162">
        <v>0</v>
      </c>
      <c r="BE81" s="162">
        <v>0</v>
      </c>
      <c r="BF81" s="162">
        <v>0</v>
      </c>
      <c r="BG81" s="162">
        <v>0</v>
      </c>
      <c r="BH81" s="162">
        <v>0</v>
      </c>
      <c r="BI81" s="162">
        <v>0</v>
      </c>
      <c r="BJ81" s="162">
        <v>0</v>
      </c>
      <c r="BK81" s="162">
        <v>0</v>
      </c>
      <c r="BL81" s="162">
        <v>0</v>
      </c>
      <c r="BM81" s="162">
        <v>0</v>
      </c>
      <c r="BN81" s="162">
        <v>0</v>
      </c>
      <c r="BO81" s="162"/>
      <c r="BP81" s="162"/>
      <c r="BQ81" s="162">
        <v>0</v>
      </c>
      <c r="BR81" s="162">
        <v>0</v>
      </c>
      <c r="BS81" s="162">
        <v>0</v>
      </c>
      <c r="BT81" s="162">
        <v>0</v>
      </c>
      <c r="BU81" s="162">
        <v>0</v>
      </c>
      <c r="BV81" s="162">
        <v>0</v>
      </c>
      <c r="BW81" s="162"/>
      <c r="BX81" s="162"/>
      <c r="BY81" s="162">
        <v>0</v>
      </c>
      <c r="BZ81" s="162">
        <v>0</v>
      </c>
      <c r="CA81" s="162">
        <v>0</v>
      </c>
      <c r="CB81" s="162">
        <v>0</v>
      </c>
      <c r="CC81" s="162">
        <v>0</v>
      </c>
      <c r="CD81" s="162">
        <v>0</v>
      </c>
      <c r="CE81" s="162">
        <f>VLOOKUP(I81,[120]REV33!$A:$O,11,0)</f>
        <v>0</v>
      </c>
      <c r="CF81" s="162">
        <f>VLOOKUP(I81,[120]REV33!$A:$O,12,0)</f>
        <v>0</v>
      </c>
      <c r="CG81" s="162"/>
      <c r="CH81" s="162"/>
      <c r="CI81" s="162"/>
      <c r="CJ81" s="162"/>
      <c r="CK81" s="162"/>
      <c r="CL81" s="162"/>
      <c r="CM81" s="162"/>
      <c r="CN81" s="162"/>
      <c r="CO81" s="162">
        <v>0</v>
      </c>
      <c r="CP81" s="162">
        <v>0</v>
      </c>
      <c r="CQ81" s="162">
        <v>0</v>
      </c>
      <c r="CR81" s="162">
        <v>0</v>
      </c>
      <c r="CS81" s="209">
        <f>Q81+S81+U81+W81+Y81+AA81+AC81+AE81+AG81+AI81+AK81+AM81+AO81+AQ81+AS81+AU81+AW81+AY81+BA81+BC81+BE81+BG81+BI81+BK81+BM81+BO81+BQ81+BS81+BU81+BW81+BY81+CA81+CC81+CE81+CG81+CI81+CK81+CM81+CO81+CQ81</f>
        <v>1488</v>
      </c>
      <c r="CT81" s="209">
        <f>R81+T81+V81+X81+Z81+AB81+AD81+AF81+AH81+AJ81+AL81+AN81+AP81+AR81+AT81+AV81+AX81+AZ81+BB81+BD81+BF81+BH81+BJ81+BL81+BN81+BP81+BR81+BT81+BV81+BX81+BZ81+CB81+CD81+CF81+CH81+CJ81+CL81+CN81+CP81+CR81</f>
        <v>156240</v>
      </c>
      <c r="CU81" s="375" t="s">
        <v>501</v>
      </c>
      <c r="CV81" s="208"/>
      <c r="CW81" s="152"/>
      <c r="CX81" s="152"/>
      <c r="CY81" s="208"/>
      <c r="CZ81" s="208"/>
      <c r="DA81" s="152">
        <f>IF(CS81&gt;CW81,CS81-CW81,"0")</f>
        <v>1488</v>
      </c>
      <c r="DB81" s="152">
        <f>IF(CT81&gt;CX81,CT81-CX81,"0")</f>
        <v>156240</v>
      </c>
      <c r="DC81" s="153">
        <v>45813</v>
      </c>
      <c r="DD81" s="153"/>
      <c r="DE81" s="153"/>
      <c r="DF81" s="376"/>
      <c r="DG81" s="368"/>
      <c r="DH81" s="181"/>
      <c r="DI81" s="275"/>
      <c r="DJ81" s="1000"/>
      <c r="DK81" s="181"/>
      <c r="DL81" s="182"/>
      <c r="DM81" s="182"/>
      <c r="DN81" s="182"/>
      <c r="DO81" s="182"/>
      <c r="DP81" s="275"/>
      <c r="DQ81" s="152">
        <f>SUMIF($I:$I,I81,$DJ:$DJ)</f>
        <v>0</v>
      </c>
      <c r="DR81" s="152">
        <f>SUMIF($I:$I,I81,$DK:$DK)</f>
        <v>0</v>
      </c>
      <c r="DS81" s="151"/>
      <c r="DT81" s="275"/>
      <c r="DU81" s="370"/>
      <c r="DV81" s="208"/>
      <c r="DW81" s="208" t="s">
        <v>517</v>
      </c>
      <c r="DX81" s="152" t="s">
        <v>46</v>
      </c>
      <c r="DY81" s="171" t="s">
        <v>310</v>
      </c>
      <c r="DZ81" s="152"/>
      <c r="EA81" s="152">
        <v>91980</v>
      </c>
      <c r="EB81" s="153">
        <v>45784</v>
      </c>
      <c r="EC81" s="152">
        <v>876</v>
      </c>
      <c r="ED81" s="152">
        <v>91980</v>
      </c>
      <c r="EE81" s="396">
        <f>0.0140000072674221+0.994</f>
        <v>1.008000007267422</v>
      </c>
      <c r="EF81" s="371">
        <f t="shared" si="104"/>
        <v>92715.840668457473</v>
      </c>
      <c r="EG81" s="153">
        <v>45786</v>
      </c>
      <c r="EH81" s="153"/>
      <c r="EI81" s="153"/>
      <c r="EJ81" s="153"/>
      <c r="EK81" s="153"/>
      <c r="EL81" s="153">
        <v>45823</v>
      </c>
      <c r="EM81" s="153">
        <v>45824</v>
      </c>
      <c r="EN81" s="153"/>
      <c r="EO81" s="152">
        <f>SUMIF($I:$I,I81,$EC:$EC)</f>
        <v>1488</v>
      </c>
      <c r="EP81" s="151">
        <f>SUMIF($I:$I,I81,$ED:$ED)</f>
        <v>156240</v>
      </c>
      <c r="EQ81" s="153"/>
      <c r="ER81" s="153"/>
      <c r="ES81" s="153"/>
      <c r="ET81" s="153"/>
      <c r="EU81" s="152">
        <f>DQ81+EO81</f>
        <v>1488</v>
      </c>
      <c r="EV81" s="152">
        <f>DR81+EP81</f>
        <v>156240</v>
      </c>
      <c r="EW81" s="152">
        <f t="shared" ref="EW81" si="105">DA81-EU81</f>
        <v>0</v>
      </c>
      <c r="EX81" s="152">
        <f t="shared" ref="EX81" si="106">DB81-EV81</f>
        <v>0</v>
      </c>
      <c r="EY81" s="151" t="str">
        <f>IF(EW81&lt;0,"Thừa",IF(EW81=0,"Đủ","Thiếu"))</f>
        <v>Đủ</v>
      </c>
      <c r="EZ81" s="152"/>
      <c r="FA81" s="372"/>
      <c r="FB81" s="373"/>
      <c r="FC81" s="367"/>
      <c r="FD81" s="374"/>
      <c r="FE81" s="183"/>
      <c r="FF81" s="184"/>
      <c r="FG81" s="185"/>
      <c r="FH81" s="185"/>
    </row>
    <row r="82" spans="1:164" s="386" customFormat="1" ht="14" hidden="1" customHeight="1">
      <c r="A82" s="208" t="str">
        <f t="shared" si="89"/>
        <v>ok</v>
      </c>
      <c r="B82" s="151"/>
      <c r="C82" s="151"/>
      <c r="D82" s="151"/>
      <c r="E82" s="151"/>
      <c r="F82" s="151"/>
      <c r="G82" s="151"/>
      <c r="H82" s="151"/>
      <c r="I82" s="171" t="s">
        <v>269</v>
      </c>
      <c r="J82" s="164" t="s">
        <v>267</v>
      </c>
      <c r="K82" s="171" t="s">
        <v>310</v>
      </c>
      <c r="L82" s="233" t="s">
        <v>308</v>
      </c>
      <c r="M82" s="163" t="s">
        <v>61</v>
      </c>
      <c r="N82" s="172"/>
      <c r="O82" s="172"/>
      <c r="P82" s="172"/>
      <c r="Q82" s="161"/>
      <c r="R82" s="162"/>
      <c r="S82" s="161"/>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2"/>
      <c r="BN82" s="162"/>
      <c r="BO82" s="162"/>
      <c r="BP82" s="162"/>
      <c r="BQ82" s="162"/>
      <c r="BR82" s="162"/>
      <c r="BS82" s="162"/>
      <c r="BT82" s="162"/>
      <c r="BU82" s="162"/>
      <c r="BV82" s="162"/>
      <c r="BW82" s="162"/>
      <c r="BX82" s="162"/>
      <c r="BY82" s="162"/>
      <c r="BZ82" s="162"/>
      <c r="CA82" s="162"/>
      <c r="CB82" s="162"/>
      <c r="CC82" s="162"/>
      <c r="CD82" s="162"/>
      <c r="CE82" s="162"/>
      <c r="CF82" s="162"/>
      <c r="CG82" s="162"/>
      <c r="CH82" s="162"/>
      <c r="CI82" s="162"/>
      <c r="CJ82" s="162"/>
      <c r="CK82" s="162"/>
      <c r="CL82" s="162"/>
      <c r="CM82" s="162"/>
      <c r="CN82" s="162"/>
      <c r="CO82" s="162"/>
      <c r="CP82" s="162"/>
      <c r="CQ82" s="162"/>
      <c r="CR82" s="162"/>
      <c r="CS82" s="209"/>
      <c r="CT82" s="209"/>
      <c r="CU82" s="375"/>
      <c r="CV82" s="208"/>
      <c r="CW82" s="152"/>
      <c r="CX82" s="152"/>
      <c r="CY82" s="208"/>
      <c r="CZ82" s="208"/>
      <c r="DA82" s="152"/>
      <c r="DB82" s="152"/>
      <c r="DC82" s="153"/>
      <c r="DD82" s="153"/>
      <c r="DE82" s="153"/>
      <c r="DF82" s="376"/>
      <c r="DG82" s="368"/>
      <c r="DH82" s="181"/>
      <c r="DI82" s="275"/>
      <c r="DJ82" s="1000"/>
      <c r="DK82" s="181"/>
      <c r="DL82" s="182"/>
      <c r="DM82" s="182"/>
      <c r="DN82" s="182"/>
      <c r="DO82" s="182"/>
      <c r="DP82" s="275"/>
      <c r="DQ82" s="152"/>
      <c r="DR82" s="152"/>
      <c r="DS82" s="151"/>
      <c r="DT82" s="275"/>
      <c r="DU82" s="370"/>
      <c r="DV82" s="208"/>
      <c r="DW82" s="208" t="s">
        <v>594</v>
      </c>
      <c r="DX82" s="208" t="s">
        <v>46</v>
      </c>
      <c r="DY82" s="171" t="s">
        <v>597</v>
      </c>
      <c r="DZ82" s="152" t="s">
        <v>544</v>
      </c>
      <c r="EA82" s="152">
        <v>56700</v>
      </c>
      <c r="EB82" s="153">
        <v>45833</v>
      </c>
      <c r="EC82" s="152">
        <v>540</v>
      </c>
      <c r="ED82" s="152">
        <v>56700</v>
      </c>
      <c r="EE82" s="396">
        <f>0.113081035655641+0.994</f>
        <v>1.1070810356556411</v>
      </c>
      <c r="EF82" s="371">
        <f>EE82*ED82</f>
        <v>62771.494721674848</v>
      </c>
      <c r="EG82" s="153">
        <v>45846</v>
      </c>
      <c r="EH82" s="153"/>
      <c r="EI82" s="153"/>
      <c r="EJ82" s="153"/>
      <c r="EK82" s="153"/>
      <c r="EL82" s="153"/>
      <c r="EM82" s="153">
        <v>45869</v>
      </c>
      <c r="EN82" s="153">
        <v>45869</v>
      </c>
      <c r="EO82" s="152"/>
      <c r="EP82" s="151"/>
      <c r="EQ82" s="153"/>
      <c r="ER82" s="153"/>
      <c r="ES82" s="153"/>
      <c r="ET82" s="153"/>
      <c r="EU82" s="152"/>
      <c r="EV82" s="152"/>
      <c r="EW82" s="152"/>
      <c r="EX82" s="152"/>
      <c r="EY82" s="151"/>
      <c r="EZ82" s="152"/>
      <c r="FA82" s="372"/>
      <c r="FB82" s="373"/>
      <c r="FC82" s="379"/>
      <c r="FD82" s="380"/>
      <c r="FE82" s="219"/>
      <c r="FF82" s="220"/>
      <c r="FG82" s="221"/>
      <c r="FH82" s="221"/>
    </row>
    <row r="83" spans="1:164" s="386" customFormat="1" ht="14" hidden="1" customHeight="1">
      <c r="A83" s="208" t="str">
        <f t="shared" si="89"/>
        <v>ok</v>
      </c>
      <c r="B83" s="151"/>
      <c r="C83" s="151"/>
      <c r="D83" s="151"/>
      <c r="E83" s="151"/>
      <c r="F83" s="151"/>
      <c r="G83" s="151"/>
      <c r="H83" s="151"/>
      <c r="I83" s="171" t="s">
        <v>269</v>
      </c>
      <c r="J83" s="164" t="s">
        <v>267</v>
      </c>
      <c r="K83" s="171" t="s">
        <v>310</v>
      </c>
      <c r="L83" s="233" t="s">
        <v>308</v>
      </c>
      <c r="M83" s="163" t="s">
        <v>61</v>
      </c>
      <c r="N83" s="172"/>
      <c r="O83" s="172"/>
      <c r="P83" s="172"/>
      <c r="Q83" s="161"/>
      <c r="R83" s="162"/>
      <c r="S83" s="161"/>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c r="BF83" s="162"/>
      <c r="BG83" s="162"/>
      <c r="BH83" s="162"/>
      <c r="BI83" s="162"/>
      <c r="BJ83" s="162"/>
      <c r="BK83" s="162"/>
      <c r="BL83" s="162"/>
      <c r="BM83" s="162"/>
      <c r="BN83" s="162"/>
      <c r="BO83" s="162"/>
      <c r="BP83" s="162"/>
      <c r="BQ83" s="162"/>
      <c r="BR83" s="162"/>
      <c r="BS83" s="162"/>
      <c r="BT83" s="162"/>
      <c r="BU83" s="162"/>
      <c r="BV83" s="162"/>
      <c r="BW83" s="162"/>
      <c r="BX83" s="162"/>
      <c r="BY83" s="162"/>
      <c r="BZ83" s="162"/>
      <c r="CA83" s="162"/>
      <c r="CB83" s="162"/>
      <c r="CC83" s="162"/>
      <c r="CD83" s="162"/>
      <c r="CE83" s="162"/>
      <c r="CF83" s="162"/>
      <c r="CG83" s="162"/>
      <c r="CH83" s="162"/>
      <c r="CI83" s="162"/>
      <c r="CJ83" s="162"/>
      <c r="CK83" s="162"/>
      <c r="CL83" s="162"/>
      <c r="CM83" s="162"/>
      <c r="CN83" s="162"/>
      <c r="CO83" s="162"/>
      <c r="CP83" s="162"/>
      <c r="CQ83" s="162"/>
      <c r="CR83" s="162"/>
      <c r="CS83" s="209"/>
      <c r="CT83" s="209"/>
      <c r="CU83" s="375"/>
      <c r="CV83" s="208"/>
      <c r="CW83" s="152"/>
      <c r="CX83" s="152"/>
      <c r="CY83" s="208"/>
      <c r="CZ83" s="208"/>
      <c r="DA83" s="152"/>
      <c r="DB83" s="152"/>
      <c r="DC83" s="153"/>
      <c r="DD83" s="153"/>
      <c r="DE83" s="153"/>
      <c r="DF83" s="376"/>
      <c r="DG83" s="368"/>
      <c r="DH83" s="181"/>
      <c r="DI83" s="275"/>
      <c r="DJ83" s="1000"/>
      <c r="DK83" s="181"/>
      <c r="DL83" s="182"/>
      <c r="DM83" s="182"/>
      <c r="DN83" s="182"/>
      <c r="DO83" s="182"/>
      <c r="DP83" s="275"/>
      <c r="DQ83" s="152"/>
      <c r="DR83" s="152"/>
      <c r="DS83" s="151"/>
      <c r="DT83" s="275"/>
      <c r="DU83" s="370"/>
      <c r="DV83" s="208"/>
      <c r="DW83" s="208" t="s">
        <v>575</v>
      </c>
      <c r="DX83" s="152" t="s">
        <v>518</v>
      </c>
      <c r="DY83" s="171" t="s">
        <v>576</v>
      </c>
      <c r="DZ83" s="152" t="s">
        <v>736</v>
      </c>
      <c r="EA83" s="152">
        <v>7560</v>
      </c>
      <c r="EB83" s="153">
        <v>45813</v>
      </c>
      <c r="EC83" s="152">
        <v>72</v>
      </c>
      <c r="ED83" s="152">
        <v>7560</v>
      </c>
      <c r="EE83" s="396">
        <f>0.0577454062236541+0.994</f>
        <v>1.0517454062236542</v>
      </c>
      <c r="EF83" s="371">
        <f t="shared" si="104"/>
        <v>7951.1952710508258</v>
      </c>
      <c r="EG83" s="153">
        <v>45833</v>
      </c>
      <c r="EH83" s="153"/>
      <c r="EI83" s="153"/>
      <c r="EJ83" s="153">
        <v>45851</v>
      </c>
      <c r="EK83" s="153">
        <v>45851</v>
      </c>
      <c r="EL83" s="153">
        <v>45853</v>
      </c>
      <c r="EM83" s="153">
        <v>45853</v>
      </c>
      <c r="EN83" s="153">
        <v>45853</v>
      </c>
      <c r="EO83" s="152"/>
      <c r="EP83" s="151"/>
      <c r="EQ83" s="153"/>
      <c r="ER83" s="153"/>
      <c r="ES83" s="153"/>
      <c r="ET83" s="153"/>
      <c r="EU83" s="152"/>
      <c r="EV83" s="152"/>
      <c r="EW83" s="152"/>
      <c r="EX83" s="152"/>
      <c r="EY83" s="151"/>
      <c r="EZ83" s="152"/>
      <c r="FA83" s="372"/>
      <c r="FB83" s="373"/>
      <c r="FC83" s="381"/>
      <c r="FD83" s="382"/>
      <c r="FE83" s="222"/>
      <c r="FF83" s="223"/>
      <c r="FG83" s="224"/>
      <c r="FH83" s="224"/>
    </row>
    <row r="84" spans="1:164" s="157" customFormat="1" ht="14" hidden="1" customHeight="1">
      <c r="A84" s="208" t="str">
        <f t="shared" si="89"/>
        <v>Hiện</v>
      </c>
      <c r="B84" s="151" t="str">
        <f t="shared" si="84"/>
        <v>Thừa</v>
      </c>
      <c r="C84" s="151">
        <f>EW84</f>
        <v>-5.5</v>
      </c>
      <c r="D84" s="151"/>
      <c r="E84" s="151"/>
      <c r="F84" s="151"/>
      <c r="G84" s="151"/>
      <c r="H84" s="151"/>
      <c r="I84" s="171" t="s">
        <v>270</v>
      </c>
      <c r="J84" s="164" t="s">
        <v>267</v>
      </c>
      <c r="K84" s="171" t="s">
        <v>718</v>
      </c>
      <c r="L84" s="233" t="s">
        <v>308</v>
      </c>
      <c r="M84" s="163" t="s">
        <v>61</v>
      </c>
      <c r="N84" s="172">
        <v>83.2</v>
      </c>
      <c r="O84" s="172">
        <v>2.8879999999999999</v>
      </c>
      <c r="P84" s="172">
        <v>187.52</v>
      </c>
      <c r="Q84" s="161"/>
      <c r="R84" s="162"/>
      <c r="S84" s="161">
        <v>3</v>
      </c>
      <c r="T84" s="162">
        <v>249.60000000000002</v>
      </c>
      <c r="U84" s="162"/>
      <c r="V84" s="162"/>
      <c r="W84" s="162">
        <v>0</v>
      </c>
      <c r="X84" s="162">
        <v>0</v>
      </c>
      <c r="Y84" s="162">
        <v>0</v>
      </c>
      <c r="Z84" s="162">
        <v>0</v>
      </c>
      <c r="AA84" s="162">
        <v>3.5</v>
      </c>
      <c r="AB84" s="162">
        <v>291.2</v>
      </c>
      <c r="AC84" s="162">
        <v>0</v>
      </c>
      <c r="AD84" s="162">
        <v>0</v>
      </c>
      <c r="AE84" s="162">
        <v>0</v>
      </c>
      <c r="AF84" s="162">
        <v>0</v>
      </c>
      <c r="AG84" s="162">
        <v>0</v>
      </c>
      <c r="AH84" s="162">
        <v>0</v>
      </c>
      <c r="AI84" s="162">
        <f>VLOOKUP(I84,'[119]MTO-rev09'!$A:$O,11,0)</f>
        <v>0</v>
      </c>
      <c r="AJ84" s="162">
        <f>VLOOKUP(I84,'[119]MTO-rev09'!$A:$O,12,0)</f>
        <v>0</v>
      </c>
      <c r="AK84" s="162">
        <v>0</v>
      </c>
      <c r="AL84" s="162">
        <v>0</v>
      </c>
      <c r="AM84" s="162"/>
      <c r="AN84" s="162"/>
      <c r="AO84" s="162">
        <v>0</v>
      </c>
      <c r="AP84" s="162">
        <v>0</v>
      </c>
      <c r="AQ84" s="162">
        <v>0</v>
      </c>
      <c r="AR84" s="162">
        <v>0</v>
      </c>
      <c r="AS84" s="162">
        <v>0</v>
      </c>
      <c r="AT84" s="162">
        <v>0</v>
      </c>
      <c r="AU84" s="162">
        <v>0</v>
      </c>
      <c r="AV84" s="162">
        <v>0</v>
      </c>
      <c r="AW84" s="162">
        <v>0</v>
      </c>
      <c r="AX84" s="162">
        <v>0</v>
      </c>
      <c r="AY84" s="162">
        <v>0</v>
      </c>
      <c r="AZ84" s="162">
        <v>0</v>
      </c>
      <c r="BA84" s="162"/>
      <c r="BB84" s="162"/>
      <c r="BC84" s="162">
        <v>0</v>
      </c>
      <c r="BD84" s="162">
        <v>0</v>
      </c>
      <c r="BE84" s="162">
        <v>0</v>
      </c>
      <c r="BF84" s="162">
        <v>0</v>
      </c>
      <c r="BG84" s="162">
        <v>0</v>
      </c>
      <c r="BH84" s="162">
        <v>0</v>
      </c>
      <c r="BI84" s="162">
        <v>0</v>
      </c>
      <c r="BJ84" s="162">
        <v>0</v>
      </c>
      <c r="BK84" s="162">
        <v>0</v>
      </c>
      <c r="BL84" s="162">
        <v>0</v>
      </c>
      <c r="BM84" s="162">
        <v>0</v>
      </c>
      <c r="BN84" s="162">
        <v>0</v>
      </c>
      <c r="BO84" s="162"/>
      <c r="BP84" s="162"/>
      <c r="BQ84" s="162">
        <v>0</v>
      </c>
      <c r="BR84" s="162">
        <v>0</v>
      </c>
      <c r="BS84" s="162">
        <v>0</v>
      </c>
      <c r="BT84" s="162">
        <v>0</v>
      </c>
      <c r="BU84" s="162">
        <v>0</v>
      </c>
      <c r="BV84" s="162">
        <v>0</v>
      </c>
      <c r="BW84" s="162"/>
      <c r="BX84" s="162"/>
      <c r="BY84" s="162">
        <v>0</v>
      </c>
      <c r="BZ84" s="162">
        <v>0</v>
      </c>
      <c r="CA84" s="162">
        <v>0</v>
      </c>
      <c r="CB84" s="162">
        <v>0</v>
      </c>
      <c r="CC84" s="162">
        <v>0</v>
      </c>
      <c r="CD84" s="162">
        <v>0</v>
      </c>
      <c r="CE84" s="162">
        <f>VLOOKUP(I84,[120]REV33!$A:$O,11,0)</f>
        <v>0</v>
      </c>
      <c r="CF84" s="162">
        <f>VLOOKUP(I84,[120]REV33!$A:$O,12,0)</f>
        <v>0</v>
      </c>
      <c r="CG84" s="162"/>
      <c r="CH84" s="162"/>
      <c r="CI84" s="162"/>
      <c r="CJ84" s="162"/>
      <c r="CK84" s="162"/>
      <c r="CL84" s="162"/>
      <c r="CM84" s="162"/>
      <c r="CN84" s="162"/>
      <c r="CO84" s="162">
        <v>0</v>
      </c>
      <c r="CP84" s="162">
        <v>0</v>
      </c>
      <c r="CQ84" s="162">
        <v>0</v>
      </c>
      <c r="CR84" s="162">
        <v>0</v>
      </c>
      <c r="CS84" s="209">
        <f>Q84+S84+U84+W84+Y84+AA84+AC84+AE84+AG84+AI84+AK84+AM84+AO84+AQ84+AS84+AU84+AW84+AY84+BA84+BC84+BE84+BG84+BI84+BK84+BM84+BO84+BQ84+BS84+BU84+BW84+BY84+CA84+CC84+CE84+CG84+CI84+CK84+CM84+CO84+CQ84</f>
        <v>6.5</v>
      </c>
      <c r="CT84" s="209">
        <f>R84+T84+V84+X84+Z84+AB84+AD84+AF84+AH84+AJ84+AL84+AN84+AP84+AR84+AT84+AV84+AX84+AZ84+BB84+BD84+BF84+BH84+BJ84+BL84+BN84+BP84+BR84+BT84+BV84+BX84+BZ84+CB84+CD84+CF84+CH84+CJ84+CL84+CN84+CP84+CR84</f>
        <v>540.79999999999995</v>
      </c>
      <c r="CU84" s="375" t="s">
        <v>502</v>
      </c>
      <c r="CV84" s="208"/>
      <c r="CW84" s="152"/>
      <c r="CX84" s="152"/>
      <c r="CY84" s="208"/>
      <c r="CZ84" s="208"/>
      <c r="DA84" s="152">
        <f t="shared" ref="DA84:DA88" si="107">IF(CS84&gt;CW84,CS84-CW84,"0")</f>
        <v>6.5</v>
      </c>
      <c r="DB84" s="152">
        <f t="shared" ref="DB84:DB88" si="108">IF(CT84&gt;CX84,CT84-CX84,"0")</f>
        <v>540.79999999999995</v>
      </c>
      <c r="DC84" s="153">
        <v>45813</v>
      </c>
      <c r="DD84" s="153"/>
      <c r="DE84" s="153"/>
      <c r="DF84" s="376"/>
      <c r="DG84" s="368"/>
      <c r="DH84" s="181"/>
      <c r="DI84" s="275"/>
      <c r="DJ84" s="1000"/>
      <c r="DK84" s="181"/>
      <c r="DL84" s="182"/>
      <c r="DM84" s="182"/>
      <c r="DN84" s="182"/>
      <c r="DO84" s="182"/>
      <c r="DP84" s="275"/>
      <c r="DQ84" s="152">
        <f>SUMIF($I:$I,I84,$DJ:$DJ)</f>
        <v>0</v>
      </c>
      <c r="DR84" s="152">
        <f>SUMIF($I:$I,I84,$DK:$DK)</f>
        <v>0</v>
      </c>
      <c r="DS84" s="151"/>
      <c r="DT84" s="275"/>
      <c r="DU84" s="370"/>
      <c r="DV84" s="208"/>
      <c r="DW84" s="208" t="s">
        <v>517</v>
      </c>
      <c r="DX84" s="152" t="s">
        <v>46</v>
      </c>
      <c r="DY84" s="171" t="s">
        <v>311</v>
      </c>
      <c r="DZ84" s="152"/>
      <c r="EA84" s="152">
        <v>998.4</v>
      </c>
      <c r="EB84" s="153">
        <v>45784</v>
      </c>
      <c r="EC84" s="152">
        <v>12</v>
      </c>
      <c r="ED84" s="152">
        <v>998.4</v>
      </c>
      <c r="EE84" s="396">
        <f>0.0140000072674221+0.977</f>
        <v>0.9910000072674221</v>
      </c>
      <c r="EF84" s="371">
        <f t="shared" si="104"/>
        <v>989.41440725579423</v>
      </c>
      <c r="EG84" s="153">
        <v>45786</v>
      </c>
      <c r="EH84" s="153"/>
      <c r="EI84" s="153"/>
      <c r="EJ84" s="153"/>
      <c r="EK84" s="153"/>
      <c r="EL84" s="153">
        <v>45823</v>
      </c>
      <c r="EM84" s="153">
        <v>45824</v>
      </c>
      <c r="EN84" s="153"/>
      <c r="EO84" s="152">
        <f>SUMIF($I:$I,I84,$EC:$EC)</f>
        <v>12</v>
      </c>
      <c r="EP84" s="151">
        <f>SUMIF($I:$I,I84,$ED:$ED)</f>
        <v>998.4</v>
      </c>
      <c r="EQ84" s="153"/>
      <c r="ER84" s="153"/>
      <c r="ES84" s="153"/>
      <c r="ET84" s="153"/>
      <c r="EU84" s="152">
        <f t="shared" ref="EU84:EU88" si="109">DQ84+EO84</f>
        <v>12</v>
      </c>
      <c r="EV84" s="152">
        <f t="shared" ref="EV84:EV88" si="110">DR84+EP84</f>
        <v>998.4</v>
      </c>
      <c r="EW84" s="152">
        <f t="shared" ref="EW84:EW88" si="111">DA84-EU84</f>
        <v>-5.5</v>
      </c>
      <c r="EX84" s="152">
        <f t="shared" ref="EX84:EX88" si="112">DB84-EV84</f>
        <v>-457.6</v>
      </c>
      <c r="EY84" s="151" t="str">
        <f t="shared" ref="EY84:EY88" si="113">IF(EW84&lt;0,"Thừa",IF(EW84=0,"Đủ","Thiếu"))</f>
        <v>Thừa</v>
      </c>
      <c r="EZ84" s="152"/>
      <c r="FA84" s="372"/>
      <c r="FB84" s="373"/>
      <c r="FC84" s="367"/>
      <c r="FD84" s="374"/>
      <c r="FE84" s="183"/>
      <c r="FF84" s="184"/>
      <c r="FG84" s="185"/>
      <c r="FH84" s="185"/>
    </row>
    <row r="85" spans="1:164" s="157" customFormat="1" ht="14" hidden="1" customHeight="1">
      <c r="A85" s="208" t="str">
        <f t="shared" si="89"/>
        <v>Hiện</v>
      </c>
      <c r="B85" s="151" t="str">
        <f>CONCATENATE(EY85," Dùng cùng I90-A43")</f>
        <v>Thiếu Dùng cùng I90-A43</v>
      </c>
      <c r="C85" s="151">
        <f>EW85</f>
        <v>60</v>
      </c>
      <c r="D85" s="151"/>
      <c r="E85" s="151"/>
      <c r="F85" s="151"/>
      <c r="G85" s="151" t="s">
        <v>551</v>
      </c>
      <c r="H85" s="151"/>
      <c r="I85" s="171" t="s">
        <v>271</v>
      </c>
      <c r="J85" s="164" t="s">
        <v>267</v>
      </c>
      <c r="K85" s="171" t="s">
        <v>312</v>
      </c>
      <c r="L85" s="233" t="s">
        <v>308</v>
      </c>
      <c r="M85" s="163" t="s">
        <v>61</v>
      </c>
      <c r="N85" s="172">
        <v>117</v>
      </c>
      <c r="O85" s="172">
        <v>53.576000000000001</v>
      </c>
      <c r="P85" s="172">
        <v>4285.2800000000007</v>
      </c>
      <c r="Q85" s="161"/>
      <c r="R85" s="162"/>
      <c r="S85" s="161">
        <v>56.254800000000003</v>
      </c>
      <c r="T85" s="162">
        <v>6581.8116</v>
      </c>
      <c r="U85" s="162"/>
      <c r="V85" s="162"/>
      <c r="W85" s="162">
        <v>0</v>
      </c>
      <c r="X85" s="162">
        <v>0</v>
      </c>
      <c r="Y85" s="162">
        <v>0</v>
      </c>
      <c r="Z85" s="162">
        <v>0</v>
      </c>
      <c r="AA85" s="162">
        <v>63.745199999999997</v>
      </c>
      <c r="AB85" s="162">
        <v>7458.1884</v>
      </c>
      <c r="AC85" s="162">
        <v>0</v>
      </c>
      <c r="AD85" s="162">
        <v>0</v>
      </c>
      <c r="AE85" s="162">
        <v>0</v>
      </c>
      <c r="AF85" s="162">
        <v>0</v>
      </c>
      <c r="AG85" s="162">
        <v>0</v>
      </c>
      <c r="AH85" s="162">
        <v>0</v>
      </c>
      <c r="AI85" s="162">
        <f>VLOOKUP(I85,'[119]MTO-rev09'!$A:$O,11,0)</f>
        <v>0</v>
      </c>
      <c r="AJ85" s="162">
        <f>VLOOKUP(I85,'[119]MTO-rev09'!$A:$O,12,0)</f>
        <v>0</v>
      </c>
      <c r="AK85" s="162">
        <v>0</v>
      </c>
      <c r="AL85" s="162">
        <v>0</v>
      </c>
      <c r="AM85" s="162"/>
      <c r="AN85" s="162"/>
      <c r="AO85" s="162">
        <v>0</v>
      </c>
      <c r="AP85" s="162">
        <v>0</v>
      </c>
      <c r="AQ85" s="162">
        <v>0</v>
      </c>
      <c r="AR85" s="162">
        <v>0</v>
      </c>
      <c r="AS85" s="162">
        <v>0</v>
      </c>
      <c r="AT85" s="162">
        <v>0</v>
      </c>
      <c r="AU85" s="162">
        <v>0</v>
      </c>
      <c r="AV85" s="162">
        <v>0</v>
      </c>
      <c r="AW85" s="162">
        <v>0</v>
      </c>
      <c r="AX85" s="162">
        <v>0</v>
      </c>
      <c r="AY85" s="162">
        <v>0</v>
      </c>
      <c r="AZ85" s="162">
        <v>0</v>
      </c>
      <c r="BA85" s="162"/>
      <c r="BB85" s="162"/>
      <c r="BC85" s="162">
        <v>0</v>
      </c>
      <c r="BD85" s="162">
        <v>0</v>
      </c>
      <c r="BE85" s="162">
        <v>0</v>
      </c>
      <c r="BF85" s="162">
        <v>0</v>
      </c>
      <c r="BG85" s="162">
        <v>0</v>
      </c>
      <c r="BH85" s="162">
        <v>0</v>
      </c>
      <c r="BI85" s="162">
        <v>0</v>
      </c>
      <c r="BJ85" s="162">
        <v>0</v>
      </c>
      <c r="BK85" s="162">
        <v>0</v>
      </c>
      <c r="BL85" s="162">
        <v>0</v>
      </c>
      <c r="BM85" s="162">
        <v>0</v>
      </c>
      <c r="BN85" s="162">
        <v>0</v>
      </c>
      <c r="BO85" s="162"/>
      <c r="BP85" s="162"/>
      <c r="BQ85" s="162">
        <v>0</v>
      </c>
      <c r="BR85" s="162">
        <v>0</v>
      </c>
      <c r="BS85" s="162">
        <v>0</v>
      </c>
      <c r="BT85" s="162">
        <v>0</v>
      </c>
      <c r="BU85" s="162">
        <v>0</v>
      </c>
      <c r="BV85" s="162">
        <v>0</v>
      </c>
      <c r="BW85" s="162"/>
      <c r="BX85" s="162"/>
      <c r="BY85" s="162">
        <v>0</v>
      </c>
      <c r="BZ85" s="162">
        <v>0</v>
      </c>
      <c r="CA85" s="162">
        <v>0</v>
      </c>
      <c r="CB85" s="162">
        <v>0</v>
      </c>
      <c r="CC85" s="162">
        <v>0</v>
      </c>
      <c r="CD85" s="162">
        <v>0</v>
      </c>
      <c r="CE85" s="162">
        <f>VLOOKUP(I85,[120]REV33!$A:$O,11,0)</f>
        <v>0</v>
      </c>
      <c r="CF85" s="162">
        <f>VLOOKUP(I85,[120]REV33!$A:$O,12,0)</f>
        <v>0</v>
      </c>
      <c r="CG85" s="162"/>
      <c r="CH85" s="162"/>
      <c r="CI85" s="162"/>
      <c r="CJ85" s="162"/>
      <c r="CK85" s="162"/>
      <c r="CL85" s="162"/>
      <c r="CM85" s="162"/>
      <c r="CN85" s="162"/>
      <c r="CO85" s="162">
        <v>0</v>
      </c>
      <c r="CP85" s="162">
        <v>0</v>
      </c>
      <c r="CQ85" s="162">
        <v>0</v>
      </c>
      <c r="CR85" s="162">
        <v>0</v>
      </c>
      <c r="CS85" s="209">
        <f>Q85+S85+U85+W85+Y85+AA85+AC85+AE85+AG85+AI85+AK85+AM85+AO85+AQ85+AS85+AU85+AW85+AY85+BA85+BC85+BE85+BG85+BI85+BK85+BM85+BO85+BQ85+BS85+BU85+BW85+BY85+CA85+CC85+CE85+CG85+CI85+CK85+CM85+CO85+CQ85</f>
        <v>120</v>
      </c>
      <c r="CT85" s="209">
        <f>R85+T85+V85+X85+Z85+AB85+AD85+AF85+AH85+AJ85+AL85+AN85+AP85+AR85+AT85+AV85+AX85+AZ85+BB85+BD85+BF85+BH85+BJ85+BL85+BN85+BP85+BR85+BT85+BV85+BX85+BZ85+CB85+CD85+CF85+CH85+CJ85+CL85+CN85+CP85+CR85</f>
        <v>14040</v>
      </c>
      <c r="CU85" s="375" t="s">
        <v>503</v>
      </c>
      <c r="CV85" s="208"/>
      <c r="CW85" s="152"/>
      <c r="CX85" s="152"/>
      <c r="CY85" s="208"/>
      <c r="CZ85" s="208"/>
      <c r="DA85" s="152">
        <f t="shared" si="107"/>
        <v>120</v>
      </c>
      <c r="DB85" s="152">
        <f t="shared" si="108"/>
        <v>14040</v>
      </c>
      <c r="DC85" s="153">
        <v>45813</v>
      </c>
      <c r="DD85" s="153"/>
      <c r="DE85" s="153"/>
      <c r="DF85" s="376"/>
      <c r="DG85" s="368"/>
      <c r="DH85" s="181"/>
      <c r="DI85" s="275"/>
      <c r="DJ85" s="1000"/>
      <c r="DK85" s="181"/>
      <c r="DL85" s="182"/>
      <c r="DM85" s="182"/>
      <c r="DN85" s="182"/>
      <c r="DO85" s="182"/>
      <c r="DP85" s="275"/>
      <c r="DQ85" s="152">
        <f>SUMIF($I:$I,I85,$DJ:$DJ)</f>
        <v>0</v>
      </c>
      <c r="DR85" s="152">
        <f>SUMIF($I:$I,I85,$DK:$DK)</f>
        <v>0</v>
      </c>
      <c r="DS85" s="151"/>
      <c r="DT85" s="275"/>
      <c r="DU85" s="370"/>
      <c r="DV85" s="208"/>
      <c r="DW85" s="208" t="s">
        <v>517</v>
      </c>
      <c r="DX85" s="152" t="s">
        <v>46</v>
      </c>
      <c r="DY85" s="171" t="s">
        <v>312</v>
      </c>
      <c r="DZ85" s="152"/>
      <c r="EA85" s="152">
        <v>7020</v>
      </c>
      <c r="EB85" s="153">
        <v>45784</v>
      </c>
      <c r="EC85" s="152">
        <v>60</v>
      </c>
      <c r="ED85" s="152">
        <v>7020</v>
      </c>
      <c r="EE85" s="396">
        <f>0.0140000072674221+0.977</f>
        <v>0.9910000072674221</v>
      </c>
      <c r="EF85" s="371">
        <f t="shared" si="104"/>
        <v>6956.8200510173028</v>
      </c>
      <c r="EG85" s="153">
        <v>45786</v>
      </c>
      <c r="EH85" s="153"/>
      <c r="EI85" s="153"/>
      <c r="EJ85" s="153"/>
      <c r="EK85" s="153"/>
      <c r="EL85" s="153">
        <v>45823</v>
      </c>
      <c r="EM85" s="153">
        <v>45824</v>
      </c>
      <c r="EN85" s="153"/>
      <c r="EO85" s="152">
        <f>SUMIF($I:$I,I85,$EC:$EC)</f>
        <v>60</v>
      </c>
      <c r="EP85" s="151">
        <f>SUMIF($I:$I,I85,$ED:$ED)</f>
        <v>7020</v>
      </c>
      <c r="EQ85" s="153"/>
      <c r="ER85" s="153"/>
      <c r="ES85" s="153"/>
      <c r="ET85" s="153"/>
      <c r="EU85" s="152">
        <f t="shared" si="109"/>
        <v>60</v>
      </c>
      <c r="EV85" s="152">
        <f t="shared" si="110"/>
        <v>7020</v>
      </c>
      <c r="EW85" s="152">
        <f t="shared" si="111"/>
        <v>60</v>
      </c>
      <c r="EX85" s="152">
        <f t="shared" si="112"/>
        <v>7020</v>
      </c>
      <c r="EY85" s="151" t="str">
        <f t="shared" si="113"/>
        <v>Thiếu</v>
      </c>
      <c r="EZ85" s="152"/>
      <c r="FA85" s="372"/>
      <c r="FB85" s="373"/>
      <c r="FC85" s="367"/>
      <c r="FD85" s="374"/>
      <c r="FE85" s="183"/>
      <c r="FF85" s="184"/>
      <c r="FG85" s="185"/>
      <c r="FH85" s="185"/>
    </row>
    <row r="86" spans="1:164" s="157" customFormat="1" ht="14" hidden="1" customHeight="1">
      <c r="A86" s="208" t="str">
        <f t="shared" si="89"/>
        <v>Hiện</v>
      </c>
      <c r="B86" s="151" t="str">
        <f t="shared" si="84"/>
        <v>Thừa</v>
      </c>
      <c r="C86" s="151">
        <f>EW86</f>
        <v>-8.9124000000000052</v>
      </c>
      <c r="D86" s="151"/>
      <c r="E86" s="151"/>
      <c r="F86" s="151"/>
      <c r="G86" s="151"/>
      <c r="H86" s="151"/>
      <c r="I86" s="171" t="s">
        <v>272</v>
      </c>
      <c r="J86" s="164" t="s">
        <v>267</v>
      </c>
      <c r="K86" s="171" t="s">
        <v>313</v>
      </c>
      <c r="L86" s="233" t="s">
        <v>308</v>
      </c>
      <c r="M86" s="163" t="s">
        <v>61</v>
      </c>
      <c r="N86" s="172">
        <v>18.8</v>
      </c>
      <c r="O86" s="172">
        <v>71.511999999999986</v>
      </c>
      <c r="P86" s="172">
        <v>1264.6399999999999</v>
      </c>
      <c r="Q86" s="161"/>
      <c r="R86" s="162"/>
      <c r="S86" s="161">
        <v>75.087599999999995</v>
      </c>
      <c r="T86" s="162">
        <v>1411.64688</v>
      </c>
      <c r="U86" s="162"/>
      <c r="V86" s="162"/>
      <c r="W86" s="162">
        <v>0</v>
      </c>
      <c r="X86" s="162">
        <v>0</v>
      </c>
      <c r="Y86" s="162">
        <v>0</v>
      </c>
      <c r="Z86" s="162">
        <v>0</v>
      </c>
      <c r="AA86" s="162">
        <v>0</v>
      </c>
      <c r="AB86" s="162">
        <v>0</v>
      </c>
      <c r="AC86" s="162">
        <v>0</v>
      </c>
      <c r="AD86" s="162">
        <v>0</v>
      </c>
      <c r="AE86" s="162">
        <v>0</v>
      </c>
      <c r="AF86" s="162">
        <v>0</v>
      </c>
      <c r="AG86" s="162">
        <v>0</v>
      </c>
      <c r="AH86" s="162">
        <v>0</v>
      </c>
      <c r="AI86" s="162">
        <f>VLOOKUP(I86,'[119]MTO-rev09'!$A:$O,11,0)</f>
        <v>0</v>
      </c>
      <c r="AJ86" s="162">
        <f>VLOOKUP(I86,'[119]MTO-rev09'!$A:$O,12,0)</f>
        <v>0</v>
      </c>
      <c r="AK86" s="162">
        <v>0</v>
      </c>
      <c r="AL86" s="162">
        <v>0</v>
      </c>
      <c r="AM86" s="162"/>
      <c r="AN86" s="162"/>
      <c r="AO86" s="162">
        <v>0</v>
      </c>
      <c r="AP86" s="162">
        <v>0</v>
      </c>
      <c r="AQ86" s="162">
        <v>0</v>
      </c>
      <c r="AR86" s="162">
        <v>0</v>
      </c>
      <c r="AS86" s="162">
        <v>0</v>
      </c>
      <c r="AT86" s="162">
        <v>0</v>
      </c>
      <c r="AU86" s="162">
        <v>0</v>
      </c>
      <c r="AV86" s="162">
        <v>0</v>
      </c>
      <c r="AW86" s="162">
        <v>0</v>
      </c>
      <c r="AX86" s="162">
        <v>0</v>
      </c>
      <c r="AY86" s="162">
        <v>0</v>
      </c>
      <c r="AZ86" s="162">
        <v>0</v>
      </c>
      <c r="BA86" s="162"/>
      <c r="BB86" s="162"/>
      <c r="BC86" s="162">
        <v>0</v>
      </c>
      <c r="BD86" s="162">
        <v>0</v>
      </c>
      <c r="BE86" s="162">
        <v>0</v>
      </c>
      <c r="BF86" s="162">
        <v>0</v>
      </c>
      <c r="BG86" s="162">
        <v>0</v>
      </c>
      <c r="BH86" s="162">
        <v>0</v>
      </c>
      <c r="BI86" s="162">
        <v>0</v>
      </c>
      <c r="BJ86" s="162">
        <v>0</v>
      </c>
      <c r="BK86" s="162">
        <v>0</v>
      </c>
      <c r="BL86" s="162">
        <v>0</v>
      </c>
      <c r="BM86" s="162">
        <v>0</v>
      </c>
      <c r="BN86" s="162">
        <v>0</v>
      </c>
      <c r="BO86" s="162"/>
      <c r="BP86" s="162"/>
      <c r="BQ86" s="162">
        <v>0</v>
      </c>
      <c r="BR86" s="162">
        <v>0</v>
      </c>
      <c r="BS86" s="162">
        <v>0</v>
      </c>
      <c r="BT86" s="162">
        <v>0</v>
      </c>
      <c r="BU86" s="162">
        <v>0</v>
      </c>
      <c r="BV86" s="162">
        <v>0</v>
      </c>
      <c r="BW86" s="162"/>
      <c r="BX86" s="162"/>
      <c r="BY86" s="162">
        <v>0</v>
      </c>
      <c r="BZ86" s="162">
        <v>0</v>
      </c>
      <c r="CA86" s="162">
        <v>0</v>
      </c>
      <c r="CB86" s="162">
        <v>0</v>
      </c>
      <c r="CC86" s="162">
        <v>0</v>
      </c>
      <c r="CD86" s="162">
        <v>0</v>
      </c>
      <c r="CE86" s="162">
        <f>VLOOKUP(I86,[120]REV33!$A:$O,11,0)</f>
        <v>0</v>
      </c>
      <c r="CF86" s="162">
        <f>VLOOKUP(I86,[120]REV33!$A:$O,12,0)</f>
        <v>0</v>
      </c>
      <c r="CG86" s="162"/>
      <c r="CH86" s="162"/>
      <c r="CI86" s="162"/>
      <c r="CJ86" s="162"/>
      <c r="CK86" s="162"/>
      <c r="CL86" s="162"/>
      <c r="CM86" s="162"/>
      <c r="CN86" s="162"/>
      <c r="CO86" s="162">
        <v>0</v>
      </c>
      <c r="CP86" s="162">
        <v>0</v>
      </c>
      <c r="CQ86" s="162">
        <v>0</v>
      </c>
      <c r="CR86" s="162">
        <v>0</v>
      </c>
      <c r="CS86" s="209">
        <f>Q86+S86+U86+W86+Y86+AA86+AC86+AE86+AG86+AI86+AK86+AM86+AO86+AQ86+AS86+AU86+AW86+AY86+BA86+BC86+BE86+BG86+BI86+BK86+BM86+BO86+BQ86+BS86+BU86+BW86+BY86+CA86+CC86+CE86+CG86+CI86+CK86+CM86+CO86+CQ86</f>
        <v>75.087599999999995</v>
      </c>
      <c r="CT86" s="209">
        <f>R86+T86+V86+X86+Z86+AB86+AD86+AF86+AH86+AJ86+AL86+AN86+AP86+AR86+AT86+AV86+AX86+AZ86+BB86+BD86+BF86+BH86+BJ86+BL86+BN86+BP86+BR86+BT86+BV86+BX86+BZ86+CB86+CD86+CF86+CH86+CJ86+CL86+CN86+CP86+CR86</f>
        <v>1411.64688</v>
      </c>
      <c r="CU86" s="375" t="s">
        <v>337</v>
      </c>
      <c r="CV86" s="208"/>
      <c r="CW86" s="152"/>
      <c r="CX86" s="152"/>
      <c r="CY86" s="208"/>
      <c r="CZ86" s="208"/>
      <c r="DA86" s="152">
        <f t="shared" si="107"/>
        <v>75.087599999999995</v>
      </c>
      <c r="DB86" s="152">
        <f t="shared" si="108"/>
        <v>1411.64688</v>
      </c>
      <c r="DC86" s="153">
        <v>45813</v>
      </c>
      <c r="DD86" s="153"/>
      <c r="DE86" s="153"/>
      <c r="DF86" s="376"/>
      <c r="DG86" s="368"/>
      <c r="DH86" s="181"/>
      <c r="DI86" s="275"/>
      <c r="DJ86" s="1000"/>
      <c r="DK86" s="181"/>
      <c r="DL86" s="182"/>
      <c r="DM86" s="182"/>
      <c r="DN86" s="182"/>
      <c r="DO86" s="182"/>
      <c r="DP86" s="275"/>
      <c r="DQ86" s="152">
        <f>SUMIF($I:$I,I86,$DJ:$DJ)</f>
        <v>0</v>
      </c>
      <c r="DR86" s="152">
        <f>SUMIF($I:$I,I86,$DK:$DK)</f>
        <v>0</v>
      </c>
      <c r="DS86" s="151"/>
      <c r="DT86" s="275"/>
      <c r="DU86" s="370"/>
      <c r="DV86" s="208"/>
      <c r="DW86" s="208" t="s">
        <v>517</v>
      </c>
      <c r="DX86" s="152" t="s">
        <v>46</v>
      </c>
      <c r="DY86" s="171" t="s">
        <v>313</v>
      </c>
      <c r="DZ86" s="152"/>
      <c r="EA86" s="152">
        <v>1579.2</v>
      </c>
      <c r="EB86" s="153">
        <v>45784</v>
      </c>
      <c r="EC86" s="152">
        <v>84</v>
      </c>
      <c r="ED86" s="152">
        <v>1579.2</v>
      </c>
      <c r="EE86" s="396">
        <f>0.0140000072674221+0.984</f>
        <v>0.99800000726742211</v>
      </c>
      <c r="EF86" s="371">
        <f t="shared" si="104"/>
        <v>1576.0416114767131</v>
      </c>
      <c r="EG86" s="153">
        <v>45786</v>
      </c>
      <c r="EH86" s="153"/>
      <c r="EI86" s="153"/>
      <c r="EJ86" s="153"/>
      <c r="EK86" s="153"/>
      <c r="EL86" s="153">
        <v>45823</v>
      </c>
      <c r="EM86" s="153">
        <v>45824</v>
      </c>
      <c r="EN86" s="153"/>
      <c r="EO86" s="152">
        <f>SUMIF($I:$I,I86,$EC:$EC)</f>
        <v>84</v>
      </c>
      <c r="EP86" s="151">
        <f>SUMIF($I:$I,I86,$ED:$ED)</f>
        <v>1579.2</v>
      </c>
      <c r="EQ86" s="153"/>
      <c r="ER86" s="153"/>
      <c r="ES86" s="153"/>
      <c r="ET86" s="153"/>
      <c r="EU86" s="152">
        <f t="shared" si="109"/>
        <v>84</v>
      </c>
      <c r="EV86" s="152">
        <f t="shared" si="110"/>
        <v>1579.2</v>
      </c>
      <c r="EW86" s="152">
        <f t="shared" si="111"/>
        <v>-8.9124000000000052</v>
      </c>
      <c r="EX86" s="152">
        <f t="shared" si="112"/>
        <v>-167.55312000000004</v>
      </c>
      <c r="EY86" s="151" t="str">
        <f t="shared" si="113"/>
        <v>Thừa</v>
      </c>
      <c r="EZ86" s="152"/>
      <c r="FA86" s="372"/>
      <c r="FB86" s="373"/>
      <c r="FC86" s="367"/>
      <c r="FD86" s="374"/>
      <c r="FE86" s="183"/>
      <c r="FF86" s="184"/>
      <c r="FG86" s="185"/>
      <c r="FH86" s="185"/>
    </row>
    <row r="87" spans="1:164" s="157" customFormat="1" ht="14" hidden="1" customHeight="1">
      <c r="A87" s="208" t="str">
        <f t="shared" si="89"/>
        <v>Hiện</v>
      </c>
      <c r="B87" s="151" t="str">
        <f t="shared" si="84"/>
        <v>Thừa</v>
      </c>
      <c r="C87" s="151">
        <f>EW87</f>
        <v>-3.8172000000000139</v>
      </c>
      <c r="D87" s="151"/>
      <c r="E87" s="151"/>
      <c r="F87" s="151"/>
      <c r="G87" s="151"/>
      <c r="H87" s="151"/>
      <c r="I87" s="171" t="s">
        <v>273</v>
      </c>
      <c r="J87" s="164" t="s">
        <v>267</v>
      </c>
      <c r="K87" s="171" t="s">
        <v>314</v>
      </c>
      <c r="L87" s="233" t="s">
        <v>308</v>
      </c>
      <c r="M87" s="163" t="s">
        <v>61</v>
      </c>
      <c r="N87" s="172">
        <v>36.1</v>
      </c>
      <c r="O87" s="172">
        <v>304.93599999999998</v>
      </c>
      <c r="P87" s="172">
        <v>10997.960000000001</v>
      </c>
      <c r="Q87" s="161"/>
      <c r="R87" s="162"/>
      <c r="S87" s="161">
        <v>320.18279999999999</v>
      </c>
      <c r="T87" s="162">
        <v>11558.59908</v>
      </c>
      <c r="U87" s="162"/>
      <c r="V87" s="162"/>
      <c r="W87" s="162">
        <v>0</v>
      </c>
      <c r="X87" s="162">
        <v>0</v>
      </c>
      <c r="Y87" s="162">
        <v>0</v>
      </c>
      <c r="Z87" s="162">
        <v>0</v>
      </c>
      <c r="AA87" s="162">
        <v>0</v>
      </c>
      <c r="AB87" s="162">
        <v>0</v>
      </c>
      <c r="AC87" s="162">
        <v>0</v>
      </c>
      <c r="AD87" s="162">
        <v>0</v>
      </c>
      <c r="AE87" s="162">
        <v>0</v>
      </c>
      <c r="AF87" s="162">
        <v>0</v>
      </c>
      <c r="AG87" s="162">
        <v>0</v>
      </c>
      <c r="AH87" s="162">
        <v>0</v>
      </c>
      <c r="AI87" s="162">
        <f>VLOOKUP(I87,'[119]MTO-rev09'!$A:$O,11,0)</f>
        <v>0</v>
      </c>
      <c r="AJ87" s="162">
        <f>VLOOKUP(I87,'[119]MTO-rev09'!$A:$O,12,0)</f>
        <v>0</v>
      </c>
      <c r="AK87" s="162">
        <v>0</v>
      </c>
      <c r="AL87" s="162">
        <v>0</v>
      </c>
      <c r="AM87" s="162"/>
      <c r="AN87" s="162"/>
      <c r="AO87" s="162">
        <v>0</v>
      </c>
      <c r="AP87" s="162">
        <v>0</v>
      </c>
      <c r="AQ87" s="162">
        <v>0</v>
      </c>
      <c r="AR87" s="162">
        <v>0</v>
      </c>
      <c r="AS87" s="162">
        <v>0</v>
      </c>
      <c r="AT87" s="162">
        <v>0</v>
      </c>
      <c r="AU87" s="162">
        <v>0</v>
      </c>
      <c r="AV87" s="162">
        <v>0</v>
      </c>
      <c r="AW87" s="162">
        <v>0</v>
      </c>
      <c r="AX87" s="162">
        <v>0</v>
      </c>
      <c r="AY87" s="162">
        <v>0</v>
      </c>
      <c r="AZ87" s="162">
        <v>0</v>
      </c>
      <c r="BA87" s="162"/>
      <c r="BB87" s="162"/>
      <c r="BC87" s="162">
        <v>0</v>
      </c>
      <c r="BD87" s="162">
        <v>0</v>
      </c>
      <c r="BE87" s="162">
        <v>0</v>
      </c>
      <c r="BF87" s="162">
        <v>0</v>
      </c>
      <c r="BG87" s="162">
        <v>0</v>
      </c>
      <c r="BH87" s="162">
        <v>0</v>
      </c>
      <c r="BI87" s="162">
        <v>0</v>
      </c>
      <c r="BJ87" s="162">
        <v>0</v>
      </c>
      <c r="BK87" s="162">
        <v>0</v>
      </c>
      <c r="BL87" s="162">
        <v>0</v>
      </c>
      <c r="BM87" s="162">
        <v>0</v>
      </c>
      <c r="BN87" s="162">
        <v>0</v>
      </c>
      <c r="BO87" s="162"/>
      <c r="BP87" s="162"/>
      <c r="BQ87" s="162">
        <v>0</v>
      </c>
      <c r="BR87" s="162">
        <v>0</v>
      </c>
      <c r="BS87" s="162">
        <v>0</v>
      </c>
      <c r="BT87" s="162">
        <v>0</v>
      </c>
      <c r="BU87" s="162">
        <v>0</v>
      </c>
      <c r="BV87" s="162">
        <v>0</v>
      </c>
      <c r="BW87" s="162"/>
      <c r="BX87" s="162"/>
      <c r="BY87" s="162">
        <v>0</v>
      </c>
      <c r="BZ87" s="162">
        <v>0</v>
      </c>
      <c r="CA87" s="162">
        <v>0</v>
      </c>
      <c r="CB87" s="162">
        <v>0</v>
      </c>
      <c r="CC87" s="162">
        <v>0</v>
      </c>
      <c r="CD87" s="162">
        <v>0</v>
      </c>
      <c r="CE87" s="162">
        <f>VLOOKUP(I87,[120]REV33!$A:$O,11,0)</f>
        <v>0</v>
      </c>
      <c r="CF87" s="162">
        <f>VLOOKUP(I87,[120]REV33!$A:$O,12,0)</f>
        <v>0</v>
      </c>
      <c r="CG87" s="162"/>
      <c r="CH87" s="162"/>
      <c r="CI87" s="162"/>
      <c r="CJ87" s="162"/>
      <c r="CK87" s="162"/>
      <c r="CL87" s="162"/>
      <c r="CM87" s="162"/>
      <c r="CN87" s="162"/>
      <c r="CO87" s="162">
        <v>0</v>
      </c>
      <c r="CP87" s="162">
        <v>0</v>
      </c>
      <c r="CQ87" s="162">
        <v>0</v>
      </c>
      <c r="CR87" s="162">
        <v>0</v>
      </c>
      <c r="CS87" s="209">
        <f>Q87+S87+U87+W87+Y87+AA87+AC87+AE87+AG87+AI87+AK87+AM87+AO87+AQ87+AS87+AU87+AW87+AY87+BA87+BC87+BE87+BG87+BI87+BK87+BM87+BO87+BQ87+BS87+BU87+BW87+BY87+CA87+CC87+CE87+CG87+CI87+CK87+CM87+CO87+CQ87</f>
        <v>320.18279999999999</v>
      </c>
      <c r="CT87" s="209">
        <f>R87+T87+V87+X87+Z87+AB87+AD87+AF87+AH87+AJ87+AL87+AN87+AP87+AR87+AT87+AV87+AX87+AZ87+BB87+BD87+BF87+BH87+BJ87+BL87+BN87+BP87+BR87+BT87+BV87+BX87+BZ87+CB87+CD87+CF87+CH87+CJ87+CL87+CN87+CP87+CR87</f>
        <v>11558.59908</v>
      </c>
      <c r="CU87" s="375" t="s">
        <v>337</v>
      </c>
      <c r="CV87" s="208"/>
      <c r="CW87" s="152"/>
      <c r="CX87" s="152"/>
      <c r="CY87" s="208"/>
      <c r="CZ87" s="208"/>
      <c r="DA87" s="152">
        <f t="shared" si="107"/>
        <v>320.18279999999999</v>
      </c>
      <c r="DB87" s="152">
        <f t="shared" si="108"/>
        <v>11558.59908</v>
      </c>
      <c r="DC87" s="153">
        <v>45813</v>
      </c>
      <c r="DD87" s="153"/>
      <c r="DE87" s="153"/>
      <c r="DF87" s="376"/>
      <c r="DG87" s="368"/>
      <c r="DH87" s="181"/>
      <c r="DI87" s="275"/>
      <c r="DJ87" s="1000"/>
      <c r="DK87" s="181"/>
      <c r="DL87" s="182"/>
      <c r="DM87" s="182"/>
      <c r="DN87" s="182"/>
      <c r="DO87" s="182"/>
      <c r="DP87" s="275"/>
      <c r="DQ87" s="152">
        <f>SUMIF($I:$I,I87,$DJ:$DJ)</f>
        <v>0</v>
      </c>
      <c r="DR87" s="152">
        <f>SUMIF($I:$I,I87,$DK:$DK)</f>
        <v>0</v>
      </c>
      <c r="DS87" s="151"/>
      <c r="DT87" s="275"/>
      <c r="DU87" s="370"/>
      <c r="DV87" s="208"/>
      <c r="DW87" s="208" t="s">
        <v>517</v>
      </c>
      <c r="DX87" s="152" t="s">
        <v>46</v>
      </c>
      <c r="DY87" s="171" t="s">
        <v>314</v>
      </c>
      <c r="DZ87" s="152"/>
      <c r="EA87" s="152">
        <v>11696.4</v>
      </c>
      <c r="EB87" s="153">
        <v>45784</v>
      </c>
      <c r="EC87" s="152">
        <v>324</v>
      </c>
      <c r="ED87" s="152">
        <v>11696.4</v>
      </c>
      <c r="EE87" s="396">
        <f>0.0140000072674221+0.983</f>
        <v>0.99700000726742211</v>
      </c>
      <c r="EF87" s="371">
        <f t="shared" si="104"/>
        <v>11661.310885002675</v>
      </c>
      <c r="EG87" s="153">
        <v>45786</v>
      </c>
      <c r="EH87" s="153"/>
      <c r="EI87" s="153"/>
      <c r="EJ87" s="153"/>
      <c r="EK87" s="153"/>
      <c r="EL87" s="153">
        <v>45823</v>
      </c>
      <c r="EM87" s="153">
        <v>45824</v>
      </c>
      <c r="EN87" s="153"/>
      <c r="EO87" s="152">
        <f>SUMIF($I:$I,I87,$EC:$EC)</f>
        <v>324</v>
      </c>
      <c r="EP87" s="151">
        <f>SUMIF($I:$I,I87,$ED:$ED)</f>
        <v>11696.4</v>
      </c>
      <c r="EQ87" s="153"/>
      <c r="ER87" s="153"/>
      <c r="ES87" s="153"/>
      <c r="ET87" s="153"/>
      <c r="EU87" s="152">
        <f t="shared" si="109"/>
        <v>324</v>
      </c>
      <c r="EV87" s="152">
        <f t="shared" si="110"/>
        <v>11696.4</v>
      </c>
      <c r="EW87" s="152">
        <f t="shared" si="111"/>
        <v>-3.8172000000000139</v>
      </c>
      <c r="EX87" s="152">
        <f t="shared" si="112"/>
        <v>-137.80091999999968</v>
      </c>
      <c r="EY87" s="151" t="str">
        <f t="shared" si="113"/>
        <v>Thừa</v>
      </c>
      <c r="EZ87" s="152"/>
      <c r="FA87" s="372"/>
      <c r="FB87" s="373"/>
      <c r="FC87" s="367"/>
      <c r="FD87" s="374"/>
      <c r="FE87" s="183"/>
      <c r="FF87" s="184"/>
      <c r="FG87" s="185"/>
      <c r="FH87" s="185"/>
    </row>
    <row r="88" spans="1:164" s="157" customFormat="1" ht="14" hidden="1" customHeight="1">
      <c r="A88" s="208" t="str">
        <f t="shared" si="89"/>
        <v>Hiện</v>
      </c>
      <c r="B88" s="151" t="str">
        <f t="shared" si="84"/>
        <v>Thừa</v>
      </c>
      <c r="C88" s="151">
        <f>EW88</f>
        <v>-0.86460000000002424</v>
      </c>
      <c r="D88" s="397"/>
      <c r="E88" s="398"/>
      <c r="F88" s="151"/>
      <c r="G88" s="151"/>
      <c r="H88" s="151"/>
      <c r="I88" s="171" t="s">
        <v>274</v>
      </c>
      <c r="J88" s="164" t="s">
        <v>267</v>
      </c>
      <c r="K88" s="171" t="s">
        <v>315</v>
      </c>
      <c r="L88" s="233" t="s">
        <v>308</v>
      </c>
      <c r="M88" s="163" t="s">
        <v>61</v>
      </c>
      <c r="N88" s="172">
        <v>42.2</v>
      </c>
      <c r="O88" s="172">
        <v>107.74799999999998</v>
      </c>
      <c r="P88" s="172">
        <v>4338.96</v>
      </c>
      <c r="Q88" s="161"/>
      <c r="R88" s="162"/>
      <c r="S88" s="161">
        <v>113.13539999999998</v>
      </c>
      <c r="T88" s="162">
        <v>4774.3138799999997</v>
      </c>
      <c r="U88" s="162"/>
      <c r="V88" s="162"/>
      <c r="W88" s="162">
        <v>0</v>
      </c>
      <c r="X88" s="162">
        <v>0</v>
      </c>
      <c r="Y88" s="162">
        <v>0</v>
      </c>
      <c r="Z88" s="162">
        <v>0</v>
      </c>
      <c r="AA88" s="162">
        <v>102</v>
      </c>
      <c r="AB88" s="162">
        <v>4304.4000000000005</v>
      </c>
      <c r="AC88" s="162">
        <v>0</v>
      </c>
      <c r="AD88" s="162">
        <v>0</v>
      </c>
      <c r="AE88" s="162">
        <v>0</v>
      </c>
      <c r="AF88" s="162">
        <v>0</v>
      </c>
      <c r="AG88" s="162">
        <v>0</v>
      </c>
      <c r="AH88" s="162">
        <v>0</v>
      </c>
      <c r="AI88" s="162">
        <f>VLOOKUP(I88,'[119]MTO-rev09'!$A:$O,11,0)</f>
        <v>0</v>
      </c>
      <c r="AJ88" s="162">
        <f>VLOOKUP(I88,'[119]MTO-rev09'!$A:$O,12,0)</f>
        <v>0</v>
      </c>
      <c r="AK88" s="162">
        <v>0</v>
      </c>
      <c r="AL88" s="162">
        <v>0</v>
      </c>
      <c r="AM88" s="162"/>
      <c r="AN88" s="162"/>
      <c r="AO88" s="162">
        <v>0</v>
      </c>
      <c r="AP88" s="162">
        <v>0</v>
      </c>
      <c r="AQ88" s="162">
        <v>0</v>
      </c>
      <c r="AR88" s="162">
        <v>0</v>
      </c>
      <c r="AS88" s="162">
        <v>0</v>
      </c>
      <c r="AT88" s="162">
        <v>0</v>
      </c>
      <c r="AU88" s="162">
        <v>0</v>
      </c>
      <c r="AV88" s="162">
        <v>0</v>
      </c>
      <c r="AW88" s="162">
        <v>0</v>
      </c>
      <c r="AX88" s="162">
        <v>0</v>
      </c>
      <c r="AY88" s="162">
        <v>0</v>
      </c>
      <c r="AZ88" s="162">
        <v>0</v>
      </c>
      <c r="BA88" s="162"/>
      <c r="BB88" s="162"/>
      <c r="BC88" s="162">
        <v>0</v>
      </c>
      <c r="BD88" s="162">
        <v>0</v>
      </c>
      <c r="BE88" s="162">
        <v>0</v>
      </c>
      <c r="BF88" s="162">
        <v>0</v>
      </c>
      <c r="BG88" s="162">
        <v>0</v>
      </c>
      <c r="BH88" s="162">
        <v>0</v>
      </c>
      <c r="BI88" s="162">
        <v>0</v>
      </c>
      <c r="BJ88" s="162">
        <v>0</v>
      </c>
      <c r="BK88" s="162">
        <v>0</v>
      </c>
      <c r="BL88" s="162">
        <v>0</v>
      </c>
      <c r="BM88" s="162">
        <v>0</v>
      </c>
      <c r="BN88" s="162">
        <v>0</v>
      </c>
      <c r="BO88" s="162"/>
      <c r="BP88" s="162"/>
      <c r="BQ88" s="162">
        <v>0</v>
      </c>
      <c r="BR88" s="162">
        <v>0</v>
      </c>
      <c r="BS88" s="162">
        <v>0</v>
      </c>
      <c r="BT88" s="162">
        <v>0</v>
      </c>
      <c r="BU88" s="162">
        <v>0</v>
      </c>
      <c r="BV88" s="162">
        <v>0</v>
      </c>
      <c r="BW88" s="162"/>
      <c r="BX88" s="162"/>
      <c r="BY88" s="162">
        <v>0</v>
      </c>
      <c r="BZ88" s="162">
        <v>0</v>
      </c>
      <c r="CA88" s="162">
        <v>0</v>
      </c>
      <c r="CB88" s="162">
        <v>0</v>
      </c>
      <c r="CC88" s="162">
        <v>0</v>
      </c>
      <c r="CD88" s="162">
        <v>0</v>
      </c>
      <c r="CE88" s="162">
        <f>VLOOKUP(I88,[120]REV33!$A:$O,11,0)</f>
        <v>0</v>
      </c>
      <c r="CF88" s="162">
        <f>VLOOKUP(I88,[120]REV33!$A:$O,12,0)</f>
        <v>0</v>
      </c>
      <c r="CG88" s="162"/>
      <c r="CH88" s="162"/>
      <c r="CI88" s="162"/>
      <c r="CJ88" s="162"/>
      <c r="CK88" s="162"/>
      <c r="CL88" s="162"/>
      <c r="CM88" s="162"/>
      <c r="CN88" s="162"/>
      <c r="CO88" s="162">
        <v>0</v>
      </c>
      <c r="CP88" s="162">
        <v>0</v>
      </c>
      <c r="CQ88" s="162">
        <v>0</v>
      </c>
      <c r="CR88" s="162">
        <v>0</v>
      </c>
      <c r="CS88" s="209">
        <f>Q88+S88+U88+W88+Y88+AA88+AC88+AE88+AG88+AI88+AK88+AM88+AO88+AQ88+AS88+AU88+AW88+AY88+BA88+BC88+BE88+BG88+BI88+BK88+BM88+BO88+BQ88+BS88+BU88+BW88+BY88+CA88+CC88+CE88+CG88+CI88+CK88+CM88+CO88+CQ88</f>
        <v>215.13539999999998</v>
      </c>
      <c r="CT88" s="209">
        <f>R88+T88+V88+X88+Z88+AB88+AD88+AF88+AH88+AJ88+AL88+AN88+AP88+AR88+AT88+AV88+AX88+AZ88+BB88+BD88+BF88+BH88+BJ88+BL88+BN88+BP88+BR88+BT88+BV88+BX88+BZ88+CB88+CD88+CF88+CH88+CJ88+CL88+CN88+CP88+CR88</f>
        <v>9078.7138799999993</v>
      </c>
      <c r="CU88" s="375" t="s">
        <v>504</v>
      </c>
      <c r="CV88" s="208"/>
      <c r="CW88" s="152"/>
      <c r="CX88" s="152"/>
      <c r="CY88" s="208"/>
      <c r="CZ88" s="208"/>
      <c r="DA88" s="152">
        <f t="shared" si="107"/>
        <v>215.13539999999998</v>
      </c>
      <c r="DB88" s="152">
        <f t="shared" si="108"/>
        <v>9078.7138799999993</v>
      </c>
      <c r="DC88" s="153">
        <v>45813</v>
      </c>
      <c r="DD88" s="153"/>
      <c r="DE88" s="153"/>
      <c r="DF88" s="364"/>
      <c r="DG88" s="368"/>
      <c r="DH88" s="181"/>
      <c r="DI88" s="275"/>
      <c r="DJ88" s="1000"/>
      <c r="DK88" s="181"/>
      <c r="DL88" s="209"/>
      <c r="DM88" s="209"/>
      <c r="DN88" s="209"/>
      <c r="DO88" s="182"/>
      <c r="DP88" s="275"/>
      <c r="DQ88" s="152">
        <f>SUMIF($I:$I,I88,$DJ:$DJ)</f>
        <v>0</v>
      </c>
      <c r="DR88" s="152">
        <f>SUMIF($I:$I,I88,$DK:$DK)</f>
        <v>0</v>
      </c>
      <c r="DS88" s="151"/>
      <c r="DT88" s="275"/>
      <c r="DU88" s="370"/>
      <c r="DV88" s="208"/>
      <c r="DW88" s="208" t="s">
        <v>517</v>
      </c>
      <c r="DX88" s="152" t="s">
        <v>46</v>
      </c>
      <c r="DY88" s="171" t="s">
        <v>315</v>
      </c>
      <c r="DZ88" s="152"/>
      <c r="EA88" s="152">
        <v>5064</v>
      </c>
      <c r="EB88" s="153">
        <v>45784</v>
      </c>
      <c r="EC88" s="152">
        <v>120</v>
      </c>
      <c r="ED88" s="152">
        <v>5064</v>
      </c>
      <c r="EE88" s="396">
        <f>0.0140000072674221+0.981</f>
        <v>0.9950000072674221</v>
      </c>
      <c r="EF88" s="371">
        <f t="shared" si="104"/>
        <v>5038.6800368022259</v>
      </c>
      <c r="EG88" s="153">
        <v>45786</v>
      </c>
      <c r="EH88" s="153"/>
      <c r="EI88" s="153"/>
      <c r="EJ88" s="153"/>
      <c r="EK88" s="153"/>
      <c r="EL88" s="153">
        <v>45823</v>
      </c>
      <c r="EM88" s="153">
        <v>45824</v>
      </c>
      <c r="EN88" s="153"/>
      <c r="EO88" s="152">
        <f>SUMIF($I:$I,I88,$EC:$EC)</f>
        <v>216</v>
      </c>
      <c r="EP88" s="151">
        <f>SUMIF($I:$I,I88,$ED:$ED)</f>
        <v>9115.2000000000007</v>
      </c>
      <c r="EQ88" s="153"/>
      <c r="ER88" s="153"/>
      <c r="ES88" s="153"/>
      <c r="ET88" s="153"/>
      <c r="EU88" s="152">
        <f t="shared" si="109"/>
        <v>216</v>
      </c>
      <c r="EV88" s="152">
        <f t="shared" si="110"/>
        <v>9115.2000000000007</v>
      </c>
      <c r="EW88" s="152">
        <f t="shared" si="111"/>
        <v>-0.86460000000002424</v>
      </c>
      <c r="EX88" s="152">
        <f t="shared" si="112"/>
        <v>-36.486120000001392</v>
      </c>
      <c r="EY88" s="151" t="str">
        <f t="shared" si="113"/>
        <v>Thừa</v>
      </c>
      <c r="EZ88" s="152"/>
      <c r="FA88" s="372"/>
      <c r="FB88" s="373"/>
      <c r="FC88" s="367"/>
      <c r="FD88" s="374"/>
      <c r="FE88" s="183"/>
      <c r="FF88" s="184"/>
      <c r="FG88" s="185"/>
      <c r="FH88" s="185"/>
    </row>
    <row r="89" spans="1:164" s="386" customFormat="1" ht="14" hidden="1" customHeight="1">
      <c r="A89" s="208" t="str">
        <f t="shared" si="89"/>
        <v>ok</v>
      </c>
      <c r="B89" s="151"/>
      <c r="C89" s="151"/>
      <c r="D89" s="399"/>
      <c r="E89" s="399"/>
      <c r="F89" s="151"/>
      <c r="G89" s="151"/>
      <c r="H89" s="151"/>
      <c r="I89" s="171" t="s">
        <v>274</v>
      </c>
      <c r="J89" s="164" t="s">
        <v>267</v>
      </c>
      <c r="K89" s="171" t="s">
        <v>315</v>
      </c>
      <c r="L89" s="233" t="s">
        <v>308</v>
      </c>
      <c r="M89" s="163" t="s">
        <v>61</v>
      </c>
      <c r="N89" s="172"/>
      <c r="O89" s="172"/>
      <c r="P89" s="172"/>
      <c r="Q89" s="161"/>
      <c r="R89" s="162"/>
      <c r="S89" s="161"/>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c r="BF89" s="162"/>
      <c r="BG89" s="162"/>
      <c r="BH89" s="162"/>
      <c r="BI89" s="162"/>
      <c r="BJ89" s="162"/>
      <c r="BK89" s="162"/>
      <c r="BL89" s="162"/>
      <c r="BM89" s="162"/>
      <c r="BN89" s="162"/>
      <c r="BO89" s="162"/>
      <c r="BP89" s="162"/>
      <c r="BQ89" s="162"/>
      <c r="BR89" s="162"/>
      <c r="BS89" s="162"/>
      <c r="BT89" s="162"/>
      <c r="BU89" s="162"/>
      <c r="BV89" s="162"/>
      <c r="BW89" s="162"/>
      <c r="BX89" s="162"/>
      <c r="BY89" s="162"/>
      <c r="BZ89" s="162"/>
      <c r="CA89" s="162"/>
      <c r="CB89" s="162"/>
      <c r="CC89" s="162"/>
      <c r="CD89" s="162"/>
      <c r="CE89" s="162"/>
      <c r="CF89" s="162"/>
      <c r="CG89" s="162"/>
      <c r="CH89" s="162"/>
      <c r="CI89" s="162"/>
      <c r="CJ89" s="162"/>
      <c r="CK89" s="162"/>
      <c r="CL89" s="162"/>
      <c r="CM89" s="162"/>
      <c r="CN89" s="162"/>
      <c r="CO89" s="162"/>
      <c r="CP89" s="162"/>
      <c r="CQ89" s="162"/>
      <c r="CR89" s="162"/>
      <c r="CS89" s="209"/>
      <c r="CT89" s="209"/>
      <c r="CU89" s="375"/>
      <c r="CV89" s="208"/>
      <c r="CW89" s="152"/>
      <c r="CX89" s="152"/>
      <c r="CY89" s="208"/>
      <c r="CZ89" s="208"/>
      <c r="DA89" s="152"/>
      <c r="DB89" s="152"/>
      <c r="DC89" s="153"/>
      <c r="DD89" s="153"/>
      <c r="DE89" s="153"/>
      <c r="DF89" s="364"/>
      <c r="DG89" s="368"/>
      <c r="DH89" s="181"/>
      <c r="DI89" s="275"/>
      <c r="DJ89" s="1000"/>
      <c r="DK89" s="181"/>
      <c r="DL89" s="209"/>
      <c r="DM89" s="209"/>
      <c r="DN89" s="209"/>
      <c r="DO89" s="182"/>
      <c r="DP89" s="275"/>
      <c r="DQ89" s="152"/>
      <c r="DR89" s="152"/>
      <c r="DS89" s="151"/>
      <c r="DT89" s="275"/>
      <c r="DU89" s="370"/>
      <c r="DV89" s="208"/>
      <c r="DW89" s="208" t="s">
        <v>594</v>
      </c>
      <c r="DX89" s="208" t="s">
        <v>46</v>
      </c>
      <c r="DY89" s="171" t="s">
        <v>598</v>
      </c>
      <c r="DZ89" s="152" t="s">
        <v>599</v>
      </c>
      <c r="EA89" s="152">
        <v>4051.2000000000003</v>
      </c>
      <c r="EB89" s="153">
        <v>45833</v>
      </c>
      <c r="EC89" s="152">
        <v>96</v>
      </c>
      <c r="ED89" s="152">
        <v>4051.2000000000003</v>
      </c>
      <c r="EE89" s="396">
        <f>0.113081035655641+0.981</f>
        <v>1.094081035655641</v>
      </c>
      <c r="EF89" s="371">
        <f>EE89*ED89</f>
        <v>4432.3410916481325</v>
      </c>
      <c r="EG89" s="153">
        <v>45846</v>
      </c>
      <c r="EH89" s="153"/>
      <c r="EI89" s="153"/>
      <c r="EJ89" s="153"/>
      <c r="EK89" s="153"/>
      <c r="EL89" s="153"/>
      <c r="EM89" s="153">
        <v>45869</v>
      </c>
      <c r="EN89" s="153">
        <v>45869</v>
      </c>
      <c r="EO89" s="152"/>
      <c r="EP89" s="151"/>
      <c r="EQ89" s="153"/>
      <c r="ER89" s="153"/>
      <c r="ES89" s="153"/>
      <c r="ET89" s="153"/>
      <c r="EU89" s="152"/>
      <c r="EV89" s="152"/>
      <c r="EW89" s="152"/>
      <c r="EX89" s="152"/>
      <c r="EY89" s="151"/>
      <c r="EZ89" s="152"/>
      <c r="FA89" s="372"/>
      <c r="FB89" s="373"/>
      <c r="FC89" s="384"/>
      <c r="FD89" s="385"/>
      <c r="FE89" s="210"/>
      <c r="FF89" s="211"/>
      <c r="FG89" s="212"/>
      <c r="FH89" s="212"/>
    </row>
    <row r="90" spans="1:164" s="157" customFormat="1" ht="14" hidden="1" customHeight="1">
      <c r="A90" s="208" t="str">
        <f t="shared" si="89"/>
        <v>Hiện</v>
      </c>
      <c r="B90" s="151" t="str">
        <f t="shared" si="84"/>
        <v>Đủ</v>
      </c>
      <c r="C90" s="151">
        <f>EW90</f>
        <v>0</v>
      </c>
      <c r="D90" s="397"/>
      <c r="E90" s="398"/>
      <c r="F90" s="151"/>
      <c r="G90" s="151"/>
      <c r="H90" s="151"/>
      <c r="I90" s="171" t="s">
        <v>275</v>
      </c>
      <c r="J90" s="164" t="s">
        <v>267</v>
      </c>
      <c r="K90" s="171" t="s">
        <v>316</v>
      </c>
      <c r="L90" s="233" t="s">
        <v>308</v>
      </c>
      <c r="M90" s="163" t="s">
        <v>61</v>
      </c>
      <c r="N90" s="172">
        <v>49.1</v>
      </c>
      <c r="O90" s="172">
        <v>192.78399999999999</v>
      </c>
      <c r="P90" s="172">
        <v>9334.64</v>
      </c>
      <c r="Q90" s="161"/>
      <c r="R90" s="162"/>
      <c r="S90" s="161">
        <v>204</v>
      </c>
      <c r="T90" s="162">
        <v>10016.4</v>
      </c>
      <c r="U90" s="162"/>
      <c r="V90" s="162"/>
      <c r="W90" s="162">
        <v>0</v>
      </c>
      <c r="X90" s="162">
        <v>0</v>
      </c>
      <c r="Y90" s="162">
        <v>0</v>
      </c>
      <c r="Z90" s="162">
        <v>0</v>
      </c>
      <c r="AA90" s="162">
        <v>288</v>
      </c>
      <c r="AB90" s="162">
        <v>14140.800000000001</v>
      </c>
      <c r="AC90" s="162">
        <v>0</v>
      </c>
      <c r="AD90" s="162">
        <v>0</v>
      </c>
      <c r="AE90" s="162">
        <v>0</v>
      </c>
      <c r="AF90" s="162">
        <v>0</v>
      </c>
      <c r="AG90" s="162">
        <v>0</v>
      </c>
      <c r="AH90" s="162">
        <v>0</v>
      </c>
      <c r="AI90" s="162">
        <f>VLOOKUP(I90,'[119]MTO-rev09'!$A:$O,11,0)</f>
        <v>0</v>
      </c>
      <c r="AJ90" s="162">
        <f>VLOOKUP(I90,'[119]MTO-rev09'!$A:$O,12,0)</f>
        <v>0</v>
      </c>
      <c r="AK90" s="162">
        <v>0</v>
      </c>
      <c r="AL90" s="162">
        <v>0</v>
      </c>
      <c r="AM90" s="162"/>
      <c r="AN90" s="162"/>
      <c r="AO90" s="162">
        <v>0</v>
      </c>
      <c r="AP90" s="162">
        <v>0</v>
      </c>
      <c r="AQ90" s="162">
        <v>0</v>
      </c>
      <c r="AR90" s="162">
        <v>0</v>
      </c>
      <c r="AS90" s="162">
        <v>0</v>
      </c>
      <c r="AT90" s="162">
        <v>0</v>
      </c>
      <c r="AU90" s="162">
        <v>0</v>
      </c>
      <c r="AV90" s="162">
        <v>0</v>
      </c>
      <c r="AW90" s="162">
        <v>0</v>
      </c>
      <c r="AX90" s="162">
        <v>0</v>
      </c>
      <c r="AY90" s="162">
        <v>0</v>
      </c>
      <c r="AZ90" s="162">
        <v>0</v>
      </c>
      <c r="BA90" s="162"/>
      <c r="BB90" s="162"/>
      <c r="BC90" s="162">
        <v>0</v>
      </c>
      <c r="BD90" s="162">
        <v>0</v>
      </c>
      <c r="BE90" s="162">
        <v>0</v>
      </c>
      <c r="BF90" s="162">
        <v>0</v>
      </c>
      <c r="BG90" s="162">
        <v>0</v>
      </c>
      <c r="BH90" s="162">
        <v>0</v>
      </c>
      <c r="BI90" s="162">
        <v>0</v>
      </c>
      <c r="BJ90" s="162">
        <v>0</v>
      </c>
      <c r="BK90" s="162">
        <v>0</v>
      </c>
      <c r="BL90" s="162">
        <v>0</v>
      </c>
      <c r="BM90" s="162">
        <v>0</v>
      </c>
      <c r="BN90" s="162">
        <v>0</v>
      </c>
      <c r="BO90" s="162"/>
      <c r="BP90" s="162"/>
      <c r="BQ90" s="162">
        <v>0</v>
      </c>
      <c r="BR90" s="162">
        <v>0</v>
      </c>
      <c r="BS90" s="162">
        <v>0</v>
      </c>
      <c r="BT90" s="162">
        <v>0</v>
      </c>
      <c r="BU90" s="162">
        <v>0</v>
      </c>
      <c r="BV90" s="162">
        <v>0</v>
      </c>
      <c r="BW90" s="162"/>
      <c r="BX90" s="162"/>
      <c r="BY90" s="162">
        <v>0</v>
      </c>
      <c r="BZ90" s="162">
        <v>0</v>
      </c>
      <c r="CA90" s="162">
        <v>0</v>
      </c>
      <c r="CB90" s="162">
        <v>0</v>
      </c>
      <c r="CC90" s="162">
        <v>0</v>
      </c>
      <c r="CD90" s="162">
        <v>0</v>
      </c>
      <c r="CE90" s="162">
        <f>VLOOKUP(I90,[120]REV33!$A:$O,11,0)</f>
        <v>0</v>
      </c>
      <c r="CF90" s="162">
        <f>VLOOKUP(I90,[120]REV33!$A:$O,12,0)</f>
        <v>0</v>
      </c>
      <c r="CG90" s="162"/>
      <c r="CH90" s="162"/>
      <c r="CI90" s="162"/>
      <c r="CJ90" s="162"/>
      <c r="CK90" s="162"/>
      <c r="CL90" s="162"/>
      <c r="CM90" s="162"/>
      <c r="CN90" s="162"/>
      <c r="CO90" s="162">
        <v>0</v>
      </c>
      <c r="CP90" s="162">
        <v>0</v>
      </c>
      <c r="CQ90" s="162">
        <v>0</v>
      </c>
      <c r="CR90" s="162">
        <v>0</v>
      </c>
      <c r="CS90" s="209">
        <f>Q90+S90+U90+W90+Y90+AA90+AC90+AE90+AG90+AI90+AK90+AM90+AO90+AQ90+AS90+AU90+AW90+AY90+BA90+BC90+BE90+BG90+BI90+BK90+BM90+BO90+BQ90+BS90+BU90+BW90+BY90+CA90+CC90+CE90+CG90+CI90+CK90+CM90+CO90+CQ90</f>
        <v>492</v>
      </c>
      <c r="CT90" s="209">
        <f>R90+T90+V90+X90+Z90+AB90+AD90+AF90+AH90+AJ90+AL90+AN90+AP90+AR90+AT90+AV90+AX90+AZ90+BB90+BD90+BF90+BH90+BJ90+BL90+BN90+BP90+BR90+BT90+BV90+BX90+BZ90+CB90+CD90+CF90+CH90+CJ90+CL90+CN90+CP90+CR90</f>
        <v>24157.200000000001</v>
      </c>
      <c r="CU90" s="375" t="s">
        <v>505</v>
      </c>
      <c r="CV90" s="208"/>
      <c r="CW90" s="152"/>
      <c r="CX90" s="152"/>
      <c r="CY90" s="208"/>
      <c r="CZ90" s="208"/>
      <c r="DA90" s="152">
        <f>IF(CS90&gt;CW90,CS90-CW90,"0")</f>
        <v>492</v>
      </c>
      <c r="DB90" s="152">
        <f>IF(CT90&gt;CX90,CT90-CX90,"0")</f>
        <v>24157.200000000001</v>
      </c>
      <c r="DC90" s="153">
        <v>45813</v>
      </c>
      <c r="DD90" s="153"/>
      <c r="DE90" s="153"/>
      <c r="DF90" s="364"/>
      <c r="DG90" s="368"/>
      <c r="DH90" s="181"/>
      <c r="DI90" s="275"/>
      <c r="DJ90" s="1000"/>
      <c r="DK90" s="181"/>
      <c r="DL90" s="182"/>
      <c r="DM90" s="182"/>
      <c r="DN90" s="182"/>
      <c r="DO90" s="182"/>
      <c r="DP90" s="275"/>
      <c r="DQ90" s="152">
        <f>SUMIF($I:$I,I90,$DJ:$DJ)</f>
        <v>0</v>
      </c>
      <c r="DR90" s="152">
        <f>SUMIF($I:$I,I90,$DK:$DK)</f>
        <v>0</v>
      </c>
      <c r="DS90" s="151"/>
      <c r="DT90" s="275"/>
      <c r="DU90" s="370"/>
      <c r="DV90" s="208"/>
      <c r="DW90" s="208" t="s">
        <v>517</v>
      </c>
      <c r="DX90" s="152" t="s">
        <v>46</v>
      </c>
      <c r="DY90" s="171" t="s">
        <v>316</v>
      </c>
      <c r="DZ90" s="152"/>
      <c r="EA90" s="152">
        <v>10036.799999999999</v>
      </c>
      <c r="EB90" s="153">
        <v>45784</v>
      </c>
      <c r="EC90" s="152">
        <v>204</v>
      </c>
      <c r="ED90" s="152">
        <v>10036.799999999999</v>
      </c>
      <c r="EE90" s="396">
        <f>0.0140000072674221+0.984</f>
        <v>0.99800000726742211</v>
      </c>
      <c r="EF90" s="371">
        <f t="shared" si="104"/>
        <v>10016.726472941662</v>
      </c>
      <c r="EG90" s="153">
        <v>45786</v>
      </c>
      <c r="EH90" s="153"/>
      <c r="EI90" s="153"/>
      <c r="EJ90" s="153"/>
      <c r="EK90" s="153"/>
      <c r="EL90" s="153">
        <v>45823</v>
      </c>
      <c r="EM90" s="153">
        <v>45824</v>
      </c>
      <c r="EN90" s="153"/>
      <c r="EO90" s="152">
        <f>SUMIF($I:$I,I90,$EC:$EC)</f>
        <v>492</v>
      </c>
      <c r="EP90" s="151">
        <f>SUMIF($I:$I,I90,$ED:$ED)</f>
        <v>24206.400000000001</v>
      </c>
      <c r="EQ90" s="153"/>
      <c r="ER90" s="153"/>
      <c r="ES90" s="153"/>
      <c r="ET90" s="153"/>
      <c r="EU90" s="152">
        <f>DQ90+EO90</f>
        <v>492</v>
      </c>
      <c r="EV90" s="152">
        <f>DR90+EP90</f>
        <v>24206.400000000001</v>
      </c>
      <c r="EW90" s="152">
        <f t="shared" ref="EW90" si="114">DA90-EU90</f>
        <v>0</v>
      </c>
      <c r="EX90" s="152">
        <f t="shared" ref="EX90" si="115">DB90-EV90</f>
        <v>-49.200000000000728</v>
      </c>
      <c r="EY90" s="151" t="str">
        <f>IF(EW90&lt;0,"Thừa",IF(EW90=0,"Đủ","Thiếu"))</f>
        <v>Đủ</v>
      </c>
      <c r="EZ90" s="152"/>
      <c r="FA90" s="372"/>
      <c r="FB90" s="373"/>
      <c r="FC90" s="367"/>
      <c r="FD90" s="374"/>
      <c r="FE90" s="183"/>
      <c r="FF90" s="184"/>
      <c r="FG90" s="185"/>
      <c r="FH90" s="185"/>
    </row>
    <row r="91" spans="1:164" s="386" customFormat="1" ht="14" hidden="1" customHeight="1">
      <c r="A91" s="208" t="str">
        <f t="shared" si="89"/>
        <v>ok</v>
      </c>
      <c r="B91" s="151"/>
      <c r="C91" s="151"/>
      <c r="D91" s="399"/>
      <c r="E91" s="399"/>
      <c r="F91" s="151"/>
      <c r="G91" s="151"/>
      <c r="H91" s="151"/>
      <c r="I91" s="171" t="s">
        <v>275</v>
      </c>
      <c r="J91" s="164" t="s">
        <v>267</v>
      </c>
      <c r="K91" s="171" t="s">
        <v>316</v>
      </c>
      <c r="L91" s="233" t="s">
        <v>308</v>
      </c>
      <c r="M91" s="163" t="s">
        <v>61</v>
      </c>
      <c r="N91" s="172"/>
      <c r="O91" s="172"/>
      <c r="P91" s="172"/>
      <c r="Q91" s="161"/>
      <c r="R91" s="162"/>
      <c r="S91" s="161"/>
      <c r="T91" s="162"/>
      <c r="U91" s="162"/>
      <c r="V91" s="162"/>
      <c r="W91" s="162"/>
      <c r="X91" s="162"/>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c r="AY91" s="162"/>
      <c r="AZ91" s="162"/>
      <c r="BA91" s="162"/>
      <c r="BB91" s="162"/>
      <c r="BC91" s="162"/>
      <c r="BD91" s="162"/>
      <c r="BE91" s="162"/>
      <c r="BF91" s="162"/>
      <c r="BG91" s="162"/>
      <c r="BH91" s="162"/>
      <c r="BI91" s="162"/>
      <c r="BJ91" s="162"/>
      <c r="BK91" s="162"/>
      <c r="BL91" s="162"/>
      <c r="BM91" s="162"/>
      <c r="BN91" s="162"/>
      <c r="BO91" s="162"/>
      <c r="BP91" s="162"/>
      <c r="BQ91" s="162"/>
      <c r="BR91" s="162"/>
      <c r="BS91" s="162"/>
      <c r="BT91" s="162"/>
      <c r="BU91" s="162"/>
      <c r="BV91" s="162"/>
      <c r="BW91" s="162"/>
      <c r="BX91" s="162"/>
      <c r="BY91" s="162"/>
      <c r="BZ91" s="162"/>
      <c r="CA91" s="162"/>
      <c r="CB91" s="162"/>
      <c r="CC91" s="162"/>
      <c r="CD91" s="162"/>
      <c r="CE91" s="162"/>
      <c r="CF91" s="162"/>
      <c r="CG91" s="162"/>
      <c r="CH91" s="162"/>
      <c r="CI91" s="162"/>
      <c r="CJ91" s="162"/>
      <c r="CK91" s="162"/>
      <c r="CL91" s="162"/>
      <c r="CM91" s="162"/>
      <c r="CN91" s="162"/>
      <c r="CO91" s="162"/>
      <c r="CP91" s="162"/>
      <c r="CQ91" s="162"/>
      <c r="CR91" s="162"/>
      <c r="CS91" s="209"/>
      <c r="CT91" s="209"/>
      <c r="CU91" s="375"/>
      <c r="CV91" s="208"/>
      <c r="CW91" s="152"/>
      <c r="CX91" s="152"/>
      <c r="CY91" s="208"/>
      <c r="CZ91" s="208"/>
      <c r="DA91" s="152"/>
      <c r="DB91" s="152"/>
      <c r="DC91" s="153"/>
      <c r="DD91" s="153"/>
      <c r="DE91" s="153"/>
      <c r="DF91" s="364"/>
      <c r="DG91" s="368"/>
      <c r="DH91" s="181"/>
      <c r="DI91" s="275"/>
      <c r="DJ91" s="1000"/>
      <c r="DK91" s="181"/>
      <c r="DL91" s="182"/>
      <c r="DM91" s="182"/>
      <c r="DN91" s="182"/>
      <c r="DO91" s="182"/>
      <c r="DP91" s="275"/>
      <c r="DQ91" s="152"/>
      <c r="DR91" s="152"/>
      <c r="DS91" s="151"/>
      <c r="DT91" s="275"/>
      <c r="DU91" s="370"/>
      <c r="DV91" s="208"/>
      <c r="DW91" s="208" t="s">
        <v>594</v>
      </c>
      <c r="DX91" s="208" t="s">
        <v>46</v>
      </c>
      <c r="DY91" s="171" t="s">
        <v>600</v>
      </c>
      <c r="DZ91" s="152" t="s">
        <v>601</v>
      </c>
      <c r="EA91" s="152">
        <v>14169.600000000002</v>
      </c>
      <c r="EB91" s="153">
        <v>45833</v>
      </c>
      <c r="EC91" s="152">
        <v>288</v>
      </c>
      <c r="ED91" s="152">
        <v>14169.600000000002</v>
      </c>
      <c r="EE91" s="396">
        <f>0.113081035655641+0.981</f>
        <v>1.094081035655641</v>
      </c>
      <c r="EF91" s="371">
        <f>EE91*ED91</f>
        <v>15502.690642826172</v>
      </c>
      <c r="EG91" s="153">
        <v>45846</v>
      </c>
      <c r="EH91" s="153"/>
      <c r="EI91" s="153"/>
      <c r="EJ91" s="153"/>
      <c r="EK91" s="153"/>
      <c r="EL91" s="153"/>
      <c r="EM91" s="153">
        <v>45869</v>
      </c>
      <c r="EN91" s="153">
        <v>45869</v>
      </c>
      <c r="EO91" s="152"/>
      <c r="EP91" s="151"/>
      <c r="EQ91" s="153"/>
      <c r="ER91" s="153"/>
      <c r="ES91" s="153"/>
      <c r="ET91" s="153"/>
      <c r="EU91" s="152"/>
      <c r="EV91" s="152"/>
      <c r="EW91" s="152"/>
      <c r="EX91" s="152"/>
      <c r="EY91" s="151"/>
      <c r="EZ91" s="152"/>
      <c r="FA91" s="372"/>
      <c r="FB91" s="373"/>
      <c r="FC91" s="384"/>
      <c r="FD91" s="385"/>
      <c r="FE91" s="210"/>
      <c r="FF91" s="211"/>
      <c r="FG91" s="212"/>
      <c r="FH91" s="212"/>
    </row>
    <row r="92" spans="1:164" s="157" customFormat="1" ht="14" hidden="1" customHeight="1">
      <c r="A92" s="208" t="str">
        <f t="shared" si="89"/>
        <v>Hiện</v>
      </c>
      <c r="B92" s="151" t="str">
        <f t="shared" si="84"/>
        <v>Thừa</v>
      </c>
      <c r="C92" s="151">
        <f>EW92</f>
        <v>-3.2094399999998586</v>
      </c>
      <c r="D92" s="397"/>
      <c r="E92" s="398"/>
      <c r="F92" s="151"/>
      <c r="G92" s="151"/>
      <c r="H92" s="151"/>
      <c r="I92" s="171" t="s">
        <v>276</v>
      </c>
      <c r="J92" s="164" t="s">
        <v>277</v>
      </c>
      <c r="K92" s="171" t="s">
        <v>317</v>
      </c>
      <c r="L92" s="233" t="s">
        <v>308</v>
      </c>
      <c r="M92" s="163" t="s">
        <v>61</v>
      </c>
      <c r="N92" s="172">
        <v>37.9</v>
      </c>
      <c r="O92" s="172">
        <v>427.95200000000006</v>
      </c>
      <c r="P92" s="172">
        <v>16180.600000000004</v>
      </c>
      <c r="Q92" s="205"/>
      <c r="R92" s="226"/>
      <c r="S92" s="161">
        <v>440.79056000000008</v>
      </c>
      <c r="T92" s="162">
        <v>16705.962224000003</v>
      </c>
      <c r="U92" s="162"/>
      <c r="V92" s="162"/>
      <c r="W92" s="162">
        <v>0</v>
      </c>
      <c r="X92" s="162">
        <v>0</v>
      </c>
      <c r="Y92" s="162">
        <v>0</v>
      </c>
      <c r="Z92" s="162">
        <v>0</v>
      </c>
      <c r="AA92" s="162">
        <v>384</v>
      </c>
      <c r="AB92" s="162">
        <v>14553.599999999999</v>
      </c>
      <c r="AC92" s="162">
        <v>0</v>
      </c>
      <c r="AD92" s="162">
        <v>0</v>
      </c>
      <c r="AE92" s="162">
        <v>0</v>
      </c>
      <c r="AF92" s="162">
        <v>0</v>
      </c>
      <c r="AG92" s="162">
        <v>0</v>
      </c>
      <c r="AH92" s="162">
        <v>0</v>
      </c>
      <c r="AI92" s="162">
        <f>VLOOKUP(I92,'[119]MTO-rev09'!$A:$O,11,0)</f>
        <v>0</v>
      </c>
      <c r="AJ92" s="162">
        <f>VLOOKUP(I92,'[119]MTO-rev09'!$A:$O,12,0)</f>
        <v>0</v>
      </c>
      <c r="AK92" s="162">
        <v>0</v>
      </c>
      <c r="AL92" s="162">
        <v>0</v>
      </c>
      <c r="AM92" s="162"/>
      <c r="AN92" s="162"/>
      <c r="AO92" s="162">
        <v>0</v>
      </c>
      <c r="AP92" s="162">
        <v>0</v>
      </c>
      <c r="AQ92" s="162">
        <v>0</v>
      </c>
      <c r="AR92" s="162">
        <v>0</v>
      </c>
      <c r="AS92" s="162">
        <v>0</v>
      </c>
      <c r="AT92" s="162">
        <v>0</v>
      </c>
      <c r="AU92" s="162">
        <v>0</v>
      </c>
      <c r="AV92" s="162">
        <v>0</v>
      </c>
      <c r="AW92" s="162">
        <v>0</v>
      </c>
      <c r="AX92" s="162">
        <v>0</v>
      </c>
      <c r="AY92" s="162">
        <v>0</v>
      </c>
      <c r="AZ92" s="162">
        <v>0</v>
      </c>
      <c r="BA92" s="162"/>
      <c r="BB92" s="162"/>
      <c r="BC92" s="162">
        <v>0</v>
      </c>
      <c r="BD92" s="162">
        <v>0</v>
      </c>
      <c r="BE92" s="162">
        <v>0</v>
      </c>
      <c r="BF92" s="162">
        <v>0</v>
      </c>
      <c r="BG92" s="162">
        <v>0</v>
      </c>
      <c r="BH92" s="162">
        <v>0</v>
      </c>
      <c r="BI92" s="162">
        <v>0</v>
      </c>
      <c r="BJ92" s="162">
        <v>0</v>
      </c>
      <c r="BK92" s="162">
        <v>0</v>
      </c>
      <c r="BL92" s="162">
        <v>0</v>
      </c>
      <c r="BM92" s="162">
        <v>0</v>
      </c>
      <c r="BN92" s="162">
        <v>0</v>
      </c>
      <c r="BO92" s="162"/>
      <c r="BP92" s="162"/>
      <c r="BQ92" s="162">
        <v>0</v>
      </c>
      <c r="BR92" s="162">
        <v>0</v>
      </c>
      <c r="BS92" s="162">
        <v>0</v>
      </c>
      <c r="BT92" s="162">
        <v>0</v>
      </c>
      <c r="BU92" s="162">
        <v>0</v>
      </c>
      <c r="BV92" s="162">
        <v>0</v>
      </c>
      <c r="BW92" s="162"/>
      <c r="BX92" s="162"/>
      <c r="BY92" s="162">
        <v>0</v>
      </c>
      <c r="BZ92" s="162">
        <v>0</v>
      </c>
      <c r="CA92" s="162">
        <v>0</v>
      </c>
      <c r="CB92" s="162">
        <v>0</v>
      </c>
      <c r="CC92" s="162">
        <v>0</v>
      </c>
      <c r="CD92" s="162">
        <v>0</v>
      </c>
      <c r="CE92" s="162">
        <f>VLOOKUP(I92,[120]REV33!$A:$O,11,0)</f>
        <v>0</v>
      </c>
      <c r="CF92" s="162">
        <f>VLOOKUP(I92,[120]REV33!$A:$O,12,0)</f>
        <v>0</v>
      </c>
      <c r="CG92" s="162"/>
      <c r="CH92" s="162"/>
      <c r="CI92" s="162"/>
      <c r="CJ92" s="162"/>
      <c r="CK92" s="162"/>
      <c r="CL92" s="162"/>
      <c r="CM92" s="162"/>
      <c r="CN92" s="162"/>
      <c r="CO92" s="162">
        <v>0</v>
      </c>
      <c r="CP92" s="162">
        <v>0</v>
      </c>
      <c r="CQ92" s="162">
        <v>0</v>
      </c>
      <c r="CR92" s="162">
        <v>0</v>
      </c>
      <c r="CS92" s="209">
        <f>Q92+S92+U92+W92+Y92+AA92+AC92+AE92+AG92+AI92+AK92+AM92+AO92+AQ92+AS92+AU92+AW92+AY92+BA92+BC92+BE92+BG92+BI92+BK92+BM92+BO92+BQ92+BS92+BU92+BW92+BY92+CA92+CC92+CE92+CG92+CI92+CK92+CM92+CO92+CQ92</f>
        <v>824.79056000000014</v>
      </c>
      <c r="CT92" s="209">
        <f>R92+T92+V92+X92+Z92+AB92+AD92+AF92+AH92+AJ92+AL92+AN92+AP92+AR92+AT92+AV92+AX92+AZ92+BB92+BD92+BF92+BH92+BJ92+BL92+BN92+BP92+BR92+BT92+BV92+BX92+BZ92+CB92+CD92+CF92+CH92+CJ92+CL92+CN92+CP92+CR92</f>
        <v>31259.562224000001</v>
      </c>
      <c r="CU92" s="375" t="s">
        <v>506</v>
      </c>
      <c r="CV92" s="208"/>
      <c r="CW92" s="152"/>
      <c r="CX92" s="152"/>
      <c r="CY92" s="208"/>
      <c r="CZ92" s="208"/>
      <c r="DA92" s="152">
        <f>IF(CS92&gt;CW92,CS92-CW92,"0")</f>
        <v>824.79056000000014</v>
      </c>
      <c r="DB92" s="152">
        <f>IF(CT92&gt;CX92,CT92-CX92,"0")</f>
        <v>31259.562224000001</v>
      </c>
      <c r="DC92" s="153">
        <v>45813</v>
      </c>
      <c r="DD92" s="153"/>
      <c r="DE92" s="153"/>
      <c r="DF92" s="376"/>
      <c r="DG92" s="368"/>
      <c r="DH92" s="181"/>
      <c r="DI92" s="153"/>
      <c r="DJ92" s="1000"/>
      <c r="DK92" s="181"/>
      <c r="DL92" s="182"/>
      <c r="DM92" s="182"/>
      <c r="DN92" s="182"/>
      <c r="DO92" s="182"/>
      <c r="DP92" s="275"/>
      <c r="DQ92" s="152">
        <f>SUMIF($I:$I,I92,$DJ:$DJ)</f>
        <v>0</v>
      </c>
      <c r="DR92" s="152">
        <f>SUMIF($I:$I,I92,$DK:$DK)</f>
        <v>0</v>
      </c>
      <c r="DS92" s="151"/>
      <c r="DT92" s="275"/>
      <c r="DU92" s="370"/>
      <c r="DV92" s="208"/>
      <c r="DW92" s="208" t="s">
        <v>517</v>
      </c>
      <c r="DX92" s="152" t="s">
        <v>46</v>
      </c>
      <c r="DY92" s="171" t="s">
        <v>317</v>
      </c>
      <c r="DZ92" s="152"/>
      <c r="EA92" s="152">
        <v>16827.599999999999</v>
      </c>
      <c r="EB92" s="153">
        <v>45784</v>
      </c>
      <c r="EC92" s="152">
        <v>444</v>
      </c>
      <c r="ED92" s="152">
        <v>16827.599999999999</v>
      </c>
      <c r="EE92" s="396">
        <f>0.0140000072674221+1.779</f>
        <v>1.7930000072674219</v>
      </c>
      <c r="EF92" s="371">
        <f t="shared" si="104"/>
        <v>30171.886922293266</v>
      </c>
      <c r="EG92" s="153">
        <v>45786</v>
      </c>
      <c r="EH92" s="153"/>
      <c r="EI92" s="153"/>
      <c r="EJ92" s="153"/>
      <c r="EK92" s="153"/>
      <c r="EL92" s="153">
        <v>45823</v>
      </c>
      <c r="EM92" s="153">
        <v>45824</v>
      </c>
      <c r="EN92" s="153"/>
      <c r="EO92" s="152">
        <f>SUMIF($I:$I,I92,$EC:$EC)</f>
        <v>828</v>
      </c>
      <c r="EP92" s="151">
        <f>SUMIF($I:$I,I92,$ED:$ED)</f>
        <v>31381.199999999997</v>
      </c>
      <c r="EQ92" s="153"/>
      <c r="ER92" s="153"/>
      <c r="ES92" s="153"/>
      <c r="ET92" s="153"/>
      <c r="EU92" s="152">
        <f>DQ92+EO92</f>
        <v>828</v>
      </c>
      <c r="EV92" s="152">
        <f>DR92+EP92</f>
        <v>31381.199999999997</v>
      </c>
      <c r="EW92" s="152">
        <f t="shared" ref="EW92" si="116">DA92-EU92</f>
        <v>-3.2094399999998586</v>
      </c>
      <c r="EX92" s="152">
        <f t="shared" ref="EX92" si="117">DB92-EV92</f>
        <v>-121.63777599999594</v>
      </c>
      <c r="EY92" s="151" t="str">
        <f>IF(EW92&lt;0,"Thừa",IF(EW92=0,"Đủ","Thiếu"))</f>
        <v>Thừa</v>
      </c>
      <c r="EZ92" s="152"/>
      <c r="FA92" s="372"/>
      <c r="FB92" s="373"/>
      <c r="FC92" s="367"/>
      <c r="FD92" s="374"/>
      <c r="FE92" s="183"/>
      <c r="FF92" s="184"/>
      <c r="FG92" s="185"/>
      <c r="FH92" s="185"/>
    </row>
    <row r="93" spans="1:164" s="386" customFormat="1" ht="14" hidden="1" customHeight="1">
      <c r="A93" s="208" t="str">
        <f t="shared" si="89"/>
        <v>ok</v>
      </c>
      <c r="B93" s="151"/>
      <c r="C93" s="151"/>
      <c r="D93" s="399"/>
      <c r="E93" s="399"/>
      <c r="F93" s="151"/>
      <c r="G93" s="151"/>
      <c r="H93" s="151"/>
      <c r="I93" s="171" t="s">
        <v>276</v>
      </c>
      <c r="J93" s="164" t="s">
        <v>277</v>
      </c>
      <c r="K93" s="171" t="s">
        <v>317</v>
      </c>
      <c r="L93" s="233" t="s">
        <v>308</v>
      </c>
      <c r="M93" s="163" t="s">
        <v>61</v>
      </c>
      <c r="N93" s="172"/>
      <c r="O93" s="172"/>
      <c r="P93" s="172"/>
      <c r="Q93" s="205"/>
      <c r="R93" s="226"/>
      <c r="S93" s="161"/>
      <c r="T93" s="162"/>
      <c r="U93" s="162"/>
      <c r="V93" s="162"/>
      <c r="W93" s="162"/>
      <c r="X93" s="162"/>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c r="AY93" s="162"/>
      <c r="AZ93" s="162"/>
      <c r="BA93" s="162"/>
      <c r="BB93" s="162"/>
      <c r="BC93" s="162"/>
      <c r="BD93" s="162"/>
      <c r="BE93" s="162"/>
      <c r="BF93" s="162"/>
      <c r="BG93" s="162"/>
      <c r="BH93" s="162"/>
      <c r="BI93" s="162"/>
      <c r="BJ93" s="162"/>
      <c r="BK93" s="162"/>
      <c r="BL93" s="162"/>
      <c r="BM93" s="162"/>
      <c r="BN93" s="162"/>
      <c r="BO93" s="162"/>
      <c r="BP93" s="162"/>
      <c r="BQ93" s="162"/>
      <c r="BR93" s="162"/>
      <c r="BS93" s="162"/>
      <c r="BT93" s="162"/>
      <c r="BU93" s="162"/>
      <c r="BV93" s="162"/>
      <c r="BW93" s="162"/>
      <c r="BX93" s="162"/>
      <c r="BY93" s="162"/>
      <c r="BZ93" s="162"/>
      <c r="CA93" s="162"/>
      <c r="CB93" s="162"/>
      <c r="CC93" s="162"/>
      <c r="CD93" s="162"/>
      <c r="CE93" s="162"/>
      <c r="CF93" s="162"/>
      <c r="CG93" s="162"/>
      <c r="CH93" s="162"/>
      <c r="CI93" s="162"/>
      <c r="CJ93" s="162"/>
      <c r="CK93" s="162"/>
      <c r="CL93" s="162"/>
      <c r="CM93" s="162"/>
      <c r="CN93" s="162"/>
      <c r="CO93" s="162"/>
      <c r="CP93" s="162"/>
      <c r="CQ93" s="162"/>
      <c r="CR93" s="162"/>
      <c r="CS93" s="209"/>
      <c r="CT93" s="209"/>
      <c r="CU93" s="375"/>
      <c r="CV93" s="208"/>
      <c r="CW93" s="152"/>
      <c r="CX93" s="152"/>
      <c r="CY93" s="208"/>
      <c r="CZ93" s="208"/>
      <c r="DA93" s="152"/>
      <c r="DB93" s="152"/>
      <c r="DC93" s="153"/>
      <c r="DD93" s="153"/>
      <c r="DE93" s="153"/>
      <c r="DF93" s="376"/>
      <c r="DG93" s="368"/>
      <c r="DH93" s="181"/>
      <c r="DI93" s="153"/>
      <c r="DJ93" s="1000"/>
      <c r="DK93" s="181"/>
      <c r="DL93" s="182"/>
      <c r="DM93" s="182"/>
      <c r="DN93" s="182"/>
      <c r="DO93" s="182"/>
      <c r="DP93" s="275"/>
      <c r="DQ93" s="152"/>
      <c r="DR93" s="152"/>
      <c r="DS93" s="151"/>
      <c r="DT93" s="275"/>
      <c r="DU93" s="370"/>
      <c r="DV93" s="208"/>
      <c r="DW93" s="208" t="s">
        <v>594</v>
      </c>
      <c r="DX93" s="208" t="s">
        <v>46</v>
      </c>
      <c r="DY93" s="171" t="s">
        <v>602</v>
      </c>
      <c r="DZ93" s="152" t="s">
        <v>603</v>
      </c>
      <c r="EA93" s="152">
        <v>14553.599999999999</v>
      </c>
      <c r="EB93" s="153">
        <v>45833</v>
      </c>
      <c r="EC93" s="152">
        <v>384</v>
      </c>
      <c r="ED93" s="152">
        <v>14553.599999999999</v>
      </c>
      <c r="EE93" s="396">
        <f>0.113081035655641+1.779</f>
        <v>1.892081035655641</v>
      </c>
      <c r="EF93" s="371">
        <f>EE93*ED93</f>
        <v>27536.590560517936</v>
      </c>
      <c r="EG93" s="153">
        <v>45846</v>
      </c>
      <c r="EH93" s="153"/>
      <c r="EI93" s="153"/>
      <c r="EJ93" s="153"/>
      <c r="EK93" s="153"/>
      <c r="EL93" s="153"/>
      <c r="EM93" s="153">
        <v>45869</v>
      </c>
      <c r="EN93" s="153">
        <v>45869</v>
      </c>
      <c r="EO93" s="152"/>
      <c r="EP93" s="151"/>
      <c r="EQ93" s="153"/>
      <c r="ER93" s="153"/>
      <c r="ES93" s="153"/>
      <c r="ET93" s="153"/>
      <c r="EU93" s="152"/>
      <c r="EV93" s="152"/>
      <c r="EW93" s="152"/>
      <c r="EX93" s="152"/>
      <c r="EY93" s="151"/>
      <c r="EZ93" s="152"/>
      <c r="FA93" s="372"/>
      <c r="FB93" s="373"/>
      <c r="FC93" s="384"/>
      <c r="FD93" s="385"/>
      <c r="FE93" s="210"/>
      <c r="FF93" s="211"/>
      <c r="FG93" s="212"/>
      <c r="FH93" s="212"/>
    </row>
    <row r="94" spans="1:164" s="157" customFormat="1" ht="14" hidden="1" customHeight="1">
      <c r="A94" s="208" t="str">
        <f t="shared" si="89"/>
        <v>Hiện</v>
      </c>
      <c r="B94" s="151" t="str">
        <f t="shared" si="84"/>
        <v>Đủ</v>
      </c>
      <c r="C94" s="151">
        <f>EW94</f>
        <v>0</v>
      </c>
      <c r="D94" s="397"/>
      <c r="E94" s="398"/>
      <c r="F94" s="151"/>
      <c r="G94" s="151"/>
      <c r="H94" s="151"/>
      <c r="I94" s="171" t="s">
        <v>278</v>
      </c>
      <c r="J94" s="164" t="s">
        <v>277</v>
      </c>
      <c r="K94" s="171" t="s">
        <v>318</v>
      </c>
      <c r="L94" s="233" t="s">
        <v>308</v>
      </c>
      <c r="M94" s="163" t="s">
        <v>61</v>
      </c>
      <c r="N94" s="172">
        <v>46.2</v>
      </c>
      <c r="O94" s="172">
        <v>291.86400000000003</v>
      </c>
      <c r="P94" s="172">
        <v>13189.92</v>
      </c>
      <c r="Q94" s="161"/>
      <c r="R94" s="162"/>
      <c r="S94" s="161">
        <v>300</v>
      </c>
      <c r="T94" s="162">
        <v>13860</v>
      </c>
      <c r="U94" s="162"/>
      <c r="V94" s="162"/>
      <c r="W94" s="162">
        <v>0</v>
      </c>
      <c r="X94" s="162">
        <v>0</v>
      </c>
      <c r="Y94" s="162">
        <v>0</v>
      </c>
      <c r="Z94" s="162">
        <v>0</v>
      </c>
      <c r="AA94" s="162">
        <v>480</v>
      </c>
      <c r="AB94" s="162">
        <v>22176</v>
      </c>
      <c r="AC94" s="162">
        <v>0</v>
      </c>
      <c r="AD94" s="162">
        <v>0</v>
      </c>
      <c r="AE94" s="162">
        <v>0</v>
      </c>
      <c r="AF94" s="162">
        <v>0</v>
      </c>
      <c r="AG94" s="162">
        <v>0</v>
      </c>
      <c r="AH94" s="162">
        <v>0</v>
      </c>
      <c r="AI94" s="162">
        <f>VLOOKUP(I94,'[119]MTO-rev09'!$A:$O,11,0)</f>
        <v>0</v>
      </c>
      <c r="AJ94" s="162">
        <f>VLOOKUP(I94,'[119]MTO-rev09'!$A:$O,12,0)</f>
        <v>0</v>
      </c>
      <c r="AK94" s="162">
        <v>0</v>
      </c>
      <c r="AL94" s="162">
        <v>0</v>
      </c>
      <c r="AM94" s="162"/>
      <c r="AN94" s="162"/>
      <c r="AO94" s="162">
        <v>0</v>
      </c>
      <c r="AP94" s="162">
        <v>0</v>
      </c>
      <c r="AQ94" s="162">
        <v>0</v>
      </c>
      <c r="AR94" s="162">
        <v>0</v>
      </c>
      <c r="AS94" s="162">
        <v>0</v>
      </c>
      <c r="AT94" s="162">
        <v>0</v>
      </c>
      <c r="AU94" s="162">
        <v>0</v>
      </c>
      <c r="AV94" s="162">
        <v>0</v>
      </c>
      <c r="AW94" s="162">
        <v>0</v>
      </c>
      <c r="AX94" s="162">
        <v>0</v>
      </c>
      <c r="AY94" s="162">
        <v>0</v>
      </c>
      <c r="AZ94" s="162">
        <v>0</v>
      </c>
      <c r="BA94" s="162"/>
      <c r="BB94" s="162"/>
      <c r="BC94" s="162">
        <v>0</v>
      </c>
      <c r="BD94" s="162">
        <v>0</v>
      </c>
      <c r="BE94" s="162">
        <v>0</v>
      </c>
      <c r="BF94" s="162">
        <v>0</v>
      </c>
      <c r="BG94" s="162">
        <v>0</v>
      </c>
      <c r="BH94" s="162">
        <v>0</v>
      </c>
      <c r="BI94" s="162">
        <v>0</v>
      </c>
      <c r="BJ94" s="162">
        <v>0</v>
      </c>
      <c r="BK94" s="162">
        <v>0</v>
      </c>
      <c r="BL94" s="162">
        <v>0</v>
      </c>
      <c r="BM94" s="162">
        <v>0</v>
      </c>
      <c r="BN94" s="162">
        <v>0</v>
      </c>
      <c r="BO94" s="162"/>
      <c r="BP94" s="162"/>
      <c r="BQ94" s="162">
        <v>0</v>
      </c>
      <c r="BR94" s="162">
        <v>0</v>
      </c>
      <c r="BS94" s="162">
        <v>0</v>
      </c>
      <c r="BT94" s="162">
        <v>0</v>
      </c>
      <c r="BU94" s="162">
        <v>0</v>
      </c>
      <c r="BV94" s="162">
        <v>0</v>
      </c>
      <c r="BW94" s="162"/>
      <c r="BX94" s="162"/>
      <c r="BY94" s="162">
        <v>0</v>
      </c>
      <c r="BZ94" s="162">
        <v>0</v>
      </c>
      <c r="CA94" s="162">
        <v>0</v>
      </c>
      <c r="CB94" s="162">
        <v>0</v>
      </c>
      <c r="CC94" s="162">
        <v>0</v>
      </c>
      <c r="CD94" s="162">
        <v>0</v>
      </c>
      <c r="CE94" s="162">
        <f>VLOOKUP(I94,[120]REV33!$A:$O,11,0)</f>
        <v>0</v>
      </c>
      <c r="CF94" s="162">
        <f>VLOOKUP(I94,[120]REV33!$A:$O,12,0)</f>
        <v>0</v>
      </c>
      <c r="CG94" s="162"/>
      <c r="CH94" s="162"/>
      <c r="CI94" s="162"/>
      <c r="CJ94" s="162"/>
      <c r="CK94" s="162"/>
      <c r="CL94" s="162"/>
      <c r="CM94" s="162"/>
      <c r="CN94" s="162"/>
      <c r="CO94" s="162">
        <v>0</v>
      </c>
      <c r="CP94" s="162">
        <v>0</v>
      </c>
      <c r="CQ94" s="162">
        <v>0</v>
      </c>
      <c r="CR94" s="162">
        <v>0</v>
      </c>
      <c r="CS94" s="209">
        <f>Q94+S94+U94+W94+Y94+AA94+AC94+AE94+AG94+AI94+AK94+AM94+AO94+AQ94+AS94+AU94+AW94+AY94+BA94+BC94+BE94+BG94+BI94+BK94+BM94+BO94+BQ94+BS94+BU94+BW94+BY94+CA94+CC94+CE94+CG94+CI94+CK94+CM94+CO94+CQ94</f>
        <v>780</v>
      </c>
      <c r="CT94" s="209">
        <f>R94+T94+V94+X94+Z94+AB94+AD94+AF94+AH94+AJ94+AL94+AN94+AP94+AR94+AT94+AV94+AX94+AZ94+BB94+BD94+BF94+BH94+BJ94+BL94+BN94+BP94+BR94+BT94+BV94+BX94+BZ94+CB94+CD94+CF94+CH94+CJ94+CL94+CN94+CP94+CR94</f>
        <v>36036</v>
      </c>
      <c r="CU94" s="375" t="s">
        <v>507</v>
      </c>
      <c r="CV94" s="208"/>
      <c r="CW94" s="152"/>
      <c r="CX94" s="152"/>
      <c r="CY94" s="208"/>
      <c r="CZ94" s="208"/>
      <c r="DA94" s="152">
        <f>IF(CS94&gt;CW94,CS94-CW94,"0")</f>
        <v>780</v>
      </c>
      <c r="DB94" s="152">
        <f>IF(CT94&gt;CX94,CT94-CX94,"0")</f>
        <v>36036</v>
      </c>
      <c r="DC94" s="153">
        <v>45813</v>
      </c>
      <c r="DD94" s="153"/>
      <c r="DE94" s="153"/>
      <c r="DF94" s="376"/>
      <c r="DG94" s="368"/>
      <c r="DH94" s="181"/>
      <c r="DI94" s="153"/>
      <c r="DJ94" s="1000"/>
      <c r="DK94" s="181"/>
      <c r="DL94" s="182"/>
      <c r="DM94" s="182"/>
      <c r="DN94" s="182"/>
      <c r="DO94" s="182"/>
      <c r="DP94" s="275"/>
      <c r="DQ94" s="152">
        <f>SUMIF($I:$I,I94,$DJ:$DJ)</f>
        <v>0</v>
      </c>
      <c r="DR94" s="152">
        <f>SUMIF($I:$I,I94,$DK:$DK)</f>
        <v>0</v>
      </c>
      <c r="DS94" s="151"/>
      <c r="DT94" s="275"/>
      <c r="DU94" s="370"/>
      <c r="DV94" s="208"/>
      <c r="DW94" s="208" t="s">
        <v>517</v>
      </c>
      <c r="DX94" s="152" t="s">
        <v>46</v>
      </c>
      <c r="DY94" s="171" t="s">
        <v>318</v>
      </c>
      <c r="DZ94" s="152"/>
      <c r="EA94" s="152">
        <v>13860</v>
      </c>
      <c r="EB94" s="153">
        <v>45784</v>
      </c>
      <c r="EC94" s="152">
        <v>300</v>
      </c>
      <c r="ED94" s="152">
        <v>13860</v>
      </c>
      <c r="EE94" s="396">
        <f>0.0140000072674221+0.981</f>
        <v>0.9950000072674221</v>
      </c>
      <c r="EF94" s="371">
        <f t="shared" si="104"/>
        <v>13790.70010072647</v>
      </c>
      <c r="EG94" s="153">
        <v>45786</v>
      </c>
      <c r="EH94" s="153"/>
      <c r="EI94" s="153"/>
      <c r="EJ94" s="153"/>
      <c r="EK94" s="153"/>
      <c r="EL94" s="153">
        <v>45823</v>
      </c>
      <c r="EM94" s="153">
        <v>45824</v>
      </c>
      <c r="EN94" s="153"/>
      <c r="EO94" s="152">
        <f>SUMIF($I:$I,I94,$EC:$EC)</f>
        <v>780</v>
      </c>
      <c r="EP94" s="151">
        <f>SUMIF($I:$I,I94,$ED:$ED)</f>
        <v>36036</v>
      </c>
      <c r="EQ94" s="153"/>
      <c r="ER94" s="153"/>
      <c r="ES94" s="153"/>
      <c r="ET94" s="153"/>
      <c r="EU94" s="152">
        <f>DQ94+EO94</f>
        <v>780</v>
      </c>
      <c r="EV94" s="152">
        <f>DR94+EP94</f>
        <v>36036</v>
      </c>
      <c r="EW94" s="152">
        <f t="shared" ref="EW94" si="118">DA94-EU94</f>
        <v>0</v>
      </c>
      <c r="EX94" s="152">
        <f t="shared" ref="EX94" si="119">DB94-EV94</f>
        <v>0</v>
      </c>
      <c r="EY94" s="151" t="str">
        <f>IF(EW94&lt;0,"Thừa",IF(EW94=0,"Đủ","Thiếu"))</f>
        <v>Đủ</v>
      </c>
      <c r="EZ94" s="152"/>
      <c r="FA94" s="372"/>
      <c r="FB94" s="373"/>
      <c r="FC94" s="367"/>
      <c r="FD94" s="374"/>
      <c r="FE94" s="183"/>
      <c r="FF94" s="184"/>
      <c r="FG94" s="185"/>
      <c r="FH94" s="185"/>
    </row>
    <row r="95" spans="1:164" s="386" customFormat="1" ht="14" hidden="1" customHeight="1">
      <c r="A95" s="208" t="str">
        <f t="shared" si="89"/>
        <v>ok</v>
      </c>
      <c r="B95" s="151"/>
      <c r="C95" s="151"/>
      <c r="D95" s="399"/>
      <c r="E95" s="399"/>
      <c r="F95" s="151"/>
      <c r="G95" s="151"/>
      <c r="H95" s="151"/>
      <c r="I95" s="171" t="s">
        <v>278</v>
      </c>
      <c r="J95" s="164" t="s">
        <v>277</v>
      </c>
      <c r="K95" s="171" t="s">
        <v>318</v>
      </c>
      <c r="L95" s="233" t="s">
        <v>308</v>
      </c>
      <c r="M95" s="163" t="s">
        <v>61</v>
      </c>
      <c r="N95" s="172"/>
      <c r="O95" s="172"/>
      <c r="P95" s="172"/>
      <c r="Q95" s="161"/>
      <c r="R95" s="162"/>
      <c r="S95" s="161"/>
      <c r="T95" s="162"/>
      <c r="U95" s="162"/>
      <c r="V95" s="162"/>
      <c r="W95" s="162"/>
      <c r="X95" s="162"/>
      <c r="Y95" s="162"/>
      <c r="Z95" s="162"/>
      <c r="AA95" s="162"/>
      <c r="AB95" s="162"/>
      <c r="AC95" s="162"/>
      <c r="AD95" s="162"/>
      <c r="AE95" s="162"/>
      <c r="AF95" s="162"/>
      <c r="AG95" s="162"/>
      <c r="AH95" s="162"/>
      <c r="AI95" s="162"/>
      <c r="AJ95" s="162"/>
      <c r="AK95" s="162"/>
      <c r="AL95" s="162"/>
      <c r="AM95" s="162"/>
      <c r="AN95" s="162"/>
      <c r="AO95" s="162"/>
      <c r="AP95" s="162"/>
      <c r="AQ95" s="162"/>
      <c r="AR95" s="162"/>
      <c r="AS95" s="162"/>
      <c r="AT95" s="162"/>
      <c r="AU95" s="162"/>
      <c r="AV95" s="162"/>
      <c r="AW95" s="162"/>
      <c r="AX95" s="162"/>
      <c r="AY95" s="162"/>
      <c r="AZ95" s="162"/>
      <c r="BA95" s="162"/>
      <c r="BB95" s="162"/>
      <c r="BC95" s="162"/>
      <c r="BD95" s="162"/>
      <c r="BE95" s="162"/>
      <c r="BF95" s="162"/>
      <c r="BG95" s="162"/>
      <c r="BH95" s="162"/>
      <c r="BI95" s="162"/>
      <c r="BJ95" s="162"/>
      <c r="BK95" s="162"/>
      <c r="BL95" s="162"/>
      <c r="BM95" s="162"/>
      <c r="BN95" s="162"/>
      <c r="BO95" s="162"/>
      <c r="BP95" s="162"/>
      <c r="BQ95" s="162"/>
      <c r="BR95" s="162"/>
      <c r="BS95" s="162"/>
      <c r="BT95" s="162"/>
      <c r="BU95" s="162"/>
      <c r="BV95" s="162"/>
      <c r="BW95" s="162"/>
      <c r="BX95" s="162"/>
      <c r="BY95" s="162"/>
      <c r="BZ95" s="162"/>
      <c r="CA95" s="162"/>
      <c r="CB95" s="162"/>
      <c r="CC95" s="162"/>
      <c r="CD95" s="162"/>
      <c r="CE95" s="162"/>
      <c r="CF95" s="162"/>
      <c r="CG95" s="162"/>
      <c r="CH95" s="162"/>
      <c r="CI95" s="162"/>
      <c r="CJ95" s="162"/>
      <c r="CK95" s="162"/>
      <c r="CL95" s="162"/>
      <c r="CM95" s="162"/>
      <c r="CN95" s="162"/>
      <c r="CO95" s="162"/>
      <c r="CP95" s="162"/>
      <c r="CQ95" s="162"/>
      <c r="CR95" s="162"/>
      <c r="CS95" s="209"/>
      <c r="CT95" s="209"/>
      <c r="CU95" s="375"/>
      <c r="CV95" s="208"/>
      <c r="CW95" s="152"/>
      <c r="CX95" s="152"/>
      <c r="CY95" s="208"/>
      <c r="CZ95" s="208"/>
      <c r="DA95" s="152"/>
      <c r="DB95" s="152"/>
      <c r="DC95" s="153"/>
      <c r="DD95" s="153"/>
      <c r="DE95" s="153"/>
      <c r="DF95" s="376"/>
      <c r="DG95" s="368"/>
      <c r="DH95" s="181"/>
      <c r="DI95" s="153"/>
      <c r="DJ95" s="1000"/>
      <c r="DK95" s="181"/>
      <c r="DL95" s="182"/>
      <c r="DM95" s="182"/>
      <c r="DN95" s="182"/>
      <c r="DO95" s="182"/>
      <c r="DP95" s="275"/>
      <c r="DQ95" s="152"/>
      <c r="DR95" s="152"/>
      <c r="DS95" s="151"/>
      <c r="DT95" s="275"/>
      <c r="DU95" s="370"/>
      <c r="DV95" s="208"/>
      <c r="DW95" s="208" t="s">
        <v>594</v>
      </c>
      <c r="DX95" s="208" t="s">
        <v>46</v>
      </c>
      <c r="DY95" s="171" t="s">
        <v>604</v>
      </c>
      <c r="DZ95" s="152" t="s">
        <v>605</v>
      </c>
      <c r="EA95" s="152">
        <v>22176.000000000004</v>
      </c>
      <c r="EB95" s="153">
        <v>45833</v>
      </c>
      <c r="EC95" s="152">
        <v>480</v>
      </c>
      <c r="ED95" s="152">
        <v>22176.000000000004</v>
      </c>
      <c r="EE95" s="396">
        <f>0.113081035655641+0.981</f>
        <v>1.094081035655641</v>
      </c>
      <c r="EF95" s="371">
        <f>EE95*ED95</f>
        <v>24262.341046699497</v>
      </c>
      <c r="EG95" s="153">
        <v>45846</v>
      </c>
      <c r="EH95" s="153"/>
      <c r="EI95" s="153"/>
      <c r="EJ95" s="153"/>
      <c r="EK95" s="153"/>
      <c r="EL95" s="153"/>
      <c r="EM95" s="153">
        <v>45869</v>
      </c>
      <c r="EN95" s="153">
        <v>45869</v>
      </c>
      <c r="EO95" s="152"/>
      <c r="EP95" s="151"/>
      <c r="EQ95" s="153"/>
      <c r="ER95" s="153"/>
      <c r="ES95" s="153"/>
      <c r="ET95" s="153"/>
      <c r="EU95" s="152"/>
      <c r="EV95" s="152"/>
      <c r="EW95" s="152"/>
      <c r="EX95" s="152"/>
      <c r="EY95" s="151"/>
      <c r="EZ95" s="152"/>
      <c r="FA95" s="372"/>
      <c r="FB95" s="373"/>
      <c r="FC95" s="384"/>
      <c r="FD95" s="385"/>
      <c r="FE95" s="210"/>
      <c r="FF95" s="211"/>
      <c r="FG95" s="212"/>
      <c r="FH95" s="212"/>
    </row>
    <row r="96" spans="1:164" s="157" customFormat="1" ht="14" hidden="1" customHeight="1">
      <c r="A96" s="208" t="str">
        <f t="shared" si="89"/>
        <v>Hiện</v>
      </c>
      <c r="B96" s="151" t="str">
        <f t="shared" si="84"/>
        <v>Đủ</v>
      </c>
      <c r="C96" s="151">
        <f>EW96</f>
        <v>0</v>
      </c>
      <c r="D96" s="397"/>
      <c r="E96" s="398"/>
      <c r="F96" s="151"/>
      <c r="G96" s="151"/>
      <c r="H96" s="151"/>
      <c r="I96" s="171" t="s">
        <v>279</v>
      </c>
      <c r="J96" s="164" t="s">
        <v>277</v>
      </c>
      <c r="K96" s="171" t="s">
        <v>319</v>
      </c>
      <c r="L96" s="233" t="s">
        <v>308</v>
      </c>
      <c r="M96" s="163" t="s">
        <v>61</v>
      </c>
      <c r="N96" s="172">
        <v>33.200000000000003</v>
      </c>
      <c r="O96" s="172">
        <v>873.52</v>
      </c>
      <c r="P96" s="172">
        <v>28955.240000000016</v>
      </c>
      <c r="Q96" s="161"/>
      <c r="R96" s="162"/>
      <c r="S96" s="161">
        <v>917.19600000000003</v>
      </c>
      <c r="T96" s="162">
        <v>30450.907200000005</v>
      </c>
      <c r="U96" s="162"/>
      <c r="V96" s="162"/>
      <c r="W96" s="162">
        <v>0</v>
      </c>
      <c r="X96" s="162">
        <v>0</v>
      </c>
      <c r="Y96" s="162">
        <v>0</v>
      </c>
      <c r="Z96" s="162">
        <v>0</v>
      </c>
      <c r="AA96" s="162">
        <v>222.804</v>
      </c>
      <c r="AB96" s="162">
        <v>7397.0928000000004</v>
      </c>
      <c r="AC96" s="162">
        <v>0</v>
      </c>
      <c r="AD96" s="162">
        <v>0</v>
      </c>
      <c r="AE96" s="162">
        <v>0</v>
      </c>
      <c r="AF96" s="162">
        <v>0</v>
      </c>
      <c r="AG96" s="162">
        <v>0</v>
      </c>
      <c r="AH96" s="162">
        <v>0</v>
      </c>
      <c r="AI96" s="162">
        <f>VLOOKUP(I96,'[119]MTO-rev09'!$A:$O,11,0)</f>
        <v>0</v>
      </c>
      <c r="AJ96" s="162">
        <f>VLOOKUP(I96,'[119]MTO-rev09'!$A:$O,12,0)</f>
        <v>0</v>
      </c>
      <c r="AK96" s="162">
        <v>0</v>
      </c>
      <c r="AL96" s="162">
        <v>0</v>
      </c>
      <c r="AM96" s="162"/>
      <c r="AN96" s="162"/>
      <c r="AO96" s="162">
        <v>0</v>
      </c>
      <c r="AP96" s="162">
        <v>0</v>
      </c>
      <c r="AQ96" s="162">
        <v>0</v>
      </c>
      <c r="AR96" s="162">
        <v>0</v>
      </c>
      <c r="AS96" s="162">
        <v>0</v>
      </c>
      <c r="AT96" s="162">
        <v>0</v>
      </c>
      <c r="AU96" s="162">
        <v>0</v>
      </c>
      <c r="AV96" s="162">
        <v>0</v>
      </c>
      <c r="AW96" s="162">
        <v>0</v>
      </c>
      <c r="AX96" s="162">
        <v>0</v>
      </c>
      <c r="AY96" s="162">
        <v>0</v>
      </c>
      <c r="AZ96" s="162">
        <v>0</v>
      </c>
      <c r="BA96" s="162"/>
      <c r="BB96" s="162"/>
      <c r="BC96" s="162">
        <v>0</v>
      </c>
      <c r="BD96" s="162">
        <v>0</v>
      </c>
      <c r="BE96" s="162">
        <v>0</v>
      </c>
      <c r="BF96" s="162">
        <v>0</v>
      </c>
      <c r="BG96" s="162">
        <v>0</v>
      </c>
      <c r="BH96" s="162">
        <v>0</v>
      </c>
      <c r="BI96" s="162">
        <v>0</v>
      </c>
      <c r="BJ96" s="162">
        <v>0</v>
      </c>
      <c r="BK96" s="162">
        <v>0</v>
      </c>
      <c r="BL96" s="162">
        <v>0</v>
      </c>
      <c r="BM96" s="162">
        <v>0</v>
      </c>
      <c r="BN96" s="162">
        <v>0</v>
      </c>
      <c r="BO96" s="162"/>
      <c r="BP96" s="162"/>
      <c r="BQ96" s="162">
        <v>0</v>
      </c>
      <c r="BR96" s="162">
        <v>0</v>
      </c>
      <c r="BS96" s="162">
        <v>0</v>
      </c>
      <c r="BT96" s="162">
        <v>0</v>
      </c>
      <c r="BU96" s="162">
        <v>0</v>
      </c>
      <c r="BV96" s="162">
        <v>0</v>
      </c>
      <c r="BW96" s="162"/>
      <c r="BX96" s="162"/>
      <c r="BY96" s="162">
        <v>0</v>
      </c>
      <c r="BZ96" s="162">
        <v>0</v>
      </c>
      <c r="CA96" s="162">
        <v>0</v>
      </c>
      <c r="CB96" s="162">
        <v>0</v>
      </c>
      <c r="CC96" s="162">
        <v>0</v>
      </c>
      <c r="CD96" s="162">
        <v>0</v>
      </c>
      <c r="CE96" s="162">
        <f>VLOOKUP(I96,[120]REV33!$A:$O,11,0)</f>
        <v>0</v>
      </c>
      <c r="CF96" s="162">
        <f>VLOOKUP(I96,[120]REV33!$A:$O,12,0)</f>
        <v>0</v>
      </c>
      <c r="CG96" s="162"/>
      <c r="CH96" s="162"/>
      <c r="CI96" s="162"/>
      <c r="CJ96" s="162"/>
      <c r="CK96" s="162"/>
      <c r="CL96" s="162"/>
      <c r="CM96" s="162"/>
      <c r="CN96" s="162"/>
      <c r="CO96" s="162">
        <v>0</v>
      </c>
      <c r="CP96" s="162">
        <v>0</v>
      </c>
      <c r="CQ96" s="162">
        <v>0</v>
      </c>
      <c r="CR96" s="162">
        <v>0</v>
      </c>
      <c r="CS96" s="209">
        <f>Q96+S96+U96+W96+Y96+AA96+AC96+AE96+AG96+AI96+AK96+AM96+AO96+AQ96+AS96+AU96+AW96+AY96+BA96+BC96+BE96+BG96+BI96+BK96+BM96+BO96+BQ96+BS96+BU96+BW96+BY96+CA96+CC96+CE96+CG96+CI96+CK96+CM96+CO96+CQ96</f>
        <v>1140</v>
      </c>
      <c r="CT96" s="209">
        <f>R96+T96+V96+X96+Z96+AB96+AD96+AF96+AH96+AJ96+AL96+AN96+AP96+AR96+AT96+AV96+AX96+AZ96+BB96+BD96+BF96+BH96+BJ96+BL96+BN96+BP96+BR96+BT96+BV96+BX96+BZ96+CB96+CD96+CF96+CH96+CJ96+CL96+CN96+CP96+CR96</f>
        <v>37848.000000000007</v>
      </c>
      <c r="CU96" s="375" t="s">
        <v>508</v>
      </c>
      <c r="CV96" s="208"/>
      <c r="CW96" s="152"/>
      <c r="CX96" s="152"/>
      <c r="CY96" s="208"/>
      <c r="CZ96" s="208"/>
      <c r="DA96" s="152">
        <f>IF(CS96&gt;CW96,CS96-CW96,"0")</f>
        <v>1140</v>
      </c>
      <c r="DB96" s="152">
        <f>IF(CT96&gt;CX96,CT96-CX96,"0")</f>
        <v>37848.000000000007</v>
      </c>
      <c r="DC96" s="153">
        <v>45813</v>
      </c>
      <c r="DD96" s="153"/>
      <c r="DE96" s="153"/>
      <c r="DF96" s="376"/>
      <c r="DG96" s="368"/>
      <c r="DH96" s="181"/>
      <c r="DI96" s="153"/>
      <c r="DJ96" s="1000"/>
      <c r="DK96" s="181"/>
      <c r="DL96" s="182"/>
      <c r="DM96" s="182"/>
      <c r="DN96" s="182"/>
      <c r="DO96" s="182"/>
      <c r="DP96" s="275"/>
      <c r="DQ96" s="152">
        <f>SUMIF($I:$I,I96,$DJ:$DJ)</f>
        <v>0</v>
      </c>
      <c r="DR96" s="152">
        <f>SUMIF($I:$I,I96,$DK:$DK)</f>
        <v>0</v>
      </c>
      <c r="DS96" s="151"/>
      <c r="DT96" s="275"/>
      <c r="DU96" s="370"/>
      <c r="DV96" s="208"/>
      <c r="DW96" s="208" t="s">
        <v>517</v>
      </c>
      <c r="DX96" s="152" t="s">
        <v>46</v>
      </c>
      <c r="DY96" s="171" t="s">
        <v>319</v>
      </c>
      <c r="DZ96" s="152"/>
      <c r="EA96" s="152">
        <v>30676.799999999999</v>
      </c>
      <c r="EB96" s="153">
        <v>45784</v>
      </c>
      <c r="EC96" s="152">
        <v>924</v>
      </c>
      <c r="ED96" s="152">
        <v>30676.799999999999</v>
      </c>
      <c r="EE96" s="396">
        <f>0.0140000072674221+0.981</f>
        <v>0.9950000072674221</v>
      </c>
      <c r="EF96" s="371">
        <f t="shared" si="104"/>
        <v>30523.416222941254</v>
      </c>
      <c r="EG96" s="153">
        <v>45786</v>
      </c>
      <c r="EH96" s="153"/>
      <c r="EI96" s="153"/>
      <c r="EJ96" s="153"/>
      <c r="EK96" s="153"/>
      <c r="EL96" s="153">
        <v>45823</v>
      </c>
      <c r="EM96" s="153">
        <v>45824</v>
      </c>
      <c r="EN96" s="153"/>
      <c r="EO96" s="152">
        <f>SUMIF($I:$I,I96,$EC:$EC)</f>
        <v>1140</v>
      </c>
      <c r="EP96" s="151">
        <f>SUMIF($I:$I,I96,$ED:$ED)</f>
        <v>37848</v>
      </c>
      <c r="EQ96" s="153"/>
      <c r="ER96" s="153"/>
      <c r="ES96" s="153"/>
      <c r="ET96" s="153"/>
      <c r="EU96" s="152">
        <f>DQ96+EO96</f>
        <v>1140</v>
      </c>
      <c r="EV96" s="152">
        <f>DR96+EP96</f>
        <v>37848</v>
      </c>
      <c r="EW96" s="152">
        <f t="shared" ref="EW96" si="120">DA96-EU96</f>
        <v>0</v>
      </c>
      <c r="EX96" s="152">
        <f t="shared" ref="EX96" si="121">DB96-EV96</f>
        <v>0</v>
      </c>
      <c r="EY96" s="151" t="str">
        <f>IF(EW96&lt;0,"Thừa",IF(EW96=0,"Đủ","Thiếu"))</f>
        <v>Đủ</v>
      </c>
      <c r="EZ96" s="152"/>
      <c r="FA96" s="372"/>
      <c r="FB96" s="373"/>
      <c r="FC96" s="367"/>
      <c r="FD96" s="374"/>
      <c r="FE96" s="183"/>
      <c r="FF96" s="184"/>
      <c r="FG96" s="185"/>
      <c r="FH96" s="185"/>
    </row>
    <row r="97" spans="1:164" s="386" customFormat="1" ht="14" hidden="1" customHeight="1">
      <c r="A97" s="208" t="str">
        <f t="shared" si="89"/>
        <v>ok</v>
      </c>
      <c r="B97" s="151"/>
      <c r="C97" s="151"/>
      <c r="D97" s="399"/>
      <c r="E97" s="399"/>
      <c r="F97" s="151"/>
      <c r="G97" s="151"/>
      <c r="H97" s="151"/>
      <c r="I97" s="171" t="s">
        <v>279</v>
      </c>
      <c r="J97" s="164" t="s">
        <v>277</v>
      </c>
      <c r="K97" s="171" t="s">
        <v>319</v>
      </c>
      <c r="L97" s="233" t="s">
        <v>308</v>
      </c>
      <c r="M97" s="163" t="s">
        <v>61</v>
      </c>
      <c r="N97" s="172"/>
      <c r="O97" s="172"/>
      <c r="P97" s="172"/>
      <c r="Q97" s="161"/>
      <c r="R97" s="162"/>
      <c r="S97" s="161"/>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c r="BF97" s="162"/>
      <c r="BG97" s="162"/>
      <c r="BH97" s="162"/>
      <c r="BI97" s="162"/>
      <c r="BJ97" s="162"/>
      <c r="BK97" s="162"/>
      <c r="BL97" s="162"/>
      <c r="BM97" s="162"/>
      <c r="BN97" s="162"/>
      <c r="BO97" s="162"/>
      <c r="BP97" s="162"/>
      <c r="BQ97" s="162"/>
      <c r="BR97" s="162"/>
      <c r="BS97" s="162"/>
      <c r="BT97" s="162"/>
      <c r="BU97" s="162"/>
      <c r="BV97" s="162"/>
      <c r="BW97" s="162"/>
      <c r="BX97" s="162"/>
      <c r="BY97" s="162"/>
      <c r="BZ97" s="162"/>
      <c r="CA97" s="162"/>
      <c r="CB97" s="162"/>
      <c r="CC97" s="162"/>
      <c r="CD97" s="162"/>
      <c r="CE97" s="162"/>
      <c r="CF97" s="162"/>
      <c r="CG97" s="162"/>
      <c r="CH97" s="162"/>
      <c r="CI97" s="162"/>
      <c r="CJ97" s="162"/>
      <c r="CK97" s="162"/>
      <c r="CL97" s="162"/>
      <c r="CM97" s="162"/>
      <c r="CN97" s="162"/>
      <c r="CO97" s="162"/>
      <c r="CP97" s="162"/>
      <c r="CQ97" s="162"/>
      <c r="CR97" s="162"/>
      <c r="CS97" s="209"/>
      <c r="CT97" s="209"/>
      <c r="CU97" s="375"/>
      <c r="CV97" s="208"/>
      <c r="CW97" s="152"/>
      <c r="CX97" s="152"/>
      <c r="CY97" s="208"/>
      <c r="CZ97" s="208"/>
      <c r="DA97" s="152"/>
      <c r="DB97" s="152"/>
      <c r="DC97" s="153"/>
      <c r="DD97" s="153"/>
      <c r="DE97" s="153"/>
      <c r="DF97" s="376"/>
      <c r="DG97" s="368"/>
      <c r="DH97" s="181"/>
      <c r="DI97" s="153"/>
      <c r="DJ97" s="1000"/>
      <c r="DK97" s="181"/>
      <c r="DL97" s="182"/>
      <c r="DM97" s="182"/>
      <c r="DN97" s="182"/>
      <c r="DO97" s="182"/>
      <c r="DP97" s="275"/>
      <c r="DQ97" s="152"/>
      <c r="DR97" s="152"/>
      <c r="DS97" s="151"/>
      <c r="DT97" s="275"/>
      <c r="DU97" s="370"/>
      <c r="DV97" s="208"/>
      <c r="DW97" s="208" t="s">
        <v>594</v>
      </c>
      <c r="DX97" s="208" t="s">
        <v>46</v>
      </c>
      <c r="DY97" s="171" t="s">
        <v>606</v>
      </c>
      <c r="DZ97" s="152" t="s">
        <v>607</v>
      </c>
      <c r="EA97" s="152">
        <v>7171.2000000000007</v>
      </c>
      <c r="EB97" s="153">
        <v>45833</v>
      </c>
      <c r="EC97" s="152">
        <v>216</v>
      </c>
      <c r="ED97" s="152">
        <v>7171.2000000000007</v>
      </c>
      <c r="EE97" s="396">
        <f>0.113081035655641+0.981</f>
        <v>1.094081035655641</v>
      </c>
      <c r="EF97" s="371">
        <f>EE97*ED97</f>
        <v>7845.8739228937329</v>
      </c>
      <c r="EG97" s="153">
        <v>45846</v>
      </c>
      <c r="EH97" s="153"/>
      <c r="EI97" s="153"/>
      <c r="EJ97" s="153"/>
      <c r="EK97" s="153"/>
      <c r="EL97" s="153"/>
      <c r="EM97" s="153">
        <v>45869</v>
      </c>
      <c r="EN97" s="153">
        <v>45869</v>
      </c>
      <c r="EO97" s="152"/>
      <c r="EP97" s="151"/>
      <c r="EQ97" s="153"/>
      <c r="ER97" s="153"/>
      <c r="ES97" s="153"/>
      <c r="ET97" s="153"/>
      <c r="EU97" s="152"/>
      <c r="EV97" s="152"/>
      <c r="EW97" s="152"/>
      <c r="EX97" s="152"/>
      <c r="EY97" s="151"/>
      <c r="EZ97" s="152"/>
      <c r="FA97" s="372"/>
      <c r="FB97" s="373"/>
      <c r="FC97" s="384"/>
      <c r="FD97" s="385"/>
      <c r="FE97" s="210"/>
      <c r="FF97" s="211"/>
      <c r="FG97" s="212"/>
      <c r="FH97" s="212"/>
    </row>
    <row r="98" spans="1:164" s="157" customFormat="1" ht="14" hidden="1" customHeight="1">
      <c r="A98" s="208" t="str">
        <f t="shared" si="89"/>
        <v>Hiện</v>
      </c>
      <c r="B98" s="151" t="str">
        <f t="shared" si="84"/>
        <v>Thừa</v>
      </c>
      <c r="C98" s="151">
        <f>EW98</f>
        <v>-4.4159999999999826</v>
      </c>
      <c r="D98" s="151"/>
      <c r="E98" s="151"/>
      <c r="F98" s="151"/>
      <c r="G98" s="151"/>
      <c r="H98" s="151"/>
      <c r="I98" s="171" t="s">
        <v>280</v>
      </c>
      <c r="J98" s="164" t="s">
        <v>277</v>
      </c>
      <c r="K98" s="171" t="s">
        <v>320</v>
      </c>
      <c r="L98" s="233" t="s">
        <v>308</v>
      </c>
      <c r="M98" s="163" t="s">
        <v>61</v>
      </c>
      <c r="N98" s="172">
        <v>8.6</v>
      </c>
      <c r="O98" s="172">
        <v>110.08000000000001</v>
      </c>
      <c r="P98" s="172">
        <v>952.32</v>
      </c>
      <c r="Q98" s="161"/>
      <c r="R98" s="162"/>
      <c r="S98" s="161">
        <v>115.58400000000002</v>
      </c>
      <c r="T98" s="162">
        <v>994.02240000000006</v>
      </c>
      <c r="U98" s="162"/>
      <c r="V98" s="162"/>
      <c r="W98" s="162">
        <v>0</v>
      </c>
      <c r="X98" s="162">
        <v>0</v>
      </c>
      <c r="Y98" s="162">
        <v>0</v>
      </c>
      <c r="Z98" s="162">
        <v>0</v>
      </c>
      <c r="AA98" s="162">
        <v>0</v>
      </c>
      <c r="AB98" s="162">
        <v>0</v>
      </c>
      <c r="AC98" s="162">
        <v>0</v>
      </c>
      <c r="AD98" s="162">
        <v>0</v>
      </c>
      <c r="AE98" s="162">
        <v>0</v>
      </c>
      <c r="AF98" s="162">
        <v>0</v>
      </c>
      <c r="AG98" s="162">
        <v>0</v>
      </c>
      <c r="AH98" s="162">
        <v>0</v>
      </c>
      <c r="AI98" s="162">
        <f>VLOOKUP(I98,'[119]MTO-rev09'!$A:$O,11,0)</f>
        <v>0</v>
      </c>
      <c r="AJ98" s="162">
        <f>VLOOKUP(I98,'[119]MTO-rev09'!$A:$O,12,0)</f>
        <v>0</v>
      </c>
      <c r="AK98" s="162">
        <v>0</v>
      </c>
      <c r="AL98" s="162">
        <v>0</v>
      </c>
      <c r="AM98" s="162"/>
      <c r="AN98" s="162"/>
      <c r="AO98" s="162">
        <v>0</v>
      </c>
      <c r="AP98" s="162">
        <v>0</v>
      </c>
      <c r="AQ98" s="162">
        <v>0</v>
      </c>
      <c r="AR98" s="162">
        <v>0</v>
      </c>
      <c r="AS98" s="162">
        <v>0</v>
      </c>
      <c r="AT98" s="162">
        <v>0</v>
      </c>
      <c r="AU98" s="162">
        <v>0</v>
      </c>
      <c r="AV98" s="162">
        <v>0</v>
      </c>
      <c r="AW98" s="162">
        <v>0</v>
      </c>
      <c r="AX98" s="162">
        <v>0</v>
      </c>
      <c r="AY98" s="162">
        <v>0</v>
      </c>
      <c r="AZ98" s="162">
        <v>0</v>
      </c>
      <c r="BA98" s="162"/>
      <c r="BB98" s="162"/>
      <c r="BC98" s="162">
        <v>0</v>
      </c>
      <c r="BD98" s="162">
        <v>0</v>
      </c>
      <c r="BE98" s="162">
        <v>0</v>
      </c>
      <c r="BF98" s="162">
        <v>0</v>
      </c>
      <c r="BG98" s="162">
        <v>0</v>
      </c>
      <c r="BH98" s="162">
        <v>0</v>
      </c>
      <c r="BI98" s="162">
        <v>0</v>
      </c>
      <c r="BJ98" s="162">
        <v>0</v>
      </c>
      <c r="BK98" s="162">
        <v>0</v>
      </c>
      <c r="BL98" s="162">
        <v>0</v>
      </c>
      <c r="BM98" s="162">
        <v>0</v>
      </c>
      <c r="BN98" s="162">
        <v>0</v>
      </c>
      <c r="BO98" s="162"/>
      <c r="BP98" s="162"/>
      <c r="BQ98" s="162">
        <v>0</v>
      </c>
      <c r="BR98" s="162">
        <v>0</v>
      </c>
      <c r="BS98" s="162">
        <v>0</v>
      </c>
      <c r="BT98" s="162">
        <v>0</v>
      </c>
      <c r="BU98" s="162">
        <v>0</v>
      </c>
      <c r="BV98" s="162">
        <v>0</v>
      </c>
      <c r="BW98" s="162"/>
      <c r="BX98" s="162"/>
      <c r="BY98" s="162">
        <v>0</v>
      </c>
      <c r="BZ98" s="162">
        <v>0</v>
      </c>
      <c r="CA98" s="162">
        <v>0</v>
      </c>
      <c r="CB98" s="162">
        <v>0</v>
      </c>
      <c r="CC98" s="162">
        <v>0</v>
      </c>
      <c r="CD98" s="162">
        <v>0</v>
      </c>
      <c r="CE98" s="162">
        <f>VLOOKUP(I98,[120]REV33!$A:$O,11,0)</f>
        <v>0</v>
      </c>
      <c r="CF98" s="162">
        <f>VLOOKUP(I98,[120]REV33!$A:$O,12,0)</f>
        <v>0</v>
      </c>
      <c r="CG98" s="162"/>
      <c r="CH98" s="162"/>
      <c r="CI98" s="162"/>
      <c r="CJ98" s="162"/>
      <c r="CK98" s="162"/>
      <c r="CL98" s="162"/>
      <c r="CM98" s="162"/>
      <c r="CN98" s="162"/>
      <c r="CO98" s="162">
        <v>0</v>
      </c>
      <c r="CP98" s="162">
        <v>0</v>
      </c>
      <c r="CQ98" s="162">
        <v>0</v>
      </c>
      <c r="CR98" s="162">
        <v>0</v>
      </c>
      <c r="CS98" s="209">
        <f>Q98+S98+U98+W98+Y98+AA98+AC98+AE98+AG98+AI98+AK98+AM98+AO98+AQ98+AS98+AU98+AW98+AY98+BA98+BC98+BE98+BG98+BI98+BK98+BM98+BO98+BQ98+BS98+BU98+BW98+BY98+CA98+CC98+CE98+CG98+CI98+CK98+CM98+CO98+CQ98</f>
        <v>115.58400000000002</v>
      </c>
      <c r="CT98" s="209">
        <f>R98+T98+V98+X98+Z98+AB98+AD98+AF98+AH98+AJ98+AL98+AN98+AP98+AR98+AT98+AV98+AX98+AZ98+BB98+BD98+BF98+BH98+BJ98+BL98+BN98+BP98+BR98+BT98+BV98+BX98+BZ98+CB98+CD98+CF98+CH98+CJ98+CL98+CN98+CP98+CR98</f>
        <v>994.02240000000006</v>
      </c>
      <c r="CU98" s="375" t="s">
        <v>337</v>
      </c>
      <c r="CV98" s="208"/>
      <c r="CW98" s="152"/>
      <c r="CX98" s="152"/>
      <c r="CY98" s="208"/>
      <c r="CZ98" s="208"/>
      <c r="DA98" s="152">
        <f t="shared" ref="DA98:DA100" si="122">IF(CS98&gt;CW98,CS98-CW98,"0")</f>
        <v>115.58400000000002</v>
      </c>
      <c r="DB98" s="152">
        <f t="shared" ref="DB98:DB100" si="123">IF(CT98&gt;CX98,CT98-CX98,"0")</f>
        <v>994.02240000000006</v>
      </c>
      <c r="DC98" s="153">
        <v>45813</v>
      </c>
      <c r="DD98" s="153"/>
      <c r="DE98" s="153"/>
      <c r="DF98" s="376"/>
      <c r="DG98" s="368"/>
      <c r="DH98" s="181"/>
      <c r="DI98" s="153"/>
      <c r="DJ98" s="1000"/>
      <c r="DK98" s="181"/>
      <c r="DL98" s="182"/>
      <c r="DM98" s="182"/>
      <c r="DN98" s="182"/>
      <c r="DO98" s="182"/>
      <c r="DP98" s="275"/>
      <c r="DQ98" s="152">
        <f>SUMIF($I:$I,I98,$DJ:$DJ)</f>
        <v>0</v>
      </c>
      <c r="DR98" s="152">
        <f>SUMIF($I:$I,I98,$DK:$DK)</f>
        <v>0</v>
      </c>
      <c r="DS98" s="151"/>
      <c r="DT98" s="275"/>
      <c r="DU98" s="370"/>
      <c r="DV98" s="208"/>
      <c r="DW98" s="208" t="s">
        <v>517</v>
      </c>
      <c r="DX98" s="152" t="s">
        <v>46</v>
      </c>
      <c r="DY98" s="171" t="s">
        <v>320</v>
      </c>
      <c r="DZ98" s="152"/>
      <c r="EA98" s="152">
        <v>1037</v>
      </c>
      <c r="EB98" s="153">
        <v>45784</v>
      </c>
      <c r="EC98" s="152">
        <v>120</v>
      </c>
      <c r="ED98" s="152">
        <v>1037</v>
      </c>
      <c r="EE98" s="371">
        <f>0.0140000072674221+1.11</f>
        <v>1.1240000072674221</v>
      </c>
      <c r="EF98" s="371">
        <f t="shared" si="104"/>
        <v>1165.5880075363168</v>
      </c>
      <c r="EG98" s="153">
        <v>45786</v>
      </c>
      <c r="EH98" s="153"/>
      <c r="EI98" s="153"/>
      <c r="EJ98" s="153"/>
      <c r="EK98" s="153"/>
      <c r="EL98" s="153">
        <v>45823</v>
      </c>
      <c r="EM98" s="153">
        <v>45824</v>
      </c>
      <c r="EN98" s="153"/>
      <c r="EO98" s="152">
        <f>SUMIF($I:$I,I98,$EC:$EC)</f>
        <v>120</v>
      </c>
      <c r="EP98" s="151">
        <f>SUMIF($I:$I,I98,$ED:$ED)</f>
        <v>1037</v>
      </c>
      <c r="EQ98" s="153"/>
      <c r="ER98" s="153"/>
      <c r="ES98" s="153"/>
      <c r="ET98" s="153"/>
      <c r="EU98" s="152">
        <f t="shared" ref="EU98:EU100" si="124">DQ98+EO98</f>
        <v>120</v>
      </c>
      <c r="EV98" s="152">
        <f t="shared" ref="EV98:EV100" si="125">DR98+EP98</f>
        <v>1037</v>
      </c>
      <c r="EW98" s="152">
        <f t="shared" ref="EW98:EW100" si="126">DA98-EU98</f>
        <v>-4.4159999999999826</v>
      </c>
      <c r="EX98" s="152">
        <f t="shared" ref="EX98:EX100" si="127">DB98-EV98</f>
        <v>-42.977599999999939</v>
      </c>
      <c r="EY98" s="151" t="str">
        <f t="shared" ref="EY98:EY100" si="128">IF(EW98&lt;0,"Thừa",IF(EW98=0,"Đủ","Thiếu"))</f>
        <v>Thừa</v>
      </c>
      <c r="EZ98" s="152"/>
      <c r="FA98" s="372"/>
      <c r="FB98" s="373"/>
      <c r="FC98" s="367"/>
      <c r="FD98" s="374"/>
      <c r="FE98" s="183"/>
      <c r="FF98" s="184"/>
      <c r="FG98" s="185"/>
      <c r="FH98" s="185"/>
    </row>
    <row r="99" spans="1:164" s="157" customFormat="1" ht="14" hidden="1" customHeight="1">
      <c r="A99" s="208" t="str">
        <f t="shared" si="89"/>
        <v>Hiện</v>
      </c>
      <c r="B99" s="151" t="str">
        <f t="shared" si="84"/>
        <v>Đủ</v>
      </c>
      <c r="C99" s="151">
        <f>EW99</f>
        <v>0</v>
      </c>
      <c r="D99" s="398"/>
      <c r="E99" s="398"/>
      <c r="F99" s="151"/>
      <c r="G99" s="151"/>
      <c r="H99" s="151" t="s">
        <v>393</v>
      </c>
      <c r="I99" s="171" t="s">
        <v>281</v>
      </c>
      <c r="J99" s="164" t="s">
        <v>282</v>
      </c>
      <c r="K99" s="171" t="s">
        <v>321</v>
      </c>
      <c r="L99" s="233" t="s">
        <v>322</v>
      </c>
      <c r="M99" s="163" t="s">
        <v>61</v>
      </c>
      <c r="N99" s="172">
        <v>16.399999999999999</v>
      </c>
      <c r="O99" s="172">
        <v>51.68</v>
      </c>
      <c r="P99" s="172">
        <v>791.80000000000007</v>
      </c>
      <c r="Q99" s="161"/>
      <c r="R99" s="162"/>
      <c r="S99" s="161">
        <v>54</v>
      </c>
      <c r="T99" s="162">
        <v>885.59999999999991</v>
      </c>
      <c r="U99" s="162"/>
      <c r="V99" s="162"/>
      <c r="W99" s="162">
        <v>0</v>
      </c>
      <c r="X99" s="162">
        <v>0</v>
      </c>
      <c r="Y99" s="162">
        <v>0</v>
      </c>
      <c r="Z99" s="162">
        <v>0</v>
      </c>
      <c r="AA99" s="162">
        <v>-54</v>
      </c>
      <c r="AB99" s="162">
        <v>-885.59999999999991</v>
      </c>
      <c r="AC99" s="162">
        <v>0</v>
      </c>
      <c r="AD99" s="162">
        <v>0</v>
      </c>
      <c r="AE99" s="162">
        <v>0</v>
      </c>
      <c r="AF99" s="162">
        <v>0</v>
      </c>
      <c r="AG99" s="162">
        <v>0</v>
      </c>
      <c r="AH99" s="162">
        <v>0</v>
      </c>
      <c r="AI99" s="162">
        <f>VLOOKUP(I99,'[119]MTO-rev09'!$A:$O,11,0)</f>
        <v>0</v>
      </c>
      <c r="AJ99" s="162">
        <f>VLOOKUP(I99,'[119]MTO-rev09'!$A:$O,12,0)</f>
        <v>0</v>
      </c>
      <c r="AK99" s="162">
        <v>0</v>
      </c>
      <c r="AL99" s="162">
        <v>0</v>
      </c>
      <c r="AM99" s="162"/>
      <c r="AN99" s="162"/>
      <c r="AO99" s="162">
        <v>0</v>
      </c>
      <c r="AP99" s="162">
        <v>0</v>
      </c>
      <c r="AQ99" s="162">
        <v>0</v>
      </c>
      <c r="AR99" s="162">
        <v>0</v>
      </c>
      <c r="AS99" s="162">
        <v>0</v>
      </c>
      <c r="AT99" s="162">
        <v>0</v>
      </c>
      <c r="AU99" s="162">
        <v>0</v>
      </c>
      <c r="AV99" s="162">
        <v>0</v>
      </c>
      <c r="AW99" s="162">
        <v>0</v>
      </c>
      <c r="AX99" s="162">
        <v>0</v>
      </c>
      <c r="AY99" s="162">
        <v>0</v>
      </c>
      <c r="AZ99" s="162">
        <v>0</v>
      </c>
      <c r="BA99" s="162"/>
      <c r="BB99" s="162"/>
      <c r="BC99" s="162">
        <v>0</v>
      </c>
      <c r="BD99" s="162">
        <v>0</v>
      </c>
      <c r="BE99" s="162">
        <v>0</v>
      </c>
      <c r="BF99" s="162">
        <v>0</v>
      </c>
      <c r="BG99" s="162">
        <v>0</v>
      </c>
      <c r="BH99" s="162">
        <v>0</v>
      </c>
      <c r="BI99" s="162">
        <v>0</v>
      </c>
      <c r="BJ99" s="162">
        <v>0</v>
      </c>
      <c r="BK99" s="162">
        <v>0</v>
      </c>
      <c r="BL99" s="162">
        <v>0</v>
      </c>
      <c r="BM99" s="162">
        <v>0</v>
      </c>
      <c r="BN99" s="162">
        <v>0</v>
      </c>
      <c r="BO99" s="162"/>
      <c r="BP99" s="162"/>
      <c r="BQ99" s="162">
        <v>0</v>
      </c>
      <c r="BR99" s="162">
        <v>0</v>
      </c>
      <c r="BS99" s="162">
        <v>0</v>
      </c>
      <c r="BT99" s="162">
        <v>0</v>
      </c>
      <c r="BU99" s="162">
        <v>0</v>
      </c>
      <c r="BV99" s="162">
        <v>0</v>
      </c>
      <c r="BW99" s="162"/>
      <c r="BX99" s="162"/>
      <c r="BY99" s="162">
        <v>0</v>
      </c>
      <c r="BZ99" s="162">
        <v>0</v>
      </c>
      <c r="CA99" s="162">
        <v>0</v>
      </c>
      <c r="CB99" s="162">
        <v>0</v>
      </c>
      <c r="CC99" s="162">
        <v>0</v>
      </c>
      <c r="CD99" s="162">
        <v>0</v>
      </c>
      <c r="CE99" s="162">
        <f>VLOOKUP(I99,[120]REV33!$A:$O,11,0)</f>
        <v>0</v>
      </c>
      <c r="CF99" s="162">
        <f>VLOOKUP(I99,[120]REV33!$A:$O,12,0)</f>
        <v>0</v>
      </c>
      <c r="CG99" s="162"/>
      <c r="CH99" s="162"/>
      <c r="CI99" s="162"/>
      <c r="CJ99" s="162"/>
      <c r="CK99" s="162"/>
      <c r="CL99" s="162"/>
      <c r="CM99" s="162"/>
      <c r="CN99" s="162"/>
      <c r="CO99" s="162">
        <v>0</v>
      </c>
      <c r="CP99" s="162">
        <v>0</v>
      </c>
      <c r="CQ99" s="162">
        <v>0</v>
      </c>
      <c r="CR99" s="162">
        <v>0</v>
      </c>
      <c r="CS99" s="209">
        <f>Q99+S99+U99+W99+Y99+AA99+AC99+AE99+AG99+AI99+AK99+AM99+AO99+AQ99+AS99+AU99+AW99+AY99+BA99+BC99+BE99+BG99+BI99+BK99+BM99+BO99+BQ99+BS99+BU99+BW99+BY99+CA99+CC99+CE99+CG99+CI99+CK99+CM99+CO99+CQ99</f>
        <v>0</v>
      </c>
      <c r="CT99" s="209">
        <f>R99+T99+V99+X99+Z99+AB99+AD99+AF99+AH99+AJ99+AL99+AN99+AP99+AR99+AT99+AV99+AX99+AZ99+BB99+BD99+BF99+BH99+BJ99+BL99+BN99+BP99+BR99+BT99+BV99+BX99+BZ99+CB99+CD99+CF99+CH99+CJ99+CL99+CN99+CP99+CR99</f>
        <v>0</v>
      </c>
      <c r="CU99" s="375" t="s">
        <v>509</v>
      </c>
      <c r="CV99" s="208"/>
      <c r="CW99" s="152"/>
      <c r="CX99" s="152"/>
      <c r="CY99" s="208"/>
      <c r="CZ99" s="208"/>
      <c r="DA99" s="152" t="str">
        <f t="shared" si="122"/>
        <v>0</v>
      </c>
      <c r="DB99" s="152" t="str">
        <f t="shared" si="123"/>
        <v>0</v>
      </c>
      <c r="DC99" s="153">
        <v>45813</v>
      </c>
      <c r="DD99" s="153"/>
      <c r="DE99" s="153"/>
      <c r="DF99" s="376"/>
      <c r="DG99" s="368"/>
      <c r="DH99" s="181"/>
      <c r="DI99" s="153"/>
      <c r="DJ99" s="1000"/>
      <c r="DK99" s="181"/>
      <c r="DL99" s="182"/>
      <c r="DM99" s="182"/>
      <c r="DN99" s="182"/>
      <c r="DO99" s="182"/>
      <c r="DP99" s="275"/>
      <c r="DQ99" s="152">
        <f>SUMIF($I:$I,I99,$DJ:$DJ)</f>
        <v>0</v>
      </c>
      <c r="DR99" s="152">
        <f>SUMIF($I:$I,I99,$DK:$DK)</f>
        <v>0</v>
      </c>
      <c r="DS99" s="151"/>
      <c r="DT99" s="275"/>
      <c r="DU99" s="370"/>
      <c r="DV99" s="208"/>
      <c r="DW99" s="208"/>
      <c r="DX99" s="152"/>
      <c r="DY99" s="152"/>
      <c r="DZ99" s="152"/>
      <c r="EA99" s="152"/>
      <c r="EB99" s="152"/>
      <c r="EC99" s="152"/>
      <c r="ED99" s="152"/>
      <c r="EE99" s="371"/>
      <c r="EF99" s="371"/>
      <c r="EG99" s="153"/>
      <c r="EH99" s="153"/>
      <c r="EI99" s="153"/>
      <c r="EJ99" s="153"/>
      <c r="EK99" s="153"/>
      <c r="EL99" s="153"/>
      <c r="EM99" s="153"/>
      <c r="EN99" s="153"/>
      <c r="EO99" s="152">
        <f>SUMIF($I:$I,I99,$EC:$EC)</f>
        <v>0</v>
      </c>
      <c r="EP99" s="151">
        <f>SUMIF($I:$I,I99,$ED:$ED)</f>
        <v>0</v>
      </c>
      <c r="EQ99" s="153"/>
      <c r="ER99" s="153"/>
      <c r="ES99" s="153"/>
      <c r="ET99" s="153"/>
      <c r="EU99" s="152">
        <f t="shared" si="124"/>
        <v>0</v>
      </c>
      <c r="EV99" s="152">
        <f t="shared" si="125"/>
        <v>0</v>
      </c>
      <c r="EW99" s="152">
        <f t="shared" si="126"/>
        <v>0</v>
      </c>
      <c r="EX99" s="152">
        <f t="shared" si="127"/>
        <v>0</v>
      </c>
      <c r="EY99" s="151" t="str">
        <f t="shared" si="128"/>
        <v>Đủ</v>
      </c>
      <c r="EZ99" s="152"/>
      <c r="FA99" s="372"/>
      <c r="FB99" s="373"/>
      <c r="FC99" s="367"/>
      <c r="FD99" s="374"/>
      <c r="FE99" s="183"/>
      <c r="FF99" s="184"/>
      <c r="FG99" s="185"/>
      <c r="FH99" s="185"/>
    </row>
    <row r="100" spans="1:164" s="157" customFormat="1" ht="14" hidden="1" customHeight="1">
      <c r="A100" s="208" t="str">
        <f t="shared" si="89"/>
        <v>Hiện</v>
      </c>
      <c r="B100" s="151" t="str">
        <f>CONCATENATE(EY100," Thiếu ít đủ")</f>
        <v>Thiếu Thiếu ít đủ</v>
      </c>
      <c r="C100" s="151">
        <f>EW100</f>
        <v>0.12239999999999895</v>
      </c>
      <c r="D100" s="151"/>
      <c r="E100" s="398"/>
      <c r="F100" s="151"/>
      <c r="G100" s="151"/>
      <c r="H100" s="151" t="s">
        <v>656</v>
      </c>
      <c r="I100" s="171" t="s">
        <v>283</v>
      </c>
      <c r="J100" s="164" t="s">
        <v>284</v>
      </c>
      <c r="K100" s="171" t="s">
        <v>323</v>
      </c>
      <c r="L100" s="233" t="s">
        <v>322</v>
      </c>
      <c r="M100" s="163" t="s">
        <v>61</v>
      </c>
      <c r="N100" s="172">
        <v>3</v>
      </c>
      <c r="O100" s="172">
        <v>8.6879999999999988</v>
      </c>
      <c r="P100" s="172">
        <v>22.259999999999998</v>
      </c>
      <c r="Q100" s="161"/>
      <c r="R100" s="162"/>
      <c r="S100" s="161">
        <v>9.122399999999999</v>
      </c>
      <c r="T100" s="162">
        <v>27.367199999999997</v>
      </c>
      <c r="U100" s="162"/>
      <c r="V100" s="162"/>
      <c r="W100" s="162">
        <v>0</v>
      </c>
      <c r="X100" s="162">
        <v>0</v>
      </c>
      <c r="Y100" s="162">
        <v>0</v>
      </c>
      <c r="Z100" s="162">
        <v>0</v>
      </c>
      <c r="AA100" s="162">
        <v>9</v>
      </c>
      <c r="AB100" s="162">
        <v>27</v>
      </c>
      <c r="AC100" s="162">
        <v>0</v>
      </c>
      <c r="AD100" s="162">
        <v>0</v>
      </c>
      <c r="AE100" s="162">
        <v>12</v>
      </c>
      <c r="AF100" s="162">
        <v>36</v>
      </c>
      <c r="AG100" s="162">
        <v>0</v>
      </c>
      <c r="AH100" s="162">
        <v>0</v>
      </c>
      <c r="AI100" s="162">
        <f>VLOOKUP(I100,'[119]MTO-rev09'!$A:$O,11,0)</f>
        <v>0</v>
      </c>
      <c r="AJ100" s="162">
        <f>VLOOKUP(I100,'[119]MTO-rev09'!$A:$O,12,0)</f>
        <v>0</v>
      </c>
      <c r="AK100" s="162">
        <v>6</v>
      </c>
      <c r="AL100" s="162">
        <v>18</v>
      </c>
      <c r="AM100" s="162"/>
      <c r="AN100" s="162"/>
      <c r="AO100" s="162">
        <v>0</v>
      </c>
      <c r="AP100" s="162">
        <v>0</v>
      </c>
      <c r="AQ100" s="162">
        <v>0</v>
      </c>
      <c r="AR100" s="162">
        <v>0</v>
      </c>
      <c r="AS100" s="162">
        <v>0</v>
      </c>
      <c r="AT100" s="162">
        <v>0</v>
      </c>
      <c r="AU100" s="162">
        <v>0</v>
      </c>
      <c r="AV100" s="162">
        <v>0</v>
      </c>
      <c r="AW100" s="162">
        <v>0</v>
      </c>
      <c r="AX100" s="162">
        <v>0</v>
      </c>
      <c r="AY100" s="162">
        <v>0</v>
      </c>
      <c r="AZ100" s="162">
        <v>0</v>
      </c>
      <c r="BA100" s="162"/>
      <c r="BB100" s="162"/>
      <c r="BC100" s="162">
        <v>0</v>
      </c>
      <c r="BD100" s="162">
        <v>0</v>
      </c>
      <c r="BE100" s="162">
        <v>0</v>
      </c>
      <c r="BF100" s="162">
        <v>0</v>
      </c>
      <c r="BG100" s="162">
        <v>0</v>
      </c>
      <c r="BH100" s="162">
        <v>0</v>
      </c>
      <c r="BI100" s="162">
        <v>0</v>
      </c>
      <c r="BJ100" s="162">
        <v>0</v>
      </c>
      <c r="BK100" s="162">
        <v>0</v>
      </c>
      <c r="BL100" s="162">
        <v>0</v>
      </c>
      <c r="BM100" s="162">
        <v>0</v>
      </c>
      <c r="BN100" s="162">
        <v>0</v>
      </c>
      <c r="BO100" s="162"/>
      <c r="BP100" s="162"/>
      <c r="BQ100" s="162">
        <v>0</v>
      </c>
      <c r="BR100" s="162">
        <v>0</v>
      </c>
      <c r="BS100" s="162">
        <v>0</v>
      </c>
      <c r="BT100" s="162">
        <v>0</v>
      </c>
      <c r="BU100" s="162">
        <v>0</v>
      </c>
      <c r="BV100" s="162">
        <v>0</v>
      </c>
      <c r="BW100" s="162"/>
      <c r="BX100" s="162"/>
      <c r="BY100" s="162">
        <v>0</v>
      </c>
      <c r="BZ100" s="162">
        <v>0</v>
      </c>
      <c r="CA100" s="162">
        <v>0</v>
      </c>
      <c r="CB100" s="162">
        <v>0</v>
      </c>
      <c r="CC100" s="162">
        <v>0</v>
      </c>
      <c r="CD100" s="162">
        <v>0</v>
      </c>
      <c r="CE100" s="162">
        <f>VLOOKUP(I100,[120]REV33!$A:$O,11,0)</f>
        <v>0</v>
      </c>
      <c r="CF100" s="162">
        <f>VLOOKUP(I100,[120]REV33!$A:$O,12,0)</f>
        <v>0</v>
      </c>
      <c r="CG100" s="162"/>
      <c r="CH100" s="162"/>
      <c r="CI100" s="162"/>
      <c r="CJ100" s="162"/>
      <c r="CK100" s="162"/>
      <c r="CL100" s="162"/>
      <c r="CM100" s="162"/>
      <c r="CN100" s="162"/>
      <c r="CO100" s="162">
        <v>0</v>
      </c>
      <c r="CP100" s="162">
        <v>0</v>
      </c>
      <c r="CQ100" s="162">
        <v>0</v>
      </c>
      <c r="CR100" s="162">
        <v>0</v>
      </c>
      <c r="CS100" s="209">
        <f>Q100+S100+U100+W100+Y100+AA100+AC100+AE100+AG100+AI100+AK100+AM100+AO100+AQ100+AS100+AU100+AW100+AY100+BA100+BC100+BE100+BG100+BI100+BK100+BM100+BO100+BQ100+BS100+BU100+BW100+BY100+CA100+CC100+CE100+CG100+CI100+CK100+CM100+CO100+CQ100</f>
        <v>36.122399999999999</v>
      </c>
      <c r="CT100" s="209">
        <f>R100+T100+V100+X100+Z100+AB100+AD100+AF100+AH100+AJ100+AL100+AN100+AP100+AR100+AT100+AV100+AX100+AZ100+BB100+BD100+BF100+BH100+BJ100+BL100+BN100+BP100+BR100+BT100+BV100+BX100+BZ100+CB100+CD100+CF100+CH100+CJ100+CL100+CN100+CP100+CR100</f>
        <v>108.3672</v>
      </c>
      <c r="CU100" s="375" t="s">
        <v>998</v>
      </c>
      <c r="CV100" s="208"/>
      <c r="CW100" s="152"/>
      <c r="CX100" s="152"/>
      <c r="CY100" s="208"/>
      <c r="CZ100" s="208"/>
      <c r="DA100" s="152">
        <f t="shared" si="122"/>
        <v>36.122399999999999</v>
      </c>
      <c r="DB100" s="152">
        <f t="shared" si="123"/>
        <v>108.3672</v>
      </c>
      <c r="DC100" s="153">
        <v>45813</v>
      </c>
      <c r="DD100" s="153" t="s">
        <v>1695</v>
      </c>
      <c r="DE100" s="277" t="s">
        <v>45</v>
      </c>
      <c r="DF100" s="213" t="s">
        <v>724</v>
      </c>
      <c r="DG100" s="213" t="s">
        <v>43</v>
      </c>
      <c r="DH100" s="181">
        <v>113.25</v>
      </c>
      <c r="DI100" s="153">
        <v>45866</v>
      </c>
      <c r="DJ100" s="1000">
        <v>30</v>
      </c>
      <c r="DK100" s="181">
        <v>113.25</v>
      </c>
      <c r="DL100" s="182">
        <v>14363.64</v>
      </c>
      <c r="DM100" s="181">
        <f>DL100*DK100*1.1</f>
        <v>1789350.4530000002</v>
      </c>
      <c r="DN100" s="446">
        <f>(DM100-DO100)/DO100</f>
        <v>0.10000000000000014</v>
      </c>
      <c r="DO100" s="279">
        <f>DL100*DK100</f>
        <v>1626682.23</v>
      </c>
      <c r="DP100" s="275">
        <v>45867</v>
      </c>
      <c r="DQ100" s="152">
        <f>SUMIF($I:$I,I100,$DJ:$DJ)</f>
        <v>36</v>
      </c>
      <c r="DR100" s="152">
        <f>SUMIF($I:$I,I100,$DK:$DK)</f>
        <v>135.9</v>
      </c>
      <c r="DS100" s="151"/>
      <c r="DT100" s="275"/>
      <c r="DU100" s="370"/>
      <c r="DV100" s="208"/>
      <c r="DW100" s="208"/>
      <c r="DX100" s="152"/>
      <c r="DY100" s="152"/>
      <c r="DZ100" s="152"/>
      <c r="EA100" s="152"/>
      <c r="EB100" s="152"/>
      <c r="EC100" s="152"/>
      <c r="ED100" s="152"/>
      <c r="EE100" s="371"/>
      <c r="EF100" s="371"/>
      <c r="EG100" s="153"/>
      <c r="EH100" s="153"/>
      <c r="EI100" s="153"/>
      <c r="EJ100" s="153"/>
      <c r="EK100" s="153"/>
      <c r="EL100" s="153"/>
      <c r="EM100" s="153"/>
      <c r="EN100" s="153"/>
      <c r="EO100" s="152">
        <f>SUMIF($I:$I,I100,$EC:$EC)</f>
        <v>0</v>
      </c>
      <c r="EP100" s="151">
        <f>SUMIF($I:$I,I100,$ED:$ED)</f>
        <v>0</v>
      </c>
      <c r="EQ100" s="153"/>
      <c r="ER100" s="153"/>
      <c r="ES100" s="153"/>
      <c r="ET100" s="153"/>
      <c r="EU100" s="152">
        <f t="shared" si="124"/>
        <v>36</v>
      </c>
      <c r="EV100" s="152">
        <f t="shared" si="125"/>
        <v>135.9</v>
      </c>
      <c r="EW100" s="152">
        <f t="shared" si="126"/>
        <v>0.12239999999999895</v>
      </c>
      <c r="EX100" s="152">
        <f t="shared" si="127"/>
        <v>-27.532800000000009</v>
      </c>
      <c r="EY100" s="151" t="str">
        <f t="shared" si="128"/>
        <v>Thiếu</v>
      </c>
      <c r="EZ100" s="152"/>
      <c r="FA100" s="372"/>
      <c r="FB100" s="373"/>
      <c r="FC100" s="367"/>
      <c r="FD100" s="374"/>
      <c r="FE100" s="183"/>
      <c r="FF100" s="184"/>
      <c r="FG100" s="185"/>
      <c r="FH100" s="185"/>
    </row>
    <row r="101" spans="1:164" s="386" customFormat="1" ht="14" hidden="1" customHeight="1">
      <c r="A101" s="208" t="str">
        <f t="shared" si="89"/>
        <v>ok</v>
      </c>
      <c r="B101" s="151"/>
      <c r="C101" s="151"/>
      <c r="D101" s="151"/>
      <c r="E101" s="398"/>
      <c r="F101" s="151"/>
      <c r="G101" s="151"/>
      <c r="H101" s="151"/>
      <c r="I101" s="171" t="s">
        <v>283</v>
      </c>
      <c r="J101" s="164" t="s">
        <v>284</v>
      </c>
      <c r="K101" s="171" t="s">
        <v>323</v>
      </c>
      <c r="L101" s="233" t="s">
        <v>322</v>
      </c>
      <c r="M101" s="163" t="s">
        <v>61</v>
      </c>
      <c r="N101" s="172"/>
      <c r="O101" s="172"/>
      <c r="P101" s="172"/>
      <c r="Q101" s="161"/>
      <c r="R101" s="162"/>
      <c r="S101" s="161"/>
      <c r="T101" s="162"/>
      <c r="U101" s="162"/>
      <c r="V101" s="162"/>
      <c r="W101" s="162"/>
      <c r="X101" s="162"/>
      <c r="Y101" s="162"/>
      <c r="Z101" s="162"/>
      <c r="AA101" s="162"/>
      <c r="AB101" s="162"/>
      <c r="AC101" s="162"/>
      <c r="AD101" s="162"/>
      <c r="AE101" s="162"/>
      <c r="AF101" s="162"/>
      <c r="AG101" s="162"/>
      <c r="AH101" s="162"/>
      <c r="AI101" s="162"/>
      <c r="AJ101" s="162"/>
      <c r="AK101" s="162"/>
      <c r="AL101" s="162"/>
      <c r="AM101" s="162"/>
      <c r="AN101" s="162"/>
      <c r="AO101" s="162"/>
      <c r="AP101" s="162"/>
      <c r="AQ101" s="162"/>
      <c r="AR101" s="162"/>
      <c r="AS101" s="162"/>
      <c r="AT101" s="162"/>
      <c r="AU101" s="162"/>
      <c r="AV101" s="162"/>
      <c r="AW101" s="162"/>
      <c r="AX101" s="162"/>
      <c r="AY101" s="162"/>
      <c r="AZ101" s="162"/>
      <c r="BA101" s="162"/>
      <c r="BB101" s="162"/>
      <c r="BC101" s="162"/>
      <c r="BD101" s="162"/>
      <c r="BE101" s="162"/>
      <c r="BF101" s="162"/>
      <c r="BG101" s="162"/>
      <c r="BH101" s="162"/>
      <c r="BI101" s="162"/>
      <c r="BJ101" s="162"/>
      <c r="BK101" s="162"/>
      <c r="BL101" s="162"/>
      <c r="BM101" s="162"/>
      <c r="BN101" s="162"/>
      <c r="BO101" s="162"/>
      <c r="BP101" s="162"/>
      <c r="BQ101" s="162"/>
      <c r="BR101" s="162"/>
      <c r="BS101" s="162"/>
      <c r="BT101" s="162"/>
      <c r="BU101" s="162"/>
      <c r="BV101" s="162"/>
      <c r="BW101" s="162"/>
      <c r="BX101" s="162"/>
      <c r="BY101" s="162"/>
      <c r="BZ101" s="162"/>
      <c r="CA101" s="162"/>
      <c r="CB101" s="162"/>
      <c r="CC101" s="162"/>
      <c r="CD101" s="162"/>
      <c r="CE101" s="162"/>
      <c r="CF101" s="162"/>
      <c r="CG101" s="162"/>
      <c r="CH101" s="162"/>
      <c r="CI101" s="162"/>
      <c r="CJ101" s="162"/>
      <c r="CK101" s="162"/>
      <c r="CL101" s="162"/>
      <c r="CM101" s="162"/>
      <c r="CN101" s="162"/>
      <c r="CO101" s="162"/>
      <c r="CP101" s="162"/>
      <c r="CQ101" s="162"/>
      <c r="CR101" s="162"/>
      <c r="CS101" s="209"/>
      <c r="CT101" s="209"/>
      <c r="CU101" s="375"/>
      <c r="CV101" s="208"/>
      <c r="CW101" s="152"/>
      <c r="CX101" s="152"/>
      <c r="CY101" s="208"/>
      <c r="CZ101" s="208"/>
      <c r="DA101" s="152"/>
      <c r="DB101" s="152"/>
      <c r="DC101" s="153"/>
      <c r="DD101" s="153" t="s">
        <v>1691</v>
      </c>
      <c r="DE101" s="277" t="s">
        <v>45</v>
      </c>
      <c r="DF101" s="213" t="s">
        <v>1014</v>
      </c>
      <c r="DG101" s="213" t="s">
        <v>43</v>
      </c>
      <c r="DH101" s="227">
        <v>22.65</v>
      </c>
      <c r="DI101" s="153">
        <v>45888</v>
      </c>
      <c r="DJ101" s="228">
        <v>6</v>
      </c>
      <c r="DK101" s="227">
        <v>22.65</v>
      </c>
      <c r="DL101" s="227">
        <v>14181.82</v>
      </c>
      <c r="DM101" s="181">
        <f>DL101*DK101*1.1</f>
        <v>353340.0453</v>
      </c>
      <c r="DN101" s="446">
        <f>(DM101-DO101)/DO101</f>
        <v>0.1</v>
      </c>
      <c r="DO101" s="182">
        <f>DL101*DK101</f>
        <v>321218.223</v>
      </c>
      <c r="DP101" s="275">
        <v>45891</v>
      </c>
      <c r="DQ101" s="152"/>
      <c r="DR101" s="152"/>
      <c r="DS101" s="151"/>
      <c r="DT101" s="275"/>
      <c r="DU101" s="370"/>
      <c r="DV101" s="208"/>
      <c r="DW101" s="208"/>
      <c r="DX101" s="152"/>
      <c r="DY101" s="152"/>
      <c r="DZ101" s="152"/>
      <c r="EA101" s="152"/>
      <c r="EB101" s="152"/>
      <c r="EC101" s="152"/>
      <c r="ED101" s="152"/>
      <c r="EE101" s="371"/>
      <c r="EF101" s="371"/>
      <c r="EG101" s="153"/>
      <c r="EH101" s="153"/>
      <c r="EI101" s="153"/>
      <c r="EJ101" s="153"/>
      <c r="EK101" s="153"/>
      <c r="EL101" s="153"/>
      <c r="EM101" s="153"/>
      <c r="EN101" s="153"/>
      <c r="EO101" s="152"/>
      <c r="EP101" s="151"/>
      <c r="EQ101" s="153"/>
      <c r="ER101" s="153"/>
      <c r="ES101" s="153"/>
      <c r="ET101" s="153"/>
      <c r="EU101" s="152"/>
      <c r="EV101" s="152"/>
      <c r="EW101" s="152"/>
      <c r="EX101" s="152"/>
      <c r="EY101" s="151"/>
      <c r="EZ101" s="152"/>
      <c r="FA101" s="372"/>
      <c r="FB101" s="373"/>
      <c r="FC101" s="384"/>
      <c r="FD101" s="385"/>
      <c r="FE101" s="210"/>
      <c r="FF101" s="211"/>
      <c r="FG101" s="212"/>
      <c r="FH101" s="212"/>
    </row>
    <row r="102" spans="1:164" s="157" customFormat="1" ht="14" hidden="1" customHeight="1">
      <c r="A102" s="208" t="str">
        <f t="shared" si="89"/>
        <v>Hiện</v>
      </c>
      <c r="B102" s="151" t="str">
        <f t="shared" si="84"/>
        <v>Đủ</v>
      </c>
      <c r="C102" s="151">
        <f>EW102</f>
        <v>0</v>
      </c>
      <c r="D102" s="151"/>
      <c r="E102" s="400"/>
      <c r="F102" s="151"/>
      <c r="G102" s="151"/>
      <c r="H102" s="151" t="s">
        <v>395</v>
      </c>
      <c r="I102" s="171" t="s">
        <v>285</v>
      </c>
      <c r="J102" s="164" t="s">
        <v>284</v>
      </c>
      <c r="K102" s="171" t="s">
        <v>324</v>
      </c>
      <c r="L102" s="233" t="s">
        <v>322</v>
      </c>
      <c r="M102" s="163" t="s">
        <v>61</v>
      </c>
      <c r="N102" s="172">
        <v>17</v>
      </c>
      <c r="O102" s="172">
        <v>1.38</v>
      </c>
      <c r="P102" s="172">
        <v>22.5</v>
      </c>
      <c r="Q102" s="179"/>
      <c r="R102" s="180"/>
      <c r="S102" s="179">
        <v>2</v>
      </c>
      <c r="T102" s="180">
        <v>34</v>
      </c>
      <c r="U102" s="180"/>
      <c r="V102" s="180"/>
      <c r="W102" s="180">
        <v>0</v>
      </c>
      <c r="X102" s="180">
        <v>0</v>
      </c>
      <c r="Y102" s="180">
        <v>0</v>
      </c>
      <c r="Z102" s="180">
        <v>0</v>
      </c>
      <c r="AA102" s="180">
        <v>1</v>
      </c>
      <c r="AB102" s="180">
        <v>17</v>
      </c>
      <c r="AC102" s="180">
        <v>0</v>
      </c>
      <c r="AD102" s="180">
        <v>0</v>
      </c>
      <c r="AE102" s="180">
        <v>0</v>
      </c>
      <c r="AF102" s="180">
        <v>0</v>
      </c>
      <c r="AG102" s="180">
        <v>0</v>
      </c>
      <c r="AH102" s="180">
        <v>0</v>
      </c>
      <c r="AI102" s="162">
        <f>VLOOKUP(I102,'[119]MTO-rev09'!$A:$O,11,0)</f>
        <v>0</v>
      </c>
      <c r="AJ102" s="162">
        <f>VLOOKUP(I102,'[119]MTO-rev09'!$A:$O,12,0)</f>
        <v>0</v>
      </c>
      <c r="AK102" s="162">
        <v>0</v>
      </c>
      <c r="AL102" s="162">
        <v>0</v>
      </c>
      <c r="AM102" s="162"/>
      <c r="AN102" s="162"/>
      <c r="AO102" s="162">
        <v>0</v>
      </c>
      <c r="AP102" s="162">
        <v>0</v>
      </c>
      <c r="AQ102" s="162">
        <v>0</v>
      </c>
      <c r="AR102" s="162">
        <v>0</v>
      </c>
      <c r="AS102" s="162">
        <v>0</v>
      </c>
      <c r="AT102" s="162">
        <v>0</v>
      </c>
      <c r="AU102" s="162">
        <v>0</v>
      </c>
      <c r="AV102" s="162">
        <v>0</v>
      </c>
      <c r="AW102" s="162">
        <v>0</v>
      </c>
      <c r="AX102" s="162">
        <v>0</v>
      </c>
      <c r="AY102" s="162">
        <v>0</v>
      </c>
      <c r="AZ102" s="162">
        <v>0</v>
      </c>
      <c r="BA102" s="162"/>
      <c r="BB102" s="162"/>
      <c r="BC102" s="162">
        <v>0</v>
      </c>
      <c r="BD102" s="162">
        <v>0</v>
      </c>
      <c r="BE102" s="162">
        <v>0</v>
      </c>
      <c r="BF102" s="162">
        <v>0</v>
      </c>
      <c r="BG102" s="162">
        <v>0</v>
      </c>
      <c r="BH102" s="162">
        <v>0</v>
      </c>
      <c r="BI102" s="162">
        <v>0</v>
      </c>
      <c r="BJ102" s="162">
        <v>0</v>
      </c>
      <c r="BK102" s="162">
        <v>0</v>
      </c>
      <c r="BL102" s="162">
        <v>0</v>
      </c>
      <c r="BM102" s="162">
        <v>0</v>
      </c>
      <c r="BN102" s="162">
        <v>0</v>
      </c>
      <c r="BO102" s="162"/>
      <c r="BP102" s="162"/>
      <c r="BQ102" s="162">
        <v>0</v>
      </c>
      <c r="BR102" s="162">
        <v>0</v>
      </c>
      <c r="BS102" s="162">
        <v>0</v>
      </c>
      <c r="BT102" s="162">
        <v>0</v>
      </c>
      <c r="BU102" s="162">
        <v>0</v>
      </c>
      <c r="BV102" s="162">
        <v>0</v>
      </c>
      <c r="BW102" s="162"/>
      <c r="BX102" s="162"/>
      <c r="BY102" s="162">
        <v>0</v>
      </c>
      <c r="BZ102" s="162">
        <v>0</v>
      </c>
      <c r="CA102" s="162">
        <v>0</v>
      </c>
      <c r="CB102" s="162">
        <v>0</v>
      </c>
      <c r="CC102" s="162">
        <v>0</v>
      </c>
      <c r="CD102" s="162">
        <v>0</v>
      </c>
      <c r="CE102" s="162">
        <f>VLOOKUP(I102,[120]REV33!$A:$O,11,0)</f>
        <v>0</v>
      </c>
      <c r="CF102" s="162">
        <f>VLOOKUP(I102,[120]REV33!$A:$O,12,0)</f>
        <v>0</v>
      </c>
      <c r="CG102" s="162"/>
      <c r="CH102" s="162"/>
      <c r="CI102" s="162"/>
      <c r="CJ102" s="162"/>
      <c r="CK102" s="162"/>
      <c r="CL102" s="162"/>
      <c r="CM102" s="162"/>
      <c r="CN102" s="162"/>
      <c r="CO102" s="162">
        <v>0</v>
      </c>
      <c r="CP102" s="162">
        <v>0</v>
      </c>
      <c r="CQ102" s="162">
        <v>0</v>
      </c>
      <c r="CR102" s="162">
        <v>0</v>
      </c>
      <c r="CS102" s="209">
        <f>Q102+S102+U102+W102+Y102+AA102+AC102+AE102+AG102+AI102+AK102+AM102+AO102+AQ102+AS102+AU102+AW102+AY102+BA102+BC102+BE102+BG102+BI102+BK102+BM102+BO102+BQ102+BS102+BU102+BW102+BY102+CA102+CC102+CE102+CG102+CI102+CK102+CM102+CO102+CQ102</f>
        <v>3</v>
      </c>
      <c r="CT102" s="209">
        <f>R102+T102+V102+X102+Z102+AB102+AD102+AF102+AH102+AJ102+AL102+AN102+AP102+AR102+AT102+AV102+AX102+AZ102+BB102+BD102+BF102+BH102+BJ102+BL102+BN102+BP102+BR102+BT102+BV102+BX102+BZ102+CB102+CD102+CF102+CH102+CJ102+CL102+CN102+CP102+CR102</f>
        <v>51</v>
      </c>
      <c r="CU102" s="375" t="s">
        <v>510</v>
      </c>
      <c r="CV102" s="208"/>
      <c r="CW102" s="152">
        <v>4</v>
      </c>
      <c r="CX102" s="152">
        <f>CW102*N102</f>
        <v>68</v>
      </c>
      <c r="CY102" s="208"/>
      <c r="CZ102" s="208" t="s">
        <v>1005</v>
      </c>
      <c r="DA102" s="152" t="str">
        <f t="shared" ref="DA102:DA104" si="129">IF(CS102&gt;CW102,CS102-CW102,"0")</f>
        <v>0</v>
      </c>
      <c r="DB102" s="152" t="str">
        <f t="shared" ref="DB102:DB104" si="130">IF(CT102&gt;CX102,CT102-CX102,"0")</f>
        <v>0</v>
      </c>
      <c r="DC102" s="153">
        <v>45813</v>
      </c>
      <c r="DD102" s="153"/>
      <c r="DE102" s="153"/>
      <c r="DF102" s="376"/>
      <c r="DG102" s="368"/>
      <c r="DH102" s="181"/>
      <c r="DI102" s="153"/>
      <c r="DJ102" s="1000"/>
      <c r="DK102" s="181"/>
      <c r="DL102" s="182"/>
      <c r="DM102" s="182"/>
      <c r="DN102" s="182"/>
      <c r="DO102" s="182"/>
      <c r="DP102" s="275"/>
      <c r="DQ102" s="152">
        <f>SUMIF($I:$I,I102,$DJ:$DJ)</f>
        <v>0</v>
      </c>
      <c r="DR102" s="152">
        <f>SUMIF($I:$I,I102,$DK:$DK)</f>
        <v>0</v>
      </c>
      <c r="DS102" s="151"/>
      <c r="DT102" s="275"/>
      <c r="DU102" s="370"/>
      <c r="DV102" s="208"/>
      <c r="DW102" s="208"/>
      <c r="DX102" s="152"/>
      <c r="DY102" s="152"/>
      <c r="DZ102" s="152"/>
      <c r="EA102" s="152"/>
      <c r="EB102" s="152"/>
      <c r="EC102" s="152"/>
      <c r="ED102" s="152"/>
      <c r="EE102" s="371"/>
      <c r="EF102" s="371"/>
      <c r="EG102" s="153"/>
      <c r="EH102" s="153"/>
      <c r="EI102" s="153"/>
      <c r="EJ102" s="153"/>
      <c r="EK102" s="153"/>
      <c r="EL102" s="153"/>
      <c r="EM102" s="153"/>
      <c r="EN102" s="153"/>
      <c r="EO102" s="152">
        <f>SUMIF($I:$I,I102,$EC:$EC)</f>
        <v>0</v>
      </c>
      <c r="EP102" s="151">
        <f>SUMIF($I:$I,I102,$ED:$ED)</f>
        <v>0</v>
      </c>
      <c r="EQ102" s="153"/>
      <c r="ER102" s="153"/>
      <c r="ES102" s="153"/>
      <c r="ET102" s="153"/>
      <c r="EU102" s="152">
        <f t="shared" ref="EU102:EU104" si="131">DQ102+EO102</f>
        <v>0</v>
      </c>
      <c r="EV102" s="152">
        <f t="shared" ref="EV102:EV104" si="132">DR102+EP102</f>
        <v>0</v>
      </c>
      <c r="EW102" s="152">
        <f t="shared" ref="EW102:EW104" si="133">DA102-EU102</f>
        <v>0</v>
      </c>
      <c r="EX102" s="152">
        <f t="shared" ref="EX102:EX104" si="134">DB102-EV102</f>
        <v>0</v>
      </c>
      <c r="EY102" s="151" t="str">
        <f t="shared" ref="EY102:EY104" si="135">IF(EW102&lt;0,"Thừa",IF(EW102=0,"Đủ","Thiếu"))</f>
        <v>Đủ</v>
      </c>
      <c r="EZ102" s="152"/>
      <c r="FA102" s="372"/>
      <c r="FB102" s="373"/>
      <c r="FC102" s="367"/>
      <c r="FD102" s="374"/>
      <c r="FE102" s="183"/>
      <c r="FF102" s="184"/>
      <c r="FG102" s="185"/>
      <c r="FH102" s="185"/>
    </row>
    <row r="103" spans="1:164" s="157" customFormat="1" ht="14" hidden="1" customHeight="1">
      <c r="A103" s="208" t="str">
        <f t="shared" si="89"/>
        <v>Hiện</v>
      </c>
      <c r="B103" s="151" t="str">
        <f t="shared" si="84"/>
        <v>Thừa</v>
      </c>
      <c r="C103" s="151">
        <f>EW103</f>
        <v>-4.4339999999999993</v>
      </c>
      <c r="D103" s="151"/>
      <c r="E103" s="398"/>
      <c r="F103" s="151"/>
      <c r="G103" s="151"/>
      <c r="H103" s="151" t="s">
        <v>657</v>
      </c>
      <c r="I103" s="171" t="s">
        <v>286</v>
      </c>
      <c r="J103" s="164" t="s">
        <v>284</v>
      </c>
      <c r="K103" s="171" t="s">
        <v>325</v>
      </c>
      <c r="L103" s="233" t="s">
        <v>322</v>
      </c>
      <c r="M103" s="163" t="s">
        <v>61</v>
      </c>
      <c r="N103" s="172">
        <v>9</v>
      </c>
      <c r="O103" s="172">
        <v>12.92</v>
      </c>
      <c r="P103" s="172">
        <v>109.6</v>
      </c>
      <c r="Q103" s="161"/>
      <c r="R103" s="162"/>
      <c r="S103" s="161">
        <v>13.566000000000001</v>
      </c>
      <c r="T103" s="162">
        <v>122.09400000000001</v>
      </c>
      <c r="U103" s="162"/>
      <c r="V103" s="162"/>
      <c r="W103" s="162">
        <v>0</v>
      </c>
      <c r="X103" s="162">
        <v>0</v>
      </c>
      <c r="Y103" s="162">
        <v>0</v>
      </c>
      <c r="Z103" s="162">
        <v>0</v>
      </c>
      <c r="AA103" s="162">
        <v>0</v>
      </c>
      <c r="AB103" s="162">
        <v>0</v>
      </c>
      <c r="AC103" s="162">
        <v>0</v>
      </c>
      <c r="AD103" s="162">
        <v>0</v>
      </c>
      <c r="AE103" s="162">
        <v>0</v>
      </c>
      <c r="AF103" s="162">
        <v>0</v>
      </c>
      <c r="AG103" s="162">
        <v>0</v>
      </c>
      <c r="AH103" s="162">
        <v>0</v>
      </c>
      <c r="AI103" s="162">
        <f>VLOOKUP(I103,'[119]MTO-rev09'!$A:$O,11,0)</f>
        <v>0</v>
      </c>
      <c r="AJ103" s="162">
        <f>VLOOKUP(I103,'[119]MTO-rev09'!$A:$O,12,0)</f>
        <v>0</v>
      </c>
      <c r="AK103" s="162">
        <v>0</v>
      </c>
      <c r="AL103" s="162">
        <v>0</v>
      </c>
      <c r="AM103" s="162"/>
      <c r="AN103" s="162"/>
      <c r="AO103" s="162">
        <v>0</v>
      </c>
      <c r="AP103" s="162">
        <v>0</v>
      </c>
      <c r="AQ103" s="162">
        <v>0</v>
      </c>
      <c r="AR103" s="162">
        <v>0</v>
      </c>
      <c r="AS103" s="162">
        <v>0</v>
      </c>
      <c r="AT103" s="162">
        <v>0</v>
      </c>
      <c r="AU103" s="162">
        <v>0</v>
      </c>
      <c r="AV103" s="162">
        <v>0</v>
      </c>
      <c r="AW103" s="162">
        <v>0</v>
      </c>
      <c r="AX103" s="162">
        <v>0</v>
      </c>
      <c r="AY103" s="162">
        <v>0</v>
      </c>
      <c r="AZ103" s="162">
        <v>0</v>
      </c>
      <c r="BA103" s="162"/>
      <c r="BB103" s="162"/>
      <c r="BC103" s="162">
        <v>0</v>
      </c>
      <c r="BD103" s="162">
        <v>0</v>
      </c>
      <c r="BE103" s="162">
        <v>0</v>
      </c>
      <c r="BF103" s="162">
        <v>0</v>
      </c>
      <c r="BG103" s="162">
        <v>0</v>
      </c>
      <c r="BH103" s="162">
        <v>0</v>
      </c>
      <c r="BI103" s="162">
        <v>0</v>
      </c>
      <c r="BJ103" s="162">
        <v>0</v>
      </c>
      <c r="BK103" s="162">
        <v>0</v>
      </c>
      <c r="BL103" s="162">
        <v>0</v>
      </c>
      <c r="BM103" s="162">
        <v>0</v>
      </c>
      <c r="BN103" s="162">
        <v>0</v>
      </c>
      <c r="BO103" s="162"/>
      <c r="BP103" s="162"/>
      <c r="BQ103" s="162">
        <v>0</v>
      </c>
      <c r="BR103" s="162">
        <v>0</v>
      </c>
      <c r="BS103" s="162">
        <v>0</v>
      </c>
      <c r="BT103" s="162">
        <v>0</v>
      </c>
      <c r="BU103" s="162">
        <v>0</v>
      </c>
      <c r="BV103" s="162">
        <v>0</v>
      </c>
      <c r="BW103" s="162"/>
      <c r="BX103" s="162"/>
      <c r="BY103" s="162">
        <v>0</v>
      </c>
      <c r="BZ103" s="162">
        <v>0</v>
      </c>
      <c r="CA103" s="162">
        <v>0</v>
      </c>
      <c r="CB103" s="162">
        <v>0</v>
      </c>
      <c r="CC103" s="162">
        <v>0</v>
      </c>
      <c r="CD103" s="162">
        <v>0</v>
      </c>
      <c r="CE103" s="162">
        <f>VLOOKUP(I103,[120]REV33!$A:$O,11,0)</f>
        <v>0</v>
      </c>
      <c r="CF103" s="162">
        <f>VLOOKUP(I103,[120]REV33!$A:$O,12,0)</f>
        <v>0</v>
      </c>
      <c r="CG103" s="162"/>
      <c r="CH103" s="162"/>
      <c r="CI103" s="162"/>
      <c r="CJ103" s="162"/>
      <c r="CK103" s="162"/>
      <c r="CL103" s="162"/>
      <c r="CM103" s="162"/>
      <c r="CN103" s="162"/>
      <c r="CO103" s="162">
        <v>0</v>
      </c>
      <c r="CP103" s="162">
        <v>0</v>
      </c>
      <c r="CQ103" s="162">
        <v>0</v>
      </c>
      <c r="CR103" s="162">
        <v>0</v>
      </c>
      <c r="CS103" s="209">
        <f>Q103+S103+U103+W103+Y103+AA103+AC103+AE103+AG103+AI103+AK103+AM103+AO103+AQ103+AS103+AU103+AW103+AY103+BA103+BC103+BE103+BG103+BI103+BK103+BM103+BO103+BQ103+BS103+BU103+BW103+BY103+CA103+CC103+CE103+CG103+CI103+CK103+CM103+CO103+CQ103</f>
        <v>13.566000000000001</v>
      </c>
      <c r="CT103" s="209">
        <f>R103+T103+V103+X103+Z103+AB103+AD103+AF103+AH103+AJ103+AL103+AN103+AP103+AR103+AT103+AV103+AX103+AZ103+BB103+BD103+BF103+BH103+BJ103+BL103+BN103+BP103+BR103+BT103+BV103+BX103+BZ103+CB103+CD103+CF103+CH103+CJ103+CL103+CN103+CP103+CR103</f>
        <v>122.09400000000001</v>
      </c>
      <c r="CU103" s="375" t="s">
        <v>337</v>
      </c>
      <c r="CV103" s="208"/>
      <c r="CW103" s="152"/>
      <c r="CX103" s="152"/>
      <c r="CY103" s="208"/>
      <c r="CZ103" s="208"/>
      <c r="DA103" s="152">
        <f t="shared" si="129"/>
        <v>13.566000000000001</v>
      </c>
      <c r="DB103" s="152">
        <f t="shared" si="130"/>
        <v>122.09400000000001</v>
      </c>
      <c r="DC103" s="153">
        <v>45813</v>
      </c>
      <c r="DD103" s="153" t="s">
        <v>1695</v>
      </c>
      <c r="DE103" s="277" t="s">
        <v>45</v>
      </c>
      <c r="DF103" s="213" t="s">
        <v>725</v>
      </c>
      <c r="DG103" s="213" t="s">
        <v>43</v>
      </c>
      <c r="DH103" s="181">
        <v>219.81</v>
      </c>
      <c r="DI103" s="153">
        <v>45866</v>
      </c>
      <c r="DJ103" s="1000">
        <v>18</v>
      </c>
      <c r="DK103" s="181">
        <v>219.81</v>
      </c>
      <c r="DL103" s="182">
        <v>14727.27</v>
      </c>
      <c r="DM103" s="181">
        <f>DL103*DK103*1.1</f>
        <v>3560921.3405700005</v>
      </c>
      <c r="DN103" s="446">
        <f>(DM103-DO103)/DO103</f>
        <v>0.10000000000000012</v>
      </c>
      <c r="DO103" s="279">
        <f>DL103*DK103</f>
        <v>3237201.2187000001</v>
      </c>
      <c r="DP103" s="275">
        <v>45867</v>
      </c>
      <c r="DQ103" s="152">
        <f>SUMIF($I:$I,I103,$DJ:$DJ)</f>
        <v>18</v>
      </c>
      <c r="DR103" s="152">
        <f>SUMIF($I:$I,I103,$DK:$DK)</f>
        <v>219.81</v>
      </c>
      <c r="DS103" s="151"/>
      <c r="DT103" s="275"/>
      <c r="DU103" s="370"/>
      <c r="DV103" s="208"/>
      <c r="DW103" s="208"/>
      <c r="DX103" s="152"/>
      <c r="DY103" s="152"/>
      <c r="DZ103" s="152"/>
      <c r="EA103" s="152"/>
      <c r="EB103" s="152"/>
      <c r="EC103" s="152"/>
      <c r="ED103" s="152"/>
      <c r="EE103" s="371"/>
      <c r="EF103" s="371"/>
      <c r="EG103" s="153"/>
      <c r="EH103" s="153"/>
      <c r="EI103" s="153"/>
      <c r="EJ103" s="153"/>
      <c r="EK103" s="153"/>
      <c r="EL103" s="153"/>
      <c r="EM103" s="153"/>
      <c r="EN103" s="153"/>
      <c r="EO103" s="152">
        <f>SUMIF($I:$I,I103,$EC:$EC)</f>
        <v>0</v>
      </c>
      <c r="EP103" s="151">
        <f>SUMIF($I:$I,I103,$ED:$ED)</f>
        <v>0</v>
      </c>
      <c r="EQ103" s="153"/>
      <c r="ER103" s="153"/>
      <c r="ES103" s="153"/>
      <c r="ET103" s="153"/>
      <c r="EU103" s="152">
        <f t="shared" si="131"/>
        <v>18</v>
      </c>
      <c r="EV103" s="152">
        <f t="shared" si="132"/>
        <v>219.81</v>
      </c>
      <c r="EW103" s="152">
        <f t="shared" si="133"/>
        <v>-4.4339999999999993</v>
      </c>
      <c r="EX103" s="152">
        <f t="shared" si="134"/>
        <v>-97.715999999999994</v>
      </c>
      <c r="EY103" s="151" t="str">
        <f t="shared" si="135"/>
        <v>Thừa</v>
      </c>
      <c r="EZ103" s="152"/>
      <c r="FA103" s="372"/>
      <c r="FB103" s="373"/>
      <c r="FC103" s="367"/>
      <c r="FD103" s="374"/>
      <c r="FE103" s="183"/>
      <c r="FF103" s="184"/>
      <c r="FG103" s="185"/>
      <c r="FH103" s="185"/>
    </row>
    <row r="104" spans="1:164" s="157" customFormat="1" ht="14" hidden="1" customHeight="1">
      <c r="A104" s="208" t="str">
        <f t="shared" si="89"/>
        <v>Hiện</v>
      </c>
      <c r="B104" s="151" t="str">
        <f t="shared" si="84"/>
        <v>Thừa</v>
      </c>
      <c r="C104" s="151">
        <f>EW104</f>
        <v>-139.22219999999999</v>
      </c>
      <c r="D104" s="398"/>
      <c r="E104" s="398"/>
      <c r="F104" s="151"/>
      <c r="G104" s="151"/>
      <c r="H104" s="151"/>
      <c r="I104" s="171" t="s">
        <v>287</v>
      </c>
      <c r="J104" s="164" t="s">
        <v>267</v>
      </c>
      <c r="K104" s="171" t="s">
        <v>312</v>
      </c>
      <c r="L104" s="233" t="s">
        <v>326</v>
      </c>
      <c r="M104" s="163" t="s">
        <v>61</v>
      </c>
      <c r="N104" s="172">
        <v>117</v>
      </c>
      <c r="O104" s="172">
        <v>118.83600000000003</v>
      </c>
      <c r="P104" s="172">
        <v>12778.679999999998</v>
      </c>
      <c r="Q104" s="161"/>
      <c r="R104" s="162"/>
      <c r="S104" s="161">
        <v>124.77780000000003</v>
      </c>
      <c r="T104" s="162">
        <v>14599.002600000003</v>
      </c>
      <c r="U104" s="162"/>
      <c r="V104" s="162"/>
      <c r="W104" s="162">
        <v>0</v>
      </c>
      <c r="X104" s="162">
        <v>0</v>
      </c>
      <c r="Y104" s="162">
        <v>0</v>
      </c>
      <c r="Z104" s="162">
        <v>0</v>
      </c>
      <c r="AA104" s="162">
        <v>0</v>
      </c>
      <c r="AB104" s="162">
        <v>0</v>
      </c>
      <c r="AC104" s="162">
        <v>0</v>
      </c>
      <c r="AD104" s="162">
        <v>0</v>
      </c>
      <c r="AE104" s="162">
        <v>0</v>
      </c>
      <c r="AF104" s="162">
        <v>0</v>
      </c>
      <c r="AG104" s="162">
        <v>0</v>
      </c>
      <c r="AH104" s="162">
        <v>0</v>
      </c>
      <c r="AI104" s="162">
        <f>VLOOKUP(I104,'[119]MTO-rev09'!$A:$O,11,0)</f>
        <v>0</v>
      </c>
      <c r="AJ104" s="162">
        <f>VLOOKUP(I104,'[119]MTO-rev09'!$A:$O,12,0)</f>
        <v>0</v>
      </c>
      <c r="AK104" s="162">
        <v>0</v>
      </c>
      <c r="AL104" s="162">
        <v>0</v>
      </c>
      <c r="AM104" s="162"/>
      <c r="AN104" s="162"/>
      <c r="AO104" s="162">
        <v>0</v>
      </c>
      <c r="AP104" s="162">
        <v>0</v>
      </c>
      <c r="AQ104" s="162">
        <v>0</v>
      </c>
      <c r="AR104" s="162">
        <v>0</v>
      </c>
      <c r="AS104" s="162">
        <v>0</v>
      </c>
      <c r="AT104" s="162">
        <v>0</v>
      </c>
      <c r="AU104" s="162">
        <v>0</v>
      </c>
      <c r="AV104" s="162">
        <v>0</v>
      </c>
      <c r="AW104" s="162">
        <v>0</v>
      </c>
      <c r="AX104" s="162">
        <v>0</v>
      </c>
      <c r="AY104" s="162">
        <v>0</v>
      </c>
      <c r="AZ104" s="162">
        <v>0</v>
      </c>
      <c r="BA104" s="162"/>
      <c r="BB104" s="162"/>
      <c r="BC104" s="162">
        <v>0</v>
      </c>
      <c r="BD104" s="162">
        <v>0</v>
      </c>
      <c r="BE104" s="162">
        <v>0</v>
      </c>
      <c r="BF104" s="162">
        <v>0</v>
      </c>
      <c r="BG104" s="162">
        <v>0</v>
      </c>
      <c r="BH104" s="162">
        <v>0</v>
      </c>
      <c r="BI104" s="162">
        <v>0</v>
      </c>
      <c r="BJ104" s="162">
        <v>0</v>
      </c>
      <c r="BK104" s="162">
        <v>0</v>
      </c>
      <c r="BL104" s="162">
        <v>0</v>
      </c>
      <c r="BM104" s="162">
        <v>0</v>
      </c>
      <c r="BN104" s="162">
        <v>0</v>
      </c>
      <c r="BO104" s="162"/>
      <c r="BP104" s="162"/>
      <c r="BQ104" s="162">
        <v>0</v>
      </c>
      <c r="BR104" s="162">
        <v>0</v>
      </c>
      <c r="BS104" s="162">
        <v>0</v>
      </c>
      <c r="BT104" s="162">
        <v>0</v>
      </c>
      <c r="BU104" s="162">
        <v>0</v>
      </c>
      <c r="BV104" s="162">
        <v>0</v>
      </c>
      <c r="BW104" s="162"/>
      <c r="BX104" s="162"/>
      <c r="BY104" s="162">
        <v>0</v>
      </c>
      <c r="BZ104" s="162">
        <v>0</v>
      </c>
      <c r="CA104" s="162">
        <v>0</v>
      </c>
      <c r="CB104" s="162">
        <v>0</v>
      </c>
      <c r="CC104" s="162">
        <v>0</v>
      </c>
      <c r="CD104" s="162">
        <v>0</v>
      </c>
      <c r="CE104" s="162">
        <f>VLOOKUP(I104,[120]REV33!$A:$O,11,0)</f>
        <v>0</v>
      </c>
      <c r="CF104" s="162">
        <f>VLOOKUP(I104,[120]REV33!$A:$O,12,0)</f>
        <v>0</v>
      </c>
      <c r="CG104" s="162"/>
      <c r="CH104" s="162"/>
      <c r="CI104" s="162"/>
      <c r="CJ104" s="162"/>
      <c r="CK104" s="162"/>
      <c r="CL104" s="162"/>
      <c r="CM104" s="162"/>
      <c r="CN104" s="162"/>
      <c r="CO104" s="162">
        <v>0</v>
      </c>
      <c r="CP104" s="162">
        <v>0</v>
      </c>
      <c r="CQ104" s="162">
        <v>0</v>
      </c>
      <c r="CR104" s="162">
        <v>0</v>
      </c>
      <c r="CS104" s="209">
        <f>Q104+S104+U104+W104+Y104+AA104+AC104+AE104+AG104+AI104+AK104+AM104+AO104+AQ104+AS104+AU104+AW104+AY104+BA104+BC104+BE104+BG104+BI104+BK104+BM104+BO104+BQ104+BS104+BU104+BW104+BY104+CA104+CC104+CE104+CG104+CI104+CK104+CM104+CO104+CQ104</f>
        <v>124.77780000000003</v>
      </c>
      <c r="CT104" s="209">
        <f>R104+T104+V104+X104+Z104+AB104+AD104+AF104+AH104+AJ104+AL104+AN104+AP104+AR104+AT104+AV104+AX104+AZ104+BB104+BD104+BF104+BH104+BJ104+BL104+BN104+BP104+BR104+BT104+BV104+BX104+BZ104+CB104+CD104+CF104+CH104+CJ104+CL104+CN104+CP104+CR104</f>
        <v>14599.002600000003</v>
      </c>
      <c r="CU104" s="375" t="s">
        <v>337</v>
      </c>
      <c r="CV104" s="208"/>
      <c r="CW104" s="152"/>
      <c r="CX104" s="152"/>
      <c r="CY104" s="208"/>
      <c r="CZ104" s="208"/>
      <c r="DA104" s="152">
        <f t="shared" si="129"/>
        <v>124.77780000000003</v>
      </c>
      <c r="DB104" s="152">
        <f t="shared" si="130"/>
        <v>14599.002600000003</v>
      </c>
      <c r="DC104" s="153">
        <v>45813</v>
      </c>
      <c r="DD104" s="153"/>
      <c r="DE104" s="153"/>
      <c r="DF104" s="376"/>
      <c r="DG104" s="368"/>
      <c r="DH104" s="181"/>
      <c r="DI104" s="153"/>
      <c r="DJ104" s="1000"/>
      <c r="DK104" s="181"/>
      <c r="DL104" s="182"/>
      <c r="DM104" s="182"/>
      <c r="DN104" s="182"/>
      <c r="DO104" s="182"/>
      <c r="DP104" s="275"/>
      <c r="DQ104" s="152">
        <f>SUMIF($I:$I,I104,$DJ:$DJ)</f>
        <v>0</v>
      </c>
      <c r="DR104" s="152">
        <f>SUMIF($I:$I,I104,$DK:$DK)</f>
        <v>0</v>
      </c>
      <c r="DS104" s="151"/>
      <c r="DT104" s="275"/>
      <c r="DU104" s="370"/>
      <c r="DV104" s="208"/>
      <c r="DW104" s="208" t="s">
        <v>517</v>
      </c>
      <c r="DX104" s="152" t="s">
        <v>46</v>
      </c>
      <c r="DY104" s="171" t="s">
        <v>312</v>
      </c>
      <c r="DZ104" s="152"/>
      <c r="EA104" s="152">
        <v>15444</v>
      </c>
      <c r="EB104" s="153">
        <v>45784</v>
      </c>
      <c r="EC104" s="152">
        <v>132</v>
      </c>
      <c r="ED104" s="152">
        <v>15444</v>
      </c>
      <c r="EE104" s="396">
        <f>0.0140000072674221+1.018</f>
        <v>1.032000007267422</v>
      </c>
      <c r="EF104" s="371">
        <f>EE104*ED104</f>
        <v>15938.208112238066</v>
      </c>
      <c r="EG104" s="153">
        <v>45786</v>
      </c>
      <c r="EH104" s="153"/>
      <c r="EI104" s="153"/>
      <c r="EJ104" s="153"/>
      <c r="EK104" s="153"/>
      <c r="EL104" s="153">
        <v>45823</v>
      </c>
      <c r="EM104" s="153">
        <v>45824</v>
      </c>
      <c r="EN104" s="153"/>
      <c r="EO104" s="152">
        <f>SUMIF($I:$I,I104,$EC:$EC)</f>
        <v>264</v>
      </c>
      <c r="EP104" s="151">
        <f>SUMIF($I:$I,I104,$ED:$ED)</f>
        <v>30888</v>
      </c>
      <c r="EQ104" s="153"/>
      <c r="ER104" s="153"/>
      <c r="ES104" s="153"/>
      <c r="ET104" s="153"/>
      <c r="EU104" s="152">
        <f t="shared" si="131"/>
        <v>264</v>
      </c>
      <c r="EV104" s="152">
        <f t="shared" si="132"/>
        <v>30888</v>
      </c>
      <c r="EW104" s="152">
        <f t="shared" si="133"/>
        <v>-139.22219999999999</v>
      </c>
      <c r="EX104" s="152">
        <f t="shared" si="134"/>
        <v>-16288.997399999997</v>
      </c>
      <c r="EY104" s="151" t="str">
        <f t="shared" si="135"/>
        <v>Thừa</v>
      </c>
      <c r="EZ104" s="152"/>
      <c r="FA104" s="372"/>
      <c r="FB104" s="373"/>
      <c r="FC104" s="367"/>
      <c r="FD104" s="374"/>
      <c r="FE104" s="183"/>
      <c r="FF104" s="184"/>
      <c r="FG104" s="185"/>
      <c r="FH104" s="185"/>
    </row>
    <row r="105" spans="1:164" s="386" customFormat="1" ht="14" hidden="1" customHeight="1">
      <c r="A105" s="208" t="str">
        <f t="shared" si="89"/>
        <v>ok</v>
      </c>
      <c r="B105" s="151"/>
      <c r="C105" s="151"/>
      <c r="D105" s="398"/>
      <c r="E105" s="398"/>
      <c r="F105" s="151"/>
      <c r="G105" s="151"/>
      <c r="H105" s="151"/>
      <c r="I105" s="171" t="s">
        <v>287</v>
      </c>
      <c r="J105" s="164" t="s">
        <v>267</v>
      </c>
      <c r="K105" s="171" t="s">
        <v>312</v>
      </c>
      <c r="L105" s="233" t="s">
        <v>326</v>
      </c>
      <c r="M105" s="163" t="s">
        <v>61</v>
      </c>
      <c r="N105" s="172"/>
      <c r="O105" s="172"/>
      <c r="P105" s="172"/>
      <c r="Q105" s="161"/>
      <c r="R105" s="162"/>
      <c r="S105" s="161"/>
      <c r="T105" s="162"/>
      <c r="U105" s="162"/>
      <c r="V105" s="162"/>
      <c r="W105" s="162"/>
      <c r="X105" s="162"/>
      <c r="Y105" s="162"/>
      <c r="Z105" s="162"/>
      <c r="AA105" s="162"/>
      <c r="AB105" s="162"/>
      <c r="AC105" s="162"/>
      <c r="AD105" s="162"/>
      <c r="AE105" s="162"/>
      <c r="AF105" s="162"/>
      <c r="AG105" s="162"/>
      <c r="AH105" s="162"/>
      <c r="AI105" s="162"/>
      <c r="AJ105" s="162"/>
      <c r="AK105" s="162"/>
      <c r="AL105" s="162"/>
      <c r="AM105" s="162"/>
      <c r="AN105" s="162"/>
      <c r="AO105" s="162"/>
      <c r="AP105" s="162"/>
      <c r="AQ105" s="162"/>
      <c r="AR105" s="162"/>
      <c r="AS105" s="162"/>
      <c r="AT105" s="162"/>
      <c r="AU105" s="162"/>
      <c r="AV105" s="162"/>
      <c r="AW105" s="162"/>
      <c r="AX105" s="162"/>
      <c r="AY105" s="162"/>
      <c r="AZ105" s="162"/>
      <c r="BA105" s="162"/>
      <c r="BB105" s="162"/>
      <c r="BC105" s="162"/>
      <c r="BD105" s="162"/>
      <c r="BE105" s="162"/>
      <c r="BF105" s="162"/>
      <c r="BG105" s="162"/>
      <c r="BH105" s="162"/>
      <c r="BI105" s="162"/>
      <c r="BJ105" s="162"/>
      <c r="BK105" s="162"/>
      <c r="BL105" s="162"/>
      <c r="BM105" s="162"/>
      <c r="BN105" s="162"/>
      <c r="BO105" s="162"/>
      <c r="BP105" s="162"/>
      <c r="BQ105" s="162"/>
      <c r="BR105" s="162"/>
      <c r="BS105" s="162"/>
      <c r="BT105" s="162"/>
      <c r="BU105" s="162"/>
      <c r="BV105" s="162"/>
      <c r="BW105" s="162"/>
      <c r="BX105" s="162"/>
      <c r="BY105" s="162"/>
      <c r="BZ105" s="162"/>
      <c r="CA105" s="162"/>
      <c r="CB105" s="162"/>
      <c r="CC105" s="162"/>
      <c r="CD105" s="162"/>
      <c r="CE105" s="162"/>
      <c r="CF105" s="162"/>
      <c r="CG105" s="162"/>
      <c r="CH105" s="162"/>
      <c r="CI105" s="162"/>
      <c r="CJ105" s="162"/>
      <c r="CK105" s="162"/>
      <c r="CL105" s="162"/>
      <c r="CM105" s="162"/>
      <c r="CN105" s="162"/>
      <c r="CO105" s="162"/>
      <c r="CP105" s="162"/>
      <c r="CQ105" s="162"/>
      <c r="CR105" s="162"/>
      <c r="CS105" s="209"/>
      <c r="CT105" s="209"/>
      <c r="CU105" s="375"/>
      <c r="CV105" s="208"/>
      <c r="CW105" s="152"/>
      <c r="CX105" s="152"/>
      <c r="CY105" s="208"/>
      <c r="CZ105" s="208"/>
      <c r="DA105" s="152"/>
      <c r="DB105" s="152"/>
      <c r="DC105" s="153"/>
      <c r="DD105" s="153"/>
      <c r="DE105" s="153"/>
      <c r="DF105" s="376"/>
      <c r="DG105" s="368"/>
      <c r="DH105" s="181"/>
      <c r="DI105" s="153"/>
      <c r="DJ105" s="1000"/>
      <c r="DK105" s="181"/>
      <c r="DL105" s="182"/>
      <c r="DM105" s="182"/>
      <c r="DN105" s="182"/>
      <c r="DO105" s="182"/>
      <c r="DP105" s="275"/>
      <c r="DQ105" s="152"/>
      <c r="DR105" s="152"/>
      <c r="DS105" s="151"/>
      <c r="DT105" s="275"/>
      <c r="DU105" s="370"/>
      <c r="DV105" s="208"/>
      <c r="DW105" s="208" t="s">
        <v>575</v>
      </c>
      <c r="DX105" s="152" t="s">
        <v>518</v>
      </c>
      <c r="DY105" s="401" t="s">
        <v>545</v>
      </c>
      <c r="DZ105" s="152"/>
      <c r="EA105" s="152">
        <v>15444</v>
      </c>
      <c r="EB105" s="153">
        <v>45813</v>
      </c>
      <c r="EC105" s="152">
        <v>132</v>
      </c>
      <c r="ED105" s="152">
        <v>15444</v>
      </c>
      <c r="EE105" s="396">
        <f>0.0577454062236541+1.018</f>
        <v>1.0757454062236542</v>
      </c>
      <c r="EF105" s="371">
        <f t="shared" ref="EF105" si="136">EE105*ED105</f>
        <v>16613.812053718117</v>
      </c>
      <c r="EG105" s="153">
        <v>45833</v>
      </c>
      <c r="EH105" s="153"/>
      <c r="EI105" s="153"/>
      <c r="EJ105" s="153">
        <v>45851</v>
      </c>
      <c r="EK105" s="153">
        <v>45851</v>
      </c>
      <c r="EL105" s="153">
        <v>45853</v>
      </c>
      <c r="EM105" s="153">
        <v>45853</v>
      </c>
      <c r="EN105" s="153">
        <v>45853</v>
      </c>
      <c r="EO105" s="152"/>
      <c r="EP105" s="151"/>
      <c r="EQ105" s="153"/>
      <c r="ER105" s="153"/>
      <c r="ES105" s="153"/>
      <c r="ET105" s="153"/>
      <c r="EU105" s="152"/>
      <c r="EV105" s="152"/>
      <c r="EW105" s="152"/>
      <c r="EX105" s="152"/>
      <c r="EY105" s="151"/>
      <c r="EZ105" s="152"/>
      <c r="FA105" s="372"/>
      <c r="FB105" s="373"/>
      <c r="FC105" s="384"/>
      <c r="FD105" s="385"/>
      <c r="FE105" s="210"/>
      <c r="FF105" s="211"/>
      <c r="FG105" s="212"/>
      <c r="FH105" s="212"/>
    </row>
    <row r="106" spans="1:164" s="157" customFormat="1" ht="14" hidden="1" customHeight="1">
      <c r="A106" s="208" t="str">
        <f t="shared" si="89"/>
        <v>Hiện</v>
      </c>
      <c r="B106" s="151" t="str">
        <f t="shared" si="84"/>
        <v>Đủ</v>
      </c>
      <c r="C106" s="151">
        <f>EW106</f>
        <v>0</v>
      </c>
      <c r="D106" s="151"/>
      <c r="E106" s="151"/>
      <c r="F106" s="151"/>
      <c r="G106" s="151"/>
      <c r="H106" s="151"/>
      <c r="I106" s="171" t="s">
        <v>396</v>
      </c>
      <c r="J106" s="164" t="s">
        <v>397</v>
      </c>
      <c r="K106" s="402" t="s">
        <v>398</v>
      </c>
      <c r="L106" s="233" t="s">
        <v>399</v>
      </c>
      <c r="M106" s="163" t="s">
        <v>61</v>
      </c>
      <c r="N106" s="172">
        <v>7.5</v>
      </c>
      <c r="O106" s="172">
        <v>85.116720000000001</v>
      </c>
      <c r="P106" s="172">
        <v>623.05999999999983</v>
      </c>
      <c r="Q106" s="161"/>
      <c r="R106" s="162"/>
      <c r="S106" s="161"/>
      <c r="T106" s="162"/>
      <c r="U106" s="162"/>
      <c r="V106" s="162"/>
      <c r="W106" s="162">
        <v>90</v>
      </c>
      <c r="X106" s="162">
        <v>675</v>
      </c>
      <c r="Y106" s="162">
        <v>0</v>
      </c>
      <c r="Z106" s="162">
        <v>0</v>
      </c>
      <c r="AA106" s="162">
        <v>0</v>
      </c>
      <c r="AB106" s="162">
        <v>0</v>
      </c>
      <c r="AC106" s="162">
        <v>0</v>
      </c>
      <c r="AD106" s="162">
        <v>0</v>
      </c>
      <c r="AE106" s="162">
        <v>0</v>
      </c>
      <c r="AF106" s="162">
        <v>0</v>
      </c>
      <c r="AG106" s="162">
        <v>0</v>
      </c>
      <c r="AH106" s="162">
        <v>0</v>
      </c>
      <c r="AI106" s="162">
        <f>VLOOKUP(I106,'[119]MTO-rev09'!$A:$O,11,0)</f>
        <v>0</v>
      </c>
      <c r="AJ106" s="162">
        <f>VLOOKUP(I106,'[119]MTO-rev09'!$A:$O,12,0)</f>
        <v>0</v>
      </c>
      <c r="AK106" s="162">
        <v>0</v>
      </c>
      <c r="AL106" s="162">
        <v>0</v>
      </c>
      <c r="AM106" s="162"/>
      <c r="AN106" s="162"/>
      <c r="AO106" s="162">
        <v>0</v>
      </c>
      <c r="AP106" s="162">
        <v>0</v>
      </c>
      <c r="AQ106" s="162">
        <v>0</v>
      </c>
      <c r="AR106" s="162">
        <v>0</v>
      </c>
      <c r="AS106" s="162">
        <v>0</v>
      </c>
      <c r="AT106" s="162">
        <v>0</v>
      </c>
      <c r="AU106" s="162">
        <v>0</v>
      </c>
      <c r="AV106" s="162">
        <v>0</v>
      </c>
      <c r="AW106" s="162">
        <v>0</v>
      </c>
      <c r="AX106" s="162">
        <v>0</v>
      </c>
      <c r="AY106" s="162">
        <v>0</v>
      </c>
      <c r="AZ106" s="162">
        <v>0</v>
      </c>
      <c r="BA106" s="162"/>
      <c r="BB106" s="162"/>
      <c r="BC106" s="162">
        <v>0</v>
      </c>
      <c r="BD106" s="162">
        <v>0</v>
      </c>
      <c r="BE106" s="162">
        <v>0</v>
      </c>
      <c r="BF106" s="162">
        <v>0</v>
      </c>
      <c r="BG106" s="162">
        <v>0</v>
      </c>
      <c r="BH106" s="162">
        <v>0</v>
      </c>
      <c r="BI106" s="162">
        <v>0</v>
      </c>
      <c r="BJ106" s="162">
        <v>0</v>
      </c>
      <c r="BK106" s="162">
        <v>0</v>
      </c>
      <c r="BL106" s="162">
        <v>0</v>
      </c>
      <c r="BM106" s="162">
        <v>0</v>
      </c>
      <c r="BN106" s="162">
        <v>0</v>
      </c>
      <c r="BO106" s="162"/>
      <c r="BP106" s="162"/>
      <c r="BQ106" s="162">
        <v>0</v>
      </c>
      <c r="BR106" s="162">
        <v>0</v>
      </c>
      <c r="BS106" s="162">
        <v>0</v>
      </c>
      <c r="BT106" s="162">
        <v>0</v>
      </c>
      <c r="BU106" s="162">
        <v>0</v>
      </c>
      <c r="BV106" s="162">
        <v>0</v>
      </c>
      <c r="BW106" s="162"/>
      <c r="BX106" s="162"/>
      <c r="BY106" s="162">
        <v>0</v>
      </c>
      <c r="BZ106" s="162">
        <v>0</v>
      </c>
      <c r="CA106" s="162">
        <v>0</v>
      </c>
      <c r="CB106" s="162">
        <v>0</v>
      </c>
      <c r="CC106" s="162">
        <v>0</v>
      </c>
      <c r="CD106" s="162">
        <v>0</v>
      </c>
      <c r="CE106" s="162">
        <f>VLOOKUP(I106,[120]REV33!$A:$O,11,0)</f>
        <v>0</v>
      </c>
      <c r="CF106" s="162">
        <f>VLOOKUP(I106,[120]REV33!$A:$O,12,0)</f>
        <v>0</v>
      </c>
      <c r="CG106" s="162"/>
      <c r="CH106" s="162"/>
      <c r="CI106" s="162"/>
      <c r="CJ106" s="162"/>
      <c r="CK106" s="162"/>
      <c r="CL106" s="162"/>
      <c r="CM106" s="162"/>
      <c r="CN106" s="162"/>
      <c r="CO106" s="162">
        <v>0</v>
      </c>
      <c r="CP106" s="162">
        <v>0</v>
      </c>
      <c r="CQ106" s="162">
        <v>0</v>
      </c>
      <c r="CR106" s="162">
        <v>0</v>
      </c>
      <c r="CS106" s="209">
        <f>Q106+S106+U106+W106+Y106+AA106+AC106+AE106+AG106+AI106+AK106+AM106+AO106+AQ106+AS106+AU106+AW106+AY106+BA106+BC106+BE106+BG106+BI106+BK106+BM106+BO106+BQ106+BS106+BU106+BW106+BY106+CA106+CC106+CE106+CG106+CI106+CK106+CM106+CO106+CQ106</f>
        <v>90</v>
      </c>
      <c r="CT106" s="209">
        <f>R106+T106+V106+X106+Z106+AB106+AD106+AF106+AH106+AJ106+AL106+AN106+AP106+AR106+AT106+AV106+AX106+AZ106+BB106+BD106+BF106+BH106+BJ106+BL106+BN106+BP106+BR106+BT106+BV106+BX106+BZ106+CB106+CD106+CF106+CH106+CJ106+CL106+CN106+CP106+CR106</f>
        <v>675</v>
      </c>
      <c r="CU106" s="375" t="s">
        <v>436</v>
      </c>
      <c r="CV106" s="208"/>
      <c r="CW106" s="152"/>
      <c r="CX106" s="152"/>
      <c r="CY106" s="208"/>
      <c r="CZ106" s="208"/>
      <c r="DA106" s="152">
        <f t="shared" ref="DA106:DA110" si="137">IF(CS106&gt;CW106,CS106-CW106,"0")</f>
        <v>90</v>
      </c>
      <c r="DB106" s="152">
        <f t="shared" ref="DB106:DB110" si="138">IF(CT106&gt;CX106,CT106-CX106,"0")</f>
        <v>675</v>
      </c>
      <c r="DC106" s="153">
        <v>45833</v>
      </c>
      <c r="DD106" s="153" t="s">
        <v>473</v>
      </c>
      <c r="DE106" s="153" t="s">
        <v>467</v>
      </c>
      <c r="DF106" s="403" t="s">
        <v>468</v>
      </c>
      <c r="DG106" s="368" t="s">
        <v>474</v>
      </c>
      <c r="DH106" s="404">
        <v>636</v>
      </c>
      <c r="DI106" s="153">
        <v>45815</v>
      </c>
      <c r="DJ106" s="1000">
        <f>15*6</f>
        <v>90</v>
      </c>
      <c r="DK106" s="240">
        <v>636</v>
      </c>
      <c r="DL106" s="404">
        <v>17090.91</v>
      </c>
      <c r="DM106" s="181">
        <f t="shared" ref="DM106:DM111" si="139">DL106*DK106*1.1</f>
        <v>11956800.636</v>
      </c>
      <c r="DN106" s="446">
        <f t="shared" ref="DN106:DN111" si="140">(DM106-DO106)/DO106</f>
        <v>0.10000000000000002</v>
      </c>
      <c r="DO106" s="182">
        <f t="shared" ref="DO106:DO111" si="141">DL106*DK106</f>
        <v>10869818.76</v>
      </c>
      <c r="DP106" s="275">
        <v>45852</v>
      </c>
      <c r="DQ106" s="152">
        <f>SUMIF($I:$I,I106,$DJ:$DJ)</f>
        <v>90</v>
      </c>
      <c r="DR106" s="152">
        <f>SUMIF($I:$I,I106,$DK:$DK)</f>
        <v>636</v>
      </c>
      <c r="DS106" s="151"/>
      <c r="DT106" s="275"/>
      <c r="DU106" s="370"/>
      <c r="DV106" s="208"/>
      <c r="DW106" s="208"/>
      <c r="DX106" s="152"/>
      <c r="DY106" s="152"/>
      <c r="DZ106" s="152"/>
      <c r="EA106" s="152"/>
      <c r="EB106" s="152"/>
      <c r="EC106" s="152"/>
      <c r="ED106" s="152"/>
      <c r="EE106" s="371"/>
      <c r="EF106" s="371"/>
      <c r="EG106" s="153"/>
      <c r="EH106" s="153"/>
      <c r="EI106" s="153"/>
      <c r="EJ106" s="153"/>
      <c r="EK106" s="153"/>
      <c r="EL106" s="153"/>
      <c r="EM106" s="153"/>
      <c r="EN106" s="153"/>
      <c r="EO106" s="152">
        <f>SUMIF($I:$I,I106,$EC:$EC)</f>
        <v>0</v>
      </c>
      <c r="EP106" s="151">
        <f>SUMIF($I:$I,I106,$ED:$ED)</f>
        <v>0</v>
      </c>
      <c r="EQ106" s="153"/>
      <c r="ER106" s="153"/>
      <c r="ES106" s="153"/>
      <c r="ET106" s="153"/>
      <c r="EU106" s="152">
        <f t="shared" ref="EU106:EU110" si="142">DQ106+EO106</f>
        <v>90</v>
      </c>
      <c r="EV106" s="152">
        <f t="shared" ref="EV106:EV110" si="143">DR106+EP106</f>
        <v>636</v>
      </c>
      <c r="EW106" s="152">
        <f t="shared" ref="EW106:EW110" si="144">DA106-EU106</f>
        <v>0</v>
      </c>
      <c r="EX106" s="152">
        <f t="shared" ref="EX106:EX110" si="145">DB106-EV106</f>
        <v>39</v>
      </c>
      <c r="EY106" s="151" t="str">
        <f t="shared" ref="EY106:EY110" si="146">IF(EW106&lt;0,"Thừa",IF(EW106=0,"Đủ","Thiếu"))</f>
        <v>Đủ</v>
      </c>
      <c r="EZ106" s="152"/>
      <c r="FA106" s="372"/>
      <c r="FB106" s="373"/>
      <c r="FC106" s="367"/>
      <c r="FD106" s="374"/>
      <c r="FE106" s="183"/>
      <c r="FF106" s="184"/>
      <c r="FG106" s="185"/>
      <c r="FH106" s="185"/>
    </row>
    <row r="107" spans="1:164" s="157" customFormat="1" ht="14" hidden="1" customHeight="1">
      <c r="A107" s="208" t="str">
        <f t="shared" si="89"/>
        <v>Hiện</v>
      </c>
      <c r="B107" s="151" t="str">
        <f t="shared" si="84"/>
        <v>Thừa</v>
      </c>
      <c r="C107" s="151">
        <f>EW107</f>
        <v>-4.4000000000000004</v>
      </c>
      <c r="D107" s="151"/>
      <c r="E107" s="151"/>
      <c r="F107" s="151"/>
      <c r="G107" s="151"/>
      <c r="H107" s="151"/>
      <c r="I107" s="171" t="s">
        <v>400</v>
      </c>
      <c r="J107" s="164" t="s">
        <v>397</v>
      </c>
      <c r="K107" s="402" t="s">
        <v>401</v>
      </c>
      <c r="L107" s="233" t="s">
        <v>402</v>
      </c>
      <c r="M107" s="163" t="s">
        <v>61</v>
      </c>
      <c r="N107" s="172">
        <v>4.25</v>
      </c>
      <c r="O107" s="172">
        <v>2.46</v>
      </c>
      <c r="P107" s="172">
        <v>10.4</v>
      </c>
      <c r="Q107" s="161"/>
      <c r="R107" s="162"/>
      <c r="S107" s="161"/>
      <c r="T107" s="162"/>
      <c r="U107" s="162"/>
      <c r="V107" s="162"/>
      <c r="W107" s="162">
        <v>2.6</v>
      </c>
      <c r="X107" s="162">
        <v>11.05</v>
      </c>
      <c r="Y107" s="162">
        <v>0</v>
      </c>
      <c r="Z107" s="162">
        <v>0</v>
      </c>
      <c r="AA107" s="162">
        <v>0</v>
      </c>
      <c r="AB107" s="162">
        <v>0</v>
      </c>
      <c r="AC107" s="162">
        <v>0</v>
      </c>
      <c r="AD107" s="162">
        <v>0</v>
      </c>
      <c r="AE107" s="162">
        <v>0</v>
      </c>
      <c r="AF107" s="162">
        <v>0</v>
      </c>
      <c r="AG107" s="162">
        <v>0</v>
      </c>
      <c r="AH107" s="162">
        <v>0</v>
      </c>
      <c r="AI107" s="162">
        <f>VLOOKUP(I107,'[119]MTO-rev09'!$A:$O,11,0)</f>
        <v>0</v>
      </c>
      <c r="AJ107" s="162">
        <f>VLOOKUP(I107,'[119]MTO-rev09'!$A:$O,12,0)</f>
        <v>0</v>
      </c>
      <c r="AK107" s="162">
        <v>0</v>
      </c>
      <c r="AL107" s="162">
        <v>0</v>
      </c>
      <c r="AM107" s="162"/>
      <c r="AN107" s="162"/>
      <c r="AO107" s="162">
        <v>0</v>
      </c>
      <c r="AP107" s="162">
        <v>0</v>
      </c>
      <c r="AQ107" s="162">
        <v>0</v>
      </c>
      <c r="AR107" s="162">
        <v>0</v>
      </c>
      <c r="AS107" s="162">
        <v>0</v>
      </c>
      <c r="AT107" s="162">
        <v>0</v>
      </c>
      <c r="AU107" s="162">
        <v>0</v>
      </c>
      <c r="AV107" s="162">
        <v>0</v>
      </c>
      <c r="AW107" s="162">
        <v>0</v>
      </c>
      <c r="AX107" s="162">
        <v>0</v>
      </c>
      <c r="AY107" s="162">
        <v>0</v>
      </c>
      <c r="AZ107" s="162">
        <v>0</v>
      </c>
      <c r="BA107" s="162"/>
      <c r="BB107" s="162"/>
      <c r="BC107" s="162">
        <v>0</v>
      </c>
      <c r="BD107" s="162">
        <v>0</v>
      </c>
      <c r="BE107" s="162">
        <v>0</v>
      </c>
      <c r="BF107" s="162">
        <v>0</v>
      </c>
      <c r="BG107" s="162">
        <v>0</v>
      </c>
      <c r="BH107" s="162">
        <v>0</v>
      </c>
      <c r="BI107" s="162">
        <v>0</v>
      </c>
      <c r="BJ107" s="162">
        <v>0</v>
      </c>
      <c r="BK107" s="162">
        <v>0</v>
      </c>
      <c r="BL107" s="162">
        <v>0</v>
      </c>
      <c r="BM107" s="162">
        <v>0</v>
      </c>
      <c r="BN107" s="162">
        <v>0</v>
      </c>
      <c r="BO107" s="162"/>
      <c r="BP107" s="162"/>
      <c r="BQ107" s="162">
        <v>0</v>
      </c>
      <c r="BR107" s="162">
        <v>0</v>
      </c>
      <c r="BS107" s="162">
        <v>0</v>
      </c>
      <c r="BT107" s="162">
        <v>0</v>
      </c>
      <c r="BU107" s="162">
        <v>0</v>
      </c>
      <c r="BV107" s="162">
        <v>0</v>
      </c>
      <c r="BW107" s="162"/>
      <c r="BX107" s="162"/>
      <c r="BY107" s="162">
        <v>0</v>
      </c>
      <c r="BZ107" s="162">
        <v>0</v>
      </c>
      <c r="CA107" s="162">
        <v>0</v>
      </c>
      <c r="CB107" s="162">
        <v>0</v>
      </c>
      <c r="CC107" s="162">
        <v>0</v>
      </c>
      <c r="CD107" s="162">
        <v>0</v>
      </c>
      <c r="CE107" s="162">
        <f>VLOOKUP(I107,[120]REV33!$A:$O,11,0)</f>
        <v>0</v>
      </c>
      <c r="CF107" s="162">
        <f>VLOOKUP(I107,[120]REV33!$A:$O,12,0)</f>
        <v>0</v>
      </c>
      <c r="CG107" s="162"/>
      <c r="CH107" s="162"/>
      <c r="CI107" s="162"/>
      <c r="CJ107" s="162"/>
      <c r="CK107" s="162"/>
      <c r="CL107" s="162"/>
      <c r="CM107" s="162"/>
      <c r="CN107" s="162"/>
      <c r="CO107" s="162">
        <v>0</v>
      </c>
      <c r="CP107" s="162">
        <v>0</v>
      </c>
      <c r="CQ107" s="162">
        <v>0</v>
      </c>
      <c r="CR107" s="162">
        <v>0</v>
      </c>
      <c r="CS107" s="209">
        <f>Q107+S107+U107+W107+Y107+AA107+AC107+AE107+AG107+AI107+AK107+AM107+AO107+AQ107+AS107+AU107+AW107+AY107+BA107+BC107+BE107+BG107+BI107+BK107+BM107+BO107+BQ107+BS107+BU107+BW107+BY107+CA107+CC107+CE107+CG107+CI107+CK107+CM107+CO107+CQ107</f>
        <v>2.6</v>
      </c>
      <c r="CT107" s="209">
        <f>R107+T107+V107+X107+Z107+AB107+AD107+AF107+AH107+AJ107+AL107+AN107+AP107+AR107+AT107+AV107+AX107+AZ107+BB107+BD107+BF107+BH107+BJ107+BL107+BN107+BP107+BR107+BT107+BV107+BX107+BZ107+CB107+CD107+CF107+CH107+CJ107+CL107+CN107+CP107+CR107</f>
        <v>11.05</v>
      </c>
      <c r="CU107" s="375" t="s">
        <v>436</v>
      </c>
      <c r="CV107" s="208"/>
      <c r="CW107" s="152"/>
      <c r="CX107" s="152"/>
      <c r="CY107" s="208"/>
      <c r="CZ107" s="208"/>
      <c r="DA107" s="152">
        <f t="shared" si="137"/>
        <v>2.6</v>
      </c>
      <c r="DB107" s="152">
        <f t="shared" si="138"/>
        <v>11.05</v>
      </c>
      <c r="DC107" s="153">
        <v>45833</v>
      </c>
      <c r="DD107" s="153" t="s">
        <v>473</v>
      </c>
      <c r="DE107" s="153" t="s">
        <v>467</v>
      </c>
      <c r="DF107" s="403" t="s">
        <v>469</v>
      </c>
      <c r="DG107" s="368" t="s">
        <v>474</v>
      </c>
      <c r="DH107" s="404">
        <v>32</v>
      </c>
      <c r="DI107" s="153">
        <v>45815</v>
      </c>
      <c r="DJ107" s="1000">
        <v>7</v>
      </c>
      <c r="DK107" s="240">
        <v>32</v>
      </c>
      <c r="DL107" s="404">
        <v>17090.91</v>
      </c>
      <c r="DM107" s="181">
        <f t="shared" si="139"/>
        <v>601600.03200000001</v>
      </c>
      <c r="DN107" s="446">
        <f t="shared" si="140"/>
        <v>0.10000000000000002</v>
      </c>
      <c r="DO107" s="182">
        <f t="shared" si="141"/>
        <v>546909.12</v>
      </c>
      <c r="DP107" s="275">
        <v>45852</v>
      </c>
      <c r="DQ107" s="152">
        <f>SUMIF($I:$I,I107,$DJ:$DJ)</f>
        <v>7</v>
      </c>
      <c r="DR107" s="152">
        <f>SUMIF($I:$I,I107,$DK:$DK)</f>
        <v>32</v>
      </c>
      <c r="DS107" s="151"/>
      <c r="DT107" s="275"/>
      <c r="DU107" s="370"/>
      <c r="DV107" s="208"/>
      <c r="DW107" s="208"/>
      <c r="DX107" s="152"/>
      <c r="DY107" s="152"/>
      <c r="DZ107" s="152"/>
      <c r="EA107" s="152"/>
      <c r="EB107" s="152"/>
      <c r="EC107" s="152"/>
      <c r="ED107" s="152"/>
      <c r="EE107" s="371"/>
      <c r="EF107" s="371"/>
      <c r="EG107" s="153"/>
      <c r="EH107" s="153"/>
      <c r="EI107" s="153"/>
      <c r="EJ107" s="153"/>
      <c r="EK107" s="153"/>
      <c r="EL107" s="153"/>
      <c r="EM107" s="153"/>
      <c r="EN107" s="153"/>
      <c r="EO107" s="152">
        <f>SUMIF($I:$I,I107,$EC:$EC)</f>
        <v>0</v>
      </c>
      <c r="EP107" s="151">
        <f>SUMIF($I:$I,I107,$ED:$ED)</f>
        <v>0</v>
      </c>
      <c r="EQ107" s="153"/>
      <c r="ER107" s="153"/>
      <c r="ES107" s="153"/>
      <c r="ET107" s="153"/>
      <c r="EU107" s="152">
        <f t="shared" si="142"/>
        <v>7</v>
      </c>
      <c r="EV107" s="152">
        <f t="shared" si="143"/>
        <v>32</v>
      </c>
      <c r="EW107" s="152">
        <f t="shared" si="144"/>
        <v>-4.4000000000000004</v>
      </c>
      <c r="EX107" s="152">
        <f t="shared" si="145"/>
        <v>-20.95</v>
      </c>
      <c r="EY107" s="151" t="str">
        <f t="shared" si="146"/>
        <v>Thừa</v>
      </c>
      <c r="EZ107" s="152"/>
      <c r="FA107" s="372"/>
      <c r="FB107" s="373"/>
      <c r="FC107" s="367"/>
      <c r="FD107" s="374"/>
      <c r="FE107" s="183"/>
      <c r="FF107" s="184"/>
      <c r="FG107" s="185"/>
      <c r="FH107" s="185"/>
    </row>
    <row r="108" spans="1:164" s="157" customFormat="1" ht="14" hidden="1" customHeight="1">
      <c r="A108" s="208" t="str">
        <f t="shared" si="89"/>
        <v>Hiện</v>
      </c>
      <c r="B108" s="151" t="str">
        <f t="shared" si="84"/>
        <v>Thừa</v>
      </c>
      <c r="C108" s="151">
        <f>EW108</f>
        <v>-2</v>
      </c>
      <c r="D108" s="151"/>
      <c r="E108" s="151"/>
      <c r="F108" s="151"/>
      <c r="G108" s="151"/>
      <c r="H108" s="151"/>
      <c r="I108" s="171" t="s">
        <v>403</v>
      </c>
      <c r="J108" s="164" t="s">
        <v>397</v>
      </c>
      <c r="K108" s="402" t="s">
        <v>404</v>
      </c>
      <c r="L108" s="233" t="s">
        <v>399</v>
      </c>
      <c r="M108" s="163" t="s">
        <v>61</v>
      </c>
      <c r="N108" s="172">
        <v>7.57</v>
      </c>
      <c r="O108" s="172">
        <v>1.92</v>
      </c>
      <c r="P108" s="172">
        <v>14.52</v>
      </c>
      <c r="Q108" s="161"/>
      <c r="R108" s="162"/>
      <c r="S108" s="161"/>
      <c r="T108" s="162"/>
      <c r="U108" s="162"/>
      <c r="V108" s="162"/>
      <c r="W108" s="162">
        <v>4</v>
      </c>
      <c r="X108" s="162">
        <v>30.28</v>
      </c>
      <c r="Y108" s="162">
        <v>0</v>
      </c>
      <c r="Z108" s="162">
        <v>0</v>
      </c>
      <c r="AA108" s="162">
        <v>0</v>
      </c>
      <c r="AB108" s="162">
        <v>0</v>
      </c>
      <c r="AC108" s="162">
        <v>0</v>
      </c>
      <c r="AD108" s="162">
        <v>0</v>
      </c>
      <c r="AE108" s="162">
        <v>0</v>
      </c>
      <c r="AF108" s="162">
        <v>0</v>
      </c>
      <c r="AG108" s="162">
        <v>0</v>
      </c>
      <c r="AH108" s="162">
        <v>0</v>
      </c>
      <c r="AI108" s="162">
        <f>VLOOKUP(I108,'[119]MTO-rev09'!$A:$O,11,0)</f>
        <v>0</v>
      </c>
      <c r="AJ108" s="162">
        <f>VLOOKUP(I108,'[119]MTO-rev09'!$A:$O,12,0)</f>
        <v>0</v>
      </c>
      <c r="AK108" s="162">
        <v>0</v>
      </c>
      <c r="AL108" s="162">
        <v>0</v>
      </c>
      <c r="AM108" s="162"/>
      <c r="AN108" s="162"/>
      <c r="AO108" s="162">
        <v>0</v>
      </c>
      <c r="AP108" s="162">
        <v>0</v>
      </c>
      <c r="AQ108" s="162">
        <v>0</v>
      </c>
      <c r="AR108" s="162">
        <v>0</v>
      </c>
      <c r="AS108" s="162">
        <v>0</v>
      </c>
      <c r="AT108" s="162">
        <v>0</v>
      </c>
      <c r="AU108" s="162">
        <v>0</v>
      </c>
      <c r="AV108" s="162">
        <v>0</v>
      </c>
      <c r="AW108" s="162">
        <v>0</v>
      </c>
      <c r="AX108" s="162">
        <v>0</v>
      </c>
      <c r="AY108" s="162">
        <v>0</v>
      </c>
      <c r="AZ108" s="162">
        <v>0</v>
      </c>
      <c r="BA108" s="162"/>
      <c r="BB108" s="162"/>
      <c r="BC108" s="162">
        <v>0</v>
      </c>
      <c r="BD108" s="162">
        <v>0</v>
      </c>
      <c r="BE108" s="162">
        <v>0</v>
      </c>
      <c r="BF108" s="162">
        <v>0</v>
      </c>
      <c r="BG108" s="162">
        <v>0</v>
      </c>
      <c r="BH108" s="162">
        <v>0</v>
      </c>
      <c r="BI108" s="162">
        <v>0</v>
      </c>
      <c r="BJ108" s="162">
        <v>0</v>
      </c>
      <c r="BK108" s="162">
        <v>0</v>
      </c>
      <c r="BL108" s="162">
        <v>0</v>
      </c>
      <c r="BM108" s="162">
        <v>0</v>
      </c>
      <c r="BN108" s="162">
        <v>0</v>
      </c>
      <c r="BO108" s="162"/>
      <c r="BP108" s="162"/>
      <c r="BQ108" s="162">
        <v>0</v>
      </c>
      <c r="BR108" s="162">
        <v>0</v>
      </c>
      <c r="BS108" s="162">
        <v>0</v>
      </c>
      <c r="BT108" s="162">
        <v>0</v>
      </c>
      <c r="BU108" s="162">
        <v>0</v>
      </c>
      <c r="BV108" s="162">
        <v>0</v>
      </c>
      <c r="BW108" s="162"/>
      <c r="BX108" s="162"/>
      <c r="BY108" s="162">
        <v>0</v>
      </c>
      <c r="BZ108" s="162">
        <v>0</v>
      </c>
      <c r="CA108" s="162">
        <v>0</v>
      </c>
      <c r="CB108" s="162">
        <v>0</v>
      </c>
      <c r="CC108" s="162">
        <v>0</v>
      </c>
      <c r="CD108" s="162">
        <v>0</v>
      </c>
      <c r="CE108" s="162">
        <f>VLOOKUP(I108,[120]REV33!$A:$O,11,0)</f>
        <v>0</v>
      </c>
      <c r="CF108" s="162">
        <f>VLOOKUP(I108,[120]REV33!$A:$O,12,0)</f>
        <v>0</v>
      </c>
      <c r="CG108" s="162"/>
      <c r="CH108" s="162"/>
      <c r="CI108" s="162"/>
      <c r="CJ108" s="162"/>
      <c r="CK108" s="162"/>
      <c r="CL108" s="162"/>
      <c r="CM108" s="162"/>
      <c r="CN108" s="162"/>
      <c r="CO108" s="162">
        <v>0</v>
      </c>
      <c r="CP108" s="162">
        <v>0</v>
      </c>
      <c r="CQ108" s="162">
        <v>0</v>
      </c>
      <c r="CR108" s="162">
        <v>0</v>
      </c>
      <c r="CS108" s="209">
        <f>Q108+S108+U108+W108+Y108+AA108+AC108+AE108+AG108+AI108+AK108+AM108+AO108+AQ108+AS108+AU108+AW108+AY108+BA108+BC108+BE108+BG108+BI108+BK108+BM108+BO108+BQ108+BS108+BU108+BW108+BY108+CA108+CC108+CE108+CG108+CI108+CK108+CM108+CO108+CQ108</f>
        <v>4</v>
      </c>
      <c r="CT108" s="209">
        <f>R108+T108+V108+X108+Z108+AB108+AD108+AF108+AH108+AJ108+AL108+AN108+AP108+AR108+AT108+AV108+AX108+AZ108+BB108+BD108+BF108+BH108+BJ108+BL108+BN108+BP108+BR108+BT108+BV108+BX108+BZ108+CB108+CD108+CF108+CH108+CJ108+CL108+CN108+CP108+CR108</f>
        <v>30.28</v>
      </c>
      <c r="CU108" s="375" t="s">
        <v>436</v>
      </c>
      <c r="CV108" s="208"/>
      <c r="CW108" s="152"/>
      <c r="CX108" s="152"/>
      <c r="CY108" s="208"/>
      <c r="CZ108" s="208"/>
      <c r="DA108" s="152">
        <f t="shared" si="137"/>
        <v>4</v>
      </c>
      <c r="DB108" s="152">
        <f t="shared" si="138"/>
        <v>30.28</v>
      </c>
      <c r="DC108" s="153">
        <v>45833</v>
      </c>
      <c r="DD108" s="153" t="s">
        <v>473</v>
      </c>
      <c r="DE108" s="153" t="s">
        <v>467</v>
      </c>
      <c r="DF108" s="403" t="s">
        <v>470</v>
      </c>
      <c r="DG108" s="368" t="s">
        <v>474</v>
      </c>
      <c r="DH108" s="404">
        <v>44</v>
      </c>
      <c r="DI108" s="153">
        <v>45815</v>
      </c>
      <c r="DJ108" s="1000">
        <v>6</v>
      </c>
      <c r="DK108" s="240">
        <v>44</v>
      </c>
      <c r="DL108" s="404">
        <v>17090.91</v>
      </c>
      <c r="DM108" s="181">
        <f t="shared" si="139"/>
        <v>827200.04400000011</v>
      </c>
      <c r="DN108" s="446">
        <f t="shared" si="140"/>
        <v>0.10000000000000009</v>
      </c>
      <c r="DO108" s="182">
        <f t="shared" si="141"/>
        <v>752000.04</v>
      </c>
      <c r="DP108" s="275">
        <v>45852</v>
      </c>
      <c r="DQ108" s="152">
        <f>SUMIF($I:$I,I108,$DJ:$DJ)</f>
        <v>6</v>
      </c>
      <c r="DR108" s="152">
        <f>SUMIF($I:$I,I108,$DK:$DK)</f>
        <v>44</v>
      </c>
      <c r="DS108" s="151"/>
      <c r="DT108" s="275"/>
      <c r="DU108" s="370"/>
      <c r="DV108" s="208"/>
      <c r="DW108" s="208"/>
      <c r="DX108" s="152"/>
      <c r="DY108" s="152"/>
      <c r="DZ108" s="152"/>
      <c r="EA108" s="152"/>
      <c r="EB108" s="152"/>
      <c r="EC108" s="152"/>
      <c r="ED108" s="152"/>
      <c r="EE108" s="371"/>
      <c r="EF108" s="371"/>
      <c r="EG108" s="153"/>
      <c r="EH108" s="153"/>
      <c r="EI108" s="153"/>
      <c r="EJ108" s="153"/>
      <c r="EK108" s="153"/>
      <c r="EL108" s="153"/>
      <c r="EM108" s="153"/>
      <c r="EN108" s="153"/>
      <c r="EO108" s="152">
        <f>SUMIF($I:$I,I108,$EC:$EC)</f>
        <v>0</v>
      </c>
      <c r="EP108" s="151">
        <f>SUMIF($I:$I,I108,$ED:$ED)</f>
        <v>0</v>
      </c>
      <c r="EQ108" s="153"/>
      <c r="ER108" s="153"/>
      <c r="ES108" s="153"/>
      <c r="ET108" s="153"/>
      <c r="EU108" s="152">
        <f t="shared" si="142"/>
        <v>6</v>
      </c>
      <c r="EV108" s="152">
        <f t="shared" si="143"/>
        <v>44</v>
      </c>
      <c r="EW108" s="152">
        <f t="shared" si="144"/>
        <v>-2</v>
      </c>
      <c r="EX108" s="152">
        <f t="shared" si="145"/>
        <v>-13.719999999999999</v>
      </c>
      <c r="EY108" s="151" t="str">
        <f t="shared" si="146"/>
        <v>Thừa</v>
      </c>
      <c r="EZ108" s="152"/>
      <c r="FA108" s="372"/>
      <c r="FB108" s="373"/>
      <c r="FC108" s="367"/>
      <c r="FD108" s="374"/>
      <c r="FE108" s="183"/>
      <c r="FF108" s="184"/>
      <c r="FG108" s="185"/>
      <c r="FH108" s="185"/>
    </row>
    <row r="109" spans="1:164" s="157" customFormat="1" ht="14" hidden="1" customHeight="1">
      <c r="A109" s="208" t="str">
        <f t="shared" si="89"/>
        <v>Hiện</v>
      </c>
      <c r="B109" s="151" t="str">
        <f t="shared" si="84"/>
        <v>Thừa</v>
      </c>
      <c r="C109" s="151">
        <f>EW109</f>
        <v>-7.8599999999999994</v>
      </c>
      <c r="D109" s="151"/>
      <c r="E109" s="151"/>
      <c r="F109" s="151"/>
      <c r="G109" s="151"/>
      <c r="H109" s="151"/>
      <c r="I109" s="171" t="s">
        <v>405</v>
      </c>
      <c r="J109" s="164" t="s">
        <v>397</v>
      </c>
      <c r="K109" s="402" t="s">
        <v>406</v>
      </c>
      <c r="L109" s="233" t="s">
        <v>399</v>
      </c>
      <c r="M109" s="163" t="s">
        <v>61</v>
      </c>
      <c r="N109" s="172">
        <v>14.8</v>
      </c>
      <c r="O109" s="172">
        <v>0.28000000000000003</v>
      </c>
      <c r="P109" s="172">
        <v>3.84</v>
      </c>
      <c r="Q109" s="161"/>
      <c r="R109" s="162"/>
      <c r="S109" s="161"/>
      <c r="T109" s="162"/>
      <c r="U109" s="162"/>
      <c r="V109" s="162"/>
      <c r="W109" s="162">
        <v>0.4</v>
      </c>
      <c r="X109" s="162">
        <v>5.9200000000000008</v>
      </c>
      <c r="Y109" s="162">
        <v>0</v>
      </c>
      <c r="Z109" s="162">
        <v>0</v>
      </c>
      <c r="AA109" s="162">
        <v>0</v>
      </c>
      <c r="AB109" s="162">
        <v>0</v>
      </c>
      <c r="AC109" s="162">
        <v>0</v>
      </c>
      <c r="AD109" s="162">
        <v>0</v>
      </c>
      <c r="AE109" s="162">
        <v>0</v>
      </c>
      <c r="AF109" s="162">
        <v>0</v>
      </c>
      <c r="AG109" s="162">
        <v>0</v>
      </c>
      <c r="AH109" s="162">
        <v>0</v>
      </c>
      <c r="AI109" s="162">
        <f>VLOOKUP(I109,'[119]MTO-rev09'!$A:$O,11,0)</f>
        <v>0</v>
      </c>
      <c r="AJ109" s="162">
        <f>VLOOKUP(I109,'[119]MTO-rev09'!$A:$O,12,0)</f>
        <v>0</v>
      </c>
      <c r="AK109" s="162">
        <v>0</v>
      </c>
      <c r="AL109" s="162">
        <v>0</v>
      </c>
      <c r="AM109" s="162"/>
      <c r="AN109" s="162"/>
      <c r="AO109" s="162">
        <v>0</v>
      </c>
      <c r="AP109" s="162">
        <v>0</v>
      </c>
      <c r="AQ109" s="162">
        <v>0</v>
      </c>
      <c r="AR109" s="162">
        <v>0</v>
      </c>
      <c r="AS109" s="162">
        <v>0</v>
      </c>
      <c r="AT109" s="162">
        <v>0</v>
      </c>
      <c r="AU109" s="162">
        <v>0</v>
      </c>
      <c r="AV109" s="162">
        <v>0</v>
      </c>
      <c r="AW109" s="162">
        <v>0</v>
      </c>
      <c r="AX109" s="162">
        <v>0</v>
      </c>
      <c r="AY109" s="162">
        <v>0</v>
      </c>
      <c r="AZ109" s="162">
        <v>0</v>
      </c>
      <c r="BA109" s="162"/>
      <c r="BB109" s="162"/>
      <c r="BC109" s="162">
        <v>0</v>
      </c>
      <c r="BD109" s="162">
        <v>0</v>
      </c>
      <c r="BE109" s="162">
        <v>0</v>
      </c>
      <c r="BF109" s="162">
        <v>0</v>
      </c>
      <c r="BG109" s="162">
        <v>0</v>
      </c>
      <c r="BH109" s="162">
        <v>0</v>
      </c>
      <c r="BI109" s="162">
        <v>0</v>
      </c>
      <c r="BJ109" s="162">
        <v>0</v>
      </c>
      <c r="BK109" s="162">
        <v>0</v>
      </c>
      <c r="BL109" s="162">
        <v>0</v>
      </c>
      <c r="BM109" s="162">
        <v>0</v>
      </c>
      <c r="BN109" s="162">
        <v>0</v>
      </c>
      <c r="BO109" s="162"/>
      <c r="BP109" s="162"/>
      <c r="BQ109" s="162">
        <v>0</v>
      </c>
      <c r="BR109" s="162">
        <v>0</v>
      </c>
      <c r="BS109" s="162">
        <v>0</v>
      </c>
      <c r="BT109" s="162">
        <v>0</v>
      </c>
      <c r="BU109" s="162">
        <v>0</v>
      </c>
      <c r="BV109" s="162">
        <v>0</v>
      </c>
      <c r="BW109" s="162"/>
      <c r="BX109" s="162"/>
      <c r="BY109" s="162">
        <v>0</v>
      </c>
      <c r="BZ109" s="162">
        <v>0</v>
      </c>
      <c r="CA109" s="162">
        <v>0</v>
      </c>
      <c r="CB109" s="162">
        <v>0</v>
      </c>
      <c r="CC109" s="162">
        <v>0</v>
      </c>
      <c r="CD109" s="162">
        <v>0</v>
      </c>
      <c r="CE109" s="162">
        <f>VLOOKUP(I109,[120]REV33!$A:$O,11,0)</f>
        <v>0</v>
      </c>
      <c r="CF109" s="162">
        <f>VLOOKUP(I109,[120]REV33!$A:$O,12,0)</f>
        <v>0</v>
      </c>
      <c r="CG109" s="162"/>
      <c r="CH109" s="162"/>
      <c r="CI109" s="162"/>
      <c r="CJ109" s="162"/>
      <c r="CK109" s="162"/>
      <c r="CL109" s="162"/>
      <c r="CM109" s="162"/>
      <c r="CN109" s="162"/>
      <c r="CO109" s="162">
        <v>0</v>
      </c>
      <c r="CP109" s="162">
        <v>0</v>
      </c>
      <c r="CQ109" s="162">
        <v>0</v>
      </c>
      <c r="CR109" s="162">
        <v>0</v>
      </c>
      <c r="CS109" s="209">
        <f>Q109+S109+U109+W109+Y109+AA109+AC109+AE109+AG109+AI109+AK109+AM109+AO109+AQ109+AS109+AU109+AW109+AY109+BA109+BC109+BE109+BG109+BI109+BK109+BM109+BO109+BQ109+BS109+BU109+BW109+BY109+CA109+CC109+CE109+CG109+CI109+CK109+CM109+CO109+CQ109</f>
        <v>0.4</v>
      </c>
      <c r="CT109" s="209">
        <f>R109+T109+V109+X109+Z109+AB109+AD109+AF109+AH109+AJ109+AL109+AN109+AP109+AR109+AT109+AV109+AX109+AZ109+BB109+BD109+BF109+BH109+BJ109+BL109+BN109+BP109+BR109+BT109+BV109+BX109+BZ109+CB109+CD109+CF109+CH109+CJ109+CL109+CN109+CP109+CR109</f>
        <v>5.9200000000000008</v>
      </c>
      <c r="CU109" s="375" t="s">
        <v>436</v>
      </c>
      <c r="CV109" s="208"/>
      <c r="CW109" s="152"/>
      <c r="CX109" s="152"/>
      <c r="CY109" s="208"/>
      <c r="CZ109" s="208"/>
      <c r="DA109" s="152">
        <f t="shared" si="137"/>
        <v>0.4</v>
      </c>
      <c r="DB109" s="152">
        <f t="shared" si="138"/>
        <v>5.9200000000000008</v>
      </c>
      <c r="DC109" s="153">
        <v>45833</v>
      </c>
      <c r="DD109" s="153" t="s">
        <v>473</v>
      </c>
      <c r="DE109" s="153" t="s">
        <v>467</v>
      </c>
      <c r="DF109" s="403" t="s">
        <v>471</v>
      </c>
      <c r="DG109" s="368" t="s">
        <v>474</v>
      </c>
      <c r="DH109" s="404">
        <v>116</v>
      </c>
      <c r="DI109" s="153">
        <v>45815</v>
      </c>
      <c r="DJ109" s="1000">
        <v>8.26</v>
      </c>
      <c r="DK109" s="240">
        <v>116</v>
      </c>
      <c r="DL109" s="404">
        <v>17090.91</v>
      </c>
      <c r="DM109" s="181">
        <f t="shared" si="139"/>
        <v>2180800.1160000004</v>
      </c>
      <c r="DN109" s="446">
        <f t="shared" si="140"/>
        <v>0.10000000000000016</v>
      </c>
      <c r="DO109" s="182">
        <f t="shared" si="141"/>
        <v>1982545.56</v>
      </c>
      <c r="DP109" s="275">
        <v>45852</v>
      </c>
      <c r="DQ109" s="152">
        <f>SUMIF($I:$I,I109,$DJ:$DJ)</f>
        <v>8.26</v>
      </c>
      <c r="DR109" s="152">
        <f>SUMIF($I:$I,I109,$DK:$DK)</f>
        <v>116</v>
      </c>
      <c r="DS109" s="151"/>
      <c r="DT109" s="275"/>
      <c r="DU109" s="370"/>
      <c r="DV109" s="208"/>
      <c r="DW109" s="208"/>
      <c r="DX109" s="152"/>
      <c r="DY109" s="152"/>
      <c r="DZ109" s="152"/>
      <c r="EA109" s="152"/>
      <c r="EB109" s="152"/>
      <c r="EC109" s="152"/>
      <c r="ED109" s="152"/>
      <c r="EE109" s="371"/>
      <c r="EF109" s="371"/>
      <c r="EG109" s="153"/>
      <c r="EH109" s="153"/>
      <c r="EI109" s="153"/>
      <c r="EJ109" s="153"/>
      <c r="EK109" s="153"/>
      <c r="EL109" s="153"/>
      <c r="EM109" s="153"/>
      <c r="EN109" s="153"/>
      <c r="EO109" s="152">
        <f>SUMIF($I:$I,I109,$EC:$EC)</f>
        <v>0</v>
      </c>
      <c r="EP109" s="151">
        <f>SUMIF($I:$I,I109,$ED:$ED)</f>
        <v>0</v>
      </c>
      <c r="EQ109" s="153"/>
      <c r="ER109" s="153"/>
      <c r="ES109" s="153"/>
      <c r="ET109" s="153"/>
      <c r="EU109" s="152">
        <f t="shared" si="142"/>
        <v>8.26</v>
      </c>
      <c r="EV109" s="152">
        <f t="shared" si="143"/>
        <v>116</v>
      </c>
      <c r="EW109" s="152">
        <f t="shared" si="144"/>
        <v>-7.8599999999999994</v>
      </c>
      <c r="EX109" s="152">
        <f t="shared" si="145"/>
        <v>-110.08</v>
      </c>
      <c r="EY109" s="151" t="str">
        <f t="shared" si="146"/>
        <v>Thừa</v>
      </c>
      <c r="EZ109" s="152"/>
      <c r="FA109" s="372"/>
      <c r="FB109" s="373"/>
      <c r="FC109" s="367"/>
      <c r="FD109" s="374"/>
      <c r="FE109" s="183"/>
      <c r="FF109" s="184"/>
      <c r="FG109" s="185"/>
      <c r="FH109" s="185"/>
    </row>
    <row r="110" spans="1:164" s="157" customFormat="1" ht="32" hidden="1" customHeight="1">
      <c r="A110" s="208" t="str">
        <f t="shared" si="89"/>
        <v>Hiện</v>
      </c>
      <c r="B110" s="151" t="str">
        <f t="shared" si="84"/>
        <v>Thừa</v>
      </c>
      <c r="C110" s="151">
        <f>EW110</f>
        <v>-3.1999999999999993</v>
      </c>
      <c r="D110" s="398"/>
      <c r="E110" s="398"/>
      <c r="F110" s="151"/>
      <c r="G110" s="151"/>
      <c r="H110" s="405" t="s">
        <v>583</v>
      </c>
      <c r="I110" s="171" t="s">
        <v>407</v>
      </c>
      <c r="J110" s="164" t="s">
        <v>397</v>
      </c>
      <c r="K110" s="402" t="s">
        <v>408</v>
      </c>
      <c r="L110" s="233" t="s">
        <v>399</v>
      </c>
      <c r="M110" s="163" t="s">
        <v>61</v>
      </c>
      <c r="N110" s="172">
        <v>35.299999999999997</v>
      </c>
      <c r="O110" s="172">
        <v>12</v>
      </c>
      <c r="P110" s="172">
        <v>423.6</v>
      </c>
      <c r="Q110" s="161"/>
      <c r="R110" s="162"/>
      <c r="S110" s="161"/>
      <c r="T110" s="162"/>
      <c r="U110" s="162"/>
      <c r="V110" s="162"/>
      <c r="W110" s="162">
        <v>13</v>
      </c>
      <c r="X110" s="162">
        <v>458.9</v>
      </c>
      <c r="Y110" s="162">
        <v>0</v>
      </c>
      <c r="Z110" s="162">
        <v>0</v>
      </c>
      <c r="AA110" s="162">
        <v>12.8</v>
      </c>
      <c r="AB110" s="162">
        <v>451.84</v>
      </c>
      <c r="AC110" s="162">
        <v>0</v>
      </c>
      <c r="AD110" s="162">
        <v>0</v>
      </c>
      <c r="AE110" s="162">
        <v>0</v>
      </c>
      <c r="AF110" s="162">
        <v>0</v>
      </c>
      <c r="AG110" s="162">
        <v>0</v>
      </c>
      <c r="AH110" s="162">
        <v>0</v>
      </c>
      <c r="AI110" s="162">
        <f>VLOOKUP(I110,'[119]MTO-rev09'!$A:$O,11,0)</f>
        <v>0</v>
      </c>
      <c r="AJ110" s="162">
        <f>VLOOKUP(I110,'[119]MTO-rev09'!$A:$O,12,0)</f>
        <v>0</v>
      </c>
      <c r="AK110" s="162">
        <v>0</v>
      </c>
      <c r="AL110" s="162">
        <v>0</v>
      </c>
      <c r="AM110" s="162"/>
      <c r="AN110" s="162"/>
      <c r="AO110" s="162">
        <v>0</v>
      </c>
      <c r="AP110" s="162">
        <v>0</v>
      </c>
      <c r="AQ110" s="162">
        <v>0</v>
      </c>
      <c r="AR110" s="162">
        <v>0</v>
      </c>
      <c r="AS110" s="162">
        <v>0</v>
      </c>
      <c r="AT110" s="162">
        <v>0</v>
      </c>
      <c r="AU110" s="162">
        <v>0</v>
      </c>
      <c r="AV110" s="162">
        <v>0</v>
      </c>
      <c r="AW110" s="162">
        <v>0</v>
      </c>
      <c r="AX110" s="162">
        <v>0</v>
      </c>
      <c r="AY110" s="162">
        <v>0</v>
      </c>
      <c r="AZ110" s="162">
        <v>0</v>
      </c>
      <c r="BA110" s="162"/>
      <c r="BB110" s="162"/>
      <c r="BC110" s="162">
        <v>0</v>
      </c>
      <c r="BD110" s="162">
        <v>0</v>
      </c>
      <c r="BE110" s="162">
        <v>0</v>
      </c>
      <c r="BF110" s="162">
        <v>0</v>
      </c>
      <c r="BG110" s="162">
        <v>0</v>
      </c>
      <c r="BH110" s="162">
        <v>0</v>
      </c>
      <c r="BI110" s="162">
        <v>0</v>
      </c>
      <c r="BJ110" s="162">
        <v>0</v>
      </c>
      <c r="BK110" s="162">
        <v>0</v>
      </c>
      <c r="BL110" s="162">
        <v>0</v>
      </c>
      <c r="BM110" s="162">
        <v>0</v>
      </c>
      <c r="BN110" s="162">
        <v>0</v>
      </c>
      <c r="BO110" s="162"/>
      <c r="BP110" s="162"/>
      <c r="BQ110" s="162">
        <v>0</v>
      </c>
      <c r="BR110" s="162">
        <v>0</v>
      </c>
      <c r="BS110" s="162">
        <v>0</v>
      </c>
      <c r="BT110" s="162">
        <v>0</v>
      </c>
      <c r="BU110" s="162">
        <v>0</v>
      </c>
      <c r="BV110" s="162">
        <v>0</v>
      </c>
      <c r="BW110" s="162"/>
      <c r="BX110" s="162"/>
      <c r="BY110" s="162">
        <v>0</v>
      </c>
      <c r="BZ110" s="162">
        <v>0</v>
      </c>
      <c r="CA110" s="162">
        <v>0</v>
      </c>
      <c r="CB110" s="162">
        <v>0</v>
      </c>
      <c r="CC110" s="162">
        <v>0</v>
      </c>
      <c r="CD110" s="162">
        <v>0</v>
      </c>
      <c r="CE110" s="162">
        <f>VLOOKUP(I110,[120]REV33!$A:$O,11,0)</f>
        <v>0</v>
      </c>
      <c r="CF110" s="162">
        <f>VLOOKUP(I110,[120]REV33!$A:$O,12,0)</f>
        <v>0</v>
      </c>
      <c r="CG110" s="162"/>
      <c r="CH110" s="162"/>
      <c r="CI110" s="162"/>
      <c r="CJ110" s="162"/>
      <c r="CK110" s="162"/>
      <c r="CL110" s="162"/>
      <c r="CM110" s="162"/>
      <c r="CN110" s="162"/>
      <c r="CO110" s="162">
        <v>0</v>
      </c>
      <c r="CP110" s="162">
        <v>0</v>
      </c>
      <c r="CQ110" s="162">
        <v>0</v>
      </c>
      <c r="CR110" s="162">
        <v>0</v>
      </c>
      <c r="CS110" s="209">
        <f>Q110+S110+U110+W110+Y110+AA110+AC110+AE110+AG110+AI110+AK110+AM110+AO110+AQ110+AS110+AU110+AW110+AY110+BA110+BC110+BE110+BG110+BI110+BK110+BM110+BO110+BQ110+BS110+BU110+BW110+BY110+CA110+CC110+CE110+CG110+CI110+CK110+CM110+CO110+CQ110</f>
        <v>25.8</v>
      </c>
      <c r="CT110" s="209">
        <f>R110+T110+V110+X110+Z110+AB110+AD110+AF110+AH110+AJ110+AL110+AN110+AP110+AR110+AT110+AV110+AX110+AZ110+BB110+BD110+BF110+BH110+BJ110+BL110+BN110+BP110+BR110+BT110+BV110+BX110+BZ110+CB110+CD110+CF110+CH110+CJ110+CL110+CN110+CP110+CR110</f>
        <v>910.74</v>
      </c>
      <c r="CU110" s="375" t="s">
        <v>511</v>
      </c>
      <c r="CV110" s="208"/>
      <c r="CW110" s="152"/>
      <c r="CX110" s="152"/>
      <c r="CY110" s="208"/>
      <c r="CZ110" s="208"/>
      <c r="DA110" s="152">
        <f t="shared" si="137"/>
        <v>25.8</v>
      </c>
      <c r="DB110" s="152">
        <f t="shared" si="138"/>
        <v>910.74</v>
      </c>
      <c r="DC110" s="153">
        <v>45833</v>
      </c>
      <c r="DD110" s="153" t="s">
        <v>473</v>
      </c>
      <c r="DE110" s="153" t="s">
        <v>467</v>
      </c>
      <c r="DF110" s="403" t="s">
        <v>472</v>
      </c>
      <c r="DG110" s="368" t="s">
        <v>474</v>
      </c>
      <c r="DH110" s="404">
        <v>666</v>
      </c>
      <c r="DI110" s="153">
        <v>45815</v>
      </c>
      <c r="DJ110" s="1000">
        <f>3*6</f>
        <v>18</v>
      </c>
      <c r="DK110" s="240">
        <v>666</v>
      </c>
      <c r="DL110" s="404">
        <v>17090.91</v>
      </c>
      <c r="DM110" s="181">
        <f t="shared" si="139"/>
        <v>12520800.666000001</v>
      </c>
      <c r="DN110" s="446">
        <f t="shared" si="140"/>
        <v>0.10000000000000005</v>
      </c>
      <c r="DO110" s="182">
        <f t="shared" si="141"/>
        <v>11382546.060000001</v>
      </c>
      <c r="DP110" s="275">
        <v>45852</v>
      </c>
      <c r="DQ110" s="152">
        <f>SUMIF($I:$I,I110,$DJ:$DJ)</f>
        <v>29</v>
      </c>
      <c r="DR110" s="152">
        <f>SUMIF($I:$I,I110,$DK:$DK)</f>
        <v>1090</v>
      </c>
      <c r="DS110" s="151"/>
      <c r="DT110" s="275"/>
      <c r="DU110" s="370"/>
      <c r="DV110" s="208"/>
      <c r="DW110" s="208"/>
      <c r="DX110" s="152"/>
      <c r="DY110" s="152"/>
      <c r="DZ110" s="152"/>
      <c r="EA110" s="152"/>
      <c r="EB110" s="152"/>
      <c r="EC110" s="152"/>
      <c r="ED110" s="152"/>
      <c r="EE110" s="371"/>
      <c r="EF110" s="371"/>
      <c r="EG110" s="153"/>
      <c r="EH110" s="153"/>
      <c r="EI110" s="153"/>
      <c r="EJ110" s="153"/>
      <c r="EK110" s="153"/>
      <c r="EL110" s="153"/>
      <c r="EM110" s="153"/>
      <c r="EN110" s="153"/>
      <c r="EO110" s="152">
        <f>SUMIF($I:$I,I110,$EC:$EC)</f>
        <v>0</v>
      </c>
      <c r="EP110" s="151">
        <f>SUMIF($I:$I,I110,$ED:$ED)</f>
        <v>0</v>
      </c>
      <c r="EQ110" s="153"/>
      <c r="ER110" s="153"/>
      <c r="ES110" s="153"/>
      <c r="ET110" s="153"/>
      <c r="EU110" s="152">
        <f t="shared" si="142"/>
        <v>29</v>
      </c>
      <c r="EV110" s="152">
        <f t="shared" si="143"/>
        <v>1090</v>
      </c>
      <c r="EW110" s="152">
        <f t="shared" si="144"/>
        <v>-3.1999999999999993</v>
      </c>
      <c r="EX110" s="152">
        <f t="shared" si="145"/>
        <v>-179.26</v>
      </c>
      <c r="EY110" s="151" t="str">
        <f t="shared" si="146"/>
        <v>Thừa</v>
      </c>
      <c r="EZ110" s="152"/>
      <c r="FA110" s="372"/>
      <c r="FB110" s="373"/>
      <c r="FC110" s="367"/>
      <c r="FD110" s="374"/>
      <c r="FE110" s="183"/>
      <c r="FF110" s="184"/>
      <c r="FG110" s="185"/>
      <c r="FH110" s="185"/>
    </row>
    <row r="111" spans="1:164" s="386" customFormat="1" ht="14" hidden="1" customHeight="1">
      <c r="A111" s="208" t="str">
        <f t="shared" si="89"/>
        <v>ok</v>
      </c>
      <c r="B111" s="151"/>
      <c r="C111" s="151"/>
      <c r="D111" s="398"/>
      <c r="E111" s="398"/>
      <c r="F111" s="151"/>
      <c r="G111" s="151"/>
      <c r="H111" s="405"/>
      <c r="I111" s="171" t="s">
        <v>407</v>
      </c>
      <c r="J111" s="164" t="s">
        <v>397</v>
      </c>
      <c r="K111" s="402" t="s">
        <v>408</v>
      </c>
      <c r="L111" s="233" t="s">
        <v>399</v>
      </c>
      <c r="M111" s="163" t="s">
        <v>61</v>
      </c>
      <c r="N111" s="172"/>
      <c r="O111" s="172"/>
      <c r="P111" s="172"/>
      <c r="Q111" s="161"/>
      <c r="R111" s="162"/>
      <c r="S111" s="161"/>
      <c r="T111" s="162"/>
      <c r="U111" s="162"/>
      <c r="V111" s="162"/>
      <c r="W111" s="162"/>
      <c r="X111" s="162"/>
      <c r="Y111" s="162"/>
      <c r="Z111" s="162"/>
      <c r="AA111" s="162"/>
      <c r="AB111" s="162"/>
      <c r="AC111" s="162"/>
      <c r="AD111" s="162"/>
      <c r="AE111" s="162"/>
      <c r="AF111" s="162"/>
      <c r="AG111" s="162"/>
      <c r="AH111" s="162"/>
      <c r="AI111" s="162"/>
      <c r="AJ111" s="162"/>
      <c r="AK111" s="162"/>
      <c r="AL111" s="162"/>
      <c r="AM111" s="162"/>
      <c r="AN111" s="162"/>
      <c r="AO111" s="162"/>
      <c r="AP111" s="162"/>
      <c r="AQ111" s="162"/>
      <c r="AR111" s="162"/>
      <c r="AS111" s="162"/>
      <c r="AT111" s="162"/>
      <c r="AU111" s="162"/>
      <c r="AV111" s="162"/>
      <c r="AW111" s="162"/>
      <c r="AX111" s="162"/>
      <c r="AY111" s="162"/>
      <c r="AZ111" s="162"/>
      <c r="BA111" s="162"/>
      <c r="BB111" s="162"/>
      <c r="BC111" s="162"/>
      <c r="BD111" s="162"/>
      <c r="BE111" s="162"/>
      <c r="BF111" s="162"/>
      <c r="BG111" s="162"/>
      <c r="BH111" s="162"/>
      <c r="BI111" s="162"/>
      <c r="BJ111" s="162"/>
      <c r="BK111" s="162"/>
      <c r="BL111" s="162"/>
      <c r="BM111" s="162"/>
      <c r="BN111" s="162"/>
      <c r="BO111" s="162"/>
      <c r="BP111" s="162"/>
      <c r="BQ111" s="162"/>
      <c r="BR111" s="162"/>
      <c r="BS111" s="162"/>
      <c r="BT111" s="162"/>
      <c r="BU111" s="162"/>
      <c r="BV111" s="162"/>
      <c r="BW111" s="162"/>
      <c r="BX111" s="162"/>
      <c r="BY111" s="162"/>
      <c r="BZ111" s="162"/>
      <c r="CA111" s="162"/>
      <c r="CB111" s="162"/>
      <c r="CC111" s="162"/>
      <c r="CD111" s="162"/>
      <c r="CE111" s="162"/>
      <c r="CF111" s="162"/>
      <c r="CG111" s="162"/>
      <c r="CH111" s="162"/>
      <c r="CI111" s="162"/>
      <c r="CJ111" s="162"/>
      <c r="CK111" s="162"/>
      <c r="CL111" s="162"/>
      <c r="CM111" s="162"/>
      <c r="CN111" s="162"/>
      <c r="CO111" s="162"/>
      <c r="CP111" s="162"/>
      <c r="CQ111" s="162"/>
      <c r="CR111" s="162"/>
      <c r="CS111" s="209"/>
      <c r="CT111" s="209"/>
      <c r="CU111" s="375"/>
      <c r="CV111" s="208"/>
      <c r="CW111" s="152"/>
      <c r="CX111" s="152"/>
      <c r="CY111" s="208"/>
      <c r="CZ111" s="208"/>
      <c r="DA111" s="152"/>
      <c r="DB111" s="152"/>
      <c r="DC111" s="153"/>
      <c r="DD111" s="153" t="s">
        <v>588</v>
      </c>
      <c r="DE111" s="153" t="s">
        <v>467</v>
      </c>
      <c r="DF111" s="406" t="s">
        <v>589</v>
      </c>
      <c r="DG111" s="368" t="s">
        <v>474</v>
      </c>
      <c r="DH111" s="404">
        <v>424</v>
      </c>
      <c r="DI111" s="153">
        <v>45842</v>
      </c>
      <c r="DJ111" s="1002">
        <f>5.5*2</f>
        <v>11</v>
      </c>
      <c r="DK111" s="240">
        <v>424</v>
      </c>
      <c r="DL111" s="182">
        <f t="shared" ref="DL111" si="147">18800/1.1</f>
        <v>17090.909090909088</v>
      </c>
      <c r="DM111" s="181">
        <f t="shared" si="139"/>
        <v>7971199.9999999991</v>
      </c>
      <c r="DN111" s="446">
        <f t="shared" si="140"/>
        <v>0.10000000000000007</v>
      </c>
      <c r="DO111" s="182">
        <f t="shared" si="141"/>
        <v>7246545.4545454532</v>
      </c>
      <c r="DP111" s="275">
        <v>45852</v>
      </c>
      <c r="DQ111" s="152"/>
      <c r="DR111" s="152"/>
      <c r="DS111" s="151"/>
      <c r="DT111" s="275"/>
      <c r="DU111" s="370"/>
      <c r="DV111" s="208"/>
      <c r="DW111" s="208"/>
      <c r="DX111" s="152"/>
      <c r="DY111" s="152"/>
      <c r="DZ111" s="152"/>
      <c r="EA111" s="152"/>
      <c r="EB111" s="152"/>
      <c r="EC111" s="152"/>
      <c r="ED111" s="152"/>
      <c r="EE111" s="371"/>
      <c r="EF111" s="371"/>
      <c r="EG111" s="153"/>
      <c r="EH111" s="153"/>
      <c r="EI111" s="153"/>
      <c r="EJ111" s="153"/>
      <c r="EK111" s="153"/>
      <c r="EL111" s="153"/>
      <c r="EM111" s="153"/>
      <c r="EN111" s="153"/>
      <c r="EO111" s="152"/>
      <c r="EP111" s="151"/>
      <c r="EQ111" s="153"/>
      <c r="ER111" s="153"/>
      <c r="ES111" s="153"/>
      <c r="ET111" s="153"/>
      <c r="EU111" s="152"/>
      <c r="EV111" s="152"/>
      <c r="EW111" s="152"/>
      <c r="EX111" s="152"/>
      <c r="EY111" s="151"/>
      <c r="EZ111" s="152"/>
      <c r="FA111" s="372"/>
      <c r="FB111" s="373"/>
      <c r="FC111" s="384"/>
      <c r="FD111" s="385"/>
      <c r="FE111" s="210"/>
      <c r="FF111" s="211"/>
      <c r="FG111" s="212"/>
      <c r="FH111" s="212"/>
    </row>
    <row r="112" spans="1:164" s="157" customFormat="1" ht="14" hidden="1" customHeight="1">
      <c r="A112" s="208" t="str">
        <f t="shared" si="89"/>
        <v>Hiện</v>
      </c>
      <c r="B112" s="151" t="str">
        <f t="shared" si="84"/>
        <v>Đủ</v>
      </c>
      <c r="C112" s="151">
        <f>EW112</f>
        <v>0</v>
      </c>
      <c r="D112" s="398"/>
      <c r="E112" s="398"/>
      <c r="F112" s="151"/>
      <c r="G112" s="151"/>
      <c r="H112" s="151"/>
      <c r="I112" s="171" t="s">
        <v>409</v>
      </c>
      <c r="J112" s="164" t="s">
        <v>397</v>
      </c>
      <c r="K112" s="402" t="s">
        <v>410</v>
      </c>
      <c r="L112" s="233" t="s">
        <v>402</v>
      </c>
      <c r="M112" s="163" t="s">
        <v>61</v>
      </c>
      <c r="N112" s="172">
        <v>45.3</v>
      </c>
      <c r="O112" s="172">
        <v>81.69</v>
      </c>
      <c r="P112" s="172">
        <v>3700.6800000000003</v>
      </c>
      <c r="Q112" s="161"/>
      <c r="R112" s="162"/>
      <c r="S112" s="161"/>
      <c r="T112" s="162"/>
      <c r="U112" s="162"/>
      <c r="V112" s="162"/>
      <c r="W112" s="162">
        <v>96</v>
      </c>
      <c r="X112" s="162">
        <v>4348.7999999999993</v>
      </c>
      <c r="Y112" s="162">
        <v>0</v>
      </c>
      <c r="Z112" s="162">
        <v>0</v>
      </c>
      <c r="AA112" s="162">
        <v>0</v>
      </c>
      <c r="AB112" s="162">
        <v>0</v>
      </c>
      <c r="AC112" s="162">
        <v>0</v>
      </c>
      <c r="AD112" s="162">
        <v>0</v>
      </c>
      <c r="AE112" s="162">
        <v>0</v>
      </c>
      <c r="AF112" s="162">
        <v>0</v>
      </c>
      <c r="AG112" s="162">
        <v>0</v>
      </c>
      <c r="AH112" s="162">
        <v>0</v>
      </c>
      <c r="AI112" s="162">
        <f>VLOOKUP(I112,'[119]MTO-rev09'!$A:$O,11,0)</f>
        <v>0</v>
      </c>
      <c r="AJ112" s="162">
        <f>VLOOKUP(I112,'[119]MTO-rev09'!$A:$O,12,0)</f>
        <v>0</v>
      </c>
      <c r="AK112" s="162">
        <v>0</v>
      </c>
      <c r="AL112" s="162">
        <v>0</v>
      </c>
      <c r="AM112" s="162"/>
      <c r="AN112" s="162"/>
      <c r="AO112" s="162">
        <v>0</v>
      </c>
      <c r="AP112" s="162">
        <v>0</v>
      </c>
      <c r="AQ112" s="162">
        <v>0</v>
      </c>
      <c r="AR112" s="162">
        <v>0</v>
      </c>
      <c r="AS112" s="162">
        <v>0</v>
      </c>
      <c r="AT112" s="162">
        <v>0</v>
      </c>
      <c r="AU112" s="162">
        <v>0</v>
      </c>
      <c r="AV112" s="162">
        <v>0</v>
      </c>
      <c r="AW112" s="162">
        <v>0</v>
      </c>
      <c r="AX112" s="162">
        <v>0</v>
      </c>
      <c r="AY112" s="162">
        <v>0</v>
      </c>
      <c r="AZ112" s="162">
        <v>0</v>
      </c>
      <c r="BA112" s="162"/>
      <c r="BB112" s="162"/>
      <c r="BC112" s="162">
        <v>0</v>
      </c>
      <c r="BD112" s="162">
        <v>0</v>
      </c>
      <c r="BE112" s="162">
        <v>0</v>
      </c>
      <c r="BF112" s="162">
        <v>0</v>
      </c>
      <c r="BG112" s="162">
        <v>0</v>
      </c>
      <c r="BH112" s="162">
        <v>0</v>
      </c>
      <c r="BI112" s="162">
        <v>0</v>
      </c>
      <c r="BJ112" s="162">
        <v>0</v>
      </c>
      <c r="BK112" s="162">
        <v>0</v>
      </c>
      <c r="BL112" s="162">
        <v>0</v>
      </c>
      <c r="BM112" s="162">
        <v>0</v>
      </c>
      <c r="BN112" s="162">
        <v>0</v>
      </c>
      <c r="BO112" s="162"/>
      <c r="BP112" s="162"/>
      <c r="BQ112" s="162">
        <v>0</v>
      </c>
      <c r="BR112" s="162">
        <v>0</v>
      </c>
      <c r="BS112" s="162">
        <v>0</v>
      </c>
      <c r="BT112" s="162">
        <v>0</v>
      </c>
      <c r="BU112" s="162">
        <v>0</v>
      </c>
      <c r="BV112" s="162">
        <v>0</v>
      </c>
      <c r="BW112" s="162"/>
      <c r="BX112" s="162"/>
      <c r="BY112" s="162">
        <v>0</v>
      </c>
      <c r="BZ112" s="162">
        <v>0</v>
      </c>
      <c r="CA112" s="162">
        <v>0</v>
      </c>
      <c r="CB112" s="162">
        <v>0</v>
      </c>
      <c r="CC112" s="162">
        <v>0</v>
      </c>
      <c r="CD112" s="162">
        <v>0</v>
      </c>
      <c r="CE112" s="162">
        <f>VLOOKUP(I112,[120]REV33!$A:$O,11,0)</f>
        <v>0</v>
      </c>
      <c r="CF112" s="162">
        <f>VLOOKUP(I112,[120]REV33!$A:$O,12,0)</f>
        <v>0</v>
      </c>
      <c r="CG112" s="162"/>
      <c r="CH112" s="162"/>
      <c r="CI112" s="162"/>
      <c r="CJ112" s="162"/>
      <c r="CK112" s="162"/>
      <c r="CL112" s="162"/>
      <c r="CM112" s="162"/>
      <c r="CN112" s="162"/>
      <c r="CO112" s="162">
        <v>0</v>
      </c>
      <c r="CP112" s="162">
        <v>0</v>
      </c>
      <c r="CQ112" s="162">
        <v>0</v>
      </c>
      <c r="CR112" s="162">
        <v>0</v>
      </c>
      <c r="CS112" s="209">
        <f>Q112+S112+U112+W112+Y112+AA112+AC112+AE112+AG112+AI112+AK112+AM112+AO112+AQ112+AS112+AU112+AW112+AY112+BA112+BC112+BE112+BG112+BI112+BK112+BM112+BO112+BQ112+BS112+BU112+BW112+BY112+CA112+CC112+CE112+CG112+CI112+CK112+CM112+CO112+CQ112</f>
        <v>96</v>
      </c>
      <c r="CT112" s="209">
        <f>R112+T112+V112+X112+Z112+AB112+AD112+AF112+AH112+AJ112+AL112+AN112+AP112+AR112+AT112+AV112+AX112+AZ112+BB112+BD112+BF112+BH112+BJ112+BL112+BN112+BP112+BR112+BT112+BV112+BX112+BZ112+CB112+CD112+CF112+CH112+CJ112+CL112+CN112+CP112+CR112</f>
        <v>4348.7999999999993</v>
      </c>
      <c r="CU112" s="375" t="s">
        <v>436</v>
      </c>
      <c r="CV112" s="407"/>
      <c r="CW112" s="152"/>
      <c r="CX112" s="152"/>
      <c r="CY112" s="208"/>
      <c r="CZ112" s="208"/>
      <c r="DA112" s="152">
        <f t="shared" ref="DA112:DA113" si="148">IF(CS112&gt;CW112,CS112-CW112,"0")</f>
        <v>96</v>
      </c>
      <c r="DB112" s="152">
        <f t="shared" ref="DB112:DB113" si="149">IF(CT112&gt;CX112,CT112-CX112,"0")</f>
        <v>4348.7999999999993</v>
      </c>
      <c r="DC112" s="153">
        <v>45833</v>
      </c>
      <c r="DD112" s="153"/>
      <c r="DE112" s="153"/>
      <c r="DF112" s="403"/>
      <c r="DG112" s="368"/>
      <c r="DH112" s="181"/>
      <c r="DI112" s="153"/>
      <c r="DJ112" s="1000"/>
      <c r="DK112" s="181"/>
      <c r="DL112" s="182"/>
      <c r="DM112" s="182"/>
      <c r="DN112" s="182"/>
      <c r="DO112" s="182"/>
      <c r="DP112" s="275"/>
      <c r="DQ112" s="152">
        <f>SUMIF($I:$I,I112,$DJ:$DJ)</f>
        <v>0</v>
      </c>
      <c r="DR112" s="152">
        <f>SUMIF($I:$I,I112,$DK:$DK)</f>
        <v>0</v>
      </c>
      <c r="DS112" s="151"/>
      <c r="DT112" s="275"/>
      <c r="DU112" s="370"/>
      <c r="DV112" s="208"/>
      <c r="DW112" s="208" t="s">
        <v>575</v>
      </c>
      <c r="DX112" s="152" t="s">
        <v>518</v>
      </c>
      <c r="DY112" s="171" t="s">
        <v>577</v>
      </c>
      <c r="DZ112" s="152" t="s">
        <v>737</v>
      </c>
      <c r="EA112" s="152">
        <v>4348.8</v>
      </c>
      <c r="EB112" s="153">
        <v>45813</v>
      </c>
      <c r="EC112" s="152">
        <v>96</v>
      </c>
      <c r="ED112" s="152">
        <v>4348.8</v>
      </c>
      <c r="EE112" s="396">
        <f>0.0577454062236541+1.198</f>
        <v>1.2557454062236542</v>
      </c>
      <c r="EF112" s="371">
        <f t="shared" ref="EF112" si="150">EE112*ED112</f>
        <v>5460.9856225854273</v>
      </c>
      <c r="EG112" s="153">
        <v>45833</v>
      </c>
      <c r="EH112" s="153"/>
      <c r="EI112" s="153"/>
      <c r="EJ112" s="153">
        <v>45851</v>
      </c>
      <c r="EK112" s="153">
        <v>45851</v>
      </c>
      <c r="EL112" s="153">
        <v>45853</v>
      </c>
      <c r="EM112" s="153">
        <v>45853</v>
      </c>
      <c r="EN112" s="153">
        <v>45853</v>
      </c>
      <c r="EO112" s="152">
        <f>SUMIF($I:$I,I112,$EC:$EC)</f>
        <v>96</v>
      </c>
      <c r="EP112" s="151">
        <f>SUMIF($I:$I,I112,$ED:$ED)</f>
        <v>4348.8</v>
      </c>
      <c r="EQ112" s="153"/>
      <c r="ER112" s="153"/>
      <c r="ES112" s="153"/>
      <c r="ET112" s="153"/>
      <c r="EU112" s="152">
        <f t="shared" ref="EU112:EU113" si="151">DQ112+EO112</f>
        <v>96</v>
      </c>
      <c r="EV112" s="152">
        <f t="shared" ref="EV112:EV113" si="152">DR112+EP112</f>
        <v>4348.8</v>
      </c>
      <c r="EW112" s="152">
        <f t="shared" ref="EW112:EW113" si="153">DA112-EU112</f>
        <v>0</v>
      </c>
      <c r="EX112" s="152">
        <f t="shared" ref="EX112:EX113" si="154">DB112-EV112</f>
        <v>0</v>
      </c>
      <c r="EY112" s="151" t="str">
        <f t="shared" ref="EY112:EY113" si="155">IF(EW112&lt;0,"Thừa",IF(EW112=0,"Đủ","Thiếu"))</f>
        <v>Đủ</v>
      </c>
      <c r="EZ112" s="152"/>
      <c r="FA112" s="372"/>
      <c r="FB112" s="373"/>
      <c r="FC112" s="367"/>
      <c r="FD112" s="374"/>
      <c r="FE112" s="183"/>
      <c r="FF112" s="184"/>
      <c r="FG112" s="185"/>
      <c r="FH112" s="185"/>
    </row>
    <row r="113" spans="1:164" s="157" customFormat="1" ht="14" hidden="1" customHeight="1">
      <c r="A113" s="208" t="str">
        <f t="shared" si="89"/>
        <v>Hiện</v>
      </c>
      <c r="B113" s="151" t="str">
        <f t="shared" si="84"/>
        <v>Đủ</v>
      </c>
      <c r="C113" s="151">
        <f>EW113</f>
        <v>0</v>
      </c>
      <c r="D113" s="398"/>
      <c r="E113" s="398"/>
      <c r="F113" s="151"/>
      <c r="G113" s="151"/>
      <c r="H113" s="151"/>
      <c r="I113" s="171" t="s">
        <v>411</v>
      </c>
      <c r="J113" s="164" t="s">
        <v>412</v>
      </c>
      <c r="K113" s="247" t="s">
        <v>413</v>
      </c>
      <c r="L113" s="233" t="s">
        <v>402</v>
      </c>
      <c r="M113" s="163" t="s">
        <v>61</v>
      </c>
      <c r="N113" s="172">
        <v>0.61728395061728392</v>
      </c>
      <c r="O113" s="172">
        <v>2.08</v>
      </c>
      <c r="P113" s="172">
        <v>1.2</v>
      </c>
      <c r="Q113" s="161"/>
      <c r="R113" s="162"/>
      <c r="S113" s="161"/>
      <c r="T113" s="162"/>
      <c r="U113" s="162"/>
      <c r="V113" s="162"/>
      <c r="W113" s="162">
        <v>3</v>
      </c>
      <c r="X113" s="162">
        <v>1.8518518518518516</v>
      </c>
      <c r="Y113" s="162">
        <v>0</v>
      </c>
      <c r="Z113" s="162">
        <v>0</v>
      </c>
      <c r="AA113" s="162">
        <v>6</v>
      </c>
      <c r="AB113" s="162">
        <v>3.7037037037037033</v>
      </c>
      <c r="AC113" s="162">
        <v>0</v>
      </c>
      <c r="AD113" s="162">
        <v>0</v>
      </c>
      <c r="AE113" s="162">
        <v>30</v>
      </c>
      <c r="AF113" s="162">
        <v>18.518518518518519</v>
      </c>
      <c r="AG113" s="162">
        <v>0</v>
      </c>
      <c r="AH113" s="162">
        <v>0</v>
      </c>
      <c r="AI113" s="162">
        <f>VLOOKUP(I113,'[119]MTO-rev09'!$A:$O,11,0)</f>
        <v>0</v>
      </c>
      <c r="AJ113" s="162">
        <f>VLOOKUP(I113,'[119]MTO-rev09'!$A:$O,12,0)</f>
        <v>0</v>
      </c>
      <c r="AK113" s="162">
        <v>0</v>
      </c>
      <c r="AL113" s="162">
        <v>0</v>
      </c>
      <c r="AM113" s="162"/>
      <c r="AN113" s="162"/>
      <c r="AO113" s="162">
        <v>0</v>
      </c>
      <c r="AP113" s="162">
        <v>0</v>
      </c>
      <c r="AQ113" s="162">
        <v>0</v>
      </c>
      <c r="AR113" s="162">
        <v>0</v>
      </c>
      <c r="AS113" s="162">
        <v>0</v>
      </c>
      <c r="AT113" s="162">
        <v>0</v>
      </c>
      <c r="AU113" s="162">
        <v>0</v>
      </c>
      <c r="AV113" s="162">
        <v>0</v>
      </c>
      <c r="AW113" s="162">
        <v>0</v>
      </c>
      <c r="AX113" s="162">
        <v>0</v>
      </c>
      <c r="AY113" s="162">
        <v>0</v>
      </c>
      <c r="AZ113" s="162">
        <v>0</v>
      </c>
      <c r="BA113" s="162"/>
      <c r="BB113" s="162"/>
      <c r="BC113" s="162">
        <v>0</v>
      </c>
      <c r="BD113" s="162">
        <v>0</v>
      </c>
      <c r="BE113" s="162">
        <v>0</v>
      </c>
      <c r="BF113" s="162">
        <v>0</v>
      </c>
      <c r="BG113" s="162">
        <v>0</v>
      </c>
      <c r="BH113" s="162">
        <v>0</v>
      </c>
      <c r="BI113" s="162">
        <v>0</v>
      </c>
      <c r="BJ113" s="162">
        <v>0</v>
      </c>
      <c r="BK113" s="162">
        <v>0</v>
      </c>
      <c r="BL113" s="162">
        <v>0</v>
      </c>
      <c r="BM113" s="162">
        <v>0</v>
      </c>
      <c r="BN113" s="162">
        <v>0</v>
      </c>
      <c r="BO113" s="162"/>
      <c r="BP113" s="162"/>
      <c r="BQ113" s="162">
        <v>0</v>
      </c>
      <c r="BR113" s="162">
        <v>0</v>
      </c>
      <c r="BS113" s="162">
        <v>0</v>
      </c>
      <c r="BT113" s="162">
        <v>0</v>
      </c>
      <c r="BU113" s="162">
        <v>0</v>
      </c>
      <c r="BV113" s="162">
        <v>0</v>
      </c>
      <c r="BW113" s="162"/>
      <c r="BX113" s="162"/>
      <c r="BY113" s="162">
        <v>0</v>
      </c>
      <c r="BZ113" s="162">
        <v>0</v>
      </c>
      <c r="CA113" s="162">
        <v>0</v>
      </c>
      <c r="CB113" s="162">
        <v>0</v>
      </c>
      <c r="CC113" s="162">
        <v>0</v>
      </c>
      <c r="CD113" s="162">
        <v>0</v>
      </c>
      <c r="CE113" s="162">
        <f>VLOOKUP(I113,[120]REV33!$A:$O,11,0)</f>
        <v>0</v>
      </c>
      <c r="CF113" s="162">
        <f>VLOOKUP(I113,[120]REV33!$A:$O,12,0)</f>
        <v>0</v>
      </c>
      <c r="CG113" s="162"/>
      <c r="CH113" s="162"/>
      <c r="CI113" s="162"/>
      <c r="CJ113" s="162"/>
      <c r="CK113" s="162"/>
      <c r="CL113" s="162"/>
      <c r="CM113" s="162"/>
      <c r="CN113" s="162"/>
      <c r="CO113" s="162">
        <v>0</v>
      </c>
      <c r="CP113" s="162">
        <v>0</v>
      </c>
      <c r="CQ113" s="162">
        <v>0</v>
      </c>
      <c r="CR113" s="162">
        <v>0</v>
      </c>
      <c r="CS113" s="209">
        <f>Q113+S113+U113+W113+Y113+AA113+AC113+AE113+AG113+AI113+AK113+AM113+AO113+AQ113+AS113+AU113+AW113+AY113+BA113+BC113+BE113+BG113+BI113+BK113+BM113+BO113+BQ113+BS113+BU113+BW113+BY113+CA113+CC113+CE113+CG113+CI113+CK113+CM113+CO113+CQ113</f>
        <v>39</v>
      </c>
      <c r="CT113" s="209">
        <f>R113+T113+V113+X113+Z113+AB113+AD113+AF113+AH113+AJ113+AL113+AN113+AP113+AR113+AT113+AV113+AX113+AZ113+BB113+BD113+BF113+BH113+BJ113+BL113+BN113+BP113+BR113+BT113+BV113+BX113+BZ113+CB113+CD113+CF113+CH113+CJ113+CL113+CN113+CP113+CR113</f>
        <v>24.074074074074076</v>
      </c>
      <c r="CU113" s="375" t="s">
        <v>647</v>
      </c>
      <c r="CV113" s="407"/>
      <c r="CW113" s="152"/>
      <c r="CX113" s="152"/>
      <c r="CY113" s="208"/>
      <c r="CZ113" s="208"/>
      <c r="DA113" s="152">
        <f t="shared" si="148"/>
        <v>39</v>
      </c>
      <c r="DB113" s="152">
        <f t="shared" si="149"/>
        <v>24.074074074074076</v>
      </c>
      <c r="DC113" s="153">
        <v>45833</v>
      </c>
      <c r="DD113" s="153" t="s">
        <v>659</v>
      </c>
      <c r="DE113" s="153" t="s">
        <v>435</v>
      </c>
      <c r="DF113" s="403" t="s">
        <v>658</v>
      </c>
      <c r="DG113" s="368" t="s">
        <v>453</v>
      </c>
      <c r="DH113" s="181" t="s">
        <v>477</v>
      </c>
      <c r="DI113" s="153">
        <v>45838</v>
      </c>
      <c r="DJ113" s="181">
        <f>3*3</f>
        <v>9</v>
      </c>
      <c r="DK113" s="181" t="s">
        <v>477</v>
      </c>
      <c r="DL113" s="182">
        <f>147970/3</f>
        <v>49323.333333333336</v>
      </c>
      <c r="DM113" s="181">
        <f>DJ113*DL113*1.1</f>
        <v>488301.00000000006</v>
      </c>
      <c r="DN113" s="446">
        <f t="shared" ref="DN113:DN120" si="156">(DM113-DO113)/DO113</f>
        <v>0.10000000000000013</v>
      </c>
      <c r="DO113" s="182">
        <f>DJ113*DL113</f>
        <v>443910</v>
      </c>
      <c r="DP113" s="275">
        <v>45842</v>
      </c>
      <c r="DQ113" s="152">
        <f>SUMIF($I:$I,I113,$DJ:$DJ)</f>
        <v>39</v>
      </c>
      <c r="DR113" s="152">
        <f>SUMIF($I:$I,I113,$DK:$DK)</f>
        <v>18.5</v>
      </c>
      <c r="DS113" s="151"/>
      <c r="DT113" s="275"/>
      <c r="DU113" s="370"/>
      <c r="DV113" s="208"/>
      <c r="DW113" s="208"/>
      <c r="DX113" s="152"/>
      <c r="DY113" s="152"/>
      <c r="DZ113" s="152"/>
      <c r="EA113" s="152"/>
      <c r="EB113" s="152"/>
      <c r="EC113" s="152"/>
      <c r="ED113" s="152"/>
      <c r="EE113" s="371"/>
      <c r="EF113" s="371"/>
      <c r="EG113" s="153"/>
      <c r="EH113" s="153"/>
      <c r="EI113" s="153"/>
      <c r="EJ113" s="153"/>
      <c r="EK113" s="153"/>
      <c r="EL113" s="153"/>
      <c r="EM113" s="153"/>
      <c r="EN113" s="153"/>
      <c r="EO113" s="152">
        <f>SUMIF($I:$I,I113,$EC:$EC)</f>
        <v>0</v>
      </c>
      <c r="EP113" s="151">
        <f>SUMIF($I:$I,I113,$ED:$ED)</f>
        <v>0</v>
      </c>
      <c r="EQ113" s="153"/>
      <c r="ER113" s="153"/>
      <c r="ES113" s="153"/>
      <c r="ET113" s="153"/>
      <c r="EU113" s="152">
        <f t="shared" si="151"/>
        <v>39</v>
      </c>
      <c r="EV113" s="152">
        <f t="shared" si="152"/>
        <v>18.5</v>
      </c>
      <c r="EW113" s="152">
        <f t="shared" si="153"/>
        <v>0</v>
      </c>
      <c r="EX113" s="152">
        <f t="shared" si="154"/>
        <v>5.5740740740740762</v>
      </c>
      <c r="EY113" s="151" t="str">
        <f t="shared" si="155"/>
        <v>Đủ</v>
      </c>
      <c r="EZ113" s="152"/>
      <c r="FA113" s="372"/>
      <c r="FB113" s="373"/>
      <c r="FC113" s="367"/>
      <c r="FD113" s="374"/>
      <c r="FE113" s="183"/>
      <c r="FF113" s="184"/>
      <c r="FG113" s="185"/>
      <c r="FH113" s="185"/>
    </row>
    <row r="114" spans="1:164" s="386" customFormat="1" ht="14" hidden="1" customHeight="1">
      <c r="A114" s="208" t="str">
        <f t="shared" si="89"/>
        <v>ok</v>
      </c>
      <c r="B114" s="151"/>
      <c r="C114" s="399"/>
      <c r="D114" s="398"/>
      <c r="E114" s="398"/>
      <c r="F114" s="151"/>
      <c r="G114" s="151"/>
      <c r="H114" s="151"/>
      <c r="I114" s="171" t="s">
        <v>411</v>
      </c>
      <c r="J114" s="164" t="s">
        <v>412</v>
      </c>
      <c r="K114" s="247" t="s">
        <v>413</v>
      </c>
      <c r="L114" s="233" t="s">
        <v>402</v>
      </c>
      <c r="M114" s="163" t="s">
        <v>61</v>
      </c>
      <c r="N114" s="172"/>
      <c r="O114" s="172"/>
      <c r="P114" s="172"/>
      <c r="Q114" s="161"/>
      <c r="R114" s="162"/>
      <c r="S114" s="161"/>
      <c r="T114" s="162"/>
      <c r="U114" s="162"/>
      <c r="V114" s="162"/>
      <c r="W114" s="162"/>
      <c r="X114" s="162"/>
      <c r="Y114" s="162"/>
      <c r="Z114" s="162"/>
      <c r="AA114" s="162"/>
      <c r="AB114" s="162"/>
      <c r="AC114" s="162"/>
      <c r="AD114" s="162"/>
      <c r="AE114" s="162"/>
      <c r="AF114" s="162"/>
      <c r="AG114" s="162"/>
      <c r="AH114" s="162"/>
      <c r="AI114" s="162"/>
      <c r="AJ114" s="162"/>
      <c r="AK114" s="162"/>
      <c r="AL114" s="162"/>
      <c r="AM114" s="162"/>
      <c r="AN114" s="162"/>
      <c r="AO114" s="162"/>
      <c r="AP114" s="162"/>
      <c r="AQ114" s="162"/>
      <c r="AR114" s="162"/>
      <c r="AS114" s="162"/>
      <c r="AT114" s="162"/>
      <c r="AU114" s="162"/>
      <c r="AV114" s="162"/>
      <c r="AW114" s="162"/>
      <c r="AX114" s="162"/>
      <c r="AY114" s="162"/>
      <c r="AZ114" s="162"/>
      <c r="BA114" s="162"/>
      <c r="BB114" s="162"/>
      <c r="BC114" s="162"/>
      <c r="BD114" s="162"/>
      <c r="BE114" s="162"/>
      <c r="BF114" s="162"/>
      <c r="BG114" s="162"/>
      <c r="BH114" s="162"/>
      <c r="BI114" s="162"/>
      <c r="BJ114" s="162"/>
      <c r="BK114" s="162"/>
      <c r="BL114" s="162"/>
      <c r="BM114" s="162"/>
      <c r="BN114" s="162"/>
      <c r="BO114" s="162"/>
      <c r="BP114" s="162"/>
      <c r="BQ114" s="162"/>
      <c r="BR114" s="162"/>
      <c r="BS114" s="162"/>
      <c r="BT114" s="162"/>
      <c r="BU114" s="162"/>
      <c r="BV114" s="162"/>
      <c r="BW114" s="162"/>
      <c r="BX114" s="162"/>
      <c r="BY114" s="162"/>
      <c r="BZ114" s="162"/>
      <c r="CA114" s="162"/>
      <c r="CB114" s="162"/>
      <c r="CC114" s="162"/>
      <c r="CD114" s="162"/>
      <c r="CE114" s="162"/>
      <c r="CF114" s="162"/>
      <c r="CG114" s="162"/>
      <c r="CH114" s="162"/>
      <c r="CI114" s="162"/>
      <c r="CJ114" s="162"/>
      <c r="CK114" s="162"/>
      <c r="CL114" s="162"/>
      <c r="CM114" s="162"/>
      <c r="CN114" s="162"/>
      <c r="CO114" s="162"/>
      <c r="CP114" s="162"/>
      <c r="CQ114" s="162"/>
      <c r="CR114" s="162"/>
      <c r="CS114" s="209"/>
      <c r="CT114" s="209"/>
      <c r="CU114" s="375"/>
      <c r="CV114" s="407"/>
      <c r="CW114" s="152"/>
      <c r="CX114" s="152"/>
      <c r="CY114" s="208"/>
      <c r="CZ114" s="208"/>
      <c r="DA114" s="152"/>
      <c r="DB114" s="152"/>
      <c r="DC114" s="153"/>
      <c r="DD114" s="377" t="s">
        <v>668</v>
      </c>
      <c r="DE114" s="153" t="s">
        <v>45</v>
      </c>
      <c r="DF114" s="213" t="s">
        <v>676</v>
      </c>
      <c r="DG114" s="213" t="s">
        <v>43</v>
      </c>
      <c r="DH114" s="181">
        <v>18.5</v>
      </c>
      <c r="DI114" s="153">
        <v>45853</v>
      </c>
      <c r="DJ114" s="378">
        <v>30</v>
      </c>
      <c r="DK114" s="181">
        <v>18.5</v>
      </c>
      <c r="DL114" s="182">
        <v>15863.64</v>
      </c>
      <c r="DM114" s="181">
        <f>DL114*DK114*1.1</f>
        <v>322825.07399999996</v>
      </c>
      <c r="DN114" s="446">
        <f t="shared" si="156"/>
        <v>0.1</v>
      </c>
      <c r="DO114" s="182">
        <f>DL114*DK114</f>
        <v>293477.33999999997</v>
      </c>
      <c r="DP114" s="275">
        <v>45856</v>
      </c>
      <c r="DQ114" s="152"/>
      <c r="DR114" s="152"/>
      <c r="DS114" s="151"/>
      <c r="DT114" s="275"/>
      <c r="DU114" s="370"/>
      <c r="DV114" s="208"/>
      <c r="DW114" s="208"/>
      <c r="DX114" s="152"/>
      <c r="DY114" s="152"/>
      <c r="DZ114" s="152"/>
      <c r="EA114" s="152"/>
      <c r="EB114" s="152"/>
      <c r="EC114" s="152"/>
      <c r="ED114" s="152"/>
      <c r="EE114" s="371"/>
      <c r="EF114" s="371"/>
      <c r="EG114" s="153"/>
      <c r="EH114" s="153"/>
      <c r="EI114" s="153"/>
      <c r="EJ114" s="153"/>
      <c r="EK114" s="153"/>
      <c r="EL114" s="153"/>
      <c r="EM114" s="153"/>
      <c r="EN114" s="153"/>
      <c r="EO114" s="152"/>
      <c r="EP114" s="151"/>
      <c r="EQ114" s="153"/>
      <c r="ER114" s="153"/>
      <c r="ES114" s="153"/>
      <c r="ET114" s="153"/>
      <c r="EU114" s="152"/>
      <c r="EV114" s="152"/>
      <c r="EW114" s="152"/>
      <c r="EX114" s="152"/>
      <c r="EY114" s="151"/>
      <c r="EZ114" s="152"/>
      <c r="FA114" s="372"/>
      <c r="FB114" s="373"/>
      <c r="FC114" s="384"/>
      <c r="FD114" s="385"/>
      <c r="FE114" s="210"/>
      <c r="FF114" s="211"/>
      <c r="FG114" s="212"/>
      <c r="FH114" s="212"/>
    </row>
    <row r="115" spans="1:164" s="157" customFormat="1" ht="14" hidden="1" customHeight="1">
      <c r="A115" s="208" t="str">
        <f t="shared" si="89"/>
        <v>Hiện</v>
      </c>
      <c r="B115" s="151" t="str">
        <f t="shared" si="84"/>
        <v>Thừa</v>
      </c>
      <c r="C115" s="151">
        <f>EW115</f>
        <v>-6</v>
      </c>
      <c r="D115" s="151"/>
      <c r="E115" s="151" t="s">
        <v>1679</v>
      </c>
      <c r="F115" s="151"/>
      <c r="G115" s="151"/>
      <c r="H115" s="151"/>
      <c r="I115" s="164" t="s">
        <v>414</v>
      </c>
      <c r="J115" s="164" t="s">
        <v>412</v>
      </c>
      <c r="K115" s="247" t="s">
        <v>415</v>
      </c>
      <c r="L115" s="233" t="s">
        <v>402</v>
      </c>
      <c r="M115" s="163" t="s">
        <v>61</v>
      </c>
      <c r="N115" s="172">
        <v>0.88888888888888884</v>
      </c>
      <c r="O115" s="172">
        <v>10</v>
      </c>
      <c r="P115" s="172">
        <v>6.8</v>
      </c>
      <c r="Q115" s="161"/>
      <c r="R115" s="162"/>
      <c r="S115" s="161"/>
      <c r="T115" s="162"/>
      <c r="U115" s="162"/>
      <c r="V115" s="162"/>
      <c r="W115" s="162">
        <v>12</v>
      </c>
      <c r="X115" s="162">
        <v>10.666666666666666</v>
      </c>
      <c r="Y115" s="162">
        <v>0</v>
      </c>
      <c r="Z115" s="162">
        <v>0</v>
      </c>
      <c r="AA115" s="162">
        <v>6</v>
      </c>
      <c r="AB115" s="162">
        <v>5.333333333333333</v>
      </c>
      <c r="AC115" s="162">
        <v>0</v>
      </c>
      <c r="AD115" s="162">
        <v>0</v>
      </c>
      <c r="AE115" s="162">
        <v>0</v>
      </c>
      <c r="AF115" s="162">
        <v>0</v>
      </c>
      <c r="AG115" s="162">
        <v>0</v>
      </c>
      <c r="AH115" s="162">
        <v>0</v>
      </c>
      <c r="AI115" s="162">
        <f>VLOOKUP(I115,'[119]MTO-rev09'!$A:$O,11,0)</f>
        <v>0</v>
      </c>
      <c r="AJ115" s="162">
        <f>VLOOKUP(I115,'[119]MTO-rev09'!$A:$O,12,0)</f>
        <v>0</v>
      </c>
      <c r="AK115" s="162">
        <v>12</v>
      </c>
      <c r="AL115" s="162">
        <v>10.666666666666666</v>
      </c>
      <c r="AM115" s="162"/>
      <c r="AN115" s="162"/>
      <c r="AO115" s="162">
        <v>0</v>
      </c>
      <c r="AP115" s="162">
        <v>0</v>
      </c>
      <c r="AQ115" s="162">
        <v>0</v>
      </c>
      <c r="AR115" s="162">
        <v>0</v>
      </c>
      <c r="AS115" s="162">
        <v>0</v>
      </c>
      <c r="AT115" s="162">
        <v>0</v>
      </c>
      <c r="AU115" s="162">
        <v>0</v>
      </c>
      <c r="AV115" s="162">
        <v>0</v>
      </c>
      <c r="AW115" s="162">
        <v>0</v>
      </c>
      <c r="AX115" s="162">
        <v>0</v>
      </c>
      <c r="AY115" s="162">
        <v>0</v>
      </c>
      <c r="AZ115" s="162">
        <v>0</v>
      </c>
      <c r="BA115" s="162"/>
      <c r="BB115" s="162"/>
      <c r="BC115" s="162">
        <v>0</v>
      </c>
      <c r="BD115" s="162">
        <v>0</v>
      </c>
      <c r="BE115" s="162">
        <v>0</v>
      </c>
      <c r="BF115" s="162">
        <v>0</v>
      </c>
      <c r="BG115" s="162">
        <v>0</v>
      </c>
      <c r="BH115" s="162">
        <v>0</v>
      </c>
      <c r="BI115" s="162">
        <v>0</v>
      </c>
      <c r="BJ115" s="162">
        <v>0</v>
      </c>
      <c r="BK115" s="162">
        <v>0</v>
      </c>
      <c r="BL115" s="162">
        <v>0</v>
      </c>
      <c r="BM115" s="162">
        <v>18</v>
      </c>
      <c r="BN115" s="162">
        <v>16</v>
      </c>
      <c r="BO115" s="162"/>
      <c r="BP115" s="162"/>
      <c r="BQ115" s="162">
        <v>0</v>
      </c>
      <c r="BR115" s="162">
        <v>0</v>
      </c>
      <c r="BS115" s="162">
        <v>0</v>
      </c>
      <c r="BT115" s="162">
        <v>0</v>
      </c>
      <c r="BU115" s="162">
        <v>0</v>
      </c>
      <c r="BV115" s="162">
        <v>0</v>
      </c>
      <c r="BW115" s="162"/>
      <c r="BX115" s="162"/>
      <c r="BY115" s="162">
        <v>0</v>
      </c>
      <c r="BZ115" s="162">
        <v>0</v>
      </c>
      <c r="CA115" s="162">
        <v>0</v>
      </c>
      <c r="CB115" s="162">
        <v>0</v>
      </c>
      <c r="CC115" s="162">
        <v>0</v>
      </c>
      <c r="CD115" s="162">
        <v>0</v>
      </c>
      <c r="CE115" s="162">
        <f>VLOOKUP(I115,[120]REV33!$A:$O,11,0)</f>
        <v>0</v>
      </c>
      <c r="CF115" s="162">
        <f>VLOOKUP(I115,[120]REV33!$A:$O,12,0)</f>
        <v>0</v>
      </c>
      <c r="CG115" s="162"/>
      <c r="CH115" s="162"/>
      <c r="CI115" s="162"/>
      <c r="CJ115" s="162"/>
      <c r="CK115" s="162"/>
      <c r="CL115" s="162"/>
      <c r="CM115" s="162"/>
      <c r="CN115" s="162"/>
      <c r="CO115" s="162">
        <v>0</v>
      </c>
      <c r="CP115" s="162">
        <v>0</v>
      </c>
      <c r="CQ115" s="162">
        <v>0</v>
      </c>
      <c r="CR115" s="162">
        <v>0</v>
      </c>
      <c r="CS115" s="209">
        <f>Q115+S115+U115+W115+Y115+AA115+AC115+AE115+AG115+AI115+AK115+AM115+AO115+AQ115+AS115+AU115+AW115+AY115+BA115+BC115+BE115+BG115+BI115+BK115+BM115+BO115+BQ115+BS115+BU115+BW115+BY115+CA115+CC115+CE115+CG115+CI115+CK115+CM115+CO115+CQ115</f>
        <v>48</v>
      </c>
      <c r="CT115" s="209">
        <f>R115+T115+V115+X115+Z115+AB115+AD115+AF115+AH115+AJ115+AL115+AN115+AP115+AR115+AT115+AV115+AX115+AZ115+BB115+BD115+BF115+BH115+BJ115+BL115+BN115+BP115+BR115+BT115+BV115+BX115+BZ115+CB115+CD115+CF115+CH115+CJ115+CL115+CN115+CP115+CR115</f>
        <v>42.666666666666664</v>
      </c>
      <c r="CU115" s="375" t="s">
        <v>1879</v>
      </c>
      <c r="CV115" s="209"/>
      <c r="CW115" s="152"/>
      <c r="CX115" s="152"/>
      <c r="CY115" s="208"/>
      <c r="CZ115" s="208"/>
      <c r="DA115" s="152">
        <f>IF(CS115&gt;CW115,CS115-CW115,"0")</f>
        <v>48</v>
      </c>
      <c r="DB115" s="152">
        <f>IF(CT115&gt;CX115,CT115-CX115,"0")</f>
        <v>42.666666666666664</v>
      </c>
      <c r="DC115" s="153">
        <v>45833</v>
      </c>
      <c r="DD115" s="153" t="s">
        <v>659</v>
      </c>
      <c r="DE115" s="153" t="s">
        <v>435</v>
      </c>
      <c r="DF115" s="403" t="s">
        <v>1019</v>
      </c>
      <c r="DG115" s="368" t="s">
        <v>453</v>
      </c>
      <c r="DH115" s="181" t="s">
        <v>477</v>
      </c>
      <c r="DI115" s="153">
        <v>45838</v>
      </c>
      <c r="DJ115" s="181">
        <f>3*6</f>
        <v>18</v>
      </c>
      <c r="DK115" s="181" t="s">
        <v>477</v>
      </c>
      <c r="DL115" s="182">
        <f>426140/6</f>
        <v>71023.333333333328</v>
      </c>
      <c r="DM115" s="181">
        <f>DJ115*DL115*1.1</f>
        <v>1406262</v>
      </c>
      <c r="DN115" s="446">
        <f t="shared" si="156"/>
        <v>0.1</v>
      </c>
      <c r="DO115" s="182">
        <f>DJ115*DL115</f>
        <v>1278420</v>
      </c>
      <c r="DP115" s="275">
        <v>45842</v>
      </c>
      <c r="DQ115" s="152">
        <f>SUMIF($I:$I,I115,$DJ:$DJ)</f>
        <v>54</v>
      </c>
      <c r="DR115" s="152">
        <f>SUMIF($I:$I,I115,$DK:$DK)</f>
        <v>31.96</v>
      </c>
      <c r="DS115" s="151"/>
      <c r="DT115" s="275"/>
      <c r="DU115" s="370"/>
      <c r="DV115" s="208"/>
      <c r="DW115" s="208"/>
      <c r="DX115" s="152"/>
      <c r="DY115" s="152"/>
      <c r="DZ115" s="152"/>
      <c r="EA115" s="152"/>
      <c r="EB115" s="152"/>
      <c r="EC115" s="152"/>
      <c r="ED115" s="152"/>
      <c r="EE115" s="371"/>
      <c r="EF115" s="371"/>
      <c r="EG115" s="153"/>
      <c r="EH115" s="153"/>
      <c r="EI115" s="153"/>
      <c r="EJ115" s="153"/>
      <c r="EK115" s="153"/>
      <c r="EL115" s="153"/>
      <c r="EM115" s="153"/>
      <c r="EN115" s="153"/>
      <c r="EO115" s="152">
        <f>SUMIF($I:$I,I115,$EC:$EC)</f>
        <v>0</v>
      </c>
      <c r="EP115" s="151">
        <f>SUMIF($I:$I,I115,$ED:$ED)</f>
        <v>0</v>
      </c>
      <c r="EQ115" s="153"/>
      <c r="ER115" s="153"/>
      <c r="ES115" s="153"/>
      <c r="ET115" s="153"/>
      <c r="EU115" s="152">
        <f>DQ115+EO115</f>
        <v>54</v>
      </c>
      <c r="EV115" s="152">
        <f>DR115+EP115</f>
        <v>31.96</v>
      </c>
      <c r="EW115" s="152">
        <f t="shared" ref="EW115" si="157">DA115-EU115</f>
        <v>-6</v>
      </c>
      <c r="EX115" s="152">
        <f t="shared" ref="EX115" si="158">DB115-EV115</f>
        <v>10.706666666666663</v>
      </c>
      <c r="EY115" s="151" t="str">
        <f>IF(EW115&lt;0,"Thừa",IF(EW115=0,"Đủ","Thiếu"))</f>
        <v>Thừa</v>
      </c>
      <c r="EZ115" s="152"/>
      <c r="FA115" s="372"/>
      <c r="FB115" s="373"/>
      <c r="FC115" s="367"/>
      <c r="FD115" s="374"/>
      <c r="FE115" s="183"/>
      <c r="FF115" s="184"/>
      <c r="FG115" s="185"/>
      <c r="FH115" s="185"/>
    </row>
    <row r="116" spans="1:164" s="386" customFormat="1" ht="14" hidden="1" customHeight="1">
      <c r="A116" s="208" t="str">
        <f t="shared" si="89"/>
        <v>ok</v>
      </c>
      <c r="B116" s="151"/>
      <c r="C116" s="151"/>
      <c r="D116" s="151"/>
      <c r="E116" s="151"/>
      <c r="F116" s="151"/>
      <c r="G116" s="151"/>
      <c r="H116" s="151"/>
      <c r="I116" s="171" t="s">
        <v>414</v>
      </c>
      <c r="J116" s="164" t="s">
        <v>412</v>
      </c>
      <c r="K116" s="247" t="s">
        <v>415</v>
      </c>
      <c r="L116" s="233" t="s">
        <v>402</v>
      </c>
      <c r="M116" s="163" t="s">
        <v>61</v>
      </c>
      <c r="N116" s="172"/>
      <c r="O116" s="172"/>
      <c r="P116" s="172"/>
      <c r="Q116" s="161"/>
      <c r="R116" s="162"/>
      <c r="S116" s="161"/>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209"/>
      <c r="CT116" s="209"/>
      <c r="CU116" s="375"/>
      <c r="CV116" s="209"/>
      <c r="CW116" s="152"/>
      <c r="CX116" s="152"/>
      <c r="CY116" s="208"/>
      <c r="CZ116" s="208"/>
      <c r="DA116" s="152"/>
      <c r="DB116" s="152"/>
      <c r="DC116" s="153"/>
      <c r="DD116" s="153" t="s">
        <v>1691</v>
      </c>
      <c r="DE116" s="277" t="s">
        <v>45</v>
      </c>
      <c r="DF116" s="213" t="s">
        <v>1015</v>
      </c>
      <c r="DG116" s="213" t="s">
        <v>1016</v>
      </c>
      <c r="DH116" s="227">
        <v>10.65</v>
      </c>
      <c r="DI116" s="153">
        <v>45888</v>
      </c>
      <c r="DJ116" s="228">
        <v>12</v>
      </c>
      <c r="DK116" s="227">
        <v>10.65</v>
      </c>
      <c r="DL116" s="227">
        <v>15454.55</v>
      </c>
      <c r="DM116" s="181">
        <f>DL116*DK116*1.1</f>
        <v>181050.05325</v>
      </c>
      <c r="DN116" s="446">
        <f t="shared" si="156"/>
        <v>0.10000000000000005</v>
      </c>
      <c r="DO116" s="182">
        <f>DL116*DK116</f>
        <v>164590.95749999999</v>
      </c>
      <c r="DP116" s="275">
        <v>45891</v>
      </c>
      <c r="DQ116" s="152"/>
      <c r="DR116" s="152"/>
      <c r="DS116" s="151"/>
      <c r="DT116" s="275"/>
      <c r="DU116" s="370"/>
      <c r="DV116" s="208"/>
      <c r="DW116" s="208"/>
      <c r="DX116" s="152"/>
      <c r="DY116" s="152"/>
      <c r="DZ116" s="152"/>
      <c r="EA116" s="152"/>
      <c r="EB116" s="152"/>
      <c r="EC116" s="152"/>
      <c r="ED116" s="152"/>
      <c r="EE116" s="371"/>
      <c r="EF116" s="371"/>
      <c r="EG116" s="153"/>
      <c r="EH116" s="153"/>
      <c r="EI116" s="153"/>
      <c r="EJ116" s="153"/>
      <c r="EK116" s="153"/>
      <c r="EL116" s="153"/>
      <c r="EM116" s="153"/>
      <c r="EN116" s="153"/>
      <c r="EO116" s="152"/>
      <c r="EP116" s="151"/>
      <c r="EQ116" s="153"/>
      <c r="ER116" s="153"/>
      <c r="ES116" s="153"/>
      <c r="ET116" s="153"/>
      <c r="EU116" s="152"/>
      <c r="EV116" s="152"/>
      <c r="EW116" s="152"/>
      <c r="EX116" s="152"/>
      <c r="EY116" s="151"/>
      <c r="EZ116" s="152"/>
      <c r="FA116" s="372"/>
      <c r="FB116" s="373"/>
      <c r="FC116" s="384"/>
      <c r="FD116" s="385"/>
      <c r="FE116" s="210"/>
      <c r="FF116" s="211"/>
      <c r="FG116" s="212"/>
      <c r="FH116" s="212"/>
    </row>
    <row r="117" spans="1:164" s="386" customFormat="1" ht="14" hidden="1" customHeight="1">
      <c r="A117" s="208" t="str">
        <f t="shared" si="89"/>
        <v>ok</v>
      </c>
      <c r="B117" s="151"/>
      <c r="C117" s="151"/>
      <c r="D117" s="151"/>
      <c r="E117" s="151"/>
      <c r="F117" s="151"/>
      <c r="G117" s="151"/>
      <c r="H117" s="151"/>
      <c r="I117" s="171" t="s">
        <v>414</v>
      </c>
      <c r="J117" s="164" t="s">
        <v>412</v>
      </c>
      <c r="K117" s="247" t="s">
        <v>415</v>
      </c>
      <c r="L117" s="233" t="s">
        <v>402</v>
      </c>
      <c r="M117" s="163" t="s">
        <v>61</v>
      </c>
      <c r="N117" s="172"/>
      <c r="O117" s="172"/>
      <c r="P117" s="172"/>
      <c r="Q117" s="161"/>
      <c r="R117" s="162"/>
      <c r="S117" s="161"/>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209"/>
      <c r="CT117" s="209"/>
      <c r="CU117" s="375"/>
      <c r="CV117" s="209"/>
      <c r="CW117" s="152"/>
      <c r="CX117" s="152"/>
      <c r="CY117" s="208"/>
      <c r="CZ117" s="208"/>
      <c r="DA117" s="152"/>
      <c r="DB117" s="152"/>
      <c r="DC117" s="153"/>
      <c r="DD117" s="153" t="s">
        <v>374</v>
      </c>
      <c r="DE117" s="153" t="s">
        <v>45</v>
      </c>
      <c r="DF117" s="383" t="s">
        <v>1680</v>
      </c>
      <c r="DG117" s="213"/>
      <c r="DH117" s="227">
        <v>21.31</v>
      </c>
      <c r="DI117" s="153" t="s">
        <v>374</v>
      </c>
      <c r="DJ117" s="228">
        <f>4*6</f>
        <v>24</v>
      </c>
      <c r="DK117" s="227">
        <v>21.31</v>
      </c>
      <c r="DL117" s="227">
        <v>15000</v>
      </c>
      <c r="DM117" s="181">
        <f>DL117*DK117*1.1</f>
        <v>351615</v>
      </c>
      <c r="DN117" s="446">
        <f t="shared" si="156"/>
        <v>0.1</v>
      </c>
      <c r="DO117" s="182">
        <f>DL117*DK117</f>
        <v>319650</v>
      </c>
      <c r="DP117" s="275">
        <v>45957</v>
      </c>
      <c r="DQ117" s="152"/>
      <c r="DR117" s="152"/>
      <c r="DS117" s="151"/>
      <c r="DT117" s="275"/>
      <c r="DU117" s="370"/>
      <c r="DV117" s="208"/>
      <c r="DW117" s="208"/>
      <c r="DX117" s="152"/>
      <c r="DY117" s="152"/>
      <c r="DZ117" s="152"/>
      <c r="EA117" s="152"/>
      <c r="EB117" s="152"/>
      <c r="EC117" s="152"/>
      <c r="ED117" s="152"/>
      <c r="EE117" s="371"/>
      <c r="EF117" s="371"/>
      <c r="EG117" s="153"/>
      <c r="EH117" s="153"/>
      <c r="EI117" s="153"/>
      <c r="EJ117" s="153"/>
      <c r="EK117" s="153"/>
      <c r="EL117" s="153"/>
      <c r="EM117" s="153"/>
      <c r="EN117" s="153"/>
      <c r="EO117" s="152"/>
      <c r="EP117" s="151"/>
      <c r="EQ117" s="153"/>
      <c r="ER117" s="153"/>
      <c r="ES117" s="153"/>
      <c r="ET117" s="153"/>
      <c r="EU117" s="152"/>
      <c r="EV117" s="152"/>
      <c r="EW117" s="152"/>
      <c r="EX117" s="152"/>
      <c r="EY117" s="151"/>
      <c r="EZ117" s="152"/>
      <c r="FA117" s="372"/>
      <c r="FB117" s="373"/>
      <c r="FC117" s="384"/>
      <c r="FD117" s="385"/>
      <c r="FE117" s="210"/>
      <c r="FF117" s="211"/>
      <c r="FG117" s="212"/>
      <c r="FH117" s="212"/>
    </row>
    <row r="118" spans="1:164" s="157" customFormat="1" ht="14" hidden="1" customHeight="1">
      <c r="A118" s="208" t="str">
        <f t="shared" si="89"/>
        <v>Hiện</v>
      </c>
      <c r="B118" s="151" t="str">
        <f t="shared" si="84"/>
        <v>Thừa</v>
      </c>
      <c r="C118" s="151">
        <f t="shared" ref="C118:C126" si="159">EW118</f>
        <v>-9.9999999999999867E-2</v>
      </c>
      <c r="D118" s="151"/>
      <c r="E118" s="151"/>
      <c r="F118" s="151"/>
      <c r="G118" s="151"/>
      <c r="H118" s="151"/>
      <c r="I118" s="171" t="s">
        <v>416</v>
      </c>
      <c r="J118" s="164" t="s">
        <v>412</v>
      </c>
      <c r="K118" s="247" t="s">
        <v>417</v>
      </c>
      <c r="L118" s="233" t="s">
        <v>402</v>
      </c>
      <c r="M118" s="163" t="s">
        <v>61</v>
      </c>
      <c r="N118" s="172">
        <v>5.5555555555555554</v>
      </c>
      <c r="O118" s="172">
        <v>0.9</v>
      </c>
      <c r="P118" s="172">
        <v>5</v>
      </c>
      <c r="Q118" s="161"/>
      <c r="R118" s="162"/>
      <c r="S118" s="161"/>
      <c r="T118" s="162"/>
      <c r="U118" s="162"/>
      <c r="V118" s="162"/>
      <c r="W118" s="162">
        <v>1.1000000000000001</v>
      </c>
      <c r="X118" s="162">
        <v>6.1111111111111116</v>
      </c>
      <c r="Y118" s="162">
        <v>0</v>
      </c>
      <c r="Z118" s="162">
        <v>0</v>
      </c>
      <c r="AA118" s="162">
        <v>0</v>
      </c>
      <c r="AB118" s="162">
        <v>0</v>
      </c>
      <c r="AC118" s="162">
        <v>0</v>
      </c>
      <c r="AD118" s="162">
        <v>0</v>
      </c>
      <c r="AE118" s="162">
        <v>0</v>
      </c>
      <c r="AF118" s="162">
        <v>0</v>
      </c>
      <c r="AG118" s="162">
        <v>0</v>
      </c>
      <c r="AH118" s="162">
        <v>0</v>
      </c>
      <c r="AI118" s="162">
        <f>VLOOKUP(I118,'[119]MTO-rev09'!$A:$O,11,0)</f>
        <v>0</v>
      </c>
      <c r="AJ118" s="162">
        <f>VLOOKUP(I118,'[119]MTO-rev09'!$A:$O,12,0)</f>
        <v>0</v>
      </c>
      <c r="AK118" s="162">
        <v>0</v>
      </c>
      <c r="AL118" s="162">
        <v>0</v>
      </c>
      <c r="AM118" s="162"/>
      <c r="AN118" s="162"/>
      <c r="AO118" s="162">
        <v>0</v>
      </c>
      <c r="AP118" s="162">
        <v>0</v>
      </c>
      <c r="AQ118" s="162">
        <v>0</v>
      </c>
      <c r="AR118" s="162">
        <v>0</v>
      </c>
      <c r="AS118" s="162">
        <v>0</v>
      </c>
      <c r="AT118" s="162">
        <v>0</v>
      </c>
      <c r="AU118" s="162">
        <v>0</v>
      </c>
      <c r="AV118" s="162">
        <v>0</v>
      </c>
      <c r="AW118" s="162">
        <v>0</v>
      </c>
      <c r="AX118" s="162">
        <v>0</v>
      </c>
      <c r="AY118" s="162">
        <v>0</v>
      </c>
      <c r="AZ118" s="162">
        <v>0</v>
      </c>
      <c r="BA118" s="162"/>
      <c r="BB118" s="162"/>
      <c r="BC118" s="162">
        <v>0</v>
      </c>
      <c r="BD118" s="162">
        <v>0</v>
      </c>
      <c r="BE118" s="162">
        <v>0</v>
      </c>
      <c r="BF118" s="162">
        <v>0</v>
      </c>
      <c r="BG118" s="162">
        <v>0</v>
      </c>
      <c r="BH118" s="162">
        <v>0</v>
      </c>
      <c r="BI118" s="162">
        <v>0</v>
      </c>
      <c r="BJ118" s="162">
        <v>0</v>
      </c>
      <c r="BK118" s="162">
        <v>0</v>
      </c>
      <c r="BL118" s="162">
        <v>0</v>
      </c>
      <c r="BM118" s="162">
        <v>0</v>
      </c>
      <c r="BN118" s="162">
        <v>0</v>
      </c>
      <c r="BO118" s="162"/>
      <c r="BP118" s="162"/>
      <c r="BQ118" s="162">
        <v>0</v>
      </c>
      <c r="BR118" s="162">
        <v>0</v>
      </c>
      <c r="BS118" s="162">
        <v>0</v>
      </c>
      <c r="BT118" s="162">
        <v>0</v>
      </c>
      <c r="BU118" s="162">
        <v>0</v>
      </c>
      <c r="BV118" s="162">
        <v>0</v>
      </c>
      <c r="BW118" s="162"/>
      <c r="BX118" s="162"/>
      <c r="BY118" s="162">
        <v>0</v>
      </c>
      <c r="BZ118" s="162">
        <v>0</v>
      </c>
      <c r="CA118" s="162">
        <v>0</v>
      </c>
      <c r="CB118" s="162">
        <v>0</v>
      </c>
      <c r="CC118" s="162">
        <v>0</v>
      </c>
      <c r="CD118" s="162">
        <v>0</v>
      </c>
      <c r="CE118" s="162">
        <f>VLOOKUP(I118,[120]REV33!$A:$O,11,0)</f>
        <v>0</v>
      </c>
      <c r="CF118" s="162">
        <f>VLOOKUP(I118,[120]REV33!$A:$O,12,0)</f>
        <v>0</v>
      </c>
      <c r="CG118" s="162"/>
      <c r="CH118" s="162"/>
      <c r="CI118" s="162"/>
      <c r="CJ118" s="162"/>
      <c r="CK118" s="162"/>
      <c r="CL118" s="162"/>
      <c r="CM118" s="162"/>
      <c r="CN118" s="162"/>
      <c r="CO118" s="162">
        <v>0</v>
      </c>
      <c r="CP118" s="162">
        <v>0</v>
      </c>
      <c r="CQ118" s="162">
        <v>0</v>
      </c>
      <c r="CR118" s="162">
        <v>0</v>
      </c>
      <c r="CS118" s="209">
        <f>Q118+S118+U118+W118+Y118+AA118+AC118+AE118+AG118+AI118+AK118+AM118+AO118+AQ118+AS118+AU118+AW118+AY118+BA118+BC118+BE118+BG118+BI118+BK118+BM118+BO118+BQ118+BS118+BU118+BW118+BY118+CA118+CC118+CE118+CG118+CI118+CK118+CM118+CO118+CQ118</f>
        <v>1.1000000000000001</v>
      </c>
      <c r="CT118" s="209">
        <f>R118+T118+V118+X118+Z118+AB118+AD118+AF118+AH118+AJ118+AL118+AN118+AP118+AR118+AT118+AV118+AX118+AZ118+BB118+BD118+BF118+BH118+BJ118+BL118+BN118+BP118+BR118+BT118+BV118+BX118+BZ118+CB118+CD118+CF118+CH118+CJ118+CL118+CN118+CP118+CR118</f>
        <v>6.1111111111111116</v>
      </c>
      <c r="CU118" s="375" t="s">
        <v>436</v>
      </c>
      <c r="CV118" s="208"/>
      <c r="CW118" s="152"/>
      <c r="CX118" s="152"/>
      <c r="CY118" s="208"/>
      <c r="CZ118" s="208"/>
      <c r="DA118" s="152">
        <f t="shared" ref="DA118:DA126" si="160">IF(CS118&gt;CW118,CS118-CW118,"0")</f>
        <v>1.1000000000000001</v>
      </c>
      <c r="DB118" s="152">
        <f t="shared" ref="DB118:DB126" si="161">IF(CT118&gt;CX118,CT118-CX118,"0")</f>
        <v>6.1111111111111116</v>
      </c>
      <c r="DC118" s="153">
        <v>45833</v>
      </c>
      <c r="DD118" s="153" t="s">
        <v>374</v>
      </c>
      <c r="DE118" s="153" t="s">
        <v>452</v>
      </c>
      <c r="DF118" s="156" t="s">
        <v>417</v>
      </c>
      <c r="DG118" s="368" t="s">
        <v>453</v>
      </c>
      <c r="DH118" s="181">
        <v>7</v>
      </c>
      <c r="DI118" s="153" t="s">
        <v>374</v>
      </c>
      <c r="DJ118" s="1000">
        <v>1.2</v>
      </c>
      <c r="DK118" s="181">
        <v>7</v>
      </c>
      <c r="DL118" s="182">
        <f>19000/1.1</f>
        <v>17272.727272727272</v>
      </c>
      <c r="DM118" s="181">
        <f>DL118*DK118*1.1</f>
        <v>133000</v>
      </c>
      <c r="DN118" s="446">
        <f t="shared" si="156"/>
        <v>9.9999999999999978E-2</v>
      </c>
      <c r="DO118" s="182">
        <f>DL118*DK118</f>
        <v>120909.09090909091</v>
      </c>
      <c r="DP118" s="275">
        <v>45815</v>
      </c>
      <c r="DQ118" s="152">
        <f>SUMIF($I:$I,I118,$DJ:$DJ)</f>
        <v>1.2</v>
      </c>
      <c r="DR118" s="152">
        <f>SUMIF($I:$I,I118,$DK:$DK)</f>
        <v>7</v>
      </c>
      <c r="DS118" s="151"/>
      <c r="DT118" s="275"/>
      <c r="DU118" s="370"/>
      <c r="DV118" s="208"/>
      <c r="DW118" s="208"/>
      <c r="DX118" s="152"/>
      <c r="DY118" s="152"/>
      <c r="DZ118" s="152"/>
      <c r="EA118" s="152"/>
      <c r="EB118" s="152"/>
      <c r="EC118" s="152"/>
      <c r="ED118" s="152"/>
      <c r="EE118" s="371"/>
      <c r="EF118" s="371"/>
      <c r="EG118" s="153"/>
      <c r="EH118" s="153"/>
      <c r="EI118" s="153"/>
      <c r="EJ118" s="153"/>
      <c r="EK118" s="153"/>
      <c r="EL118" s="153"/>
      <c r="EM118" s="153"/>
      <c r="EN118" s="153"/>
      <c r="EO118" s="152">
        <f>SUMIF($I:$I,I118,$EC:$EC)</f>
        <v>0</v>
      </c>
      <c r="EP118" s="151">
        <f>SUMIF($I:$I,I118,$ED:$ED)</f>
        <v>0</v>
      </c>
      <c r="EQ118" s="153"/>
      <c r="ER118" s="153"/>
      <c r="ES118" s="153"/>
      <c r="ET118" s="153"/>
      <c r="EU118" s="152">
        <f t="shared" ref="EU118:EU126" si="162">DQ118+EO118</f>
        <v>1.2</v>
      </c>
      <c r="EV118" s="152">
        <f t="shared" ref="EV118:EV126" si="163">DR118+EP118</f>
        <v>7</v>
      </c>
      <c r="EW118" s="152">
        <f t="shared" ref="EW118:EW126" si="164">DA118-EU118</f>
        <v>-9.9999999999999867E-2</v>
      </c>
      <c r="EX118" s="152">
        <f t="shared" ref="EX118:EX126" si="165">DB118-EV118</f>
        <v>-0.8888888888888884</v>
      </c>
      <c r="EY118" s="151" t="str">
        <f t="shared" ref="EY118:EY126" si="166">IF(EW118&lt;0,"Thừa",IF(EW118=0,"Đủ","Thiếu"))</f>
        <v>Thừa</v>
      </c>
      <c r="EZ118" s="152"/>
      <c r="FA118" s="372"/>
      <c r="FB118" s="373"/>
      <c r="FC118" s="367"/>
      <c r="FD118" s="374"/>
      <c r="FE118" s="183"/>
      <c r="FF118" s="184"/>
      <c r="FG118" s="185"/>
      <c r="FH118" s="185"/>
    </row>
    <row r="119" spans="1:164" s="157" customFormat="1" ht="14" hidden="1" customHeight="1">
      <c r="A119" s="208" t="str">
        <f t="shared" si="89"/>
        <v>Hiện</v>
      </c>
      <c r="B119" s="151" t="str">
        <f t="shared" si="84"/>
        <v>Thừa</v>
      </c>
      <c r="C119" s="151">
        <f t="shared" si="159"/>
        <v>-4.9999999999998934E-2</v>
      </c>
      <c r="D119" s="151"/>
      <c r="E119" s="151"/>
      <c r="F119" s="151"/>
      <c r="G119" s="151"/>
      <c r="H119" s="151"/>
      <c r="I119" s="171" t="s">
        <v>418</v>
      </c>
      <c r="J119" s="164" t="s">
        <v>412</v>
      </c>
      <c r="K119" s="247" t="s">
        <v>419</v>
      </c>
      <c r="L119" s="233" t="s">
        <v>402</v>
      </c>
      <c r="M119" s="163" t="s">
        <v>61</v>
      </c>
      <c r="N119" s="172">
        <v>9.8765432098765427</v>
      </c>
      <c r="O119" s="172">
        <v>11.999999999999998</v>
      </c>
      <c r="P119" s="172">
        <v>116.99999999999999</v>
      </c>
      <c r="Q119" s="161"/>
      <c r="R119" s="162"/>
      <c r="S119" s="161"/>
      <c r="T119" s="162"/>
      <c r="U119" s="162"/>
      <c r="V119" s="162"/>
      <c r="W119" s="162">
        <v>13.200000000000001</v>
      </c>
      <c r="X119" s="162">
        <v>130.37037037037038</v>
      </c>
      <c r="Y119" s="162">
        <v>0</v>
      </c>
      <c r="Z119" s="162">
        <v>0</v>
      </c>
      <c r="AA119" s="162">
        <v>0</v>
      </c>
      <c r="AB119" s="162">
        <v>0</v>
      </c>
      <c r="AC119" s="162">
        <v>0</v>
      </c>
      <c r="AD119" s="162">
        <v>0</v>
      </c>
      <c r="AE119" s="162">
        <v>0</v>
      </c>
      <c r="AF119" s="162">
        <v>0</v>
      </c>
      <c r="AG119" s="162">
        <v>0</v>
      </c>
      <c r="AH119" s="162">
        <v>0</v>
      </c>
      <c r="AI119" s="162">
        <f>VLOOKUP(I119,'[119]MTO-rev09'!$A:$O,11,0)</f>
        <v>0</v>
      </c>
      <c r="AJ119" s="162">
        <f>VLOOKUP(I119,'[119]MTO-rev09'!$A:$O,12,0)</f>
        <v>0</v>
      </c>
      <c r="AK119" s="162">
        <v>0</v>
      </c>
      <c r="AL119" s="162">
        <v>0</v>
      </c>
      <c r="AM119" s="162"/>
      <c r="AN119" s="162"/>
      <c r="AO119" s="162">
        <v>0</v>
      </c>
      <c r="AP119" s="162">
        <v>0</v>
      </c>
      <c r="AQ119" s="162">
        <v>0</v>
      </c>
      <c r="AR119" s="162">
        <v>0</v>
      </c>
      <c r="AS119" s="162">
        <v>0</v>
      </c>
      <c r="AT119" s="162">
        <v>0</v>
      </c>
      <c r="AU119" s="162">
        <v>0</v>
      </c>
      <c r="AV119" s="162">
        <v>0</v>
      </c>
      <c r="AW119" s="162">
        <v>0</v>
      </c>
      <c r="AX119" s="162">
        <v>0</v>
      </c>
      <c r="AY119" s="162">
        <v>0</v>
      </c>
      <c r="AZ119" s="162">
        <v>0</v>
      </c>
      <c r="BA119" s="162"/>
      <c r="BB119" s="162"/>
      <c r="BC119" s="162">
        <v>0</v>
      </c>
      <c r="BD119" s="162">
        <v>0</v>
      </c>
      <c r="BE119" s="162">
        <v>0</v>
      </c>
      <c r="BF119" s="162">
        <v>0</v>
      </c>
      <c r="BG119" s="162">
        <v>0</v>
      </c>
      <c r="BH119" s="162">
        <v>0</v>
      </c>
      <c r="BI119" s="162">
        <v>0</v>
      </c>
      <c r="BJ119" s="162">
        <v>0</v>
      </c>
      <c r="BK119" s="162">
        <v>0</v>
      </c>
      <c r="BL119" s="162">
        <v>0</v>
      </c>
      <c r="BM119" s="162">
        <v>0</v>
      </c>
      <c r="BN119" s="162">
        <v>0</v>
      </c>
      <c r="BO119" s="162"/>
      <c r="BP119" s="162"/>
      <c r="BQ119" s="162">
        <v>0</v>
      </c>
      <c r="BR119" s="162">
        <v>0</v>
      </c>
      <c r="BS119" s="162">
        <v>0</v>
      </c>
      <c r="BT119" s="162">
        <v>0</v>
      </c>
      <c r="BU119" s="162">
        <v>0</v>
      </c>
      <c r="BV119" s="162">
        <v>0</v>
      </c>
      <c r="BW119" s="162"/>
      <c r="BX119" s="162"/>
      <c r="BY119" s="162">
        <v>0</v>
      </c>
      <c r="BZ119" s="162">
        <v>0</v>
      </c>
      <c r="CA119" s="162">
        <v>0</v>
      </c>
      <c r="CB119" s="162">
        <v>0</v>
      </c>
      <c r="CC119" s="162">
        <v>0</v>
      </c>
      <c r="CD119" s="162">
        <v>0</v>
      </c>
      <c r="CE119" s="162">
        <f>VLOOKUP(I119,[120]REV33!$A:$O,11,0)</f>
        <v>0</v>
      </c>
      <c r="CF119" s="162">
        <f>VLOOKUP(I119,[120]REV33!$A:$O,12,0)</f>
        <v>0</v>
      </c>
      <c r="CG119" s="162"/>
      <c r="CH119" s="162"/>
      <c r="CI119" s="162"/>
      <c r="CJ119" s="162"/>
      <c r="CK119" s="162"/>
      <c r="CL119" s="162"/>
      <c r="CM119" s="162"/>
      <c r="CN119" s="162"/>
      <c r="CO119" s="162">
        <v>0</v>
      </c>
      <c r="CP119" s="162">
        <v>0</v>
      </c>
      <c r="CQ119" s="162">
        <v>0</v>
      </c>
      <c r="CR119" s="162">
        <v>0</v>
      </c>
      <c r="CS119" s="209">
        <f>Q119+S119+U119+W119+Y119+AA119+AC119+AE119+AG119+AI119+AK119+AM119+AO119+AQ119+AS119+AU119+AW119+AY119+BA119+BC119+BE119+BG119+BI119+BK119+BM119+BO119+BQ119+BS119+BU119+BW119+BY119+CA119+CC119+CE119+CG119+CI119+CK119+CM119+CO119+CQ119</f>
        <v>13.200000000000001</v>
      </c>
      <c r="CT119" s="209">
        <f>R119+T119+V119+X119+Z119+AB119+AD119+AF119+AH119+AJ119+AL119+AN119+AP119+AR119+AT119+AV119+AX119+AZ119+BB119+BD119+BF119+BH119+BJ119+BL119+BN119+BP119+BR119+BT119+BV119+BX119+BZ119+CB119+CD119+CF119+CH119+CJ119+CL119+CN119+CP119+CR119</f>
        <v>130.37037037037038</v>
      </c>
      <c r="CU119" s="375" t="s">
        <v>436</v>
      </c>
      <c r="CV119" s="209"/>
      <c r="CW119" s="152"/>
      <c r="CX119" s="152"/>
      <c r="CY119" s="208"/>
      <c r="CZ119" s="208"/>
      <c r="DA119" s="152">
        <f t="shared" si="160"/>
        <v>13.200000000000001</v>
      </c>
      <c r="DB119" s="152">
        <f t="shared" si="161"/>
        <v>130.37037037037038</v>
      </c>
      <c r="DC119" s="153">
        <v>45833</v>
      </c>
      <c r="DD119" s="153" t="s">
        <v>374</v>
      </c>
      <c r="DE119" s="153" t="s">
        <v>452</v>
      </c>
      <c r="DF119" s="156" t="s">
        <v>419</v>
      </c>
      <c r="DG119" s="368" t="s">
        <v>453</v>
      </c>
      <c r="DH119" s="181">
        <v>130</v>
      </c>
      <c r="DI119" s="153" t="s">
        <v>374</v>
      </c>
      <c r="DJ119" s="1000">
        <f>12+1.25</f>
        <v>13.25</v>
      </c>
      <c r="DK119" s="181">
        <v>130</v>
      </c>
      <c r="DL119" s="182">
        <f t="shared" ref="DL119:DL120" si="167">19000/1.1</f>
        <v>17272.727272727272</v>
      </c>
      <c r="DM119" s="181">
        <f>DL119*DK119*1.1</f>
        <v>2470000</v>
      </c>
      <c r="DN119" s="446">
        <f t="shared" si="156"/>
        <v>0.10000000000000002</v>
      </c>
      <c r="DO119" s="182">
        <f>DL119*DK119</f>
        <v>2245454.5454545454</v>
      </c>
      <c r="DP119" s="275">
        <v>45815</v>
      </c>
      <c r="DQ119" s="152">
        <f>SUMIF($I:$I,I119,$DJ:$DJ)</f>
        <v>13.25</v>
      </c>
      <c r="DR119" s="152">
        <f>SUMIF($I:$I,I119,$DK:$DK)</f>
        <v>130</v>
      </c>
      <c r="DS119" s="151"/>
      <c r="DT119" s="275"/>
      <c r="DU119" s="370"/>
      <c r="DV119" s="208"/>
      <c r="DW119" s="208"/>
      <c r="DX119" s="152"/>
      <c r="DY119" s="152"/>
      <c r="DZ119" s="152"/>
      <c r="EA119" s="152"/>
      <c r="EB119" s="152"/>
      <c r="EC119" s="152"/>
      <c r="ED119" s="152"/>
      <c r="EE119" s="371"/>
      <c r="EF119" s="371"/>
      <c r="EG119" s="153"/>
      <c r="EH119" s="153"/>
      <c r="EI119" s="153"/>
      <c r="EJ119" s="153"/>
      <c r="EK119" s="153"/>
      <c r="EL119" s="153"/>
      <c r="EM119" s="153"/>
      <c r="EN119" s="153"/>
      <c r="EO119" s="152">
        <f>SUMIF($I:$I,I119,$EC:$EC)</f>
        <v>0</v>
      </c>
      <c r="EP119" s="151">
        <f>SUMIF($I:$I,I119,$ED:$ED)</f>
        <v>0</v>
      </c>
      <c r="EQ119" s="153"/>
      <c r="ER119" s="153"/>
      <c r="ES119" s="153"/>
      <c r="ET119" s="153"/>
      <c r="EU119" s="152">
        <f t="shared" si="162"/>
        <v>13.25</v>
      </c>
      <c r="EV119" s="152">
        <f t="shared" si="163"/>
        <v>130</v>
      </c>
      <c r="EW119" s="152">
        <f t="shared" si="164"/>
        <v>-4.9999999999998934E-2</v>
      </c>
      <c r="EX119" s="152">
        <f t="shared" si="165"/>
        <v>0.3703703703703809</v>
      </c>
      <c r="EY119" s="151" t="str">
        <f t="shared" si="166"/>
        <v>Thừa</v>
      </c>
      <c r="EZ119" s="152"/>
      <c r="FA119" s="372"/>
      <c r="FB119" s="373"/>
      <c r="FC119" s="367"/>
      <c r="FD119" s="374"/>
      <c r="FE119" s="183"/>
      <c r="FF119" s="184"/>
      <c r="FG119" s="185"/>
      <c r="FH119" s="185"/>
    </row>
    <row r="120" spans="1:164" s="157" customFormat="1" ht="14" hidden="1" customHeight="1">
      <c r="A120" s="208" t="str">
        <f t="shared" si="89"/>
        <v>Hiện</v>
      </c>
      <c r="B120" s="151" t="str">
        <f t="shared" si="84"/>
        <v>Đủ</v>
      </c>
      <c r="C120" s="151">
        <f t="shared" si="159"/>
        <v>0</v>
      </c>
      <c r="D120" s="151"/>
      <c r="E120" s="151"/>
      <c r="F120" s="151"/>
      <c r="G120" s="151"/>
      <c r="H120" s="151"/>
      <c r="I120" s="171" t="s">
        <v>420</v>
      </c>
      <c r="J120" s="164" t="s">
        <v>412</v>
      </c>
      <c r="K120" s="247" t="s">
        <v>421</v>
      </c>
      <c r="L120" s="233" t="s">
        <v>402</v>
      </c>
      <c r="M120" s="163" t="s">
        <v>61</v>
      </c>
      <c r="N120" s="172">
        <v>39.506172839506171</v>
      </c>
      <c r="O120" s="172">
        <v>2.9999999999999996</v>
      </c>
      <c r="P120" s="172">
        <v>81</v>
      </c>
      <c r="Q120" s="161"/>
      <c r="R120" s="162"/>
      <c r="S120" s="161"/>
      <c r="T120" s="162"/>
      <c r="U120" s="162"/>
      <c r="V120" s="162"/>
      <c r="W120" s="162">
        <v>4</v>
      </c>
      <c r="X120" s="162">
        <v>158.02469135802468</v>
      </c>
      <c r="Y120" s="162">
        <v>0</v>
      </c>
      <c r="Z120" s="162">
        <v>0</v>
      </c>
      <c r="AA120" s="162">
        <v>0</v>
      </c>
      <c r="AB120" s="162">
        <v>0</v>
      </c>
      <c r="AC120" s="162">
        <v>0</v>
      </c>
      <c r="AD120" s="162">
        <v>0</v>
      </c>
      <c r="AE120" s="162">
        <v>0</v>
      </c>
      <c r="AF120" s="162">
        <v>0</v>
      </c>
      <c r="AG120" s="162">
        <v>0</v>
      </c>
      <c r="AH120" s="162">
        <v>0</v>
      </c>
      <c r="AI120" s="162">
        <f>VLOOKUP(I120,'[119]MTO-rev09'!$A:$O,11,0)</f>
        <v>0</v>
      </c>
      <c r="AJ120" s="162">
        <f>VLOOKUP(I120,'[119]MTO-rev09'!$A:$O,12,0)</f>
        <v>0</v>
      </c>
      <c r="AK120" s="162">
        <v>0</v>
      </c>
      <c r="AL120" s="162">
        <v>0</v>
      </c>
      <c r="AM120" s="162"/>
      <c r="AN120" s="162"/>
      <c r="AO120" s="162">
        <v>0</v>
      </c>
      <c r="AP120" s="162">
        <v>0</v>
      </c>
      <c r="AQ120" s="162">
        <v>0</v>
      </c>
      <c r="AR120" s="162">
        <v>0</v>
      </c>
      <c r="AS120" s="162">
        <v>0</v>
      </c>
      <c r="AT120" s="162">
        <v>0</v>
      </c>
      <c r="AU120" s="162">
        <v>0</v>
      </c>
      <c r="AV120" s="162">
        <v>0</v>
      </c>
      <c r="AW120" s="162">
        <v>0</v>
      </c>
      <c r="AX120" s="162">
        <v>0</v>
      </c>
      <c r="AY120" s="162">
        <v>0</v>
      </c>
      <c r="AZ120" s="162">
        <v>0</v>
      </c>
      <c r="BA120" s="162"/>
      <c r="BB120" s="162"/>
      <c r="BC120" s="162">
        <v>0</v>
      </c>
      <c r="BD120" s="162">
        <v>0</v>
      </c>
      <c r="BE120" s="162">
        <v>0</v>
      </c>
      <c r="BF120" s="162">
        <v>0</v>
      </c>
      <c r="BG120" s="162">
        <v>0</v>
      </c>
      <c r="BH120" s="162">
        <v>0</v>
      </c>
      <c r="BI120" s="162">
        <v>0</v>
      </c>
      <c r="BJ120" s="162">
        <v>0</v>
      </c>
      <c r="BK120" s="162">
        <v>0</v>
      </c>
      <c r="BL120" s="162">
        <v>0</v>
      </c>
      <c r="BM120" s="162">
        <v>0</v>
      </c>
      <c r="BN120" s="162">
        <v>0</v>
      </c>
      <c r="BO120" s="162"/>
      <c r="BP120" s="162"/>
      <c r="BQ120" s="162">
        <v>0</v>
      </c>
      <c r="BR120" s="162">
        <v>0</v>
      </c>
      <c r="BS120" s="162">
        <v>0</v>
      </c>
      <c r="BT120" s="162">
        <v>0</v>
      </c>
      <c r="BU120" s="162">
        <v>0</v>
      </c>
      <c r="BV120" s="162">
        <v>0</v>
      </c>
      <c r="BW120" s="162"/>
      <c r="BX120" s="162"/>
      <c r="BY120" s="162">
        <v>0</v>
      </c>
      <c r="BZ120" s="162">
        <v>0</v>
      </c>
      <c r="CA120" s="162">
        <v>0</v>
      </c>
      <c r="CB120" s="162">
        <v>0</v>
      </c>
      <c r="CC120" s="162">
        <v>0</v>
      </c>
      <c r="CD120" s="162">
        <v>0</v>
      </c>
      <c r="CE120" s="162">
        <f>VLOOKUP(I120,[120]REV33!$A:$O,11,0)</f>
        <v>0</v>
      </c>
      <c r="CF120" s="162">
        <f>VLOOKUP(I120,[120]REV33!$A:$O,12,0)</f>
        <v>0</v>
      </c>
      <c r="CG120" s="162"/>
      <c r="CH120" s="162"/>
      <c r="CI120" s="162"/>
      <c r="CJ120" s="162"/>
      <c r="CK120" s="162"/>
      <c r="CL120" s="162"/>
      <c r="CM120" s="162"/>
      <c r="CN120" s="162"/>
      <c r="CO120" s="162">
        <v>0</v>
      </c>
      <c r="CP120" s="162">
        <v>0</v>
      </c>
      <c r="CQ120" s="162">
        <v>0</v>
      </c>
      <c r="CR120" s="162">
        <v>0</v>
      </c>
      <c r="CS120" s="209">
        <f>Q120+S120+U120+W120+Y120+AA120+AC120+AE120+AG120+AI120+AK120+AM120+AO120+AQ120+AS120+AU120+AW120+AY120+BA120+BC120+BE120+BG120+BI120+BK120+BM120+BO120+BQ120+BS120+BU120+BW120+BY120+CA120+CC120+CE120+CG120+CI120+CK120+CM120+CO120+CQ120</f>
        <v>4</v>
      </c>
      <c r="CT120" s="209">
        <f>R120+T120+V120+X120+Z120+AB120+AD120+AF120+AH120+AJ120+AL120+AN120+AP120+AR120+AT120+AV120+AX120+AZ120+BB120+BD120+BF120+BH120+BJ120+BL120+BN120+BP120+BR120+BT120+BV120+BX120+BZ120+CB120+CD120+CF120+CH120+CJ120+CL120+CN120+CP120+CR120</f>
        <v>158.02469135802468</v>
      </c>
      <c r="CU120" s="375" t="s">
        <v>436</v>
      </c>
      <c r="CV120" s="209"/>
      <c r="CW120" s="152"/>
      <c r="CX120" s="152"/>
      <c r="CY120" s="208"/>
      <c r="CZ120" s="208"/>
      <c r="DA120" s="152">
        <f t="shared" si="160"/>
        <v>4</v>
      </c>
      <c r="DB120" s="152">
        <f t="shared" si="161"/>
        <v>158.02469135802468</v>
      </c>
      <c r="DC120" s="153">
        <v>45833</v>
      </c>
      <c r="DD120" s="153" t="s">
        <v>374</v>
      </c>
      <c r="DE120" s="153" t="s">
        <v>452</v>
      </c>
      <c r="DF120" s="156" t="s">
        <v>421</v>
      </c>
      <c r="DG120" s="368" t="s">
        <v>453</v>
      </c>
      <c r="DH120" s="181">
        <v>160</v>
      </c>
      <c r="DI120" s="153" t="s">
        <v>374</v>
      </c>
      <c r="DJ120" s="1000">
        <v>4</v>
      </c>
      <c r="DK120" s="181">
        <v>160</v>
      </c>
      <c r="DL120" s="182">
        <f t="shared" si="167"/>
        <v>17272.727272727272</v>
      </c>
      <c r="DM120" s="181">
        <f>DL120*DK120*1.1</f>
        <v>3040000</v>
      </c>
      <c r="DN120" s="446">
        <f t="shared" si="156"/>
        <v>0.10000000000000013</v>
      </c>
      <c r="DO120" s="182">
        <f>DL120*DK120</f>
        <v>2763636.3636363633</v>
      </c>
      <c r="DP120" s="275">
        <v>45815</v>
      </c>
      <c r="DQ120" s="152">
        <f>SUMIF($I:$I,I120,$DJ:$DJ)</f>
        <v>4</v>
      </c>
      <c r="DR120" s="152">
        <f>SUMIF($I:$I,I120,$DK:$DK)</f>
        <v>160</v>
      </c>
      <c r="DS120" s="151"/>
      <c r="DT120" s="275"/>
      <c r="DU120" s="370"/>
      <c r="DV120" s="208"/>
      <c r="DW120" s="208"/>
      <c r="DX120" s="152"/>
      <c r="DY120" s="152"/>
      <c r="DZ120" s="152"/>
      <c r="EA120" s="152"/>
      <c r="EB120" s="152"/>
      <c r="EC120" s="152"/>
      <c r="ED120" s="152"/>
      <c r="EE120" s="371"/>
      <c r="EF120" s="371"/>
      <c r="EG120" s="153"/>
      <c r="EH120" s="153"/>
      <c r="EI120" s="153"/>
      <c r="EJ120" s="153"/>
      <c r="EK120" s="153"/>
      <c r="EL120" s="153"/>
      <c r="EM120" s="153"/>
      <c r="EN120" s="153"/>
      <c r="EO120" s="152">
        <f>SUMIF($I:$I,I120,$EC:$EC)</f>
        <v>0</v>
      </c>
      <c r="EP120" s="151">
        <f>SUMIF($I:$I,I120,$ED:$ED)</f>
        <v>0</v>
      </c>
      <c r="EQ120" s="153"/>
      <c r="ER120" s="153"/>
      <c r="ES120" s="153"/>
      <c r="ET120" s="153"/>
      <c r="EU120" s="152">
        <f t="shared" si="162"/>
        <v>4</v>
      </c>
      <c r="EV120" s="152">
        <f t="shared" si="163"/>
        <v>160</v>
      </c>
      <c r="EW120" s="152">
        <f t="shared" si="164"/>
        <v>0</v>
      </c>
      <c r="EX120" s="152">
        <f t="shared" si="165"/>
        <v>-1.9753086419753174</v>
      </c>
      <c r="EY120" s="151" t="str">
        <f t="shared" si="166"/>
        <v>Đủ</v>
      </c>
      <c r="EZ120" s="152"/>
      <c r="FA120" s="372"/>
      <c r="FB120" s="373"/>
      <c r="FC120" s="367"/>
      <c r="FD120" s="374"/>
      <c r="FE120" s="183"/>
      <c r="FF120" s="184"/>
      <c r="FG120" s="185"/>
      <c r="FH120" s="185"/>
    </row>
    <row r="121" spans="1:164" s="157" customFormat="1" ht="14" hidden="1" customHeight="1">
      <c r="A121" s="208" t="str">
        <f t="shared" si="89"/>
        <v>Hiện</v>
      </c>
      <c r="B121" s="151" t="str">
        <f t="shared" si="84"/>
        <v>Đủ</v>
      </c>
      <c r="C121" s="151">
        <f t="shared" si="159"/>
        <v>0</v>
      </c>
      <c r="D121" s="151"/>
      <c r="E121" s="151"/>
      <c r="F121" s="151"/>
      <c r="G121" s="151"/>
      <c r="H121" s="151"/>
      <c r="I121" s="171" t="s">
        <v>422</v>
      </c>
      <c r="J121" s="164" t="s">
        <v>412</v>
      </c>
      <c r="K121" s="247" t="s">
        <v>423</v>
      </c>
      <c r="L121" s="233" t="s">
        <v>402</v>
      </c>
      <c r="M121" s="163" t="s">
        <v>61</v>
      </c>
      <c r="N121" s="172">
        <v>61.728395061728392</v>
      </c>
      <c r="O121" s="172">
        <v>0.8</v>
      </c>
      <c r="P121" s="172">
        <v>20</v>
      </c>
      <c r="Q121" s="161"/>
      <c r="R121" s="162"/>
      <c r="S121" s="161"/>
      <c r="T121" s="162"/>
      <c r="U121" s="162"/>
      <c r="V121" s="162"/>
      <c r="W121" s="162">
        <v>1.1000000000000001</v>
      </c>
      <c r="X121" s="162">
        <v>67.901234567901241</v>
      </c>
      <c r="Y121" s="162">
        <v>0</v>
      </c>
      <c r="Z121" s="162">
        <v>0</v>
      </c>
      <c r="AA121" s="162">
        <v>0</v>
      </c>
      <c r="AB121" s="162">
        <v>0</v>
      </c>
      <c r="AC121" s="162">
        <v>0</v>
      </c>
      <c r="AD121" s="162">
        <v>0</v>
      </c>
      <c r="AE121" s="162">
        <v>0</v>
      </c>
      <c r="AF121" s="162">
        <v>0</v>
      </c>
      <c r="AG121" s="162">
        <v>0</v>
      </c>
      <c r="AH121" s="162">
        <v>0</v>
      </c>
      <c r="AI121" s="162">
        <f>VLOOKUP(I121,'[119]MTO-rev09'!$A:$O,11,0)</f>
        <v>0</v>
      </c>
      <c r="AJ121" s="162">
        <f>VLOOKUP(I121,'[119]MTO-rev09'!$A:$O,12,0)</f>
        <v>0</v>
      </c>
      <c r="AK121" s="162">
        <v>0</v>
      </c>
      <c r="AL121" s="162">
        <v>0</v>
      </c>
      <c r="AM121" s="162"/>
      <c r="AN121" s="162"/>
      <c r="AO121" s="162">
        <v>0</v>
      </c>
      <c r="AP121" s="162">
        <v>0</v>
      </c>
      <c r="AQ121" s="162">
        <v>0</v>
      </c>
      <c r="AR121" s="162">
        <v>0</v>
      </c>
      <c r="AS121" s="162">
        <v>0</v>
      </c>
      <c r="AT121" s="162">
        <v>0</v>
      </c>
      <c r="AU121" s="162">
        <v>0</v>
      </c>
      <c r="AV121" s="162">
        <v>0</v>
      </c>
      <c r="AW121" s="162">
        <v>0</v>
      </c>
      <c r="AX121" s="162">
        <v>0</v>
      </c>
      <c r="AY121" s="162">
        <v>0</v>
      </c>
      <c r="AZ121" s="162">
        <v>0</v>
      </c>
      <c r="BA121" s="162"/>
      <c r="BB121" s="162"/>
      <c r="BC121" s="162">
        <v>0</v>
      </c>
      <c r="BD121" s="162">
        <v>0</v>
      </c>
      <c r="BE121" s="162">
        <v>0</v>
      </c>
      <c r="BF121" s="162">
        <v>0</v>
      </c>
      <c r="BG121" s="162">
        <v>0</v>
      </c>
      <c r="BH121" s="162">
        <v>0</v>
      </c>
      <c r="BI121" s="162">
        <v>0</v>
      </c>
      <c r="BJ121" s="162">
        <v>0</v>
      </c>
      <c r="BK121" s="162">
        <v>0</v>
      </c>
      <c r="BL121" s="162">
        <v>0</v>
      </c>
      <c r="BM121" s="162">
        <v>0</v>
      </c>
      <c r="BN121" s="162">
        <v>0</v>
      </c>
      <c r="BO121" s="162"/>
      <c r="BP121" s="162"/>
      <c r="BQ121" s="162">
        <v>0</v>
      </c>
      <c r="BR121" s="162">
        <v>0</v>
      </c>
      <c r="BS121" s="162">
        <v>0</v>
      </c>
      <c r="BT121" s="162">
        <v>0</v>
      </c>
      <c r="BU121" s="162">
        <v>0</v>
      </c>
      <c r="BV121" s="162">
        <v>0</v>
      </c>
      <c r="BW121" s="162"/>
      <c r="BX121" s="162"/>
      <c r="BY121" s="162">
        <v>0</v>
      </c>
      <c r="BZ121" s="162">
        <v>0</v>
      </c>
      <c r="CA121" s="162">
        <v>0</v>
      </c>
      <c r="CB121" s="162">
        <v>0</v>
      </c>
      <c r="CC121" s="162">
        <v>0</v>
      </c>
      <c r="CD121" s="162">
        <v>0</v>
      </c>
      <c r="CE121" s="162">
        <f>VLOOKUP(I121,[120]REV33!$A:$O,11,0)</f>
        <v>0</v>
      </c>
      <c r="CF121" s="162">
        <f>VLOOKUP(I121,[120]REV33!$A:$O,12,0)</f>
        <v>0</v>
      </c>
      <c r="CG121" s="162"/>
      <c r="CH121" s="162"/>
      <c r="CI121" s="162"/>
      <c r="CJ121" s="162"/>
      <c r="CK121" s="162"/>
      <c r="CL121" s="162"/>
      <c r="CM121" s="162"/>
      <c r="CN121" s="162"/>
      <c r="CO121" s="162">
        <v>0</v>
      </c>
      <c r="CP121" s="162">
        <v>0</v>
      </c>
      <c r="CQ121" s="162">
        <v>0</v>
      </c>
      <c r="CR121" s="162">
        <v>0</v>
      </c>
      <c r="CS121" s="209">
        <f>Q121+S121+U121+W121+Y121+AA121+AC121+AE121+AG121+AI121+AK121+AM121+AO121+AQ121+AS121+AU121+AW121+AY121+BA121+BC121+BE121+BG121+BI121+BK121+BM121+BO121+BQ121+BS121+BU121+BW121+BY121+CA121+CC121+CE121+CG121+CI121+CK121+CM121+CO121+CQ121</f>
        <v>1.1000000000000001</v>
      </c>
      <c r="CT121" s="209">
        <f>R121+T121+V121+X121+Z121+AB121+AD121+AF121+AH121+AJ121+AL121+AN121+AP121+AR121+AT121+AV121+AX121+AZ121+BB121+BD121+BF121+BH121+BJ121+BL121+BN121+BP121+BR121+BT121+BV121+BX121+BZ121+CB121+CD121+CF121+CH121+CJ121+CL121+CN121+CP121+CR121</f>
        <v>67.901234567901241</v>
      </c>
      <c r="CU121" s="375" t="s">
        <v>436</v>
      </c>
      <c r="CV121" s="208"/>
      <c r="CW121" s="152">
        <v>1.1000000000000001</v>
      </c>
      <c r="CX121" s="152">
        <v>67.901234567901241</v>
      </c>
      <c r="CY121" s="208"/>
      <c r="CZ121" s="208" t="s">
        <v>383</v>
      </c>
      <c r="DA121" s="152" t="str">
        <f t="shared" si="160"/>
        <v>0</v>
      </c>
      <c r="DB121" s="152" t="str">
        <f t="shared" si="161"/>
        <v>0</v>
      </c>
      <c r="DC121" s="153">
        <v>45833</v>
      </c>
      <c r="DD121" s="153"/>
      <c r="DE121" s="153"/>
      <c r="DF121" s="403"/>
      <c r="DG121" s="368"/>
      <c r="DH121" s="181"/>
      <c r="DI121" s="153"/>
      <c r="DJ121" s="1000"/>
      <c r="DK121" s="181"/>
      <c r="DL121" s="182"/>
      <c r="DM121" s="182"/>
      <c r="DN121" s="182"/>
      <c r="DO121" s="182"/>
      <c r="DP121" s="275"/>
      <c r="DQ121" s="152">
        <f>SUMIF($I:$I,I121,$DJ:$DJ)</f>
        <v>0</v>
      </c>
      <c r="DR121" s="152">
        <f>SUMIF($I:$I,I121,$DK:$DK)</f>
        <v>0</v>
      </c>
      <c r="DS121" s="151"/>
      <c r="DT121" s="275"/>
      <c r="DU121" s="370"/>
      <c r="DV121" s="208"/>
      <c r="DW121" s="208"/>
      <c r="DX121" s="152"/>
      <c r="DY121" s="152"/>
      <c r="DZ121" s="152"/>
      <c r="EA121" s="152"/>
      <c r="EB121" s="152"/>
      <c r="EC121" s="152"/>
      <c r="ED121" s="152"/>
      <c r="EE121" s="371"/>
      <c r="EF121" s="371"/>
      <c r="EG121" s="153"/>
      <c r="EH121" s="153"/>
      <c r="EI121" s="153"/>
      <c r="EJ121" s="153"/>
      <c r="EK121" s="153"/>
      <c r="EL121" s="153"/>
      <c r="EM121" s="153"/>
      <c r="EN121" s="153"/>
      <c r="EO121" s="152">
        <f>SUMIF($I:$I,I121,$EC:$EC)</f>
        <v>0</v>
      </c>
      <c r="EP121" s="151">
        <f>SUMIF($I:$I,I121,$ED:$ED)</f>
        <v>0</v>
      </c>
      <c r="EQ121" s="153"/>
      <c r="ER121" s="153"/>
      <c r="ES121" s="153"/>
      <c r="ET121" s="153"/>
      <c r="EU121" s="152">
        <f t="shared" si="162"/>
        <v>0</v>
      </c>
      <c r="EV121" s="152">
        <f t="shared" si="163"/>
        <v>0</v>
      </c>
      <c r="EW121" s="152">
        <f t="shared" si="164"/>
        <v>0</v>
      </c>
      <c r="EX121" s="152">
        <f t="shared" si="165"/>
        <v>0</v>
      </c>
      <c r="EY121" s="151" t="str">
        <f t="shared" si="166"/>
        <v>Đủ</v>
      </c>
      <c r="EZ121" s="152"/>
      <c r="FA121" s="372"/>
      <c r="FB121" s="373"/>
      <c r="FC121" s="367"/>
      <c r="FD121" s="374"/>
      <c r="FE121" s="183"/>
      <c r="FF121" s="184"/>
      <c r="FG121" s="185"/>
      <c r="FH121" s="185"/>
    </row>
    <row r="122" spans="1:164" s="157" customFormat="1" ht="14" hidden="1" customHeight="1">
      <c r="A122" s="208" t="str">
        <f t="shared" si="89"/>
        <v>Hiện</v>
      </c>
      <c r="B122" s="151" t="str">
        <f>CONCATENATE(EY122," Ms Khánh đã xong")</f>
        <v>Thiếu Ms Khánh đã xong</v>
      </c>
      <c r="C122" s="151">
        <f t="shared" si="159"/>
        <v>0.91999999999999993</v>
      </c>
      <c r="D122" s="398"/>
      <c r="E122" s="398"/>
      <c r="F122" s="151"/>
      <c r="G122" s="151"/>
      <c r="H122" s="151"/>
      <c r="I122" s="171" t="s">
        <v>424</v>
      </c>
      <c r="J122" s="164" t="s">
        <v>412</v>
      </c>
      <c r="K122" s="171" t="s">
        <v>425</v>
      </c>
      <c r="L122" s="233" t="s">
        <v>426</v>
      </c>
      <c r="M122" s="163" t="s">
        <v>61</v>
      </c>
      <c r="N122" s="172">
        <v>1667.12</v>
      </c>
      <c r="O122" s="172">
        <v>12</v>
      </c>
      <c r="P122" s="172">
        <v>9297.5999999999985</v>
      </c>
      <c r="Q122" s="161"/>
      <c r="R122" s="162"/>
      <c r="S122" s="161"/>
      <c r="T122" s="162"/>
      <c r="U122" s="162"/>
      <c r="V122" s="162"/>
      <c r="W122" s="162">
        <v>13.32</v>
      </c>
      <c r="X122" s="162">
        <v>22206.038399999998</v>
      </c>
      <c r="Y122" s="162">
        <v>0</v>
      </c>
      <c r="Z122" s="162">
        <v>0</v>
      </c>
      <c r="AA122" s="162">
        <v>0</v>
      </c>
      <c r="AB122" s="162">
        <v>0</v>
      </c>
      <c r="AC122" s="162">
        <v>0</v>
      </c>
      <c r="AD122" s="162">
        <v>0</v>
      </c>
      <c r="AE122" s="162">
        <v>0</v>
      </c>
      <c r="AF122" s="162">
        <v>0</v>
      </c>
      <c r="AG122" s="162">
        <v>0</v>
      </c>
      <c r="AH122" s="162">
        <v>0</v>
      </c>
      <c r="AI122" s="162">
        <f>VLOOKUP(I122,'[119]MTO-rev09'!$A:$O,11,0)</f>
        <v>0</v>
      </c>
      <c r="AJ122" s="162">
        <f>VLOOKUP(I122,'[119]MTO-rev09'!$A:$O,12,0)</f>
        <v>0</v>
      </c>
      <c r="AK122" s="162">
        <v>0</v>
      </c>
      <c r="AL122" s="162">
        <v>0</v>
      </c>
      <c r="AM122" s="162"/>
      <c r="AN122" s="162"/>
      <c r="AO122" s="162">
        <v>0</v>
      </c>
      <c r="AP122" s="162">
        <v>0</v>
      </c>
      <c r="AQ122" s="162">
        <v>0</v>
      </c>
      <c r="AR122" s="162">
        <v>0</v>
      </c>
      <c r="AS122" s="162">
        <v>0</v>
      </c>
      <c r="AT122" s="162">
        <v>0</v>
      </c>
      <c r="AU122" s="162">
        <v>0</v>
      </c>
      <c r="AV122" s="162">
        <v>0</v>
      </c>
      <c r="AW122" s="162">
        <v>0</v>
      </c>
      <c r="AX122" s="162">
        <v>0</v>
      </c>
      <c r="AY122" s="162">
        <v>0</v>
      </c>
      <c r="AZ122" s="162">
        <v>0</v>
      </c>
      <c r="BA122" s="162"/>
      <c r="BB122" s="162"/>
      <c r="BC122" s="162">
        <v>0</v>
      </c>
      <c r="BD122" s="162">
        <v>0</v>
      </c>
      <c r="BE122" s="162">
        <v>0</v>
      </c>
      <c r="BF122" s="162">
        <v>0</v>
      </c>
      <c r="BG122" s="162">
        <v>0</v>
      </c>
      <c r="BH122" s="162">
        <v>0</v>
      </c>
      <c r="BI122" s="162">
        <v>0</v>
      </c>
      <c r="BJ122" s="162">
        <v>0</v>
      </c>
      <c r="BK122" s="162">
        <v>0</v>
      </c>
      <c r="BL122" s="162">
        <v>0</v>
      </c>
      <c r="BM122" s="162">
        <v>0</v>
      </c>
      <c r="BN122" s="162">
        <v>0</v>
      </c>
      <c r="BO122" s="162"/>
      <c r="BP122" s="162"/>
      <c r="BQ122" s="162">
        <v>0</v>
      </c>
      <c r="BR122" s="162">
        <v>0</v>
      </c>
      <c r="BS122" s="162">
        <v>0</v>
      </c>
      <c r="BT122" s="162">
        <v>0</v>
      </c>
      <c r="BU122" s="162">
        <v>0</v>
      </c>
      <c r="BV122" s="162">
        <v>0</v>
      </c>
      <c r="BW122" s="162"/>
      <c r="BX122" s="162"/>
      <c r="BY122" s="162">
        <v>0</v>
      </c>
      <c r="BZ122" s="162">
        <v>0</v>
      </c>
      <c r="CA122" s="162">
        <v>0</v>
      </c>
      <c r="CB122" s="162">
        <v>0</v>
      </c>
      <c r="CC122" s="162">
        <v>0</v>
      </c>
      <c r="CD122" s="162">
        <v>0</v>
      </c>
      <c r="CE122" s="162">
        <f>VLOOKUP(I122,[120]REV33!$A:$O,11,0)</f>
        <v>0</v>
      </c>
      <c r="CF122" s="162">
        <f>VLOOKUP(I122,[120]REV33!$A:$O,12,0)</f>
        <v>0</v>
      </c>
      <c r="CG122" s="162"/>
      <c r="CH122" s="162"/>
      <c r="CI122" s="162"/>
      <c r="CJ122" s="162"/>
      <c r="CK122" s="162"/>
      <c r="CL122" s="162"/>
      <c r="CM122" s="162"/>
      <c r="CN122" s="162"/>
      <c r="CO122" s="162">
        <v>0</v>
      </c>
      <c r="CP122" s="162">
        <v>0</v>
      </c>
      <c r="CQ122" s="162">
        <v>0</v>
      </c>
      <c r="CR122" s="162">
        <v>0</v>
      </c>
      <c r="CS122" s="209">
        <f>Q122+S122+U122+W122+Y122+AA122+AC122+AE122+AG122+AI122+AK122+AM122+AO122+AQ122+AS122+AU122+AW122+AY122+BA122+BC122+BE122+BG122+BI122+BK122+BM122+BO122+BQ122+BS122+BU122+BW122+BY122+CA122+CC122+CE122+CG122+CI122+CK122+CM122+CO122+CQ122</f>
        <v>13.32</v>
      </c>
      <c r="CT122" s="209">
        <f>R122+T122+V122+X122+Z122+AB122+AD122+AF122+AH122+AJ122+AL122+AN122+AP122+AR122+AT122+AV122+AX122+AZ122+BB122+BD122+BF122+BH122+BJ122+BL122+BN122+BP122+BR122+BT122+BV122+BX122+BZ122+CB122+CD122+CF122+CH122+CJ122+CL122+CN122+CP122+CR122</f>
        <v>22206.038399999998</v>
      </c>
      <c r="CU122" s="375" t="s">
        <v>437</v>
      </c>
      <c r="CV122" s="208"/>
      <c r="CW122" s="152"/>
      <c r="CX122" s="152"/>
      <c r="CY122" s="208"/>
      <c r="CZ122" s="208"/>
      <c r="DA122" s="152">
        <f t="shared" si="160"/>
        <v>13.32</v>
      </c>
      <c r="DB122" s="152">
        <f t="shared" si="161"/>
        <v>22206.038399999998</v>
      </c>
      <c r="DC122" s="153">
        <v>45833</v>
      </c>
      <c r="DD122" s="153" t="s">
        <v>680</v>
      </c>
      <c r="DE122" s="153" t="s">
        <v>681</v>
      </c>
      <c r="DF122" s="376" t="s">
        <v>682</v>
      </c>
      <c r="DG122" s="368"/>
      <c r="DH122" s="181" t="s">
        <v>477</v>
      </c>
      <c r="DI122" s="153">
        <v>45816</v>
      </c>
      <c r="DJ122" s="1000">
        <f>20*0.62</f>
        <v>12.4</v>
      </c>
      <c r="DK122" s="181" t="s">
        <v>477</v>
      </c>
      <c r="DL122" s="182">
        <f>32500000/0.62</f>
        <v>52419354.838709675</v>
      </c>
      <c r="DM122" s="181">
        <f>DL122*DJ122*1.1</f>
        <v>715000000</v>
      </c>
      <c r="DN122" s="446">
        <f>(DM122-DO122)/DO122</f>
        <v>0.1</v>
      </c>
      <c r="DO122" s="182">
        <f>DL122*DJ122</f>
        <v>650000000</v>
      </c>
      <c r="DP122" s="275" t="s">
        <v>683</v>
      </c>
      <c r="DQ122" s="152">
        <f>SUMIF($I:$I,I122,$DJ:$DJ)</f>
        <v>12.4</v>
      </c>
      <c r="DR122" s="152">
        <f>SUMIF($I:$I,I122,$DK:$DK)</f>
        <v>0</v>
      </c>
      <c r="DS122" s="151"/>
      <c r="DT122" s="275"/>
      <c r="DU122" s="370"/>
      <c r="DV122" s="208"/>
      <c r="DW122" s="208"/>
      <c r="DX122" s="152"/>
      <c r="DY122" s="152"/>
      <c r="DZ122" s="152"/>
      <c r="EA122" s="152"/>
      <c r="EB122" s="152"/>
      <c r="EC122" s="152"/>
      <c r="ED122" s="152"/>
      <c r="EE122" s="371"/>
      <c r="EF122" s="371"/>
      <c r="EG122" s="153"/>
      <c r="EH122" s="153"/>
      <c r="EI122" s="153"/>
      <c r="EJ122" s="153"/>
      <c r="EK122" s="153"/>
      <c r="EL122" s="153"/>
      <c r="EM122" s="153"/>
      <c r="EN122" s="153"/>
      <c r="EO122" s="152">
        <f>SUMIF($I:$I,I122,$EC:$EC)</f>
        <v>0</v>
      </c>
      <c r="EP122" s="151">
        <f>SUMIF($I:$I,I122,$ED:$ED)</f>
        <v>0</v>
      </c>
      <c r="EQ122" s="153"/>
      <c r="ER122" s="153"/>
      <c r="ES122" s="153"/>
      <c r="ET122" s="153"/>
      <c r="EU122" s="152">
        <f t="shared" si="162"/>
        <v>12.4</v>
      </c>
      <c r="EV122" s="152">
        <f t="shared" si="163"/>
        <v>0</v>
      </c>
      <c r="EW122" s="152">
        <f t="shared" si="164"/>
        <v>0.91999999999999993</v>
      </c>
      <c r="EX122" s="152">
        <f t="shared" si="165"/>
        <v>22206.038399999998</v>
      </c>
      <c r="EY122" s="151" t="str">
        <f t="shared" si="166"/>
        <v>Thiếu</v>
      </c>
      <c r="EZ122" s="152"/>
      <c r="FA122" s="372"/>
      <c r="FB122" s="373"/>
      <c r="FC122" s="367"/>
      <c r="FD122" s="374"/>
      <c r="FE122" s="183"/>
      <c r="FF122" s="184"/>
      <c r="FG122" s="185"/>
      <c r="FH122" s="185"/>
    </row>
    <row r="123" spans="1:164" s="157" customFormat="1" ht="14" hidden="1" customHeight="1">
      <c r="A123" s="208" t="str">
        <f t="shared" si="89"/>
        <v>Hiện</v>
      </c>
      <c r="B123" s="151" t="str">
        <f t="shared" si="84"/>
        <v>Đủ</v>
      </c>
      <c r="C123" s="151">
        <f t="shared" si="159"/>
        <v>0</v>
      </c>
      <c r="D123" s="151"/>
      <c r="E123" s="151"/>
      <c r="F123" s="151"/>
      <c r="G123" s="151"/>
      <c r="H123" s="151"/>
      <c r="I123" s="171" t="s">
        <v>427</v>
      </c>
      <c r="J123" s="164" t="s">
        <v>428</v>
      </c>
      <c r="K123" s="247" t="s">
        <v>429</v>
      </c>
      <c r="L123" s="233" t="s">
        <v>430</v>
      </c>
      <c r="M123" s="163" t="s">
        <v>345</v>
      </c>
      <c r="N123" s="172">
        <v>0.73925925925925928</v>
      </c>
      <c r="O123" s="408">
        <v>54</v>
      </c>
      <c r="P123" s="172">
        <v>39.92</v>
      </c>
      <c r="Q123" s="161"/>
      <c r="R123" s="162"/>
      <c r="S123" s="161"/>
      <c r="T123" s="162"/>
      <c r="U123" s="162"/>
      <c r="V123" s="162"/>
      <c r="W123" s="162">
        <v>54</v>
      </c>
      <c r="X123" s="162">
        <v>39.92</v>
      </c>
      <c r="Y123" s="162">
        <v>0</v>
      </c>
      <c r="Z123" s="162">
        <v>0</v>
      </c>
      <c r="AA123" s="162">
        <v>0</v>
      </c>
      <c r="AB123" s="162">
        <v>0</v>
      </c>
      <c r="AC123" s="162">
        <v>0</v>
      </c>
      <c r="AD123" s="162">
        <v>0</v>
      </c>
      <c r="AE123" s="162">
        <v>0</v>
      </c>
      <c r="AF123" s="162">
        <v>0</v>
      </c>
      <c r="AG123" s="162">
        <v>0</v>
      </c>
      <c r="AH123" s="162">
        <v>0</v>
      </c>
      <c r="AI123" s="162">
        <f>VLOOKUP(I123,'[119]MTO-rev09'!$A:$O,11,0)</f>
        <v>0</v>
      </c>
      <c r="AJ123" s="162">
        <f>VLOOKUP(I123,'[119]MTO-rev09'!$A:$O,12,0)</f>
        <v>0</v>
      </c>
      <c r="AK123" s="162">
        <v>0</v>
      </c>
      <c r="AL123" s="162">
        <v>0</v>
      </c>
      <c r="AM123" s="162"/>
      <c r="AN123" s="162"/>
      <c r="AO123" s="162">
        <v>0</v>
      </c>
      <c r="AP123" s="162">
        <v>0</v>
      </c>
      <c r="AQ123" s="162">
        <v>0</v>
      </c>
      <c r="AR123" s="162">
        <v>0</v>
      </c>
      <c r="AS123" s="162">
        <v>0</v>
      </c>
      <c r="AT123" s="162">
        <v>0</v>
      </c>
      <c r="AU123" s="162">
        <v>0</v>
      </c>
      <c r="AV123" s="162">
        <v>0</v>
      </c>
      <c r="AW123" s="162">
        <v>0</v>
      </c>
      <c r="AX123" s="162">
        <v>0</v>
      </c>
      <c r="AY123" s="162">
        <v>0</v>
      </c>
      <c r="AZ123" s="162">
        <v>0</v>
      </c>
      <c r="BA123" s="162"/>
      <c r="BB123" s="162"/>
      <c r="BC123" s="162">
        <v>0</v>
      </c>
      <c r="BD123" s="162">
        <v>0</v>
      </c>
      <c r="BE123" s="162">
        <v>0</v>
      </c>
      <c r="BF123" s="162">
        <v>0</v>
      </c>
      <c r="BG123" s="162">
        <v>0</v>
      </c>
      <c r="BH123" s="162">
        <v>0</v>
      </c>
      <c r="BI123" s="162">
        <v>0</v>
      </c>
      <c r="BJ123" s="162">
        <v>0</v>
      </c>
      <c r="BK123" s="162">
        <v>0</v>
      </c>
      <c r="BL123" s="162">
        <v>0</v>
      </c>
      <c r="BM123" s="162">
        <v>0</v>
      </c>
      <c r="BN123" s="162">
        <v>0</v>
      </c>
      <c r="BO123" s="162"/>
      <c r="BP123" s="162"/>
      <c r="BQ123" s="162">
        <v>0</v>
      </c>
      <c r="BR123" s="162">
        <v>0</v>
      </c>
      <c r="BS123" s="162">
        <v>0</v>
      </c>
      <c r="BT123" s="162">
        <v>0</v>
      </c>
      <c r="BU123" s="162">
        <v>0</v>
      </c>
      <c r="BV123" s="162">
        <v>0</v>
      </c>
      <c r="BW123" s="162"/>
      <c r="BX123" s="162"/>
      <c r="BY123" s="162">
        <v>0</v>
      </c>
      <c r="BZ123" s="162">
        <v>0</v>
      </c>
      <c r="CA123" s="162">
        <v>0</v>
      </c>
      <c r="CB123" s="162">
        <v>0</v>
      </c>
      <c r="CC123" s="162">
        <v>0</v>
      </c>
      <c r="CD123" s="162">
        <v>0</v>
      </c>
      <c r="CE123" s="162">
        <f>VLOOKUP(I123,[120]REV33!$A:$O,11,0)</f>
        <v>0</v>
      </c>
      <c r="CF123" s="162">
        <f>VLOOKUP(I123,[120]REV33!$A:$O,12,0)</f>
        <v>0</v>
      </c>
      <c r="CG123" s="162"/>
      <c r="CH123" s="162"/>
      <c r="CI123" s="162"/>
      <c r="CJ123" s="162"/>
      <c r="CK123" s="162"/>
      <c r="CL123" s="162"/>
      <c r="CM123" s="162"/>
      <c r="CN123" s="162"/>
      <c r="CO123" s="162">
        <v>0</v>
      </c>
      <c r="CP123" s="162">
        <v>0</v>
      </c>
      <c r="CQ123" s="162">
        <v>0</v>
      </c>
      <c r="CR123" s="162">
        <v>0</v>
      </c>
      <c r="CS123" s="209">
        <f>Q123+S123+U123+W123+Y123+AA123+AC123+AE123+AG123+AI123+AK123+AM123+AO123+AQ123+AS123+AU123+AW123+AY123+BA123+BC123+BE123+BG123+BI123+BK123+BM123+BO123+BQ123+BS123+BU123+BW123+BY123+CA123+CC123+CE123+CG123+CI123+CK123+CM123+CO123+CQ123</f>
        <v>54</v>
      </c>
      <c r="CT123" s="209">
        <f>R123+T123+V123+X123+Z123+AB123+AD123+AF123+AH123+AJ123+AL123+AN123+AP123+AR123+AT123+AV123+AX123+AZ123+BB123+BD123+BF123+BH123+BJ123+BL123+BN123+BP123+BR123+BT123+BV123+BX123+BZ123+CB123+CD123+CF123+CH123+CJ123+CL123+CN123+CP123+CR123</f>
        <v>39.92</v>
      </c>
      <c r="CU123" s="375" t="s">
        <v>436</v>
      </c>
      <c r="CV123" s="208"/>
      <c r="CW123" s="152"/>
      <c r="CX123" s="152"/>
      <c r="CY123" s="208"/>
      <c r="CZ123" s="208"/>
      <c r="DA123" s="152">
        <f t="shared" si="160"/>
        <v>54</v>
      </c>
      <c r="DB123" s="152">
        <f t="shared" si="161"/>
        <v>39.92</v>
      </c>
      <c r="DC123" s="153">
        <v>45833</v>
      </c>
      <c r="DD123" s="153" t="s">
        <v>665</v>
      </c>
      <c r="DE123" s="153" t="s">
        <v>664</v>
      </c>
      <c r="DF123" s="247" t="s">
        <v>429</v>
      </c>
      <c r="DG123" s="368"/>
      <c r="DH123" s="181" t="s">
        <v>477</v>
      </c>
      <c r="DI123" s="153">
        <v>45833</v>
      </c>
      <c r="DJ123" s="1000">
        <v>54</v>
      </c>
      <c r="DK123" s="181" t="s">
        <v>477</v>
      </c>
      <c r="DL123" s="182">
        <v>44500</v>
      </c>
      <c r="DM123" s="181">
        <f>DL123*DJ123*1.1</f>
        <v>2643300</v>
      </c>
      <c r="DN123" s="446">
        <f>(DM123-DO123)/DO123</f>
        <v>0.1</v>
      </c>
      <c r="DO123" s="182">
        <f>DL123*DJ123</f>
        <v>2403000</v>
      </c>
      <c r="DP123" s="275">
        <v>45857</v>
      </c>
      <c r="DQ123" s="152">
        <f>SUMIF($I:$I,I123,$DJ:$DJ)</f>
        <v>54</v>
      </c>
      <c r="DR123" s="152">
        <f>SUMIF($I:$I,I123,$DK:$DK)</f>
        <v>0</v>
      </c>
      <c r="DS123" s="151"/>
      <c r="DT123" s="275"/>
      <c r="DU123" s="370"/>
      <c r="DV123" s="208"/>
      <c r="DW123" s="208"/>
      <c r="DX123" s="152"/>
      <c r="DY123" s="152"/>
      <c r="DZ123" s="152"/>
      <c r="EA123" s="152"/>
      <c r="EB123" s="152"/>
      <c r="EC123" s="152"/>
      <c r="ED123" s="152"/>
      <c r="EE123" s="371"/>
      <c r="EF123" s="371"/>
      <c r="EG123" s="153"/>
      <c r="EH123" s="153"/>
      <c r="EI123" s="153"/>
      <c r="EJ123" s="153"/>
      <c r="EK123" s="153"/>
      <c r="EL123" s="153"/>
      <c r="EM123" s="153"/>
      <c r="EN123" s="153"/>
      <c r="EO123" s="152">
        <f>SUMIF($I:$I,I123,$EC:$EC)</f>
        <v>0</v>
      </c>
      <c r="EP123" s="151">
        <f>SUMIF($I:$I,I123,$ED:$ED)</f>
        <v>0</v>
      </c>
      <c r="EQ123" s="153"/>
      <c r="ER123" s="153"/>
      <c r="ES123" s="153"/>
      <c r="ET123" s="153"/>
      <c r="EU123" s="152">
        <f t="shared" si="162"/>
        <v>54</v>
      </c>
      <c r="EV123" s="152">
        <f t="shared" si="163"/>
        <v>0</v>
      </c>
      <c r="EW123" s="152">
        <f t="shared" si="164"/>
        <v>0</v>
      </c>
      <c r="EX123" s="152">
        <f t="shared" si="165"/>
        <v>39.92</v>
      </c>
      <c r="EY123" s="151" t="str">
        <f t="shared" si="166"/>
        <v>Đủ</v>
      </c>
      <c r="EZ123" s="152"/>
      <c r="FA123" s="372"/>
      <c r="FB123" s="373"/>
      <c r="FC123" s="367"/>
      <c r="FD123" s="374"/>
      <c r="FE123" s="183"/>
      <c r="FF123" s="184"/>
      <c r="FG123" s="185"/>
      <c r="FH123" s="185"/>
    </row>
    <row r="124" spans="1:164" s="157" customFormat="1" ht="14" hidden="1" customHeight="1">
      <c r="A124" s="208" t="str">
        <f t="shared" si="89"/>
        <v>Hiện</v>
      </c>
      <c r="B124" s="151" t="str">
        <f t="shared" si="84"/>
        <v>Đủ</v>
      </c>
      <c r="C124" s="151">
        <f t="shared" si="159"/>
        <v>0</v>
      </c>
      <c r="D124" s="151" t="s">
        <v>1385</v>
      </c>
      <c r="E124" s="151"/>
      <c r="F124" s="151"/>
      <c r="G124" s="151"/>
      <c r="H124" s="151" t="s">
        <v>451</v>
      </c>
      <c r="I124" s="171" t="s">
        <v>431</v>
      </c>
      <c r="J124" s="164" t="s">
        <v>432</v>
      </c>
      <c r="K124" s="247" t="s">
        <v>433</v>
      </c>
      <c r="L124" s="233" t="s">
        <v>430</v>
      </c>
      <c r="M124" s="163" t="s">
        <v>345</v>
      </c>
      <c r="N124" s="172">
        <v>0.97</v>
      </c>
      <c r="O124" s="408">
        <v>10</v>
      </c>
      <c r="P124" s="172">
        <v>9.6999999999999993</v>
      </c>
      <c r="Q124" s="161"/>
      <c r="R124" s="162"/>
      <c r="S124" s="161"/>
      <c r="T124" s="162"/>
      <c r="U124" s="162"/>
      <c r="V124" s="162"/>
      <c r="W124" s="162">
        <v>10</v>
      </c>
      <c r="X124" s="162">
        <v>9.6999999999999993</v>
      </c>
      <c r="Y124" s="162">
        <v>0</v>
      </c>
      <c r="Z124" s="162">
        <v>0</v>
      </c>
      <c r="AA124" s="162">
        <v>0</v>
      </c>
      <c r="AB124" s="162">
        <v>0</v>
      </c>
      <c r="AC124" s="162">
        <v>0</v>
      </c>
      <c r="AD124" s="162">
        <v>0</v>
      </c>
      <c r="AE124" s="162">
        <v>0</v>
      </c>
      <c r="AF124" s="162">
        <v>0</v>
      </c>
      <c r="AG124" s="162">
        <v>0</v>
      </c>
      <c r="AH124" s="162">
        <v>0</v>
      </c>
      <c r="AI124" s="162">
        <f>VLOOKUP(I124,'[119]MTO-rev09'!$A:$O,11,0)</f>
        <v>0</v>
      </c>
      <c r="AJ124" s="162">
        <f>VLOOKUP(I124,'[119]MTO-rev09'!$A:$O,12,0)</f>
        <v>0</v>
      </c>
      <c r="AK124" s="162">
        <v>0</v>
      </c>
      <c r="AL124" s="162">
        <v>0</v>
      </c>
      <c r="AM124" s="162"/>
      <c r="AN124" s="162"/>
      <c r="AO124" s="162">
        <v>0</v>
      </c>
      <c r="AP124" s="162">
        <v>0</v>
      </c>
      <c r="AQ124" s="162">
        <v>0</v>
      </c>
      <c r="AR124" s="162">
        <v>0</v>
      </c>
      <c r="AS124" s="162">
        <v>0</v>
      </c>
      <c r="AT124" s="162">
        <v>0</v>
      </c>
      <c r="AU124" s="162">
        <v>0</v>
      </c>
      <c r="AV124" s="162">
        <v>0</v>
      </c>
      <c r="AW124" s="162">
        <v>0</v>
      </c>
      <c r="AX124" s="162">
        <v>0</v>
      </c>
      <c r="AY124" s="162">
        <v>0</v>
      </c>
      <c r="AZ124" s="162">
        <v>0</v>
      </c>
      <c r="BA124" s="162"/>
      <c r="BB124" s="162"/>
      <c r="BC124" s="162">
        <v>0</v>
      </c>
      <c r="BD124" s="162">
        <v>0</v>
      </c>
      <c r="BE124" s="162">
        <v>0</v>
      </c>
      <c r="BF124" s="162">
        <v>0</v>
      </c>
      <c r="BG124" s="162">
        <v>0</v>
      </c>
      <c r="BH124" s="162">
        <v>0</v>
      </c>
      <c r="BI124" s="162">
        <v>0</v>
      </c>
      <c r="BJ124" s="162">
        <v>0</v>
      </c>
      <c r="BK124" s="162">
        <v>0</v>
      </c>
      <c r="BL124" s="162">
        <v>0</v>
      </c>
      <c r="BM124" s="162">
        <v>0</v>
      </c>
      <c r="BN124" s="162">
        <v>0</v>
      </c>
      <c r="BO124" s="162"/>
      <c r="BP124" s="162"/>
      <c r="BQ124" s="162">
        <v>0</v>
      </c>
      <c r="BR124" s="162">
        <v>0</v>
      </c>
      <c r="BS124" s="162">
        <v>0</v>
      </c>
      <c r="BT124" s="162">
        <v>0</v>
      </c>
      <c r="BU124" s="162">
        <v>0</v>
      </c>
      <c r="BV124" s="162">
        <v>0</v>
      </c>
      <c r="BW124" s="162"/>
      <c r="BX124" s="162"/>
      <c r="BY124" s="162">
        <v>0</v>
      </c>
      <c r="BZ124" s="162">
        <v>0</v>
      </c>
      <c r="CA124" s="162">
        <v>0</v>
      </c>
      <c r="CB124" s="162">
        <v>0</v>
      </c>
      <c r="CC124" s="162">
        <v>0</v>
      </c>
      <c r="CD124" s="162">
        <v>0</v>
      </c>
      <c r="CE124" s="162">
        <f>VLOOKUP(I124,[120]REV33!$A:$O,11,0)</f>
        <v>0</v>
      </c>
      <c r="CF124" s="162">
        <f>VLOOKUP(I124,[120]REV33!$A:$O,12,0)</f>
        <v>0</v>
      </c>
      <c r="CG124" s="162"/>
      <c r="CH124" s="162"/>
      <c r="CI124" s="162"/>
      <c r="CJ124" s="162"/>
      <c r="CK124" s="162"/>
      <c r="CL124" s="162"/>
      <c r="CM124" s="162"/>
      <c r="CN124" s="162"/>
      <c r="CO124" s="162">
        <v>0</v>
      </c>
      <c r="CP124" s="162">
        <v>0</v>
      </c>
      <c r="CQ124" s="162">
        <v>0</v>
      </c>
      <c r="CR124" s="162">
        <v>0</v>
      </c>
      <c r="CS124" s="209">
        <f>Q124+S124+U124+W124+Y124+AA124+AC124+AE124+AG124+AI124+AK124+AM124+AO124+AQ124+AS124+AU124+AW124+AY124+BA124+BC124+BE124+BG124+BI124+BK124+BM124+BO124+BQ124+BS124+BU124+BW124+BY124+CA124+CC124+CE124+CG124+CI124+CK124+CM124+CO124+CQ124</f>
        <v>10</v>
      </c>
      <c r="CT124" s="209">
        <f>R124+T124+V124+X124+Z124+AB124+AD124+AF124+AH124+AJ124+AL124+AN124+AP124+AR124+AT124+AV124+AX124+AZ124+BB124+BD124+BF124+BH124+BJ124+BL124+BN124+BP124+BR124+BT124+BV124+BX124+BZ124+CB124+CD124+CF124+CH124+CJ124+CL124+CN124+CP124+CR124</f>
        <v>9.6999999999999993</v>
      </c>
      <c r="CU124" s="375" t="s">
        <v>436</v>
      </c>
      <c r="CV124" s="208"/>
      <c r="CW124" s="152"/>
      <c r="CX124" s="152"/>
      <c r="CY124" s="208"/>
      <c r="CZ124" s="208"/>
      <c r="DA124" s="152">
        <f t="shared" si="160"/>
        <v>10</v>
      </c>
      <c r="DB124" s="152">
        <f t="shared" si="161"/>
        <v>9.6999999999999993</v>
      </c>
      <c r="DC124" s="153">
        <v>45833</v>
      </c>
      <c r="DD124" s="153" t="s">
        <v>661</v>
      </c>
      <c r="DE124" s="153" t="s">
        <v>660</v>
      </c>
      <c r="DF124" s="403" t="s">
        <v>662</v>
      </c>
      <c r="DG124" s="368" t="s">
        <v>663</v>
      </c>
      <c r="DH124" s="181" t="s">
        <v>477</v>
      </c>
      <c r="DI124" s="153">
        <v>45824</v>
      </c>
      <c r="DJ124" s="1000">
        <v>10</v>
      </c>
      <c r="DK124" s="181" t="s">
        <v>477</v>
      </c>
      <c r="DL124" s="182">
        <v>68000</v>
      </c>
      <c r="DM124" s="181">
        <f>DL124*DJ124*1.1</f>
        <v>748000.00000000012</v>
      </c>
      <c r="DN124" s="446">
        <f>(DM124-DO124)/DO124</f>
        <v>0.10000000000000017</v>
      </c>
      <c r="DO124" s="182">
        <f>DL124*DJ124</f>
        <v>680000</v>
      </c>
      <c r="DP124" s="275">
        <v>45824</v>
      </c>
      <c r="DQ124" s="152">
        <f>SUMIF($I:$I,I124,$DJ:$DJ)</f>
        <v>10</v>
      </c>
      <c r="DR124" s="152">
        <f>SUMIF($I:$I,I124,$DK:$DK)</f>
        <v>0</v>
      </c>
      <c r="DS124" s="151"/>
      <c r="DT124" s="275"/>
      <c r="DU124" s="370"/>
      <c r="DV124" s="208"/>
      <c r="DW124" s="208"/>
      <c r="DX124" s="152"/>
      <c r="DY124" s="152"/>
      <c r="DZ124" s="152"/>
      <c r="EA124" s="152"/>
      <c r="EB124" s="152"/>
      <c r="EC124" s="152"/>
      <c r="ED124" s="152"/>
      <c r="EE124" s="371"/>
      <c r="EF124" s="371"/>
      <c r="EG124" s="153"/>
      <c r="EH124" s="153"/>
      <c r="EI124" s="153"/>
      <c r="EJ124" s="153"/>
      <c r="EK124" s="153"/>
      <c r="EL124" s="153"/>
      <c r="EM124" s="153"/>
      <c r="EN124" s="153"/>
      <c r="EO124" s="152">
        <f>SUMIF($I:$I,I124,$EC:$EC)</f>
        <v>0</v>
      </c>
      <c r="EP124" s="151">
        <f>SUMIF($I:$I,I124,$ED:$ED)</f>
        <v>0</v>
      </c>
      <c r="EQ124" s="153"/>
      <c r="ER124" s="153"/>
      <c r="ES124" s="153"/>
      <c r="ET124" s="153"/>
      <c r="EU124" s="152">
        <f t="shared" si="162"/>
        <v>10</v>
      </c>
      <c r="EV124" s="152">
        <f t="shared" si="163"/>
        <v>0</v>
      </c>
      <c r="EW124" s="152">
        <f t="shared" si="164"/>
        <v>0</v>
      </c>
      <c r="EX124" s="152">
        <f t="shared" si="165"/>
        <v>9.6999999999999993</v>
      </c>
      <c r="EY124" s="151" t="str">
        <f t="shared" si="166"/>
        <v>Đủ</v>
      </c>
      <c r="EZ124" s="152"/>
      <c r="FA124" s="372"/>
      <c r="FB124" s="373"/>
      <c r="FC124" s="367"/>
      <c r="FD124" s="374"/>
      <c r="FE124" s="183"/>
      <c r="FF124" s="184"/>
      <c r="FG124" s="185"/>
      <c r="FH124" s="185"/>
    </row>
    <row r="125" spans="1:164" s="157" customFormat="1" ht="14" hidden="1" customHeight="1">
      <c r="A125" s="208" t="str">
        <f t="shared" si="89"/>
        <v>Hiện</v>
      </c>
      <c r="B125" s="151" t="str">
        <f t="shared" si="84"/>
        <v>Thừa</v>
      </c>
      <c r="C125" s="151">
        <f t="shared" si="159"/>
        <v>-6</v>
      </c>
      <c r="D125" s="398"/>
      <c r="E125" s="398"/>
      <c r="F125" s="151"/>
      <c r="G125" s="151"/>
      <c r="H125" s="151"/>
      <c r="I125" s="171" t="s">
        <v>439</v>
      </c>
      <c r="J125" s="164" t="s">
        <v>267</v>
      </c>
      <c r="K125" s="247" t="s">
        <v>440</v>
      </c>
      <c r="L125" s="233" t="s">
        <v>402</v>
      </c>
      <c r="M125" s="163" t="s">
        <v>61</v>
      </c>
      <c r="N125" s="172">
        <v>61.3</v>
      </c>
      <c r="O125" s="408">
        <v>16</v>
      </c>
      <c r="P125" s="172">
        <v>980.79999999999973</v>
      </c>
      <c r="Q125" s="161"/>
      <c r="R125" s="162"/>
      <c r="S125" s="161"/>
      <c r="T125" s="162"/>
      <c r="U125" s="162"/>
      <c r="V125" s="162"/>
      <c r="W125" s="162"/>
      <c r="X125" s="162"/>
      <c r="Y125" s="162">
        <v>18</v>
      </c>
      <c r="Z125" s="162">
        <v>1103.3999999999999</v>
      </c>
      <c r="AA125" s="162">
        <v>0</v>
      </c>
      <c r="AB125" s="162">
        <v>0</v>
      </c>
      <c r="AC125" s="162">
        <v>0</v>
      </c>
      <c r="AD125" s="162">
        <v>0</v>
      </c>
      <c r="AE125" s="162">
        <v>0</v>
      </c>
      <c r="AF125" s="162">
        <v>0</v>
      </c>
      <c r="AG125" s="162">
        <v>0</v>
      </c>
      <c r="AH125" s="162">
        <v>0</v>
      </c>
      <c r="AI125" s="162">
        <f>VLOOKUP(I125,'[119]MTO-rev09'!$A:$O,11,0)</f>
        <v>0</v>
      </c>
      <c r="AJ125" s="162">
        <f>VLOOKUP(I125,'[119]MTO-rev09'!$A:$O,12,0)</f>
        <v>0</v>
      </c>
      <c r="AK125" s="162">
        <v>0</v>
      </c>
      <c r="AL125" s="162">
        <v>0</v>
      </c>
      <c r="AM125" s="162"/>
      <c r="AN125" s="162"/>
      <c r="AO125" s="162">
        <v>0</v>
      </c>
      <c r="AP125" s="162">
        <v>0</v>
      </c>
      <c r="AQ125" s="162">
        <v>0</v>
      </c>
      <c r="AR125" s="162">
        <v>0</v>
      </c>
      <c r="AS125" s="162">
        <v>0</v>
      </c>
      <c r="AT125" s="162">
        <v>0</v>
      </c>
      <c r="AU125" s="162">
        <v>0</v>
      </c>
      <c r="AV125" s="162">
        <v>0</v>
      </c>
      <c r="AW125" s="162">
        <v>0</v>
      </c>
      <c r="AX125" s="162">
        <v>0</v>
      </c>
      <c r="AY125" s="162">
        <v>0</v>
      </c>
      <c r="AZ125" s="162">
        <v>0</v>
      </c>
      <c r="BA125" s="162"/>
      <c r="BB125" s="162"/>
      <c r="BC125" s="162">
        <v>0</v>
      </c>
      <c r="BD125" s="162">
        <v>0</v>
      </c>
      <c r="BE125" s="162">
        <v>0</v>
      </c>
      <c r="BF125" s="162">
        <v>0</v>
      </c>
      <c r="BG125" s="162">
        <v>0</v>
      </c>
      <c r="BH125" s="162">
        <v>0</v>
      </c>
      <c r="BI125" s="162">
        <v>0</v>
      </c>
      <c r="BJ125" s="162">
        <v>0</v>
      </c>
      <c r="BK125" s="162">
        <v>0</v>
      </c>
      <c r="BL125" s="162">
        <v>0</v>
      </c>
      <c r="BM125" s="162">
        <v>0</v>
      </c>
      <c r="BN125" s="162">
        <v>0</v>
      </c>
      <c r="BO125" s="162"/>
      <c r="BP125" s="162"/>
      <c r="BQ125" s="162">
        <v>0</v>
      </c>
      <c r="BR125" s="162">
        <v>0</v>
      </c>
      <c r="BS125" s="162">
        <v>0</v>
      </c>
      <c r="BT125" s="162">
        <v>0</v>
      </c>
      <c r="BU125" s="162">
        <v>0</v>
      </c>
      <c r="BV125" s="162">
        <v>0</v>
      </c>
      <c r="BW125" s="162"/>
      <c r="BX125" s="162"/>
      <c r="BY125" s="162">
        <v>0</v>
      </c>
      <c r="BZ125" s="162">
        <v>0</v>
      </c>
      <c r="CA125" s="162">
        <v>0</v>
      </c>
      <c r="CB125" s="162">
        <v>0</v>
      </c>
      <c r="CC125" s="162">
        <v>0</v>
      </c>
      <c r="CD125" s="162">
        <v>0</v>
      </c>
      <c r="CE125" s="162">
        <f>VLOOKUP(I125,[120]REV33!$A:$O,11,0)</f>
        <v>0</v>
      </c>
      <c r="CF125" s="162">
        <f>VLOOKUP(I125,[120]REV33!$A:$O,12,0)</f>
        <v>0</v>
      </c>
      <c r="CG125" s="162"/>
      <c r="CH125" s="162"/>
      <c r="CI125" s="162"/>
      <c r="CJ125" s="162"/>
      <c r="CK125" s="162"/>
      <c r="CL125" s="162"/>
      <c r="CM125" s="162"/>
      <c r="CN125" s="162"/>
      <c r="CO125" s="162">
        <v>0</v>
      </c>
      <c r="CP125" s="162">
        <v>0</v>
      </c>
      <c r="CQ125" s="162">
        <v>0</v>
      </c>
      <c r="CR125" s="162">
        <v>0</v>
      </c>
      <c r="CS125" s="209">
        <f>Q125+S125+U125+W125+Y125+AA125+AC125+AE125+AG125+AI125+AK125+AM125+AO125+AQ125+AS125+AU125+AW125+AY125+BA125+BC125+BE125+BG125+BI125+BK125+BM125+BO125+BQ125+BS125+BU125+BW125+BY125+CA125+CC125+CE125+CG125+CI125+CK125+CM125+CO125+CQ125</f>
        <v>18</v>
      </c>
      <c r="CT125" s="209">
        <f>R125+T125+V125+X125+Z125+AB125+AD125+AF125+AH125+AJ125+AL125+AN125+AP125+AR125+AT125+AV125+AX125+AZ125+BB125+BD125+BF125+BH125+BJ125+BL125+BN125+BP125+BR125+BT125+BV125+BX125+BZ125+CB125+CD125+CF125+CH125+CJ125+CL125+CN125+CP125+CR125</f>
        <v>1103.3999999999999</v>
      </c>
      <c r="CU125" s="375" t="s">
        <v>450</v>
      </c>
      <c r="CV125" s="208"/>
      <c r="CW125" s="152"/>
      <c r="CX125" s="152"/>
      <c r="CY125" s="208"/>
      <c r="CZ125" s="208"/>
      <c r="DA125" s="152">
        <f t="shared" si="160"/>
        <v>18</v>
      </c>
      <c r="DB125" s="152">
        <f t="shared" si="161"/>
        <v>1103.3999999999999</v>
      </c>
      <c r="DC125" s="153">
        <v>45817</v>
      </c>
      <c r="DD125" s="153"/>
      <c r="DE125" s="153"/>
      <c r="DF125" s="403"/>
      <c r="DG125" s="368"/>
      <c r="DH125" s="181"/>
      <c r="DI125" s="153"/>
      <c r="DJ125" s="1000"/>
      <c r="DK125" s="181"/>
      <c r="DL125" s="182"/>
      <c r="DM125" s="182"/>
      <c r="DN125" s="182"/>
      <c r="DO125" s="182"/>
      <c r="DP125" s="275"/>
      <c r="DQ125" s="152">
        <f>SUMIF($I:$I,I125,$DJ:$DJ)</f>
        <v>0</v>
      </c>
      <c r="DR125" s="152">
        <f>SUMIF($I:$I,I125,$DK:$DK)</f>
        <v>0</v>
      </c>
      <c r="DS125" s="151"/>
      <c r="DT125" s="275"/>
      <c r="DU125" s="370"/>
      <c r="DV125" s="208"/>
      <c r="DW125" s="208" t="s">
        <v>575</v>
      </c>
      <c r="DX125" s="152" t="s">
        <v>518</v>
      </c>
      <c r="DY125" s="171" t="s">
        <v>578</v>
      </c>
      <c r="DZ125" s="152" t="s">
        <v>738</v>
      </c>
      <c r="EA125" s="152">
        <v>1471.1999999999998</v>
      </c>
      <c r="EB125" s="153">
        <v>45813</v>
      </c>
      <c r="EC125" s="152">
        <v>24</v>
      </c>
      <c r="ED125" s="152">
        <v>1471.1999999999998</v>
      </c>
      <c r="EE125" s="396">
        <f>0.0577454062236541+0.994</f>
        <v>1.0517454062236542</v>
      </c>
      <c r="EF125" s="371">
        <f t="shared" ref="EF125:EF136" si="168">EE125*ED125</f>
        <v>1547.3278416362398</v>
      </c>
      <c r="EG125" s="153">
        <v>45833</v>
      </c>
      <c r="EH125" s="153"/>
      <c r="EI125" s="153"/>
      <c r="EJ125" s="153">
        <v>45851</v>
      </c>
      <c r="EK125" s="153">
        <v>45851</v>
      </c>
      <c r="EL125" s="153">
        <v>45853</v>
      </c>
      <c r="EM125" s="153">
        <v>45853</v>
      </c>
      <c r="EN125" s="153">
        <v>45853</v>
      </c>
      <c r="EO125" s="152">
        <f>SUMIF($I:$I,I125,$EC:$EC)</f>
        <v>24</v>
      </c>
      <c r="EP125" s="151">
        <f>SUMIF($I:$I,I125,$ED:$ED)</f>
        <v>1471.1999999999998</v>
      </c>
      <c r="EQ125" s="153"/>
      <c r="ER125" s="153"/>
      <c r="ES125" s="153"/>
      <c r="ET125" s="153"/>
      <c r="EU125" s="152">
        <f t="shared" si="162"/>
        <v>24</v>
      </c>
      <c r="EV125" s="152">
        <f t="shared" si="163"/>
        <v>1471.1999999999998</v>
      </c>
      <c r="EW125" s="152">
        <f t="shared" si="164"/>
        <v>-6</v>
      </c>
      <c r="EX125" s="152">
        <f t="shared" si="165"/>
        <v>-367.79999999999995</v>
      </c>
      <c r="EY125" s="151" t="str">
        <f t="shared" si="166"/>
        <v>Thừa</v>
      </c>
      <c r="EZ125" s="152"/>
      <c r="FA125" s="372"/>
      <c r="FB125" s="373"/>
      <c r="FC125" s="367"/>
      <c r="FD125" s="374"/>
      <c r="FE125" s="183"/>
      <c r="FF125" s="184"/>
      <c r="FG125" s="185"/>
      <c r="FH125" s="185"/>
    </row>
    <row r="126" spans="1:164" s="157" customFormat="1" ht="14" hidden="1" customHeight="1">
      <c r="A126" s="208" t="str">
        <f t="shared" si="89"/>
        <v>Hiện</v>
      </c>
      <c r="B126" s="151" t="str">
        <f t="shared" si="84"/>
        <v>Đủ</v>
      </c>
      <c r="C126" s="409">
        <f t="shared" si="159"/>
        <v>0</v>
      </c>
      <c r="D126" s="151"/>
      <c r="E126" s="400"/>
      <c r="F126" s="151"/>
      <c r="G126" s="151"/>
      <c r="H126" s="151"/>
      <c r="I126" s="171" t="s">
        <v>441</v>
      </c>
      <c r="J126" s="164" t="s">
        <v>277</v>
      </c>
      <c r="K126" s="247" t="s">
        <v>442</v>
      </c>
      <c r="L126" s="233" t="s">
        <v>402</v>
      </c>
      <c r="M126" s="163" t="s">
        <v>61</v>
      </c>
      <c r="N126" s="172">
        <v>16</v>
      </c>
      <c r="O126" s="408">
        <v>196.50000000000006</v>
      </c>
      <c r="P126" s="172">
        <v>3105.4800000000009</v>
      </c>
      <c r="Q126" s="179"/>
      <c r="R126" s="180"/>
      <c r="S126" s="179"/>
      <c r="T126" s="180"/>
      <c r="U126" s="180"/>
      <c r="V126" s="180"/>
      <c r="W126" s="180"/>
      <c r="X126" s="180"/>
      <c r="Y126" s="180">
        <v>204</v>
      </c>
      <c r="Z126" s="180">
        <v>3264</v>
      </c>
      <c r="AA126" s="180">
        <v>0</v>
      </c>
      <c r="AB126" s="180">
        <v>0</v>
      </c>
      <c r="AC126" s="180">
        <v>540</v>
      </c>
      <c r="AD126" s="180">
        <v>8640</v>
      </c>
      <c r="AE126" s="180">
        <v>300</v>
      </c>
      <c r="AF126" s="180">
        <v>4800</v>
      </c>
      <c r="AG126" s="180">
        <v>0</v>
      </c>
      <c r="AH126" s="180">
        <v>0</v>
      </c>
      <c r="AI126" s="162">
        <f>VLOOKUP(I126,'[119]MTO-rev09'!$A:$O,11,0)</f>
        <v>0</v>
      </c>
      <c r="AJ126" s="162">
        <f>VLOOKUP(I126,'[119]MTO-rev09'!$A:$O,12,0)</f>
        <v>0</v>
      </c>
      <c r="AK126" s="162">
        <v>0</v>
      </c>
      <c r="AL126" s="162">
        <v>0</v>
      </c>
      <c r="AM126" s="162"/>
      <c r="AN126" s="162"/>
      <c r="AO126" s="162">
        <v>0</v>
      </c>
      <c r="AP126" s="162">
        <v>0</v>
      </c>
      <c r="AQ126" s="162">
        <v>0</v>
      </c>
      <c r="AR126" s="162">
        <v>0</v>
      </c>
      <c r="AS126" s="162">
        <v>0</v>
      </c>
      <c r="AT126" s="162">
        <v>0</v>
      </c>
      <c r="AU126" s="162">
        <v>0</v>
      </c>
      <c r="AV126" s="162">
        <v>0</v>
      </c>
      <c r="AW126" s="162">
        <v>0</v>
      </c>
      <c r="AX126" s="162">
        <v>0</v>
      </c>
      <c r="AY126" s="162">
        <v>0</v>
      </c>
      <c r="AZ126" s="162">
        <v>0</v>
      </c>
      <c r="BA126" s="162"/>
      <c r="BB126" s="162"/>
      <c r="BC126" s="162">
        <v>0</v>
      </c>
      <c r="BD126" s="162">
        <v>0</v>
      </c>
      <c r="BE126" s="162">
        <v>0</v>
      </c>
      <c r="BF126" s="162">
        <v>0</v>
      </c>
      <c r="BG126" s="162">
        <v>0</v>
      </c>
      <c r="BH126" s="162">
        <v>0</v>
      </c>
      <c r="BI126" s="162">
        <v>0</v>
      </c>
      <c r="BJ126" s="162">
        <v>0</v>
      </c>
      <c r="BK126" s="162">
        <v>0</v>
      </c>
      <c r="BL126" s="162">
        <v>0</v>
      </c>
      <c r="BM126" s="162">
        <v>0</v>
      </c>
      <c r="BN126" s="162">
        <v>0</v>
      </c>
      <c r="BO126" s="162"/>
      <c r="BP126" s="162"/>
      <c r="BQ126" s="162">
        <v>0</v>
      </c>
      <c r="BR126" s="162">
        <v>0</v>
      </c>
      <c r="BS126" s="162">
        <v>0</v>
      </c>
      <c r="BT126" s="162">
        <v>0</v>
      </c>
      <c r="BU126" s="162">
        <v>0</v>
      </c>
      <c r="BV126" s="162">
        <v>0</v>
      </c>
      <c r="BW126" s="162"/>
      <c r="BX126" s="162"/>
      <c r="BY126" s="162">
        <v>0</v>
      </c>
      <c r="BZ126" s="162">
        <v>0</v>
      </c>
      <c r="CA126" s="162">
        <v>0</v>
      </c>
      <c r="CB126" s="162">
        <v>0</v>
      </c>
      <c r="CC126" s="162">
        <v>0</v>
      </c>
      <c r="CD126" s="162">
        <v>0</v>
      </c>
      <c r="CE126" s="162">
        <f>VLOOKUP(I126,[120]REV33!$A:$O,11,0)</f>
        <v>0</v>
      </c>
      <c r="CF126" s="162">
        <f>VLOOKUP(I126,[120]REV33!$A:$O,12,0)</f>
        <v>0</v>
      </c>
      <c r="CG126" s="162"/>
      <c r="CH126" s="162"/>
      <c r="CI126" s="162"/>
      <c r="CJ126" s="162"/>
      <c r="CK126" s="162"/>
      <c r="CL126" s="162"/>
      <c r="CM126" s="162"/>
      <c r="CN126" s="162"/>
      <c r="CO126" s="162">
        <v>0</v>
      </c>
      <c r="CP126" s="162">
        <v>0</v>
      </c>
      <c r="CQ126" s="162">
        <v>0</v>
      </c>
      <c r="CR126" s="162">
        <v>0</v>
      </c>
      <c r="CS126" s="209">
        <f>Q126+S126+U126+W126+Y126+AA126+AC126+AE126+AG126+AI126+AK126+AM126+AO126+AQ126+AS126+AU126+AW126+AY126+BA126+BC126+BE126+BG126+BI126+BK126+BM126+BO126+BQ126+BS126+BU126+BW126+BY126+CA126+CC126+CE126+CG126+CI126+CK126+CM126+CO126+CQ126</f>
        <v>1044</v>
      </c>
      <c r="CT126" s="209">
        <f>R126+T126+V126+X126+Z126+AB126+AD126+AF126+AH126+AJ126+AL126+AN126+AP126+AR126+AT126+AV126+AX126+AZ126+BB126+BD126+BF126+BH126+BJ126+BL126+BN126+BP126+BR126+BT126+BV126+BX126+BZ126+CB126+CD126+CF126+CH126+CJ126+CL126+CN126+CP126+CR126</f>
        <v>16704</v>
      </c>
      <c r="CU126" s="375" t="s">
        <v>648</v>
      </c>
      <c r="CV126" s="208"/>
      <c r="CW126" s="152"/>
      <c r="CX126" s="152"/>
      <c r="CY126" s="208"/>
      <c r="CZ126" s="208"/>
      <c r="DA126" s="152">
        <f t="shared" si="160"/>
        <v>1044</v>
      </c>
      <c r="DB126" s="152">
        <f t="shared" si="161"/>
        <v>16704</v>
      </c>
      <c r="DC126" s="153">
        <v>45817</v>
      </c>
      <c r="DD126" s="153"/>
      <c r="DE126" s="153"/>
      <c r="DF126" s="410"/>
      <c r="DG126" s="368"/>
      <c r="DH126" s="181"/>
      <c r="DI126" s="153"/>
      <c r="DJ126" s="1000"/>
      <c r="DK126" s="181"/>
      <c r="DL126" s="182"/>
      <c r="DM126" s="182"/>
      <c r="DN126" s="182"/>
      <c r="DO126" s="182"/>
      <c r="DP126" s="275"/>
      <c r="DQ126" s="152">
        <f>SUMIF($I:$I,I126,$DJ:$DJ)</f>
        <v>0</v>
      </c>
      <c r="DR126" s="152">
        <f>SUMIF($I:$I,I126,$DK:$DK)</f>
        <v>0</v>
      </c>
      <c r="DS126" s="151"/>
      <c r="DT126" s="275"/>
      <c r="DU126" s="370"/>
      <c r="DV126" s="208"/>
      <c r="DW126" s="208" t="s">
        <v>575</v>
      </c>
      <c r="DX126" s="152" t="s">
        <v>518</v>
      </c>
      <c r="DY126" s="171" t="s">
        <v>579</v>
      </c>
      <c r="DZ126" s="152" t="s">
        <v>739</v>
      </c>
      <c r="EA126" s="152">
        <v>3264</v>
      </c>
      <c r="EB126" s="153">
        <v>45813</v>
      </c>
      <c r="EC126" s="152">
        <v>204</v>
      </c>
      <c r="ED126" s="152">
        <v>3264</v>
      </c>
      <c r="EE126" s="396">
        <f>0.0577454062236541+0.994</f>
        <v>1.0517454062236542</v>
      </c>
      <c r="EF126" s="371">
        <f t="shared" si="168"/>
        <v>3432.8970059140074</v>
      </c>
      <c r="EG126" s="153">
        <v>45833</v>
      </c>
      <c r="EH126" s="153"/>
      <c r="EI126" s="153"/>
      <c r="EJ126" s="153">
        <v>45851</v>
      </c>
      <c r="EK126" s="153">
        <v>45851</v>
      </c>
      <c r="EL126" s="153">
        <v>45853</v>
      </c>
      <c r="EM126" s="153">
        <v>45853</v>
      </c>
      <c r="EN126" s="153">
        <v>45853</v>
      </c>
      <c r="EO126" s="152">
        <f>SUMIF($I:$I,I126,$EC:$EC)</f>
        <v>1044</v>
      </c>
      <c r="EP126" s="151">
        <f>SUMIF($I:$I,I126,$ED:$ED)</f>
        <v>16704</v>
      </c>
      <c r="EQ126" s="153"/>
      <c r="ER126" s="153"/>
      <c r="ES126" s="153"/>
      <c r="ET126" s="153"/>
      <c r="EU126" s="152">
        <f t="shared" si="162"/>
        <v>1044</v>
      </c>
      <c r="EV126" s="152">
        <f t="shared" si="163"/>
        <v>16704</v>
      </c>
      <c r="EW126" s="152">
        <f t="shared" si="164"/>
        <v>0</v>
      </c>
      <c r="EX126" s="152">
        <f t="shared" si="165"/>
        <v>0</v>
      </c>
      <c r="EY126" s="151" t="str">
        <f t="shared" si="166"/>
        <v>Đủ</v>
      </c>
      <c r="EZ126" s="152"/>
      <c r="FA126" s="372"/>
      <c r="FB126" s="373"/>
      <c r="FC126" s="367"/>
      <c r="FD126" s="374"/>
      <c r="FE126" s="183"/>
      <c r="FF126" s="184"/>
      <c r="FG126" s="185"/>
      <c r="FH126" s="185"/>
    </row>
    <row r="127" spans="1:164" s="386" customFormat="1" ht="14" hidden="1" customHeight="1">
      <c r="A127" s="208" t="str">
        <f t="shared" si="89"/>
        <v>ok</v>
      </c>
      <c r="B127" s="151"/>
      <c r="C127" s="151"/>
      <c r="D127" s="398"/>
      <c r="E127" s="400"/>
      <c r="F127" s="151"/>
      <c r="G127" s="151"/>
      <c r="H127" s="151"/>
      <c r="I127" s="171" t="s">
        <v>441</v>
      </c>
      <c r="J127" s="164" t="s">
        <v>277</v>
      </c>
      <c r="K127" s="247" t="s">
        <v>442</v>
      </c>
      <c r="L127" s="233" t="s">
        <v>402</v>
      </c>
      <c r="M127" s="163" t="s">
        <v>61</v>
      </c>
      <c r="N127" s="172"/>
      <c r="O127" s="408"/>
      <c r="P127" s="172"/>
      <c r="Q127" s="161"/>
      <c r="R127" s="162"/>
      <c r="S127" s="161"/>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209"/>
      <c r="CT127" s="209"/>
      <c r="CU127" s="375"/>
      <c r="CV127" s="208"/>
      <c r="CW127" s="152"/>
      <c r="CX127" s="152"/>
      <c r="CY127" s="208"/>
      <c r="CZ127" s="208"/>
      <c r="DA127" s="152"/>
      <c r="DB127" s="152"/>
      <c r="DC127" s="153"/>
      <c r="DD127" s="153"/>
      <c r="DE127" s="153"/>
      <c r="DF127" s="403"/>
      <c r="DG127" s="368"/>
      <c r="DH127" s="181"/>
      <c r="DI127" s="153"/>
      <c r="DJ127" s="1000"/>
      <c r="DK127" s="181"/>
      <c r="DL127" s="182"/>
      <c r="DM127" s="182"/>
      <c r="DN127" s="182"/>
      <c r="DO127" s="182"/>
      <c r="DP127" s="275"/>
      <c r="DQ127" s="152"/>
      <c r="DR127" s="152"/>
      <c r="DS127" s="151"/>
      <c r="DT127" s="275"/>
      <c r="DU127" s="370"/>
      <c r="DV127" s="208"/>
      <c r="DW127" s="208" t="s">
        <v>594</v>
      </c>
      <c r="DX127" s="208" t="s">
        <v>46</v>
      </c>
      <c r="DY127" s="171" t="s">
        <v>608</v>
      </c>
      <c r="DZ127" s="152" t="s">
        <v>547</v>
      </c>
      <c r="EA127" s="152">
        <v>8640</v>
      </c>
      <c r="EB127" s="153">
        <v>45833</v>
      </c>
      <c r="EC127" s="152">
        <v>540</v>
      </c>
      <c r="ED127" s="152">
        <v>8640</v>
      </c>
      <c r="EE127" s="396">
        <f>0.113081035655641+0.994</f>
        <v>1.1070810356556411</v>
      </c>
      <c r="EF127" s="371">
        <f>EE127*ED127</f>
        <v>9565.1801480647391</v>
      </c>
      <c r="EG127" s="153">
        <v>45846</v>
      </c>
      <c r="EH127" s="153"/>
      <c r="EI127" s="153"/>
      <c r="EJ127" s="153"/>
      <c r="EK127" s="153"/>
      <c r="EL127" s="153"/>
      <c r="EM127" s="153">
        <v>45869</v>
      </c>
      <c r="EN127" s="153">
        <v>45869</v>
      </c>
      <c r="EO127" s="152"/>
      <c r="EP127" s="151"/>
      <c r="EQ127" s="153"/>
      <c r="ER127" s="153"/>
      <c r="ES127" s="153"/>
      <c r="ET127" s="153"/>
      <c r="EU127" s="152"/>
      <c r="EV127" s="152"/>
      <c r="EW127" s="152"/>
      <c r="EX127" s="152"/>
      <c r="EY127" s="151"/>
      <c r="EZ127" s="152"/>
      <c r="FA127" s="372"/>
      <c r="FB127" s="373"/>
      <c r="FC127" s="384"/>
      <c r="FD127" s="385"/>
      <c r="FE127" s="210"/>
      <c r="FF127" s="211"/>
      <c r="FG127" s="212"/>
      <c r="FH127" s="212"/>
    </row>
    <row r="128" spans="1:164" s="386" customFormat="1" ht="14" hidden="1" customHeight="1">
      <c r="A128" s="208" t="str">
        <f t="shared" si="89"/>
        <v>ok</v>
      </c>
      <c r="B128" s="151"/>
      <c r="C128" s="151"/>
      <c r="D128" s="398"/>
      <c r="E128" s="400"/>
      <c r="F128" s="151"/>
      <c r="G128" s="151"/>
      <c r="H128" s="151"/>
      <c r="I128" s="171" t="s">
        <v>441</v>
      </c>
      <c r="J128" s="164" t="s">
        <v>277</v>
      </c>
      <c r="K128" s="247" t="s">
        <v>442</v>
      </c>
      <c r="L128" s="233" t="s">
        <v>402</v>
      </c>
      <c r="M128" s="163" t="s">
        <v>61</v>
      </c>
      <c r="N128" s="172"/>
      <c r="O128" s="408"/>
      <c r="P128" s="172"/>
      <c r="Q128" s="161"/>
      <c r="R128" s="162"/>
      <c r="S128" s="161"/>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209"/>
      <c r="CT128" s="209"/>
      <c r="CU128" s="375"/>
      <c r="CV128" s="208"/>
      <c r="CW128" s="152"/>
      <c r="CX128" s="152"/>
      <c r="CY128" s="208"/>
      <c r="CZ128" s="208"/>
      <c r="DA128" s="152"/>
      <c r="DB128" s="152"/>
      <c r="DC128" s="153"/>
      <c r="DD128" s="153"/>
      <c r="DE128" s="153"/>
      <c r="DF128" s="403"/>
      <c r="DG128" s="368"/>
      <c r="DH128" s="181"/>
      <c r="DI128" s="153"/>
      <c r="DJ128" s="1000"/>
      <c r="DK128" s="181"/>
      <c r="DL128" s="182"/>
      <c r="DM128" s="182"/>
      <c r="DN128" s="182"/>
      <c r="DO128" s="182"/>
      <c r="DP128" s="275"/>
      <c r="DQ128" s="152"/>
      <c r="DR128" s="152"/>
      <c r="DS128" s="151"/>
      <c r="DT128" s="275"/>
      <c r="DU128" s="370"/>
      <c r="DV128" s="208"/>
      <c r="DW128" s="208" t="s">
        <v>1439</v>
      </c>
      <c r="DX128" s="171" t="s">
        <v>1438</v>
      </c>
      <c r="DY128" s="411" t="s">
        <v>1440</v>
      </c>
      <c r="DZ128" s="152" t="s">
        <v>371</v>
      </c>
      <c r="EA128" s="152">
        <v>4800</v>
      </c>
      <c r="EB128" s="153">
        <v>45863</v>
      </c>
      <c r="EC128" s="152">
        <v>300</v>
      </c>
      <c r="ED128" s="152">
        <v>4800</v>
      </c>
      <c r="EE128" s="396">
        <f>0.180163300015134+0.994</f>
        <v>1.1741633000151339</v>
      </c>
      <c r="EF128" s="371">
        <f>EE128*ED128</f>
        <v>5635.983840072643</v>
      </c>
      <c r="EG128" s="153">
        <v>45894</v>
      </c>
      <c r="EH128" s="153"/>
      <c r="EI128" s="153">
        <v>45905</v>
      </c>
      <c r="EJ128" s="153"/>
      <c r="EK128" s="153">
        <v>45909</v>
      </c>
      <c r="EL128" s="153">
        <v>45910</v>
      </c>
      <c r="EM128" s="153">
        <v>45910</v>
      </c>
      <c r="EN128" s="153">
        <v>45910</v>
      </c>
      <c r="EO128" s="152"/>
      <c r="EP128" s="151"/>
      <c r="EQ128" s="153"/>
      <c r="ER128" s="153"/>
      <c r="ES128" s="153"/>
      <c r="ET128" s="153"/>
      <c r="EU128" s="152"/>
      <c r="EV128" s="152"/>
      <c r="EW128" s="152"/>
      <c r="EX128" s="152"/>
      <c r="EY128" s="151"/>
      <c r="EZ128" s="152"/>
      <c r="FA128" s="372"/>
      <c r="FB128" s="373"/>
      <c r="FC128" s="384"/>
      <c r="FD128" s="385"/>
      <c r="FE128" s="210"/>
      <c r="FF128" s="211"/>
      <c r="FG128" s="212"/>
      <c r="FH128" s="212"/>
    </row>
    <row r="129" spans="1:164" s="157" customFormat="1" ht="14" hidden="1" customHeight="1">
      <c r="A129" s="208" t="str">
        <f t="shared" si="89"/>
        <v>Hiện</v>
      </c>
      <c r="B129" s="151" t="str">
        <f t="shared" si="84"/>
        <v>Đủ</v>
      </c>
      <c r="C129" s="409">
        <f>EW129</f>
        <v>0</v>
      </c>
      <c r="D129" s="151"/>
      <c r="E129" s="400"/>
      <c r="F129" s="151"/>
      <c r="G129" s="151"/>
      <c r="H129" s="151"/>
      <c r="I129" s="171" t="s">
        <v>443</v>
      </c>
      <c r="J129" s="164" t="s">
        <v>277</v>
      </c>
      <c r="K129" s="247" t="s">
        <v>444</v>
      </c>
      <c r="L129" s="233" t="s">
        <v>402</v>
      </c>
      <c r="M129" s="163" t="s">
        <v>61</v>
      </c>
      <c r="N129" s="172">
        <v>25.3</v>
      </c>
      <c r="O129" s="408">
        <v>256.16299999999995</v>
      </c>
      <c r="P129" s="172">
        <v>6439.36</v>
      </c>
      <c r="Q129" s="179"/>
      <c r="R129" s="180"/>
      <c r="S129" s="179"/>
      <c r="T129" s="180"/>
      <c r="U129" s="180"/>
      <c r="V129" s="180"/>
      <c r="W129" s="180"/>
      <c r="X129" s="180"/>
      <c r="Y129" s="180">
        <v>276</v>
      </c>
      <c r="Z129" s="180">
        <v>6982.8</v>
      </c>
      <c r="AA129" s="180">
        <v>0</v>
      </c>
      <c r="AB129" s="180">
        <v>0</v>
      </c>
      <c r="AC129" s="180">
        <v>912</v>
      </c>
      <c r="AD129" s="180">
        <v>23073.600000000002</v>
      </c>
      <c r="AE129" s="180">
        <v>144</v>
      </c>
      <c r="AF129" s="180">
        <v>3643.2000000000003</v>
      </c>
      <c r="AG129" s="180">
        <v>0</v>
      </c>
      <c r="AH129" s="180">
        <v>0</v>
      </c>
      <c r="AI129" s="162">
        <f>VLOOKUP(I129,'[119]MTO-rev09'!$A:$O,11,0)</f>
        <v>0</v>
      </c>
      <c r="AJ129" s="162">
        <f>VLOOKUP(I129,'[119]MTO-rev09'!$A:$O,12,0)</f>
        <v>0</v>
      </c>
      <c r="AK129" s="162">
        <v>0</v>
      </c>
      <c r="AL129" s="162">
        <v>0</v>
      </c>
      <c r="AM129" s="162"/>
      <c r="AN129" s="162"/>
      <c r="AO129" s="162">
        <v>0</v>
      </c>
      <c r="AP129" s="162">
        <v>0</v>
      </c>
      <c r="AQ129" s="162">
        <v>0</v>
      </c>
      <c r="AR129" s="162">
        <v>0</v>
      </c>
      <c r="AS129" s="162">
        <v>0</v>
      </c>
      <c r="AT129" s="162">
        <v>0</v>
      </c>
      <c r="AU129" s="162">
        <v>0</v>
      </c>
      <c r="AV129" s="162">
        <v>0</v>
      </c>
      <c r="AW129" s="162">
        <v>0</v>
      </c>
      <c r="AX129" s="162">
        <v>0</v>
      </c>
      <c r="AY129" s="162">
        <v>0</v>
      </c>
      <c r="AZ129" s="162">
        <v>0</v>
      </c>
      <c r="BA129" s="162"/>
      <c r="BB129" s="162"/>
      <c r="BC129" s="162">
        <v>0</v>
      </c>
      <c r="BD129" s="162">
        <v>0</v>
      </c>
      <c r="BE129" s="162">
        <v>0</v>
      </c>
      <c r="BF129" s="162">
        <v>0</v>
      </c>
      <c r="BG129" s="162">
        <v>0</v>
      </c>
      <c r="BH129" s="162">
        <v>0</v>
      </c>
      <c r="BI129" s="162">
        <v>0</v>
      </c>
      <c r="BJ129" s="162">
        <v>0</v>
      </c>
      <c r="BK129" s="162">
        <v>0</v>
      </c>
      <c r="BL129" s="162">
        <v>0</v>
      </c>
      <c r="BM129" s="162">
        <v>0</v>
      </c>
      <c r="BN129" s="162">
        <v>0</v>
      </c>
      <c r="BO129" s="162"/>
      <c r="BP129" s="162"/>
      <c r="BQ129" s="162">
        <v>0</v>
      </c>
      <c r="BR129" s="162">
        <v>0</v>
      </c>
      <c r="BS129" s="162">
        <v>0</v>
      </c>
      <c r="BT129" s="162">
        <v>0</v>
      </c>
      <c r="BU129" s="162">
        <v>0</v>
      </c>
      <c r="BV129" s="162">
        <v>0</v>
      </c>
      <c r="BW129" s="162"/>
      <c r="BX129" s="162"/>
      <c r="BY129" s="162">
        <v>0</v>
      </c>
      <c r="BZ129" s="162">
        <v>0</v>
      </c>
      <c r="CA129" s="162">
        <v>0</v>
      </c>
      <c r="CB129" s="162">
        <v>0</v>
      </c>
      <c r="CC129" s="162">
        <v>0</v>
      </c>
      <c r="CD129" s="162">
        <v>0</v>
      </c>
      <c r="CE129" s="162">
        <f>VLOOKUP(I129,[120]REV33!$A:$O,11,0)</f>
        <v>0</v>
      </c>
      <c r="CF129" s="162">
        <f>VLOOKUP(I129,[120]REV33!$A:$O,12,0)</f>
        <v>0</v>
      </c>
      <c r="CG129" s="162"/>
      <c r="CH129" s="162"/>
      <c r="CI129" s="162"/>
      <c r="CJ129" s="162"/>
      <c r="CK129" s="162"/>
      <c r="CL129" s="162"/>
      <c r="CM129" s="162"/>
      <c r="CN129" s="162"/>
      <c r="CO129" s="162">
        <v>0</v>
      </c>
      <c r="CP129" s="162">
        <v>0</v>
      </c>
      <c r="CQ129" s="162">
        <v>0</v>
      </c>
      <c r="CR129" s="162">
        <v>0</v>
      </c>
      <c r="CS129" s="209">
        <f>Q129+S129+U129+W129+Y129+AA129+AC129+AE129+AG129+AI129+AK129+AM129+AO129+AQ129+AS129+AU129+AW129+AY129+BA129+BC129+BE129+BG129+BI129+BK129+BM129+BO129+BQ129+BS129+BU129+BW129+BY129+CA129+CC129+CE129+CG129+CI129+CK129+CM129+CO129+CQ129</f>
        <v>1332</v>
      </c>
      <c r="CT129" s="209">
        <f>R129+T129+V129+X129+Z129+AB129+AD129+AF129+AH129+AJ129+AL129+AN129+AP129+AR129+AT129+AV129+AX129+AZ129+BB129+BD129+BF129+BH129+BJ129+BL129+BN129+BP129+BR129+BT129+BV129+BX129+BZ129+CB129+CD129+CF129+CH129+CJ129+CL129+CN129+CP129+CR129</f>
        <v>33699.599999999999</v>
      </c>
      <c r="CU129" s="375" t="s">
        <v>649</v>
      </c>
      <c r="CV129" s="208"/>
      <c r="CW129" s="152"/>
      <c r="CX129" s="152"/>
      <c r="CY129" s="208"/>
      <c r="CZ129" s="208"/>
      <c r="DA129" s="152">
        <f>IF(CS129&gt;CW129,CS129-CW129,"0")</f>
        <v>1332</v>
      </c>
      <c r="DB129" s="152">
        <f>IF(CT129&gt;CX129,CT129-CX129,"0")</f>
        <v>33699.599999999999</v>
      </c>
      <c r="DC129" s="153">
        <v>45817</v>
      </c>
      <c r="DD129" s="153"/>
      <c r="DE129" s="153"/>
      <c r="DF129" s="410"/>
      <c r="DG129" s="368"/>
      <c r="DH129" s="181"/>
      <c r="DI129" s="153"/>
      <c r="DJ129" s="1000"/>
      <c r="DK129" s="181"/>
      <c r="DL129" s="182"/>
      <c r="DM129" s="182"/>
      <c r="DN129" s="182"/>
      <c r="DO129" s="182"/>
      <c r="DP129" s="275"/>
      <c r="DQ129" s="152">
        <f>SUMIF($I:$I,I129,$DJ:$DJ)</f>
        <v>0</v>
      </c>
      <c r="DR129" s="152">
        <f>SUMIF($I:$I,I129,$DK:$DK)</f>
        <v>0</v>
      </c>
      <c r="DS129" s="151"/>
      <c r="DT129" s="275"/>
      <c r="DU129" s="370"/>
      <c r="DV129" s="208"/>
      <c r="DW129" s="208" t="s">
        <v>575</v>
      </c>
      <c r="DX129" s="171" t="s">
        <v>518</v>
      </c>
      <c r="DY129" s="171" t="s">
        <v>580</v>
      </c>
      <c r="DZ129" s="152" t="s">
        <v>740</v>
      </c>
      <c r="EA129" s="152">
        <v>6982.8</v>
      </c>
      <c r="EB129" s="153">
        <v>45813</v>
      </c>
      <c r="EC129" s="152">
        <v>276</v>
      </c>
      <c r="ED129" s="152">
        <v>6982.8</v>
      </c>
      <c r="EE129" s="396">
        <f>0.0577454062236541+0.994</f>
        <v>1.0517454062236542</v>
      </c>
      <c r="EF129" s="371">
        <f t="shared" si="168"/>
        <v>7344.1278225785327</v>
      </c>
      <c r="EG129" s="153">
        <v>45833</v>
      </c>
      <c r="EH129" s="153"/>
      <c r="EI129" s="153"/>
      <c r="EJ129" s="153">
        <v>45851</v>
      </c>
      <c r="EK129" s="153">
        <v>45851</v>
      </c>
      <c r="EL129" s="153">
        <v>45853</v>
      </c>
      <c r="EM129" s="153">
        <v>45853</v>
      </c>
      <c r="EN129" s="153">
        <v>45853</v>
      </c>
      <c r="EO129" s="152">
        <f>SUMIF($I:$I,I129,$EC:$EC)</f>
        <v>1332</v>
      </c>
      <c r="EP129" s="151">
        <f>SUMIF($I:$I,I129,$ED:$ED)</f>
        <v>33699.599999999999</v>
      </c>
      <c r="EQ129" s="153"/>
      <c r="ER129" s="153"/>
      <c r="ES129" s="153"/>
      <c r="ET129" s="153"/>
      <c r="EU129" s="152">
        <f>DQ129+EO129</f>
        <v>1332</v>
      </c>
      <c r="EV129" s="152">
        <f>DR129+EP129</f>
        <v>33699.599999999999</v>
      </c>
      <c r="EW129" s="152">
        <f t="shared" ref="EW129" si="169">DA129-EU129</f>
        <v>0</v>
      </c>
      <c r="EX129" s="152">
        <f t="shared" ref="EX129" si="170">DB129-EV129</f>
        <v>0</v>
      </c>
      <c r="EY129" s="151" t="str">
        <f>IF(EW129&lt;0,"Thừa",IF(EW129=0,"Đủ","Thiếu"))</f>
        <v>Đủ</v>
      </c>
      <c r="EZ129" s="152"/>
      <c r="FA129" s="372"/>
      <c r="FB129" s="373"/>
      <c r="FC129" s="367"/>
      <c r="FD129" s="374"/>
      <c r="FE129" s="183"/>
      <c r="FF129" s="184"/>
      <c r="FG129" s="185"/>
      <c r="FH129" s="185"/>
    </row>
    <row r="130" spans="1:164" s="386" customFormat="1" ht="14" hidden="1" customHeight="1">
      <c r="A130" s="208" t="str">
        <f t="shared" si="89"/>
        <v>ok</v>
      </c>
      <c r="B130" s="151"/>
      <c r="C130" s="151"/>
      <c r="D130" s="399"/>
      <c r="E130" s="400"/>
      <c r="F130" s="151"/>
      <c r="G130" s="151"/>
      <c r="H130" s="151"/>
      <c r="I130" s="171" t="s">
        <v>443</v>
      </c>
      <c r="J130" s="164" t="s">
        <v>277</v>
      </c>
      <c r="K130" s="247" t="s">
        <v>444</v>
      </c>
      <c r="L130" s="233" t="s">
        <v>402</v>
      </c>
      <c r="M130" s="163" t="s">
        <v>61</v>
      </c>
      <c r="N130" s="172"/>
      <c r="O130" s="408"/>
      <c r="P130" s="172"/>
      <c r="Q130" s="161"/>
      <c r="R130" s="162"/>
      <c r="S130" s="161"/>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209"/>
      <c r="CT130" s="209"/>
      <c r="CU130" s="375"/>
      <c r="CV130" s="208"/>
      <c r="CW130" s="152"/>
      <c r="CX130" s="152"/>
      <c r="CY130" s="208"/>
      <c r="CZ130" s="208"/>
      <c r="DA130" s="152"/>
      <c r="DB130" s="152"/>
      <c r="DC130" s="153"/>
      <c r="DD130" s="153"/>
      <c r="DE130" s="153"/>
      <c r="DF130" s="403"/>
      <c r="DG130" s="368"/>
      <c r="DH130" s="181"/>
      <c r="DI130" s="153"/>
      <c r="DJ130" s="1000"/>
      <c r="DK130" s="181"/>
      <c r="DL130" s="182"/>
      <c r="DM130" s="182"/>
      <c r="DN130" s="182"/>
      <c r="DO130" s="182"/>
      <c r="DP130" s="275"/>
      <c r="DQ130" s="152"/>
      <c r="DR130" s="152"/>
      <c r="DS130" s="151"/>
      <c r="DT130" s="275"/>
      <c r="DU130" s="370"/>
      <c r="DV130" s="208"/>
      <c r="DW130" s="208" t="s">
        <v>594</v>
      </c>
      <c r="DX130" s="171" t="s">
        <v>46</v>
      </c>
      <c r="DY130" s="171" t="s">
        <v>609</v>
      </c>
      <c r="DZ130" s="152" t="s">
        <v>548</v>
      </c>
      <c r="EA130" s="152">
        <v>23073.600000000002</v>
      </c>
      <c r="EB130" s="153">
        <v>45833</v>
      </c>
      <c r="EC130" s="152">
        <v>912</v>
      </c>
      <c r="ED130" s="152">
        <v>23073.600000000002</v>
      </c>
      <c r="EE130" s="396">
        <f>0.113081035655641+0.994</f>
        <v>1.1070810356556411</v>
      </c>
      <c r="EF130" s="371">
        <f>EE130*ED130</f>
        <v>25544.344984304003</v>
      </c>
      <c r="EG130" s="153">
        <v>45846</v>
      </c>
      <c r="EH130" s="153"/>
      <c r="EI130" s="153"/>
      <c r="EJ130" s="153"/>
      <c r="EK130" s="153"/>
      <c r="EL130" s="153"/>
      <c r="EM130" s="153">
        <v>45869</v>
      </c>
      <c r="EN130" s="153">
        <v>45869</v>
      </c>
      <c r="EO130" s="152"/>
      <c r="EP130" s="151"/>
      <c r="EQ130" s="153"/>
      <c r="ER130" s="153"/>
      <c r="ES130" s="153"/>
      <c r="ET130" s="153"/>
      <c r="EU130" s="152"/>
      <c r="EV130" s="152"/>
      <c r="EW130" s="152"/>
      <c r="EX130" s="152"/>
      <c r="EY130" s="151"/>
      <c r="EZ130" s="152"/>
      <c r="FA130" s="372"/>
      <c r="FB130" s="373"/>
      <c r="FC130" s="384"/>
      <c r="FD130" s="385"/>
      <c r="FE130" s="210"/>
      <c r="FF130" s="211"/>
      <c r="FG130" s="212"/>
      <c r="FH130" s="212"/>
    </row>
    <row r="131" spans="1:164" s="386" customFormat="1" ht="14" hidden="1" customHeight="1">
      <c r="A131" s="208" t="str">
        <f t="shared" si="89"/>
        <v>ok</v>
      </c>
      <c r="B131" s="151"/>
      <c r="C131" s="151"/>
      <c r="D131" s="399"/>
      <c r="E131" s="400"/>
      <c r="F131" s="151"/>
      <c r="G131" s="151"/>
      <c r="H131" s="151"/>
      <c r="I131" s="171" t="s">
        <v>443</v>
      </c>
      <c r="J131" s="164" t="s">
        <v>277</v>
      </c>
      <c r="K131" s="247" t="s">
        <v>444</v>
      </c>
      <c r="L131" s="233" t="s">
        <v>402</v>
      </c>
      <c r="M131" s="163" t="s">
        <v>61</v>
      </c>
      <c r="N131" s="172"/>
      <c r="O131" s="408"/>
      <c r="P131" s="172"/>
      <c r="Q131" s="161"/>
      <c r="R131" s="162"/>
      <c r="S131" s="161"/>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209"/>
      <c r="CT131" s="209"/>
      <c r="CU131" s="375"/>
      <c r="CV131" s="208"/>
      <c r="CW131" s="152"/>
      <c r="CX131" s="152"/>
      <c r="CY131" s="208"/>
      <c r="CZ131" s="208"/>
      <c r="DA131" s="152"/>
      <c r="DB131" s="152"/>
      <c r="DC131" s="153"/>
      <c r="DD131" s="153"/>
      <c r="DE131" s="153"/>
      <c r="DF131" s="403"/>
      <c r="DG131" s="368"/>
      <c r="DH131" s="181"/>
      <c r="DI131" s="153"/>
      <c r="DJ131" s="1000"/>
      <c r="DK131" s="181"/>
      <c r="DL131" s="182"/>
      <c r="DM131" s="182"/>
      <c r="DN131" s="182"/>
      <c r="DO131" s="182"/>
      <c r="DP131" s="275"/>
      <c r="DQ131" s="152"/>
      <c r="DR131" s="152"/>
      <c r="DS131" s="151"/>
      <c r="DT131" s="275"/>
      <c r="DU131" s="370"/>
      <c r="DV131" s="208"/>
      <c r="DW131" s="208" t="s">
        <v>1439</v>
      </c>
      <c r="DX131" s="171" t="s">
        <v>1438</v>
      </c>
      <c r="DY131" s="411" t="s">
        <v>1441</v>
      </c>
      <c r="DZ131" s="152" t="s">
        <v>371</v>
      </c>
      <c r="EA131" s="152">
        <v>3643.2</v>
      </c>
      <c r="EB131" s="153">
        <v>45863</v>
      </c>
      <c r="EC131" s="152">
        <v>144</v>
      </c>
      <c r="ED131" s="152">
        <v>3643.2</v>
      </c>
      <c r="EE131" s="396">
        <f>0.180163300015134+0.994</f>
        <v>1.1741633000151339</v>
      </c>
      <c r="EF131" s="371">
        <f>EE131*ED131</f>
        <v>4277.7117346151354</v>
      </c>
      <c r="EG131" s="153">
        <v>45894</v>
      </c>
      <c r="EH131" s="153"/>
      <c r="EI131" s="153">
        <v>45905</v>
      </c>
      <c r="EJ131" s="153"/>
      <c r="EK131" s="153">
        <v>45909</v>
      </c>
      <c r="EL131" s="153">
        <v>45910</v>
      </c>
      <c r="EM131" s="153">
        <v>45910</v>
      </c>
      <c r="EN131" s="153">
        <v>45910</v>
      </c>
      <c r="EO131" s="152"/>
      <c r="EP131" s="151"/>
      <c r="EQ131" s="153"/>
      <c r="ER131" s="153"/>
      <c r="ES131" s="153"/>
      <c r="ET131" s="153"/>
      <c r="EU131" s="152"/>
      <c r="EV131" s="152"/>
      <c r="EW131" s="152"/>
      <c r="EX131" s="152"/>
      <c r="EY131" s="151"/>
      <c r="EZ131" s="152"/>
      <c r="FA131" s="372"/>
      <c r="FB131" s="373"/>
      <c r="FC131" s="384"/>
      <c r="FD131" s="385"/>
      <c r="FE131" s="210"/>
      <c r="FF131" s="211"/>
      <c r="FG131" s="212"/>
      <c r="FH131" s="212"/>
    </row>
    <row r="132" spans="1:164" s="157" customFormat="1" ht="44" hidden="1" customHeight="1">
      <c r="A132" s="208" t="str">
        <f t="shared" si="89"/>
        <v>Hiện</v>
      </c>
      <c r="B132" s="151" t="str">
        <f t="shared" si="84"/>
        <v>Đủ</v>
      </c>
      <c r="C132" s="151">
        <f>EW132</f>
        <v>0</v>
      </c>
      <c r="D132" s="397"/>
      <c r="E132" s="400"/>
      <c r="F132" s="151"/>
      <c r="G132" s="151"/>
      <c r="H132" s="151"/>
      <c r="I132" s="171" t="s">
        <v>445</v>
      </c>
      <c r="J132" s="164" t="s">
        <v>397</v>
      </c>
      <c r="K132" s="247" t="s">
        <v>446</v>
      </c>
      <c r="L132" s="233" t="s">
        <v>447</v>
      </c>
      <c r="M132" s="163" t="s">
        <v>61</v>
      </c>
      <c r="N132" s="172">
        <v>28.9</v>
      </c>
      <c r="O132" s="408">
        <v>286.39457999999996</v>
      </c>
      <c r="P132" s="172">
        <v>7512.62</v>
      </c>
      <c r="Q132" s="161"/>
      <c r="R132" s="162"/>
      <c r="S132" s="161"/>
      <c r="T132" s="162"/>
      <c r="U132" s="162"/>
      <c r="V132" s="162"/>
      <c r="W132" s="162"/>
      <c r="X132" s="162"/>
      <c r="Y132" s="162">
        <v>300</v>
      </c>
      <c r="Z132" s="162">
        <v>8670</v>
      </c>
      <c r="AA132" s="162">
        <v>24</v>
      </c>
      <c r="AB132" s="162">
        <v>693.59999999999991</v>
      </c>
      <c r="AC132" s="162">
        <v>0</v>
      </c>
      <c r="AD132" s="162">
        <v>0</v>
      </c>
      <c r="AE132" s="162">
        <v>0</v>
      </c>
      <c r="AF132" s="162">
        <v>0</v>
      </c>
      <c r="AG132" s="162">
        <v>0</v>
      </c>
      <c r="AH132" s="162">
        <v>0</v>
      </c>
      <c r="AI132" s="162">
        <f>VLOOKUP(I132,'[119]MTO-rev09'!$A:$O,11,0)</f>
        <v>0</v>
      </c>
      <c r="AJ132" s="162">
        <f>VLOOKUP(I132,'[119]MTO-rev09'!$A:$O,12,0)</f>
        <v>0</v>
      </c>
      <c r="AK132" s="162">
        <v>0</v>
      </c>
      <c r="AL132" s="162">
        <v>0</v>
      </c>
      <c r="AM132" s="162"/>
      <c r="AN132" s="162"/>
      <c r="AO132" s="162">
        <v>0</v>
      </c>
      <c r="AP132" s="162">
        <v>0</v>
      </c>
      <c r="AQ132" s="162">
        <v>0</v>
      </c>
      <c r="AR132" s="162">
        <v>0</v>
      </c>
      <c r="AS132" s="162">
        <v>0</v>
      </c>
      <c r="AT132" s="162">
        <v>0</v>
      </c>
      <c r="AU132" s="162">
        <v>0</v>
      </c>
      <c r="AV132" s="162">
        <v>0</v>
      </c>
      <c r="AW132" s="162">
        <v>0</v>
      </c>
      <c r="AX132" s="162">
        <v>0</v>
      </c>
      <c r="AY132" s="162">
        <v>0</v>
      </c>
      <c r="AZ132" s="162">
        <v>0</v>
      </c>
      <c r="BA132" s="162"/>
      <c r="BB132" s="162"/>
      <c r="BC132" s="162">
        <v>0</v>
      </c>
      <c r="BD132" s="162">
        <v>0</v>
      </c>
      <c r="BE132" s="162">
        <v>0</v>
      </c>
      <c r="BF132" s="162">
        <v>0</v>
      </c>
      <c r="BG132" s="162">
        <v>0</v>
      </c>
      <c r="BH132" s="162">
        <v>0</v>
      </c>
      <c r="BI132" s="162">
        <v>0</v>
      </c>
      <c r="BJ132" s="162">
        <v>0</v>
      </c>
      <c r="BK132" s="162">
        <v>0</v>
      </c>
      <c r="BL132" s="162">
        <v>0</v>
      </c>
      <c r="BM132" s="162">
        <v>0</v>
      </c>
      <c r="BN132" s="162">
        <v>0</v>
      </c>
      <c r="BO132" s="162"/>
      <c r="BP132" s="162"/>
      <c r="BQ132" s="162">
        <v>0</v>
      </c>
      <c r="BR132" s="162">
        <v>0</v>
      </c>
      <c r="BS132" s="162">
        <v>0</v>
      </c>
      <c r="BT132" s="162">
        <v>0</v>
      </c>
      <c r="BU132" s="162">
        <v>0</v>
      </c>
      <c r="BV132" s="162">
        <v>0</v>
      </c>
      <c r="BW132" s="162"/>
      <c r="BX132" s="162"/>
      <c r="BY132" s="162">
        <v>0</v>
      </c>
      <c r="BZ132" s="162">
        <v>0</v>
      </c>
      <c r="CA132" s="162">
        <v>0</v>
      </c>
      <c r="CB132" s="162">
        <v>0</v>
      </c>
      <c r="CC132" s="162">
        <v>0</v>
      </c>
      <c r="CD132" s="162">
        <v>0</v>
      </c>
      <c r="CE132" s="162">
        <f>VLOOKUP(I132,[120]REV33!$A:$O,11,0)</f>
        <v>0</v>
      </c>
      <c r="CF132" s="162">
        <f>VLOOKUP(I132,[120]REV33!$A:$O,12,0)</f>
        <v>0</v>
      </c>
      <c r="CG132" s="162"/>
      <c r="CH132" s="162"/>
      <c r="CI132" s="162"/>
      <c r="CJ132" s="162"/>
      <c r="CK132" s="162"/>
      <c r="CL132" s="162"/>
      <c r="CM132" s="162"/>
      <c r="CN132" s="162"/>
      <c r="CO132" s="162">
        <v>0</v>
      </c>
      <c r="CP132" s="162">
        <v>0</v>
      </c>
      <c r="CQ132" s="162">
        <v>0</v>
      </c>
      <c r="CR132" s="162">
        <v>0</v>
      </c>
      <c r="CS132" s="209">
        <f>Q132+S132+U132+W132+Y132+AA132+AC132+AE132+AG132+AI132+AK132+AM132+AO132+AQ132+AS132+AU132+AW132+AY132+BA132+BC132+BE132+BG132+BI132+BK132+BM132+BO132+BQ132+BS132+BU132+BW132+BY132+CA132+CC132+CE132+CG132+CI132+CK132+CM132+CO132+CQ132</f>
        <v>324</v>
      </c>
      <c r="CT132" s="209">
        <f>R132+T132+V132+X132+Z132+AB132+AD132+AF132+AH132+AJ132+AL132+AN132+AP132+AR132+AT132+AV132+AX132+AZ132+BB132+BD132+BF132+BH132+BJ132+BL132+BN132+BP132+BR132+BT132+BV132+BX132+BZ132+CB132+CD132+CF132+CH132+CJ132+CL132+CN132+CP132+CR132</f>
        <v>9363.6</v>
      </c>
      <c r="CU132" s="375" t="s">
        <v>513</v>
      </c>
      <c r="CV132" s="208"/>
      <c r="CW132" s="152"/>
      <c r="CX132" s="152"/>
      <c r="CY132" s="208"/>
      <c r="CZ132" s="208"/>
      <c r="DA132" s="152">
        <f>IF(CS132&gt;CW132,CS132-CW132,"0")</f>
        <v>324</v>
      </c>
      <c r="DB132" s="152">
        <f>IF(CT132&gt;CX132,CT132-CX132,"0")</f>
        <v>9363.6</v>
      </c>
      <c r="DC132" s="153">
        <v>45817</v>
      </c>
      <c r="DD132" s="152"/>
      <c r="DE132" s="153"/>
      <c r="DF132" s="403"/>
      <c r="DG132" s="368"/>
      <c r="DH132" s="181"/>
      <c r="DI132" s="153"/>
      <c r="DJ132" s="1000"/>
      <c r="DK132" s="181"/>
      <c r="DL132" s="182"/>
      <c r="DM132" s="182"/>
      <c r="DN132" s="182"/>
      <c r="DO132" s="182"/>
      <c r="DP132" s="275"/>
      <c r="DQ132" s="152">
        <f>SUMIF($I:$I,I132,$DJ:$DJ)</f>
        <v>0</v>
      </c>
      <c r="DR132" s="152">
        <f>SUMIF($I:$I,I132,$DK:$DK)</f>
        <v>0</v>
      </c>
      <c r="DS132" s="151"/>
      <c r="DT132" s="275"/>
      <c r="DU132" s="370"/>
      <c r="DV132" s="208"/>
      <c r="DW132" s="208" t="s">
        <v>575</v>
      </c>
      <c r="DX132" s="171" t="s">
        <v>518</v>
      </c>
      <c r="DY132" s="171" t="s">
        <v>581</v>
      </c>
      <c r="DZ132" s="152" t="s">
        <v>741</v>
      </c>
      <c r="EA132" s="152">
        <v>8655</v>
      </c>
      <c r="EB132" s="153">
        <v>45813</v>
      </c>
      <c r="EC132" s="152">
        <v>300</v>
      </c>
      <c r="ED132" s="152">
        <v>8655</v>
      </c>
      <c r="EE132" s="396">
        <f>0.0577454062236541+1.198</f>
        <v>1.2557454062236542</v>
      </c>
      <c r="EF132" s="371">
        <f t="shared" si="168"/>
        <v>10868.476490865727</v>
      </c>
      <c r="EG132" s="153">
        <v>45833</v>
      </c>
      <c r="EH132" s="153"/>
      <c r="EI132" s="153"/>
      <c r="EJ132" s="153">
        <v>45851</v>
      </c>
      <c r="EK132" s="153">
        <v>45851</v>
      </c>
      <c r="EL132" s="153">
        <v>45853</v>
      </c>
      <c r="EM132" s="153">
        <v>45853</v>
      </c>
      <c r="EN132" s="153">
        <v>45853</v>
      </c>
      <c r="EO132" s="152">
        <f>SUMIF($I:$I,I132,$EC:$EC)</f>
        <v>324</v>
      </c>
      <c r="EP132" s="151">
        <f>SUMIF($I:$I,I132,$ED:$ED)</f>
        <v>9347.4</v>
      </c>
      <c r="EQ132" s="153"/>
      <c r="ER132" s="153"/>
      <c r="ES132" s="153"/>
      <c r="ET132" s="153"/>
      <c r="EU132" s="152">
        <f>DQ132+EO132</f>
        <v>324</v>
      </c>
      <c r="EV132" s="152">
        <f>DR132+EP132</f>
        <v>9347.4</v>
      </c>
      <c r="EW132" s="152">
        <f t="shared" ref="EW132" si="171">DA132-EU132</f>
        <v>0</v>
      </c>
      <c r="EX132" s="152">
        <f t="shared" ref="EX132" si="172">DB132-EV132</f>
        <v>16.200000000000728</v>
      </c>
      <c r="EY132" s="151" t="str">
        <f>IF(EW132&lt;0,"Thừa",IF(EW132=0,"Đủ","Thiếu"))</f>
        <v>Đủ</v>
      </c>
      <c r="EZ132" s="152"/>
      <c r="FA132" s="372"/>
      <c r="FB132" s="373"/>
      <c r="FC132" s="367"/>
      <c r="FD132" s="374"/>
      <c r="FE132" s="183"/>
      <c r="FF132" s="184"/>
      <c r="FG132" s="185"/>
      <c r="FH132" s="185"/>
    </row>
    <row r="133" spans="1:164" s="386" customFormat="1" ht="14" hidden="1" customHeight="1">
      <c r="A133" s="208" t="str">
        <f t="shared" si="89"/>
        <v>ok</v>
      </c>
      <c r="B133" s="151"/>
      <c r="C133" s="151"/>
      <c r="D133" s="399"/>
      <c r="E133" s="400"/>
      <c r="F133" s="151"/>
      <c r="G133" s="151"/>
      <c r="H133" s="151"/>
      <c r="I133" s="171" t="s">
        <v>445</v>
      </c>
      <c r="J133" s="164" t="s">
        <v>397</v>
      </c>
      <c r="K133" s="247" t="s">
        <v>446</v>
      </c>
      <c r="L133" s="233" t="s">
        <v>447</v>
      </c>
      <c r="M133" s="163" t="s">
        <v>61</v>
      </c>
      <c r="N133" s="172"/>
      <c r="O133" s="408"/>
      <c r="P133" s="172"/>
      <c r="Q133" s="161"/>
      <c r="R133" s="162"/>
      <c r="S133" s="161"/>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209"/>
      <c r="CT133" s="209"/>
      <c r="CU133" s="375"/>
      <c r="CV133" s="208"/>
      <c r="CW133" s="152"/>
      <c r="CX133" s="152"/>
      <c r="CY133" s="208"/>
      <c r="CZ133" s="208"/>
      <c r="DA133" s="152"/>
      <c r="DB133" s="152"/>
      <c r="DC133" s="153"/>
      <c r="DD133" s="152"/>
      <c r="DE133" s="153"/>
      <c r="DF133" s="403"/>
      <c r="DG133" s="368"/>
      <c r="DH133" s="181"/>
      <c r="DI133" s="153"/>
      <c r="DJ133" s="1000"/>
      <c r="DK133" s="181"/>
      <c r="DL133" s="182"/>
      <c r="DM133" s="182"/>
      <c r="DN133" s="182"/>
      <c r="DO133" s="182"/>
      <c r="DP133" s="275"/>
      <c r="DQ133" s="152"/>
      <c r="DR133" s="152"/>
      <c r="DS133" s="151"/>
      <c r="DT133" s="275"/>
      <c r="DU133" s="370"/>
      <c r="DV133" s="208"/>
      <c r="DW133" s="208" t="s">
        <v>594</v>
      </c>
      <c r="DX133" s="171" t="s">
        <v>46</v>
      </c>
      <c r="DY133" s="171" t="s">
        <v>610</v>
      </c>
      <c r="DZ133" s="152" t="s">
        <v>546</v>
      </c>
      <c r="EA133" s="152">
        <v>692.4</v>
      </c>
      <c r="EB133" s="153">
        <v>45833</v>
      </c>
      <c r="EC133" s="152">
        <v>24</v>
      </c>
      <c r="ED133" s="152">
        <v>692.4</v>
      </c>
      <c r="EE133" s="396">
        <f>0.113081035655641+1.198</f>
        <v>1.311081035655641</v>
      </c>
      <c r="EF133" s="371">
        <f>EE133*ED133</f>
        <v>907.79250908796587</v>
      </c>
      <c r="EG133" s="153">
        <v>45846</v>
      </c>
      <c r="EH133" s="153"/>
      <c r="EI133" s="153"/>
      <c r="EJ133" s="153"/>
      <c r="EK133" s="153"/>
      <c r="EL133" s="153"/>
      <c r="EM133" s="153">
        <v>45869</v>
      </c>
      <c r="EN133" s="153">
        <v>45869</v>
      </c>
      <c r="EO133" s="152"/>
      <c r="EP133" s="151"/>
      <c r="EQ133" s="153"/>
      <c r="ER133" s="153"/>
      <c r="ES133" s="153"/>
      <c r="ET133" s="153"/>
      <c r="EU133" s="152"/>
      <c r="EV133" s="152"/>
      <c r="EW133" s="152"/>
      <c r="EX133" s="152"/>
      <c r="EY133" s="151"/>
      <c r="EZ133" s="152"/>
      <c r="FA133" s="372"/>
      <c r="FB133" s="373"/>
      <c r="FC133" s="384"/>
      <c r="FD133" s="385"/>
      <c r="FE133" s="210"/>
      <c r="FF133" s="211"/>
      <c r="FG133" s="212"/>
      <c r="FH133" s="212"/>
    </row>
    <row r="134" spans="1:164" s="157" customFormat="1" ht="14" hidden="1" customHeight="1">
      <c r="A134" s="208" t="str">
        <f t="shared" si="89"/>
        <v>Hiện</v>
      </c>
      <c r="B134" s="151" t="str">
        <f t="shared" si="84"/>
        <v>Đủ</v>
      </c>
      <c r="C134" s="151">
        <f>EW134</f>
        <v>0</v>
      </c>
      <c r="D134" s="398"/>
      <c r="E134" s="400"/>
      <c r="F134" s="151"/>
      <c r="G134" s="151"/>
      <c r="H134" s="151"/>
      <c r="I134" s="171" t="s">
        <v>448</v>
      </c>
      <c r="J134" s="164" t="s">
        <v>397</v>
      </c>
      <c r="K134" s="247" t="s">
        <v>449</v>
      </c>
      <c r="L134" s="233" t="s">
        <v>447</v>
      </c>
      <c r="M134" s="163" t="s">
        <v>61</v>
      </c>
      <c r="N134" s="172">
        <v>51.6</v>
      </c>
      <c r="O134" s="408">
        <v>298.536</v>
      </c>
      <c r="P134" s="172">
        <v>15394.619999999999</v>
      </c>
      <c r="Q134" s="161"/>
      <c r="R134" s="162"/>
      <c r="S134" s="161"/>
      <c r="T134" s="162"/>
      <c r="U134" s="162"/>
      <c r="V134" s="162"/>
      <c r="W134" s="162"/>
      <c r="X134" s="162"/>
      <c r="Y134" s="162">
        <v>312</v>
      </c>
      <c r="Z134" s="162">
        <v>16099.2</v>
      </c>
      <c r="AA134" s="162">
        <v>0</v>
      </c>
      <c r="AB134" s="162">
        <v>0</v>
      </c>
      <c r="AC134" s="162">
        <v>0</v>
      </c>
      <c r="AD134" s="162">
        <v>0</v>
      </c>
      <c r="AE134" s="162">
        <v>0</v>
      </c>
      <c r="AF134" s="162">
        <v>0</v>
      </c>
      <c r="AG134" s="162">
        <v>0</v>
      </c>
      <c r="AH134" s="162">
        <v>0</v>
      </c>
      <c r="AI134" s="162">
        <f>VLOOKUP(I134,'[119]MTO-rev09'!$A:$O,11,0)</f>
        <v>0</v>
      </c>
      <c r="AJ134" s="162">
        <f>VLOOKUP(I134,'[119]MTO-rev09'!$A:$O,12,0)</f>
        <v>0</v>
      </c>
      <c r="AK134" s="162">
        <v>0</v>
      </c>
      <c r="AL134" s="162">
        <v>0</v>
      </c>
      <c r="AM134" s="162"/>
      <c r="AN134" s="162"/>
      <c r="AO134" s="162">
        <v>0</v>
      </c>
      <c r="AP134" s="162">
        <v>0</v>
      </c>
      <c r="AQ134" s="162">
        <v>0</v>
      </c>
      <c r="AR134" s="162">
        <v>0</v>
      </c>
      <c r="AS134" s="162">
        <v>0</v>
      </c>
      <c r="AT134" s="162">
        <v>0</v>
      </c>
      <c r="AU134" s="162">
        <v>0</v>
      </c>
      <c r="AV134" s="162">
        <v>0</v>
      </c>
      <c r="AW134" s="162">
        <v>0</v>
      </c>
      <c r="AX134" s="162">
        <v>0</v>
      </c>
      <c r="AY134" s="162">
        <v>0</v>
      </c>
      <c r="AZ134" s="162">
        <v>0</v>
      </c>
      <c r="BA134" s="162"/>
      <c r="BB134" s="162"/>
      <c r="BC134" s="162">
        <v>0</v>
      </c>
      <c r="BD134" s="162">
        <v>0</v>
      </c>
      <c r="BE134" s="162">
        <v>0</v>
      </c>
      <c r="BF134" s="162">
        <v>0</v>
      </c>
      <c r="BG134" s="162">
        <v>0</v>
      </c>
      <c r="BH134" s="162">
        <v>0</v>
      </c>
      <c r="BI134" s="162">
        <v>0</v>
      </c>
      <c r="BJ134" s="162">
        <v>0</v>
      </c>
      <c r="BK134" s="162">
        <v>0</v>
      </c>
      <c r="BL134" s="162">
        <v>0</v>
      </c>
      <c r="BM134" s="162">
        <v>0</v>
      </c>
      <c r="BN134" s="162">
        <v>0</v>
      </c>
      <c r="BO134" s="162"/>
      <c r="BP134" s="162"/>
      <c r="BQ134" s="162">
        <v>0</v>
      </c>
      <c r="BR134" s="162">
        <v>0</v>
      </c>
      <c r="BS134" s="162">
        <v>0</v>
      </c>
      <c r="BT134" s="162">
        <v>0</v>
      </c>
      <c r="BU134" s="162">
        <v>0</v>
      </c>
      <c r="BV134" s="162">
        <v>0</v>
      </c>
      <c r="BW134" s="162"/>
      <c r="BX134" s="162"/>
      <c r="BY134" s="162">
        <v>0</v>
      </c>
      <c r="BZ134" s="162">
        <v>0</v>
      </c>
      <c r="CA134" s="162">
        <v>0</v>
      </c>
      <c r="CB134" s="162">
        <v>0</v>
      </c>
      <c r="CC134" s="162">
        <v>0</v>
      </c>
      <c r="CD134" s="162">
        <v>0</v>
      </c>
      <c r="CE134" s="162">
        <f>VLOOKUP(I134,[120]REV33!$A:$O,11,0)</f>
        <v>0</v>
      </c>
      <c r="CF134" s="162">
        <f>VLOOKUP(I134,[120]REV33!$A:$O,12,0)</f>
        <v>0</v>
      </c>
      <c r="CG134" s="162"/>
      <c r="CH134" s="162"/>
      <c r="CI134" s="162"/>
      <c r="CJ134" s="162"/>
      <c r="CK134" s="162"/>
      <c r="CL134" s="162"/>
      <c r="CM134" s="162"/>
      <c r="CN134" s="162"/>
      <c r="CO134" s="162">
        <v>0</v>
      </c>
      <c r="CP134" s="162">
        <v>0</v>
      </c>
      <c r="CQ134" s="162">
        <v>0</v>
      </c>
      <c r="CR134" s="162">
        <v>0</v>
      </c>
      <c r="CS134" s="209">
        <f>Q134+S134+U134+W134+Y134+AA134+AC134+AE134+AG134+AI134+AK134+AM134+AO134+AQ134+AS134+AU134+AW134+AY134+BA134+BC134+BE134+BG134+BI134+BK134+BM134+BO134+BQ134+BS134+BU134+BW134+BY134+CA134+CC134+CE134+CG134+CI134+CK134+CM134+CO134+CQ134</f>
        <v>312</v>
      </c>
      <c r="CT134" s="209">
        <f>R134+T134+V134+X134+Z134+AB134+AD134+AF134+AH134+AJ134+AL134+AN134+AP134+AR134+AT134+AV134+AX134+AZ134+BB134+BD134+BF134+BH134+BJ134+BL134+BN134+BP134+BR134+BT134+BV134+BX134+BZ134+CB134+CD134+CF134+CH134+CJ134+CL134+CN134+CP134+CR134</f>
        <v>16099.2</v>
      </c>
      <c r="CU134" s="375" t="s">
        <v>450</v>
      </c>
      <c r="CV134" s="208"/>
      <c r="CW134" s="152"/>
      <c r="CX134" s="152"/>
      <c r="CY134" s="208"/>
      <c r="CZ134" s="208"/>
      <c r="DA134" s="152">
        <f t="shared" ref="DA134:DA137" si="173">IF(CS134&gt;CW134,CS134-CW134,"0")</f>
        <v>312</v>
      </c>
      <c r="DB134" s="152">
        <f t="shared" ref="DB134:DB137" si="174">IF(CT134&gt;CX134,CT134-CX134,"0")</f>
        <v>16099.2</v>
      </c>
      <c r="DC134" s="153">
        <v>45817</v>
      </c>
      <c r="DD134" s="153"/>
      <c r="DE134" s="153"/>
      <c r="DF134" s="403"/>
      <c r="DG134" s="368"/>
      <c r="DH134" s="181"/>
      <c r="DI134" s="153"/>
      <c r="DJ134" s="1000"/>
      <c r="DK134" s="181"/>
      <c r="DL134" s="182"/>
      <c r="DM134" s="182"/>
      <c r="DN134" s="182"/>
      <c r="DO134" s="182"/>
      <c r="DP134" s="275"/>
      <c r="DQ134" s="152">
        <f>SUMIF($I:$I,I134,$DJ:$DJ)</f>
        <v>0</v>
      </c>
      <c r="DR134" s="152">
        <f>SUMIF($I:$I,I134,$DK:$DK)</f>
        <v>0</v>
      </c>
      <c r="DS134" s="151"/>
      <c r="DT134" s="275"/>
      <c r="DU134" s="370"/>
      <c r="DV134" s="208"/>
      <c r="DW134" s="208" t="s">
        <v>575</v>
      </c>
      <c r="DX134" s="171" t="s">
        <v>518</v>
      </c>
      <c r="DY134" s="171" t="s">
        <v>582</v>
      </c>
      <c r="DZ134" s="152" t="s">
        <v>742</v>
      </c>
      <c r="EA134" s="152">
        <v>16088.8</v>
      </c>
      <c r="EB134" s="153">
        <v>45813</v>
      </c>
      <c r="EC134" s="152">
        <v>312</v>
      </c>
      <c r="ED134" s="152">
        <v>16088.8</v>
      </c>
      <c r="EE134" s="396">
        <f>0.0577454062236541+1.198</f>
        <v>1.2557454062236542</v>
      </c>
      <c r="EF134" s="371">
        <f t="shared" si="168"/>
        <v>20203.436691651124</v>
      </c>
      <c r="EG134" s="153">
        <v>45833</v>
      </c>
      <c r="EH134" s="153"/>
      <c r="EI134" s="153"/>
      <c r="EJ134" s="153">
        <v>45851</v>
      </c>
      <c r="EK134" s="153">
        <v>45851</v>
      </c>
      <c r="EL134" s="153">
        <v>45853</v>
      </c>
      <c r="EM134" s="153">
        <v>45853</v>
      </c>
      <c r="EN134" s="153">
        <v>45853</v>
      </c>
      <c r="EO134" s="152">
        <f>SUMIF($I:$I,I134,$EC:$EC)</f>
        <v>312</v>
      </c>
      <c r="EP134" s="151">
        <f>SUMIF($I:$I,I134,$ED:$ED)</f>
        <v>16088.8</v>
      </c>
      <c r="EQ134" s="153"/>
      <c r="ER134" s="153"/>
      <c r="ES134" s="153"/>
      <c r="ET134" s="153"/>
      <c r="EU134" s="152">
        <f t="shared" ref="EU134:EU137" si="175">DQ134+EO134</f>
        <v>312</v>
      </c>
      <c r="EV134" s="152">
        <f t="shared" ref="EV134:EV137" si="176">DR134+EP134</f>
        <v>16088.8</v>
      </c>
      <c r="EW134" s="152">
        <f t="shared" ref="EW134:EW137" si="177">DA134-EU134</f>
        <v>0</v>
      </c>
      <c r="EX134" s="152">
        <f t="shared" ref="EX134:EX137" si="178">DB134-EV134</f>
        <v>10.400000000001455</v>
      </c>
      <c r="EY134" s="151" t="str">
        <f t="shared" ref="EY134:EY137" si="179">IF(EW134&lt;0,"Thừa",IF(EW134=0,"Đủ","Thiếu"))</f>
        <v>Đủ</v>
      </c>
      <c r="EZ134" s="152"/>
      <c r="FA134" s="372"/>
      <c r="FB134" s="373"/>
      <c r="FC134" s="367"/>
      <c r="FD134" s="374"/>
      <c r="FE134" s="183"/>
      <c r="FF134" s="184"/>
      <c r="FG134" s="185"/>
      <c r="FH134" s="185"/>
    </row>
    <row r="135" spans="1:164" s="157" customFormat="1" ht="14" hidden="1" customHeight="1">
      <c r="A135" s="208" t="str">
        <f t="shared" si="89"/>
        <v>Hiện</v>
      </c>
      <c r="B135" s="151" t="str">
        <f t="shared" si="84"/>
        <v>Đủ</v>
      </c>
      <c r="C135" s="151">
        <f>EW135</f>
        <v>0</v>
      </c>
      <c r="D135" s="399"/>
      <c r="E135" s="400"/>
      <c r="F135" s="151"/>
      <c r="G135" s="151"/>
      <c r="H135" s="151"/>
      <c r="I135" s="171" t="s">
        <v>480</v>
      </c>
      <c r="J135" s="164" t="s">
        <v>267</v>
      </c>
      <c r="K135" s="247" t="s">
        <v>481</v>
      </c>
      <c r="L135" s="233" t="s">
        <v>402</v>
      </c>
      <c r="M135" s="412" t="s">
        <v>61</v>
      </c>
      <c r="N135" s="163">
        <v>22.4</v>
      </c>
      <c r="O135" s="178">
        <v>270.62399999999997</v>
      </c>
      <c r="P135" s="172">
        <v>5700.96</v>
      </c>
      <c r="Q135" s="161"/>
      <c r="R135" s="162"/>
      <c r="S135" s="161"/>
      <c r="T135" s="162"/>
      <c r="U135" s="162"/>
      <c r="V135" s="162"/>
      <c r="W135" s="162"/>
      <c r="X135" s="162"/>
      <c r="Y135" s="162"/>
      <c r="Z135" s="162"/>
      <c r="AA135" s="162">
        <v>288</v>
      </c>
      <c r="AB135" s="162">
        <v>6451.2</v>
      </c>
      <c r="AC135" s="162">
        <v>36</v>
      </c>
      <c r="AD135" s="162">
        <v>806.4</v>
      </c>
      <c r="AE135" s="162">
        <v>0</v>
      </c>
      <c r="AF135" s="162">
        <v>0</v>
      </c>
      <c r="AG135" s="162">
        <v>0</v>
      </c>
      <c r="AH135" s="162">
        <v>0</v>
      </c>
      <c r="AI135" s="162">
        <f>VLOOKUP(I135,'[119]MTO-rev09'!$A:$O,11,0)</f>
        <v>0</v>
      </c>
      <c r="AJ135" s="162">
        <f>VLOOKUP(I135,'[119]MTO-rev09'!$A:$O,12,0)</f>
        <v>0</v>
      </c>
      <c r="AK135" s="162">
        <v>0</v>
      </c>
      <c r="AL135" s="162">
        <v>0</v>
      </c>
      <c r="AM135" s="162"/>
      <c r="AN135" s="162"/>
      <c r="AO135" s="162">
        <v>0</v>
      </c>
      <c r="AP135" s="162">
        <v>0</v>
      </c>
      <c r="AQ135" s="162">
        <v>0</v>
      </c>
      <c r="AR135" s="162">
        <v>0</v>
      </c>
      <c r="AS135" s="162">
        <v>0</v>
      </c>
      <c r="AT135" s="162">
        <v>0</v>
      </c>
      <c r="AU135" s="162">
        <v>0</v>
      </c>
      <c r="AV135" s="162">
        <v>0</v>
      </c>
      <c r="AW135" s="162">
        <v>0</v>
      </c>
      <c r="AX135" s="162">
        <v>0</v>
      </c>
      <c r="AY135" s="162">
        <v>0</v>
      </c>
      <c r="AZ135" s="162">
        <v>0</v>
      </c>
      <c r="BA135" s="162"/>
      <c r="BB135" s="162"/>
      <c r="BC135" s="162">
        <v>0</v>
      </c>
      <c r="BD135" s="162">
        <v>0</v>
      </c>
      <c r="BE135" s="162">
        <v>0</v>
      </c>
      <c r="BF135" s="162">
        <v>0</v>
      </c>
      <c r="BG135" s="162">
        <v>0</v>
      </c>
      <c r="BH135" s="162">
        <v>0</v>
      </c>
      <c r="BI135" s="162">
        <v>0</v>
      </c>
      <c r="BJ135" s="162">
        <v>0</v>
      </c>
      <c r="BK135" s="162">
        <v>0</v>
      </c>
      <c r="BL135" s="162">
        <v>0</v>
      </c>
      <c r="BM135" s="162">
        <v>0</v>
      </c>
      <c r="BN135" s="162">
        <v>0</v>
      </c>
      <c r="BO135" s="162"/>
      <c r="BP135" s="162"/>
      <c r="BQ135" s="162">
        <v>0</v>
      </c>
      <c r="BR135" s="162">
        <v>0</v>
      </c>
      <c r="BS135" s="162">
        <v>0</v>
      </c>
      <c r="BT135" s="162">
        <v>0</v>
      </c>
      <c r="BU135" s="162">
        <v>0</v>
      </c>
      <c r="BV135" s="162">
        <v>0</v>
      </c>
      <c r="BW135" s="162"/>
      <c r="BX135" s="162"/>
      <c r="BY135" s="162">
        <v>0</v>
      </c>
      <c r="BZ135" s="162">
        <v>0</v>
      </c>
      <c r="CA135" s="162">
        <v>0</v>
      </c>
      <c r="CB135" s="162">
        <v>0</v>
      </c>
      <c r="CC135" s="162">
        <v>0</v>
      </c>
      <c r="CD135" s="162">
        <v>0</v>
      </c>
      <c r="CE135" s="162">
        <f>VLOOKUP(I135,[120]REV33!$A:$O,11,0)</f>
        <v>0</v>
      </c>
      <c r="CF135" s="162">
        <f>VLOOKUP(I135,[120]REV33!$A:$O,12,0)</f>
        <v>0</v>
      </c>
      <c r="CG135" s="162"/>
      <c r="CH135" s="162"/>
      <c r="CI135" s="162"/>
      <c r="CJ135" s="162"/>
      <c r="CK135" s="162"/>
      <c r="CL135" s="162"/>
      <c r="CM135" s="162"/>
      <c r="CN135" s="162"/>
      <c r="CO135" s="162">
        <v>0</v>
      </c>
      <c r="CP135" s="162">
        <v>0</v>
      </c>
      <c r="CQ135" s="162">
        <v>0</v>
      </c>
      <c r="CR135" s="162">
        <v>0</v>
      </c>
      <c r="CS135" s="209">
        <f>Q135+S135+U135+W135+Y135+AA135+AC135+AE135+AG135+AI135+AK135+AM135+AO135+AQ135+AS135+AU135+AW135+AY135+BA135+BC135+BE135+BG135+BI135+BK135+BM135+BO135+BQ135+BS135+BU135+BW135+BY135+CA135+CC135+CE135+CG135+CI135+CK135+CM135+CO135+CQ135</f>
        <v>324</v>
      </c>
      <c r="CT135" s="209">
        <f>R135+T135+V135+X135+Z135+AB135+AD135+AF135+AH135+AJ135+AL135+AN135+AP135+AR135+AT135+AV135+AX135+AZ135+BB135+BD135+BF135+BH135+BJ135+BL135+BN135+BP135+BR135+BT135+BV135+BX135+BZ135+CB135+CD135+CF135+CH135+CJ135+CL135+CN135+CP135+CR135</f>
        <v>7257.5999999999995</v>
      </c>
      <c r="CU135" s="375" t="s">
        <v>539</v>
      </c>
      <c r="CV135" s="208"/>
      <c r="CW135" s="152"/>
      <c r="CX135" s="152"/>
      <c r="CY135" s="208"/>
      <c r="CZ135" s="208"/>
      <c r="DA135" s="152">
        <f t="shared" si="173"/>
        <v>324</v>
      </c>
      <c r="DB135" s="152">
        <f t="shared" si="174"/>
        <v>7257.5999999999995</v>
      </c>
      <c r="DC135" s="153"/>
      <c r="DD135" s="153"/>
      <c r="DE135" s="153"/>
      <c r="DF135" s="403"/>
      <c r="DG135" s="368"/>
      <c r="DH135" s="181"/>
      <c r="DI135" s="153"/>
      <c r="DJ135" s="1000"/>
      <c r="DK135" s="181"/>
      <c r="DL135" s="182"/>
      <c r="DM135" s="182"/>
      <c r="DN135" s="182"/>
      <c r="DO135" s="182"/>
      <c r="DP135" s="275"/>
      <c r="DQ135" s="152">
        <f>SUMIF($I:$I,I135,$DJ:$DJ)</f>
        <v>0</v>
      </c>
      <c r="DR135" s="152">
        <f>SUMIF($I:$I,I135,$DK:$DK)</f>
        <v>0</v>
      </c>
      <c r="DS135" s="151"/>
      <c r="DT135" s="275"/>
      <c r="DU135" s="370"/>
      <c r="DV135" s="208"/>
      <c r="DW135" s="208" t="s">
        <v>594</v>
      </c>
      <c r="DX135" s="171" t="s">
        <v>46</v>
      </c>
      <c r="DY135" s="171" t="s">
        <v>611</v>
      </c>
      <c r="DZ135" s="152" t="s">
        <v>612</v>
      </c>
      <c r="EA135" s="152">
        <v>7257.5999999999985</v>
      </c>
      <c r="EB135" s="153">
        <v>45833</v>
      </c>
      <c r="EC135" s="152">
        <v>324</v>
      </c>
      <c r="ED135" s="152">
        <v>7257.5999999999985</v>
      </c>
      <c r="EE135" s="396">
        <f>0.113081035655641+0.977</f>
        <v>1.090081035655641</v>
      </c>
      <c r="EF135" s="371">
        <f t="shared" si="168"/>
        <v>7911.3721243743785</v>
      </c>
      <c r="EG135" s="153">
        <v>45846</v>
      </c>
      <c r="EH135" s="153"/>
      <c r="EI135" s="153"/>
      <c r="EJ135" s="153"/>
      <c r="EK135" s="153"/>
      <c r="EL135" s="153"/>
      <c r="EM135" s="153">
        <v>45869</v>
      </c>
      <c r="EN135" s="153">
        <v>45869</v>
      </c>
      <c r="EO135" s="152">
        <f>SUMIF($I:$I,I135,$EC:$EC)</f>
        <v>324</v>
      </c>
      <c r="EP135" s="151">
        <f>SUMIF($I:$I,I135,$ED:$ED)</f>
        <v>7257.5999999999985</v>
      </c>
      <c r="EQ135" s="153"/>
      <c r="ER135" s="153"/>
      <c r="ES135" s="153"/>
      <c r="ET135" s="153"/>
      <c r="EU135" s="152">
        <f t="shared" si="175"/>
        <v>324</v>
      </c>
      <c r="EV135" s="152">
        <f t="shared" si="176"/>
        <v>7257.5999999999985</v>
      </c>
      <c r="EW135" s="152">
        <f t="shared" si="177"/>
        <v>0</v>
      </c>
      <c r="EX135" s="152">
        <f t="shared" si="178"/>
        <v>0</v>
      </c>
      <c r="EY135" s="151" t="str">
        <f t="shared" si="179"/>
        <v>Đủ</v>
      </c>
      <c r="EZ135" s="152"/>
      <c r="FA135" s="372"/>
      <c r="FB135" s="373"/>
      <c r="FC135" s="367"/>
      <c r="FD135" s="374"/>
      <c r="FE135" s="183"/>
      <c r="FF135" s="184"/>
      <c r="FG135" s="185"/>
      <c r="FH135" s="185"/>
    </row>
    <row r="136" spans="1:164" s="157" customFormat="1" ht="14" hidden="1" customHeight="1">
      <c r="A136" s="208" t="str">
        <f t="shared" ref="A136:A199" si="180">IF(I136=I135,"ok","Hiện")</f>
        <v>Hiện</v>
      </c>
      <c r="B136" s="151" t="str">
        <f t="shared" si="84"/>
        <v>Thừa</v>
      </c>
      <c r="C136" s="151">
        <f>EW136</f>
        <v>-4</v>
      </c>
      <c r="D136" s="399"/>
      <c r="E136" s="400"/>
      <c r="F136" s="151"/>
      <c r="G136" s="151"/>
      <c r="H136" s="151"/>
      <c r="I136" s="171" t="s">
        <v>482</v>
      </c>
      <c r="J136" s="164" t="s">
        <v>267</v>
      </c>
      <c r="K136" s="247" t="s">
        <v>483</v>
      </c>
      <c r="L136" s="233" t="s">
        <v>402</v>
      </c>
      <c r="M136" s="163" t="s">
        <v>61</v>
      </c>
      <c r="N136" s="163">
        <v>30.7</v>
      </c>
      <c r="O136" s="178">
        <v>7.452</v>
      </c>
      <c r="P136" s="172">
        <v>205.38</v>
      </c>
      <c r="Q136" s="161"/>
      <c r="R136" s="162"/>
      <c r="S136" s="161"/>
      <c r="T136" s="162"/>
      <c r="U136" s="162"/>
      <c r="V136" s="162"/>
      <c r="W136" s="162"/>
      <c r="X136" s="162"/>
      <c r="Y136" s="162"/>
      <c r="Z136" s="162"/>
      <c r="AA136" s="162">
        <v>8</v>
      </c>
      <c r="AB136" s="162">
        <v>245.6</v>
      </c>
      <c r="AC136" s="162">
        <v>0</v>
      </c>
      <c r="AD136" s="162">
        <v>0</v>
      </c>
      <c r="AE136" s="162">
        <v>0</v>
      </c>
      <c r="AF136" s="162">
        <v>0</v>
      </c>
      <c r="AG136" s="162">
        <v>0</v>
      </c>
      <c r="AH136" s="162">
        <v>0</v>
      </c>
      <c r="AI136" s="162">
        <f>VLOOKUP(I136,'[119]MTO-rev09'!$A:$O,11,0)</f>
        <v>0</v>
      </c>
      <c r="AJ136" s="162">
        <f>VLOOKUP(I136,'[119]MTO-rev09'!$A:$O,12,0)</f>
        <v>0</v>
      </c>
      <c r="AK136" s="162">
        <v>0</v>
      </c>
      <c r="AL136" s="162">
        <v>0</v>
      </c>
      <c r="AM136" s="162"/>
      <c r="AN136" s="162"/>
      <c r="AO136" s="162">
        <v>0</v>
      </c>
      <c r="AP136" s="162">
        <v>0</v>
      </c>
      <c r="AQ136" s="162">
        <v>0</v>
      </c>
      <c r="AR136" s="162">
        <v>0</v>
      </c>
      <c r="AS136" s="162">
        <v>0</v>
      </c>
      <c r="AT136" s="162">
        <v>0</v>
      </c>
      <c r="AU136" s="162">
        <v>0</v>
      </c>
      <c r="AV136" s="162">
        <v>0</v>
      </c>
      <c r="AW136" s="162">
        <v>0</v>
      </c>
      <c r="AX136" s="162">
        <v>0</v>
      </c>
      <c r="AY136" s="162">
        <v>0</v>
      </c>
      <c r="AZ136" s="162">
        <v>0</v>
      </c>
      <c r="BA136" s="162"/>
      <c r="BB136" s="162"/>
      <c r="BC136" s="162">
        <v>0</v>
      </c>
      <c r="BD136" s="162">
        <v>0</v>
      </c>
      <c r="BE136" s="162">
        <v>0</v>
      </c>
      <c r="BF136" s="162">
        <v>0</v>
      </c>
      <c r="BG136" s="162">
        <v>0</v>
      </c>
      <c r="BH136" s="162">
        <v>0</v>
      </c>
      <c r="BI136" s="162">
        <v>0</v>
      </c>
      <c r="BJ136" s="162">
        <v>0</v>
      </c>
      <c r="BK136" s="162">
        <v>0</v>
      </c>
      <c r="BL136" s="162">
        <v>0</v>
      </c>
      <c r="BM136" s="162">
        <v>0</v>
      </c>
      <c r="BN136" s="162">
        <v>0</v>
      </c>
      <c r="BO136" s="162"/>
      <c r="BP136" s="162"/>
      <c r="BQ136" s="162">
        <v>0</v>
      </c>
      <c r="BR136" s="162">
        <v>0</v>
      </c>
      <c r="BS136" s="162">
        <v>0</v>
      </c>
      <c r="BT136" s="162">
        <v>0</v>
      </c>
      <c r="BU136" s="162">
        <v>0</v>
      </c>
      <c r="BV136" s="162">
        <v>0</v>
      </c>
      <c r="BW136" s="162"/>
      <c r="BX136" s="162"/>
      <c r="BY136" s="162">
        <v>0</v>
      </c>
      <c r="BZ136" s="162">
        <v>0</v>
      </c>
      <c r="CA136" s="162">
        <v>0</v>
      </c>
      <c r="CB136" s="162">
        <v>0</v>
      </c>
      <c r="CC136" s="162">
        <v>0</v>
      </c>
      <c r="CD136" s="162">
        <v>0</v>
      </c>
      <c r="CE136" s="162">
        <f>VLOOKUP(I136,[120]REV33!$A:$O,11,0)</f>
        <v>0</v>
      </c>
      <c r="CF136" s="162">
        <f>VLOOKUP(I136,[120]REV33!$A:$O,12,0)</f>
        <v>0</v>
      </c>
      <c r="CG136" s="162"/>
      <c r="CH136" s="162"/>
      <c r="CI136" s="162"/>
      <c r="CJ136" s="162"/>
      <c r="CK136" s="162"/>
      <c r="CL136" s="162"/>
      <c r="CM136" s="162"/>
      <c r="CN136" s="162"/>
      <c r="CO136" s="162">
        <v>0</v>
      </c>
      <c r="CP136" s="162">
        <v>0</v>
      </c>
      <c r="CQ136" s="162">
        <v>0</v>
      </c>
      <c r="CR136" s="162">
        <v>0</v>
      </c>
      <c r="CS136" s="209">
        <f>Q136+S136+U136+W136+Y136+AA136+AC136+AE136+AG136+AI136+AK136+AM136+AO136+AQ136+AS136+AU136+AW136+AY136+BA136+BC136+BE136+BG136+BI136+BK136+BM136+BO136+BQ136+BS136+BU136+BW136+BY136+CA136+CC136+CE136+CG136+CI136+CK136+CM136+CO136+CQ136</f>
        <v>8</v>
      </c>
      <c r="CT136" s="209">
        <f>R136+T136+V136+X136+Z136+AB136+AD136+AF136+AH136+AJ136+AL136+AN136+AP136+AR136+AT136+AV136+AX136+AZ136+BB136+BD136+BF136+BH136+BJ136+BL136+BN136+BP136+BR136+BT136+BV136+BX136+BZ136+CB136+CD136+CF136+CH136+CJ136+CL136+CN136+CP136+CR136</f>
        <v>245.6</v>
      </c>
      <c r="CU136" s="375" t="s">
        <v>514</v>
      </c>
      <c r="CV136" s="208"/>
      <c r="CW136" s="152"/>
      <c r="CX136" s="152"/>
      <c r="CY136" s="208"/>
      <c r="CZ136" s="208"/>
      <c r="DA136" s="152">
        <f t="shared" si="173"/>
        <v>8</v>
      </c>
      <c r="DB136" s="152">
        <f t="shared" si="174"/>
        <v>245.6</v>
      </c>
      <c r="DC136" s="153"/>
      <c r="DD136" s="153"/>
      <c r="DE136" s="153"/>
      <c r="DF136" s="403"/>
      <c r="DG136" s="368"/>
      <c r="DH136" s="181"/>
      <c r="DI136" s="153"/>
      <c r="DJ136" s="1000"/>
      <c r="DK136" s="181"/>
      <c r="DL136" s="182"/>
      <c r="DM136" s="182"/>
      <c r="DN136" s="182"/>
      <c r="DO136" s="182"/>
      <c r="DP136" s="275"/>
      <c r="DQ136" s="152">
        <f>SUMIF($I:$I,I136,$DJ:$DJ)</f>
        <v>0</v>
      </c>
      <c r="DR136" s="152">
        <f>SUMIF($I:$I,I136,$DK:$DK)</f>
        <v>0</v>
      </c>
      <c r="DS136" s="151"/>
      <c r="DT136" s="275"/>
      <c r="DU136" s="370"/>
      <c r="DV136" s="208"/>
      <c r="DW136" s="208" t="s">
        <v>594</v>
      </c>
      <c r="DX136" s="171" t="s">
        <v>46</v>
      </c>
      <c r="DY136" s="171" t="s">
        <v>613</v>
      </c>
      <c r="DZ136" s="152" t="s">
        <v>614</v>
      </c>
      <c r="EA136" s="152">
        <v>368.4</v>
      </c>
      <c r="EB136" s="153">
        <v>45833</v>
      </c>
      <c r="EC136" s="152">
        <v>12</v>
      </c>
      <c r="ED136" s="152">
        <v>368.4</v>
      </c>
      <c r="EE136" s="396">
        <f>0.113081035655641+0.977</f>
        <v>1.090081035655641</v>
      </c>
      <c r="EF136" s="371">
        <f t="shared" si="168"/>
        <v>401.58585353553809</v>
      </c>
      <c r="EG136" s="153">
        <v>45846</v>
      </c>
      <c r="EH136" s="153"/>
      <c r="EI136" s="153"/>
      <c r="EJ136" s="153"/>
      <c r="EK136" s="153"/>
      <c r="EL136" s="153"/>
      <c r="EM136" s="153">
        <v>45869</v>
      </c>
      <c r="EN136" s="153">
        <v>45869</v>
      </c>
      <c r="EO136" s="152">
        <f>SUMIF($I:$I,I136,$EC:$EC)</f>
        <v>12</v>
      </c>
      <c r="EP136" s="151">
        <f>SUMIF($I:$I,I136,$ED:$ED)</f>
        <v>368.4</v>
      </c>
      <c r="EQ136" s="153"/>
      <c r="ER136" s="153"/>
      <c r="ES136" s="153"/>
      <c r="ET136" s="153"/>
      <c r="EU136" s="152">
        <f t="shared" si="175"/>
        <v>12</v>
      </c>
      <c r="EV136" s="152">
        <f t="shared" si="176"/>
        <v>368.4</v>
      </c>
      <c r="EW136" s="152">
        <f t="shared" si="177"/>
        <v>-4</v>
      </c>
      <c r="EX136" s="152">
        <f t="shared" si="178"/>
        <v>-122.79999999999998</v>
      </c>
      <c r="EY136" s="151" t="str">
        <f t="shared" si="179"/>
        <v>Thừa</v>
      </c>
      <c r="EZ136" s="152"/>
      <c r="FA136" s="372"/>
      <c r="FB136" s="373"/>
      <c r="FC136" s="367"/>
      <c r="FD136" s="374"/>
      <c r="FE136" s="183"/>
      <c r="FF136" s="184"/>
      <c r="FG136" s="185"/>
      <c r="FH136" s="185"/>
    </row>
    <row r="137" spans="1:164" s="157" customFormat="1" ht="14" hidden="1" customHeight="1">
      <c r="A137" s="208" t="str">
        <f t="shared" si="180"/>
        <v>Hiện</v>
      </c>
      <c r="B137" s="151" t="str">
        <f t="shared" si="84"/>
        <v>Đủ</v>
      </c>
      <c r="C137" s="151">
        <f>EW137</f>
        <v>0</v>
      </c>
      <c r="D137" s="398"/>
      <c r="E137" s="400"/>
      <c r="F137" s="151"/>
      <c r="G137" s="151"/>
      <c r="H137" s="151"/>
      <c r="I137" s="171" t="s">
        <v>484</v>
      </c>
      <c r="J137" s="164" t="s">
        <v>284</v>
      </c>
      <c r="K137" s="247" t="s">
        <v>485</v>
      </c>
      <c r="L137" s="233" t="s">
        <v>402</v>
      </c>
      <c r="M137" s="163" t="s">
        <v>61</v>
      </c>
      <c r="N137" s="163">
        <v>12.2</v>
      </c>
      <c r="O137" s="178">
        <v>79.2</v>
      </c>
      <c r="P137" s="172">
        <v>916.5</v>
      </c>
      <c r="Q137" s="161"/>
      <c r="R137" s="162"/>
      <c r="S137" s="161"/>
      <c r="T137" s="162"/>
      <c r="U137" s="162"/>
      <c r="V137" s="162"/>
      <c r="W137" s="162"/>
      <c r="X137" s="162"/>
      <c r="Y137" s="162"/>
      <c r="Z137" s="162"/>
      <c r="AA137" s="162">
        <v>84</v>
      </c>
      <c r="AB137" s="162">
        <v>1024.8</v>
      </c>
      <c r="AC137" s="162">
        <v>0</v>
      </c>
      <c r="AD137" s="162">
        <v>0</v>
      </c>
      <c r="AE137" s="162">
        <v>0</v>
      </c>
      <c r="AF137" s="162">
        <v>0</v>
      </c>
      <c r="AG137" s="162">
        <v>0</v>
      </c>
      <c r="AH137" s="162">
        <v>0</v>
      </c>
      <c r="AI137" s="162">
        <f>VLOOKUP(I137,'[119]MTO-rev09'!$A:$O,11,0)</f>
        <v>0</v>
      </c>
      <c r="AJ137" s="162">
        <f>VLOOKUP(I137,'[119]MTO-rev09'!$A:$O,12,0)</f>
        <v>0</v>
      </c>
      <c r="AK137" s="162">
        <v>12</v>
      </c>
      <c r="AL137" s="162">
        <v>146.39999999999998</v>
      </c>
      <c r="AM137" s="162"/>
      <c r="AN137" s="162"/>
      <c r="AO137" s="162">
        <v>0</v>
      </c>
      <c r="AP137" s="162">
        <v>0</v>
      </c>
      <c r="AQ137" s="162">
        <v>0</v>
      </c>
      <c r="AR137" s="162">
        <v>0</v>
      </c>
      <c r="AS137" s="162">
        <v>0</v>
      </c>
      <c r="AT137" s="162">
        <v>0</v>
      </c>
      <c r="AU137" s="162">
        <v>0</v>
      </c>
      <c r="AV137" s="162">
        <v>0</v>
      </c>
      <c r="AW137" s="162">
        <v>0</v>
      </c>
      <c r="AX137" s="162">
        <v>0</v>
      </c>
      <c r="AY137" s="162">
        <v>0</v>
      </c>
      <c r="AZ137" s="162">
        <v>0</v>
      </c>
      <c r="BA137" s="162"/>
      <c r="BB137" s="162"/>
      <c r="BC137" s="162">
        <v>0</v>
      </c>
      <c r="BD137" s="162">
        <v>0</v>
      </c>
      <c r="BE137" s="162">
        <v>0</v>
      </c>
      <c r="BF137" s="162">
        <v>0</v>
      </c>
      <c r="BG137" s="162">
        <v>0</v>
      </c>
      <c r="BH137" s="162">
        <v>0</v>
      </c>
      <c r="BI137" s="162">
        <v>0</v>
      </c>
      <c r="BJ137" s="162">
        <v>0</v>
      </c>
      <c r="BK137" s="162">
        <v>0</v>
      </c>
      <c r="BL137" s="162">
        <v>0</v>
      </c>
      <c r="BM137" s="162">
        <v>0</v>
      </c>
      <c r="BN137" s="162">
        <v>0</v>
      </c>
      <c r="BO137" s="162"/>
      <c r="BP137" s="162"/>
      <c r="BQ137" s="162">
        <v>0</v>
      </c>
      <c r="BR137" s="162">
        <v>0</v>
      </c>
      <c r="BS137" s="162">
        <v>0</v>
      </c>
      <c r="BT137" s="162">
        <v>0</v>
      </c>
      <c r="BU137" s="162">
        <v>0</v>
      </c>
      <c r="BV137" s="162">
        <v>0</v>
      </c>
      <c r="BW137" s="162"/>
      <c r="BX137" s="162"/>
      <c r="BY137" s="162">
        <v>0</v>
      </c>
      <c r="BZ137" s="162">
        <v>0</v>
      </c>
      <c r="CA137" s="162">
        <v>0</v>
      </c>
      <c r="CB137" s="162">
        <v>0</v>
      </c>
      <c r="CC137" s="162">
        <v>0</v>
      </c>
      <c r="CD137" s="162">
        <v>0</v>
      </c>
      <c r="CE137" s="162">
        <f>VLOOKUP(I137,[120]REV33!$A:$O,11,0)</f>
        <v>0</v>
      </c>
      <c r="CF137" s="162">
        <f>VLOOKUP(I137,[120]REV33!$A:$O,12,0)</f>
        <v>0</v>
      </c>
      <c r="CG137" s="162"/>
      <c r="CH137" s="162"/>
      <c r="CI137" s="162"/>
      <c r="CJ137" s="162"/>
      <c r="CK137" s="162"/>
      <c r="CL137" s="162"/>
      <c r="CM137" s="162"/>
      <c r="CN137" s="162"/>
      <c r="CO137" s="162">
        <v>0</v>
      </c>
      <c r="CP137" s="162">
        <v>0</v>
      </c>
      <c r="CQ137" s="162">
        <v>0</v>
      </c>
      <c r="CR137" s="162">
        <v>0</v>
      </c>
      <c r="CS137" s="209">
        <f>Q137+S137+U137+W137+Y137+AA137+AC137+AE137+AG137+AI137+AK137+AM137+AO137+AQ137+AS137+AU137+AW137+AY137+BA137+BC137+BE137+BG137+BI137+BK137+BM137+BO137+BQ137+BS137+BU137+BW137+BY137+CA137+CC137+CE137+CG137+CI137+CK137+CM137+CO137+CQ137</f>
        <v>96</v>
      </c>
      <c r="CT137" s="209">
        <f>R137+T137+V137+X137+Z137+AB137+AD137+AF137+AH137+AJ137+AL137+AN137+AP137+AR137+AT137+AV137+AX137+AZ137+BB137+BD137+BF137+BH137+BJ137+BL137+BN137+BP137+BR137+BT137+BV137+BX137+BZ137+CB137+CD137+CF137+CH137+CJ137+CL137+CN137+CP137+CR137</f>
        <v>1171.1999999999998</v>
      </c>
      <c r="CU137" s="375" t="s">
        <v>999</v>
      </c>
      <c r="CV137" s="208"/>
      <c r="CW137" s="152"/>
      <c r="CX137" s="152"/>
      <c r="CY137" s="208"/>
      <c r="CZ137" s="208"/>
      <c r="DA137" s="152">
        <f t="shared" si="173"/>
        <v>96</v>
      </c>
      <c r="DB137" s="152">
        <f t="shared" si="174"/>
        <v>1171.1999999999998</v>
      </c>
      <c r="DC137" s="153"/>
      <c r="DD137" s="153" t="s">
        <v>655</v>
      </c>
      <c r="DE137" s="153" t="s">
        <v>45</v>
      </c>
      <c r="DF137" s="403" t="s">
        <v>571</v>
      </c>
      <c r="DG137" s="213" t="s">
        <v>43</v>
      </c>
      <c r="DH137" s="181">
        <v>1025.6400000000001</v>
      </c>
      <c r="DI137" s="153">
        <v>45829</v>
      </c>
      <c r="DJ137" s="1000">
        <v>84</v>
      </c>
      <c r="DK137" s="181">
        <v>1025.6400000000001</v>
      </c>
      <c r="DL137" s="182">
        <v>14454.55</v>
      </c>
      <c r="DM137" s="181">
        <f t="shared" ref="DM137:DM143" si="181">DL137*DK137*1.1</f>
        <v>16307681.128200002</v>
      </c>
      <c r="DN137" s="446">
        <f t="shared" ref="DN137:DN143" si="182">(DM137-DO137)/DO137</f>
        <v>0.1000000000000001</v>
      </c>
      <c r="DO137" s="182">
        <f t="shared" ref="DO137:DO143" si="183">DL137*DK137</f>
        <v>14825164.662</v>
      </c>
      <c r="DP137" s="275">
        <v>45835</v>
      </c>
      <c r="DQ137" s="152">
        <f>SUMIF($I:$I,I137,$DJ:$DJ)</f>
        <v>96</v>
      </c>
      <c r="DR137" s="152">
        <f>SUMIF($I:$I,I137,$DK:$DK)</f>
        <v>1172.18</v>
      </c>
      <c r="DS137" s="151"/>
      <c r="DT137" s="275"/>
      <c r="DU137" s="370"/>
      <c r="DV137" s="208"/>
      <c r="DW137" s="208"/>
      <c r="DX137" s="171"/>
      <c r="DY137" s="152"/>
      <c r="DZ137" s="152"/>
      <c r="EA137" s="152"/>
      <c r="EB137" s="152"/>
      <c r="EC137" s="152"/>
      <c r="ED137" s="152"/>
      <c r="EE137" s="371"/>
      <c r="EF137" s="371"/>
      <c r="EG137" s="153"/>
      <c r="EH137" s="153"/>
      <c r="EI137" s="153"/>
      <c r="EJ137" s="153"/>
      <c r="EK137" s="153"/>
      <c r="EL137" s="153"/>
      <c r="EM137" s="153"/>
      <c r="EN137" s="153"/>
      <c r="EO137" s="152">
        <f>SUMIF($I:$I,I137,$EC:$EC)</f>
        <v>0</v>
      </c>
      <c r="EP137" s="151">
        <f>SUMIF($I:$I,I137,$ED:$ED)</f>
        <v>0</v>
      </c>
      <c r="EQ137" s="153"/>
      <c r="ER137" s="153"/>
      <c r="ES137" s="153"/>
      <c r="ET137" s="153"/>
      <c r="EU137" s="152">
        <f t="shared" si="175"/>
        <v>96</v>
      </c>
      <c r="EV137" s="152">
        <f t="shared" si="176"/>
        <v>1172.18</v>
      </c>
      <c r="EW137" s="152">
        <f t="shared" si="177"/>
        <v>0</v>
      </c>
      <c r="EX137" s="152">
        <f t="shared" si="178"/>
        <v>-0.98000000000024556</v>
      </c>
      <c r="EY137" s="151" t="str">
        <f t="shared" si="179"/>
        <v>Đủ</v>
      </c>
      <c r="EZ137" s="152"/>
      <c r="FA137" s="372"/>
      <c r="FB137" s="373"/>
      <c r="FC137" s="367"/>
      <c r="FD137" s="374"/>
      <c r="FE137" s="183"/>
      <c r="FF137" s="184"/>
      <c r="FG137" s="185"/>
      <c r="FH137" s="185"/>
    </row>
    <row r="138" spans="1:164" s="386" customFormat="1" ht="14" hidden="1" customHeight="1">
      <c r="A138" s="208" t="str">
        <f t="shared" si="180"/>
        <v>ok</v>
      </c>
      <c r="B138" s="151"/>
      <c r="C138" s="151"/>
      <c r="D138" s="398"/>
      <c r="E138" s="400"/>
      <c r="F138" s="151"/>
      <c r="G138" s="151"/>
      <c r="H138" s="151"/>
      <c r="I138" s="171" t="s">
        <v>484</v>
      </c>
      <c r="J138" s="164" t="s">
        <v>284</v>
      </c>
      <c r="K138" s="247" t="s">
        <v>485</v>
      </c>
      <c r="L138" s="233" t="s">
        <v>402</v>
      </c>
      <c r="M138" s="163" t="s">
        <v>61</v>
      </c>
      <c r="N138" s="163"/>
      <c r="O138" s="178"/>
      <c r="P138" s="172"/>
      <c r="Q138" s="161"/>
      <c r="R138" s="162"/>
      <c r="S138" s="161"/>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209"/>
      <c r="CT138" s="209"/>
      <c r="CU138" s="375"/>
      <c r="CV138" s="208"/>
      <c r="CW138" s="152"/>
      <c r="CX138" s="152"/>
      <c r="CY138" s="208"/>
      <c r="CZ138" s="208"/>
      <c r="DA138" s="152"/>
      <c r="DB138" s="152"/>
      <c r="DC138" s="153"/>
      <c r="DD138" s="153" t="s">
        <v>1691</v>
      </c>
      <c r="DE138" s="277" t="s">
        <v>45</v>
      </c>
      <c r="DF138" s="213" t="s">
        <v>1017</v>
      </c>
      <c r="DG138" s="213" t="s">
        <v>43</v>
      </c>
      <c r="DH138" s="227">
        <v>146.54</v>
      </c>
      <c r="DI138" s="153">
        <v>45888</v>
      </c>
      <c r="DJ138" s="228">
        <v>12</v>
      </c>
      <c r="DK138" s="227">
        <v>146.54</v>
      </c>
      <c r="DL138" s="227">
        <v>14454.55</v>
      </c>
      <c r="DM138" s="181">
        <f t="shared" si="181"/>
        <v>2329986.7327000001</v>
      </c>
      <c r="DN138" s="446">
        <f t="shared" si="182"/>
        <v>0.10000000000000016</v>
      </c>
      <c r="DO138" s="182">
        <f t="shared" si="183"/>
        <v>2118169.7569999998</v>
      </c>
      <c r="DP138" s="275">
        <v>45891</v>
      </c>
      <c r="DQ138" s="152"/>
      <c r="DR138" s="152"/>
      <c r="DS138" s="151"/>
      <c r="DT138" s="275"/>
      <c r="DU138" s="370"/>
      <c r="DV138" s="208"/>
      <c r="DW138" s="208"/>
      <c r="DX138" s="171"/>
      <c r="DY138" s="152"/>
      <c r="DZ138" s="152"/>
      <c r="EA138" s="152"/>
      <c r="EB138" s="152"/>
      <c r="EC138" s="152"/>
      <c r="ED138" s="152"/>
      <c r="EE138" s="371"/>
      <c r="EF138" s="371"/>
      <c r="EG138" s="153"/>
      <c r="EH138" s="153"/>
      <c r="EI138" s="153"/>
      <c r="EJ138" s="153"/>
      <c r="EK138" s="153"/>
      <c r="EL138" s="153"/>
      <c r="EM138" s="153"/>
      <c r="EN138" s="153"/>
      <c r="EO138" s="152"/>
      <c r="EP138" s="151"/>
      <c r="EQ138" s="153"/>
      <c r="ER138" s="153"/>
      <c r="ES138" s="153"/>
      <c r="ET138" s="153"/>
      <c r="EU138" s="152"/>
      <c r="EV138" s="152"/>
      <c r="EW138" s="152"/>
      <c r="EX138" s="152"/>
      <c r="EY138" s="151"/>
      <c r="EZ138" s="152"/>
      <c r="FA138" s="372"/>
      <c r="FB138" s="373"/>
      <c r="FC138" s="384"/>
      <c r="FD138" s="385"/>
      <c r="FE138" s="210"/>
      <c r="FF138" s="211"/>
      <c r="FG138" s="212"/>
      <c r="FH138" s="212"/>
    </row>
    <row r="139" spans="1:164" s="157" customFormat="1" ht="14" hidden="1" customHeight="1">
      <c r="A139" s="208" t="str">
        <f t="shared" si="180"/>
        <v>Hiện</v>
      </c>
      <c r="B139" s="151" t="str">
        <f t="shared" si="84"/>
        <v>Thừa</v>
      </c>
      <c r="C139" s="151">
        <f>EW139</f>
        <v>-4.5</v>
      </c>
      <c r="D139" s="398"/>
      <c r="E139" s="400"/>
      <c r="F139" s="151"/>
      <c r="G139" s="151"/>
      <c r="H139" s="405" t="s">
        <v>584</v>
      </c>
      <c r="I139" s="171" t="s">
        <v>486</v>
      </c>
      <c r="J139" s="164" t="s">
        <v>397</v>
      </c>
      <c r="K139" s="247" t="s">
        <v>487</v>
      </c>
      <c r="L139" s="233" t="s">
        <v>402</v>
      </c>
      <c r="M139" s="163" t="s">
        <v>61</v>
      </c>
      <c r="N139" s="163">
        <v>1.72</v>
      </c>
      <c r="O139" s="178">
        <v>0.56000000000000005</v>
      </c>
      <c r="P139" s="172">
        <v>1</v>
      </c>
      <c r="Q139" s="161"/>
      <c r="R139" s="162"/>
      <c r="S139" s="161"/>
      <c r="T139" s="162"/>
      <c r="U139" s="162"/>
      <c r="V139" s="162"/>
      <c r="W139" s="162"/>
      <c r="X139" s="162"/>
      <c r="Y139" s="162"/>
      <c r="Z139" s="162"/>
      <c r="AA139" s="162">
        <v>1</v>
      </c>
      <c r="AB139" s="162">
        <v>1.72</v>
      </c>
      <c r="AC139" s="162">
        <v>0</v>
      </c>
      <c r="AD139" s="162">
        <v>0</v>
      </c>
      <c r="AE139" s="162">
        <v>0</v>
      </c>
      <c r="AF139" s="162">
        <v>0</v>
      </c>
      <c r="AG139" s="162">
        <v>0</v>
      </c>
      <c r="AH139" s="162">
        <v>0</v>
      </c>
      <c r="AI139" s="162">
        <f>VLOOKUP(I139,'[119]MTO-rev09'!$A:$O,11,0)</f>
        <v>0</v>
      </c>
      <c r="AJ139" s="162">
        <f>VLOOKUP(I139,'[119]MTO-rev09'!$A:$O,12,0)</f>
        <v>0</v>
      </c>
      <c r="AK139" s="162">
        <v>0</v>
      </c>
      <c r="AL139" s="162">
        <v>0</v>
      </c>
      <c r="AM139" s="162"/>
      <c r="AN139" s="162"/>
      <c r="AO139" s="162">
        <v>0</v>
      </c>
      <c r="AP139" s="162">
        <v>0</v>
      </c>
      <c r="AQ139" s="162">
        <v>0</v>
      </c>
      <c r="AR139" s="162">
        <v>0</v>
      </c>
      <c r="AS139" s="162">
        <v>0</v>
      </c>
      <c r="AT139" s="162">
        <v>0</v>
      </c>
      <c r="AU139" s="162">
        <v>0</v>
      </c>
      <c r="AV139" s="162">
        <v>0</v>
      </c>
      <c r="AW139" s="162">
        <v>0</v>
      </c>
      <c r="AX139" s="162">
        <v>0</v>
      </c>
      <c r="AY139" s="162">
        <v>0</v>
      </c>
      <c r="AZ139" s="162">
        <v>0</v>
      </c>
      <c r="BA139" s="162"/>
      <c r="BB139" s="162"/>
      <c r="BC139" s="162">
        <v>0</v>
      </c>
      <c r="BD139" s="162">
        <v>0</v>
      </c>
      <c r="BE139" s="162">
        <v>0</v>
      </c>
      <c r="BF139" s="162">
        <v>0</v>
      </c>
      <c r="BG139" s="162">
        <v>0</v>
      </c>
      <c r="BH139" s="162">
        <v>0</v>
      </c>
      <c r="BI139" s="162">
        <v>0</v>
      </c>
      <c r="BJ139" s="162">
        <v>0</v>
      </c>
      <c r="BK139" s="162">
        <v>0</v>
      </c>
      <c r="BL139" s="162">
        <v>0</v>
      </c>
      <c r="BM139" s="162">
        <v>0</v>
      </c>
      <c r="BN139" s="162">
        <v>0</v>
      </c>
      <c r="BO139" s="162"/>
      <c r="BP139" s="162"/>
      <c r="BQ139" s="162">
        <v>0</v>
      </c>
      <c r="BR139" s="162">
        <v>0</v>
      </c>
      <c r="BS139" s="162">
        <v>0</v>
      </c>
      <c r="BT139" s="162">
        <v>0</v>
      </c>
      <c r="BU139" s="162">
        <v>0</v>
      </c>
      <c r="BV139" s="162">
        <v>0</v>
      </c>
      <c r="BW139" s="162"/>
      <c r="BX139" s="162"/>
      <c r="BY139" s="162">
        <v>0</v>
      </c>
      <c r="BZ139" s="162">
        <v>0</v>
      </c>
      <c r="CA139" s="162">
        <v>0</v>
      </c>
      <c r="CB139" s="162">
        <v>0</v>
      </c>
      <c r="CC139" s="162">
        <v>0</v>
      </c>
      <c r="CD139" s="162">
        <v>0</v>
      </c>
      <c r="CE139" s="162">
        <f>VLOOKUP(I139,[120]REV33!$A:$O,11,0)</f>
        <v>0</v>
      </c>
      <c r="CF139" s="162">
        <f>VLOOKUP(I139,[120]REV33!$A:$O,12,0)</f>
        <v>0</v>
      </c>
      <c r="CG139" s="162"/>
      <c r="CH139" s="162"/>
      <c r="CI139" s="162"/>
      <c r="CJ139" s="162"/>
      <c r="CK139" s="162"/>
      <c r="CL139" s="162"/>
      <c r="CM139" s="162"/>
      <c r="CN139" s="162"/>
      <c r="CO139" s="162">
        <v>0</v>
      </c>
      <c r="CP139" s="162">
        <v>0</v>
      </c>
      <c r="CQ139" s="162">
        <v>0</v>
      </c>
      <c r="CR139" s="162">
        <v>0</v>
      </c>
      <c r="CS139" s="209">
        <f>Q139+S139+U139+W139+Y139+AA139+AC139+AE139+AG139+AI139+AK139+AM139+AO139+AQ139+AS139+AU139+AW139+AY139+BA139+BC139+BE139+BG139+BI139+BK139+BM139+BO139+BQ139+BS139+BU139+BW139+BY139+CA139+CC139+CE139+CG139+CI139+CK139+CM139+CO139+CQ139</f>
        <v>1</v>
      </c>
      <c r="CT139" s="209">
        <f>R139+T139+V139+X139+Z139+AB139+AD139+AF139+AH139+AJ139+AL139+AN139+AP139+AR139+AT139+AV139+AX139+AZ139+BB139+BD139+BF139+BH139+BJ139+BL139+BN139+BP139+BR139+BT139+BV139+BX139+BZ139+CB139+CD139+CF139+CH139+CJ139+CL139+CN139+CP139+CR139</f>
        <v>1.72</v>
      </c>
      <c r="CU139" s="375" t="s">
        <v>510</v>
      </c>
      <c r="CV139" s="208"/>
      <c r="CW139" s="152"/>
      <c r="CX139" s="152"/>
      <c r="CY139" s="208"/>
      <c r="CZ139" s="208"/>
      <c r="DA139" s="152">
        <f t="shared" ref="DA139:DA143" si="184">IF(CS139&gt;CW139,CS139-CW139,"0")</f>
        <v>1</v>
      </c>
      <c r="DB139" s="152">
        <f t="shared" ref="DB139:DB143" si="185">IF(CT139&gt;CX139,CT139-CX139,"0")</f>
        <v>1.72</v>
      </c>
      <c r="DC139" s="153"/>
      <c r="DD139" s="153" t="s">
        <v>588</v>
      </c>
      <c r="DE139" s="153" t="s">
        <v>467</v>
      </c>
      <c r="DF139" s="406" t="s">
        <v>590</v>
      </c>
      <c r="DG139" s="368" t="s">
        <v>474</v>
      </c>
      <c r="DH139" s="413">
        <v>10</v>
      </c>
      <c r="DI139" s="153">
        <v>45842</v>
      </c>
      <c r="DJ139" s="1002">
        <v>5.5</v>
      </c>
      <c r="DK139" s="413">
        <v>10</v>
      </c>
      <c r="DL139" s="182">
        <f>22000/1.1</f>
        <v>20000</v>
      </c>
      <c r="DM139" s="181">
        <f t="shared" si="181"/>
        <v>220000.00000000003</v>
      </c>
      <c r="DN139" s="446">
        <f t="shared" si="182"/>
        <v>0.10000000000000014</v>
      </c>
      <c r="DO139" s="182">
        <f t="shared" si="183"/>
        <v>200000</v>
      </c>
      <c r="DP139" s="275">
        <v>45852</v>
      </c>
      <c r="DQ139" s="152">
        <f>SUMIF($I:$I,I139,$DJ:$DJ)</f>
        <v>5.5</v>
      </c>
      <c r="DR139" s="152">
        <f>SUMIF($I:$I,I139,$DK:$DK)</f>
        <v>10</v>
      </c>
      <c r="DS139" s="151"/>
      <c r="DT139" s="275"/>
      <c r="DU139" s="370"/>
      <c r="DV139" s="208"/>
      <c r="DW139" s="208"/>
      <c r="DX139" s="171"/>
      <c r="DY139" s="152"/>
      <c r="DZ139" s="152"/>
      <c r="EA139" s="152"/>
      <c r="EB139" s="152"/>
      <c r="EC139" s="152"/>
      <c r="ED139" s="152"/>
      <c r="EE139" s="371"/>
      <c r="EF139" s="371"/>
      <c r="EG139" s="153"/>
      <c r="EH139" s="153"/>
      <c r="EI139" s="153"/>
      <c r="EJ139" s="153"/>
      <c r="EK139" s="153"/>
      <c r="EL139" s="153"/>
      <c r="EM139" s="153"/>
      <c r="EN139" s="153"/>
      <c r="EO139" s="152">
        <f>SUMIF($I:$I,I139,$EC:$EC)</f>
        <v>0</v>
      </c>
      <c r="EP139" s="151">
        <f>SUMIF($I:$I,I139,$ED:$ED)</f>
        <v>0</v>
      </c>
      <c r="EQ139" s="153"/>
      <c r="ER139" s="153"/>
      <c r="ES139" s="153"/>
      <c r="ET139" s="153"/>
      <c r="EU139" s="152">
        <f t="shared" ref="EU139:EU143" si="186">DQ139+EO139</f>
        <v>5.5</v>
      </c>
      <c r="EV139" s="152">
        <f t="shared" ref="EV139:EV143" si="187">DR139+EP139</f>
        <v>10</v>
      </c>
      <c r="EW139" s="152">
        <f t="shared" ref="EW139:EW143" si="188">DA139-EU139</f>
        <v>-4.5</v>
      </c>
      <c r="EX139" s="152">
        <f t="shared" ref="EX139:EX143" si="189">DB139-EV139</f>
        <v>-8.2799999999999994</v>
      </c>
      <c r="EY139" s="151" t="str">
        <f t="shared" ref="EY139:EY143" si="190">IF(EW139&lt;0,"Thừa",IF(EW139=0,"Đủ","Thiếu"))</f>
        <v>Thừa</v>
      </c>
      <c r="EZ139" s="152"/>
      <c r="FA139" s="372"/>
      <c r="FB139" s="373"/>
      <c r="FC139" s="367"/>
      <c r="FD139" s="374"/>
      <c r="FE139" s="183"/>
      <c r="FF139" s="184"/>
      <c r="FG139" s="185"/>
      <c r="FH139" s="185"/>
    </row>
    <row r="140" spans="1:164" s="157" customFormat="1" ht="14" hidden="1" customHeight="1">
      <c r="A140" s="208" t="str">
        <f t="shared" si="180"/>
        <v>Hiện</v>
      </c>
      <c r="B140" s="151" t="str">
        <f t="shared" si="84"/>
        <v>Đủ</v>
      </c>
      <c r="C140" s="151">
        <f>EW140</f>
        <v>0</v>
      </c>
      <c r="D140" s="398"/>
      <c r="E140" s="400"/>
      <c r="F140" s="151"/>
      <c r="G140" s="151"/>
      <c r="H140" s="405" t="s">
        <v>585</v>
      </c>
      <c r="I140" s="171" t="s">
        <v>488</v>
      </c>
      <c r="J140" s="164" t="s">
        <v>397</v>
      </c>
      <c r="K140" s="247" t="s">
        <v>489</v>
      </c>
      <c r="L140" s="233" t="s">
        <v>402</v>
      </c>
      <c r="M140" s="163" t="s">
        <v>61</v>
      </c>
      <c r="N140" s="163">
        <v>3.56</v>
      </c>
      <c r="O140" s="178">
        <v>42.599999999999994</v>
      </c>
      <c r="P140" s="172">
        <v>148.9</v>
      </c>
      <c r="Q140" s="161"/>
      <c r="R140" s="162"/>
      <c r="S140" s="161"/>
      <c r="T140" s="162"/>
      <c r="U140" s="162"/>
      <c r="V140" s="162"/>
      <c r="W140" s="162"/>
      <c r="X140" s="162"/>
      <c r="Y140" s="162"/>
      <c r="Z140" s="162"/>
      <c r="AA140" s="162">
        <v>48</v>
      </c>
      <c r="AB140" s="162">
        <v>170.88</v>
      </c>
      <c r="AC140" s="162">
        <v>0</v>
      </c>
      <c r="AD140" s="162">
        <v>0</v>
      </c>
      <c r="AE140" s="162">
        <v>0</v>
      </c>
      <c r="AF140" s="162">
        <v>0</v>
      </c>
      <c r="AG140" s="162">
        <v>0</v>
      </c>
      <c r="AH140" s="162">
        <v>0</v>
      </c>
      <c r="AI140" s="162">
        <f>VLOOKUP(I140,'[119]MTO-rev09'!$A:$O,11,0)</f>
        <v>0</v>
      </c>
      <c r="AJ140" s="162">
        <f>VLOOKUP(I140,'[119]MTO-rev09'!$A:$O,12,0)</f>
        <v>0</v>
      </c>
      <c r="AK140" s="162">
        <v>0</v>
      </c>
      <c r="AL140" s="162">
        <v>0</v>
      </c>
      <c r="AM140" s="162"/>
      <c r="AN140" s="162"/>
      <c r="AO140" s="162">
        <v>0</v>
      </c>
      <c r="AP140" s="162">
        <v>0</v>
      </c>
      <c r="AQ140" s="162">
        <v>0</v>
      </c>
      <c r="AR140" s="162">
        <v>0</v>
      </c>
      <c r="AS140" s="162">
        <v>0</v>
      </c>
      <c r="AT140" s="162">
        <v>0</v>
      </c>
      <c r="AU140" s="162">
        <v>0</v>
      </c>
      <c r="AV140" s="162">
        <v>0</v>
      </c>
      <c r="AW140" s="162">
        <v>0</v>
      </c>
      <c r="AX140" s="162">
        <v>0</v>
      </c>
      <c r="AY140" s="162">
        <v>0</v>
      </c>
      <c r="AZ140" s="162">
        <v>0</v>
      </c>
      <c r="BA140" s="162"/>
      <c r="BB140" s="162"/>
      <c r="BC140" s="162">
        <v>0</v>
      </c>
      <c r="BD140" s="162">
        <v>0</v>
      </c>
      <c r="BE140" s="162">
        <v>0</v>
      </c>
      <c r="BF140" s="162">
        <v>0</v>
      </c>
      <c r="BG140" s="162">
        <v>0</v>
      </c>
      <c r="BH140" s="162">
        <v>0</v>
      </c>
      <c r="BI140" s="162">
        <v>0</v>
      </c>
      <c r="BJ140" s="162">
        <v>0</v>
      </c>
      <c r="BK140" s="162">
        <v>0</v>
      </c>
      <c r="BL140" s="162">
        <v>0</v>
      </c>
      <c r="BM140" s="162">
        <v>0</v>
      </c>
      <c r="BN140" s="162">
        <v>0</v>
      </c>
      <c r="BO140" s="162"/>
      <c r="BP140" s="162"/>
      <c r="BQ140" s="162">
        <v>0</v>
      </c>
      <c r="BR140" s="162">
        <v>0</v>
      </c>
      <c r="BS140" s="162">
        <v>0</v>
      </c>
      <c r="BT140" s="162">
        <v>0</v>
      </c>
      <c r="BU140" s="162">
        <v>0</v>
      </c>
      <c r="BV140" s="162">
        <v>0</v>
      </c>
      <c r="BW140" s="162"/>
      <c r="BX140" s="162"/>
      <c r="BY140" s="162">
        <v>0</v>
      </c>
      <c r="BZ140" s="162">
        <v>0</v>
      </c>
      <c r="CA140" s="162">
        <v>0</v>
      </c>
      <c r="CB140" s="162">
        <v>0</v>
      </c>
      <c r="CC140" s="162">
        <v>0</v>
      </c>
      <c r="CD140" s="162">
        <v>0</v>
      </c>
      <c r="CE140" s="162">
        <f>VLOOKUP(I140,[120]REV33!$A:$O,11,0)</f>
        <v>0</v>
      </c>
      <c r="CF140" s="162">
        <f>VLOOKUP(I140,[120]REV33!$A:$O,12,0)</f>
        <v>0</v>
      </c>
      <c r="CG140" s="162"/>
      <c r="CH140" s="162"/>
      <c r="CI140" s="162"/>
      <c r="CJ140" s="162"/>
      <c r="CK140" s="162"/>
      <c r="CL140" s="162"/>
      <c r="CM140" s="162"/>
      <c r="CN140" s="162"/>
      <c r="CO140" s="162">
        <v>0</v>
      </c>
      <c r="CP140" s="162">
        <v>0</v>
      </c>
      <c r="CQ140" s="162">
        <v>0</v>
      </c>
      <c r="CR140" s="162">
        <v>0</v>
      </c>
      <c r="CS140" s="209">
        <f>Q140+S140+U140+W140+Y140+AA140+AC140+AE140+AG140+AI140+AK140+AM140+AO140+AQ140+AS140+AU140+AW140+AY140+BA140+BC140+BE140+BG140+BI140+BK140+BM140+BO140+BQ140+BS140+BU140+BW140+BY140+CA140+CC140+CE140+CG140+CI140+CK140+CM140+CO140+CQ140</f>
        <v>48</v>
      </c>
      <c r="CT140" s="209">
        <f>R140+T140+V140+X140+Z140+AB140+AD140+AF140+AH140+AJ140+AL140+AN140+AP140+AR140+AT140+AV140+AX140+AZ140+BB140+BD140+BF140+BH140+BJ140+BL140+BN140+BP140+BR140+BT140+BV140+BX140+BZ140+CB140+CD140+CF140+CH140+CJ140+CL140+CN140+CP140+CR140</f>
        <v>170.88</v>
      </c>
      <c r="CU140" s="375" t="s">
        <v>515</v>
      </c>
      <c r="CV140" s="208"/>
      <c r="CW140" s="152"/>
      <c r="CX140" s="152"/>
      <c r="CY140" s="208"/>
      <c r="CZ140" s="208"/>
      <c r="DA140" s="152">
        <f t="shared" si="184"/>
        <v>48</v>
      </c>
      <c r="DB140" s="152">
        <f t="shared" si="185"/>
        <v>170.88</v>
      </c>
      <c r="DC140" s="153"/>
      <c r="DD140" s="153" t="s">
        <v>588</v>
      </c>
      <c r="DE140" s="153" t="s">
        <v>467</v>
      </c>
      <c r="DF140" s="406" t="s">
        <v>591</v>
      </c>
      <c r="DG140" s="368" t="s">
        <v>474</v>
      </c>
      <c r="DH140" s="413">
        <v>192</v>
      </c>
      <c r="DI140" s="153">
        <v>45842</v>
      </c>
      <c r="DJ140" s="413">
        <f>8*6</f>
        <v>48</v>
      </c>
      <c r="DK140" s="413">
        <v>192</v>
      </c>
      <c r="DL140" s="182">
        <f>18800/1.1</f>
        <v>17090.909090909088</v>
      </c>
      <c r="DM140" s="181">
        <f t="shared" si="181"/>
        <v>3609599.9999999995</v>
      </c>
      <c r="DN140" s="446">
        <f t="shared" si="182"/>
        <v>0.10000000000000003</v>
      </c>
      <c r="DO140" s="182">
        <f t="shared" si="183"/>
        <v>3281454.5454545449</v>
      </c>
      <c r="DP140" s="275">
        <v>45852</v>
      </c>
      <c r="DQ140" s="152">
        <f>SUMIF($I:$I,I140,$DJ:$DJ)</f>
        <v>48</v>
      </c>
      <c r="DR140" s="152">
        <f>SUMIF($I:$I,I140,$DK:$DK)</f>
        <v>192</v>
      </c>
      <c r="DS140" s="151"/>
      <c r="DT140" s="275"/>
      <c r="DU140" s="370"/>
      <c r="DV140" s="208"/>
      <c r="DW140" s="208"/>
      <c r="DX140" s="171"/>
      <c r="DY140" s="152"/>
      <c r="DZ140" s="152"/>
      <c r="EA140" s="152"/>
      <c r="EB140" s="152"/>
      <c r="EC140" s="152"/>
      <c r="ED140" s="152"/>
      <c r="EE140" s="371"/>
      <c r="EF140" s="371"/>
      <c r="EG140" s="153"/>
      <c r="EH140" s="153"/>
      <c r="EI140" s="153"/>
      <c r="EJ140" s="153"/>
      <c r="EK140" s="153"/>
      <c r="EL140" s="153"/>
      <c r="EM140" s="153"/>
      <c r="EN140" s="153"/>
      <c r="EO140" s="152">
        <f>SUMIF($I:$I,I140,$EC:$EC)</f>
        <v>0</v>
      </c>
      <c r="EP140" s="151">
        <f>SUMIF($I:$I,I140,$ED:$ED)</f>
        <v>0</v>
      </c>
      <c r="EQ140" s="153"/>
      <c r="ER140" s="153"/>
      <c r="ES140" s="153"/>
      <c r="ET140" s="153"/>
      <c r="EU140" s="152">
        <f t="shared" si="186"/>
        <v>48</v>
      </c>
      <c r="EV140" s="152">
        <f t="shared" si="187"/>
        <v>192</v>
      </c>
      <c r="EW140" s="152">
        <f t="shared" si="188"/>
        <v>0</v>
      </c>
      <c r="EX140" s="152">
        <f t="shared" si="189"/>
        <v>-21.120000000000005</v>
      </c>
      <c r="EY140" s="151" t="str">
        <f t="shared" si="190"/>
        <v>Đủ</v>
      </c>
      <c r="EZ140" s="152"/>
      <c r="FA140" s="372"/>
      <c r="FB140" s="373"/>
      <c r="FC140" s="367"/>
      <c r="FD140" s="374"/>
      <c r="FE140" s="183"/>
      <c r="FF140" s="184"/>
      <c r="FG140" s="185"/>
      <c r="FH140" s="185"/>
    </row>
    <row r="141" spans="1:164" s="157" customFormat="1" ht="14" hidden="1" customHeight="1">
      <c r="A141" s="208" t="str">
        <f t="shared" si="180"/>
        <v>Hiện</v>
      </c>
      <c r="B141" s="151" t="str">
        <f t="shared" si="84"/>
        <v>Thừa</v>
      </c>
      <c r="C141" s="151">
        <f>EW141</f>
        <v>-0.5</v>
      </c>
      <c r="D141" s="398"/>
      <c r="E141" s="400"/>
      <c r="F141" s="151"/>
      <c r="G141" s="151"/>
      <c r="H141" s="405" t="s">
        <v>586</v>
      </c>
      <c r="I141" s="171" t="s">
        <v>490</v>
      </c>
      <c r="J141" s="164" t="s">
        <v>397</v>
      </c>
      <c r="K141" s="247" t="s">
        <v>719</v>
      </c>
      <c r="L141" s="233" t="s">
        <v>399</v>
      </c>
      <c r="M141" s="163" t="s">
        <v>61</v>
      </c>
      <c r="N141" s="163">
        <v>16.8</v>
      </c>
      <c r="O141" s="178">
        <v>6.88</v>
      </c>
      <c r="P141" s="172">
        <v>57.720000000000006</v>
      </c>
      <c r="Q141" s="161"/>
      <c r="R141" s="162"/>
      <c r="S141" s="161"/>
      <c r="T141" s="162"/>
      <c r="U141" s="162"/>
      <c r="V141" s="162"/>
      <c r="W141" s="162"/>
      <c r="X141" s="162"/>
      <c r="Y141" s="162"/>
      <c r="Z141" s="162"/>
      <c r="AA141" s="162">
        <v>8</v>
      </c>
      <c r="AB141" s="162">
        <v>134.4</v>
      </c>
      <c r="AC141" s="162">
        <v>0</v>
      </c>
      <c r="AD141" s="162">
        <v>0</v>
      </c>
      <c r="AE141" s="162">
        <v>2.5</v>
      </c>
      <c r="AF141" s="162">
        <v>42</v>
      </c>
      <c r="AG141" s="162">
        <v>0</v>
      </c>
      <c r="AH141" s="162">
        <v>0</v>
      </c>
      <c r="AI141" s="162">
        <f>VLOOKUP(I141,'[119]MTO-rev09'!$A:$O,11,0)</f>
        <v>0</v>
      </c>
      <c r="AJ141" s="162">
        <f>VLOOKUP(I141,'[119]MTO-rev09'!$A:$O,12,0)</f>
        <v>0</v>
      </c>
      <c r="AK141" s="162">
        <v>0</v>
      </c>
      <c r="AL141" s="162">
        <v>0</v>
      </c>
      <c r="AM141" s="162"/>
      <c r="AN141" s="162"/>
      <c r="AO141" s="162">
        <v>0</v>
      </c>
      <c r="AP141" s="162">
        <v>0</v>
      </c>
      <c r="AQ141" s="162">
        <v>0</v>
      </c>
      <c r="AR141" s="162">
        <v>0</v>
      </c>
      <c r="AS141" s="162">
        <v>0</v>
      </c>
      <c r="AT141" s="162">
        <v>0</v>
      </c>
      <c r="AU141" s="162">
        <v>0</v>
      </c>
      <c r="AV141" s="162">
        <v>0</v>
      </c>
      <c r="AW141" s="162">
        <v>0</v>
      </c>
      <c r="AX141" s="162">
        <v>0</v>
      </c>
      <c r="AY141" s="162">
        <v>0</v>
      </c>
      <c r="AZ141" s="162">
        <v>0</v>
      </c>
      <c r="BA141" s="162"/>
      <c r="BB141" s="162"/>
      <c r="BC141" s="162">
        <v>0</v>
      </c>
      <c r="BD141" s="162">
        <v>0</v>
      </c>
      <c r="BE141" s="162">
        <v>0</v>
      </c>
      <c r="BF141" s="162">
        <v>0</v>
      </c>
      <c r="BG141" s="162">
        <v>0</v>
      </c>
      <c r="BH141" s="162">
        <v>0</v>
      </c>
      <c r="BI141" s="162">
        <v>0</v>
      </c>
      <c r="BJ141" s="162">
        <v>0</v>
      </c>
      <c r="BK141" s="162">
        <v>0</v>
      </c>
      <c r="BL141" s="162">
        <v>0</v>
      </c>
      <c r="BM141" s="162">
        <v>0</v>
      </c>
      <c r="BN141" s="162">
        <v>0</v>
      </c>
      <c r="BO141" s="162"/>
      <c r="BP141" s="162"/>
      <c r="BQ141" s="162">
        <v>0</v>
      </c>
      <c r="BR141" s="162">
        <v>0</v>
      </c>
      <c r="BS141" s="162">
        <v>0</v>
      </c>
      <c r="BT141" s="162">
        <v>0</v>
      </c>
      <c r="BU141" s="162">
        <v>0</v>
      </c>
      <c r="BV141" s="162">
        <v>0</v>
      </c>
      <c r="BW141" s="162"/>
      <c r="BX141" s="162"/>
      <c r="BY141" s="162">
        <v>0</v>
      </c>
      <c r="BZ141" s="162">
        <v>0</v>
      </c>
      <c r="CA141" s="162">
        <v>0</v>
      </c>
      <c r="CB141" s="162">
        <v>0</v>
      </c>
      <c r="CC141" s="162">
        <v>0</v>
      </c>
      <c r="CD141" s="162">
        <v>0</v>
      </c>
      <c r="CE141" s="162">
        <f>VLOOKUP(I141,[120]REV33!$A:$O,11,0)</f>
        <v>0</v>
      </c>
      <c r="CF141" s="162">
        <f>VLOOKUP(I141,[120]REV33!$A:$O,12,0)</f>
        <v>0</v>
      </c>
      <c r="CG141" s="162"/>
      <c r="CH141" s="162"/>
      <c r="CI141" s="162"/>
      <c r="CJ141" s="162"/>
      <c r="CK141" s="162"/>
      <c r="CL141" s="162"/>
      <c r="CM141" s="162"/>
      <c r="CN141" s="162"/>
      <c r="CO141" s="162">
        <v>0</v>
      </c>
      <c r="CP141" s="162">
        <v>0</v>
      </c>
      <c r="CQ141" s="162">
        <v>0</v>
      </c>
      <c r="CR141" s="162">
        <v>0</v>
      </c>
      <c r="CS141" s="209">
        <f>Q141+S141+U141+W141+Y141+AA141+AC141+AE141+AG141+AI141+AK141+AM141+AO141+AQ141+AS141+AU141+AW141+AY141+BA141+BC141+BE141+BG141+BI141+BK141+BM141+BO141+BQ141+BS141+BU141+BW141+BY141+CA141+CC141+CE141+CG141+CI141+CK141+CM141+CO141+CQ141</f>
        <v>10.5</v>
      </c>
      <c r="CT141" s="209">
        <f>R141+T141+V141+X141+Z141+AB141+AD141+AF141+AH141+AJ141+AL141+AN141+AP141+AR141+AT141+AV141+AX141+AZ141+BB141+BD141+BF141+BH141+BJ141+BL141+BN141+BP141+BR141+BT141+BV141+BX141+BZ141+CB141+CD141+CF141+CH141+CJ141+CL141+CN141+CP141+CR141</f>
        <v>176.4</v>
      </c>
      <c r="CU141" s="375" t="s">
        <v>650</v>
      </c>
      <c r="CV141" s="208"/>
      <c r="CW141" s="152"/>
      <c r="CX141" s="152"/>
      <c r="CY141" s="208"/>
      <c r="CZ141" s="208"/>
      <c r="DA141" s="152">
        <f t="shared" si="184"/>
        <v>10.5</v>
      </c>
      <c r="DB141" s="152">
        <f t="shared" si="185"/>
        <v>176.4</v>
      </c>
      <c r="DC141" s="153"/>
      <c r="DD141" s="153" t="s">
        <v>588</v>
      </c>
      <c r="DE141" s="153" t="s">
        <v>467</v>
      </c>
      <c r="DF141" s="406" t="s">
        <v>592</v>
      </c>
      <c r="DG141" s="368" t="s">
        <v>474</v>
      </c>
      <c r="DH141" s="413">
        <v>212</v>
      </c>
      <c r="DI141" s="153">
        <v>45842</v>
      </c>
      <c r="DJ141" s="1002">
        <f>5.5*2</f>
        <v>11</v>
      </c>
      <c r="DK141" s="413">
        <v>212</v>
      </c>
      <c r="DL141" s="182">
        <f t="shared" ref="DL141:DL142" si="191">18800/1.1</f>
        <v>17090.909090909088</v>
      </c>
      <c r="DM141" s="181">
        <f t="shared" si="181"/>
        <v>3985599.9999999995</v>
      </c>
      <c r="DN141" s="446">
        <f t="shared" si="182"/>
        <v>0.10000000000000007</v>
      </c>
      <c r="DO141" s="182">
        <f t="shared" si="183"/>
        <v>3623272.7272727266</v>
      </c>
      <c r="DP141" s="275">
        <v>45852</v>
      </c>
      <c r="DQ141" s="152">
        <f>SUMIF($I:$I,I141,$DJ:$DJ)</f>
        <v>11</v>
      </c>
      <c r="DR141" s="152">
        <f>SUMIF($I:$I,I141,$DK:$DK)</f>
        <v>212</v>
      </c>
      <c r="DS141" s="151"/>
      <c r="DT141" s="275"/>
      <c r="DU141" s="370"/>
      <c r="DV141" s="208"/>
      <c r="DW141" s="208"/>
      <c r="DX141" s="171"/>
      <c r="DY141" s="152"/>
      <c r="DZ141" s="152"/>
      <c r="EA141" s="152"/>
      <c r="EB141" s="152"/>
      <c r="EC141" s="152"/>
      <c r="ED141" s="152"/>
      <c r="EE141" s="371"/>
      <c r="EF141" s="371"/>
      <c r="EG141" s="153"/>
      <c r="EH141" s="153"/>
      <c r="EI141" s="153"/>
      <c r="EJ141" s="153"/>
      <c r="EK141" s="153"/>
      <c r="EL141" s="153"/>
      <c r="EM141" s="153"/>
      <c r="EN141" s="153"/>
      <c r="EO141" s="152">
        <f>SUMIF($I:$I,I141,$EC:$EC)</f>
        <v>0</v>
      </c>
      <c r="EP141" s="151">
        <f>SUMIF($I:$I,I141,$ED:$ED)</f>
        <v>0</v>
      </c>
      <c r="EQ141" s="153"/>
      <c r="ER141" s="153"/>
      <c r="ES141" s="153"/>
      <c r="ET141" s="153"/>
      <c r="EU141" s="152">
        <f t="shared" si="186"/>
        <v>11</v>
      </c>
      <c r="EV141" s="152">
        <f t="shared" si="187"/>
        <v>212</v>
      </c>
      <c r="EW141" s="152">
        <f t="shared" si="188"/>
        <v>-0.5</v>
      </c>
      <c r="EX141" s="152">
        <f t="shared" si="189"/>
        <v>-35.599999999999994</v>
      </c>
      <c r="EY141" s="151" t="str">
        <f t="shared" si="190"/>
        <v>Thừa</v>
      </c>
      <c r="EZ141" s="152"/>
      <c r="FA141" s="372"/>
      <c r="FB141" s="373"/>
      <c r="FC141" s="367"/>
      <c r="FD141" s="374"/>
      <c r="FE141" s="183"/>
      <c r="FF141" s="184"/>
      <c r="FG141" s="185"/>
      <c r="FH141" s="185"/>
    </row>
    <row r="142" spans="1:164" s="157" customFormat="1" ht="14" hidden="1" customHeight="1">
      <c r="A142" s="208" t="str">
        <f t="shared" si="180"/>
        <v>Hiện</v>
      </c>
      <c r="B142" s="151" t="str">
        <f t="shared" si="84"/>
        <v>Đủ</v>
      </c>
      <c r="C142" s="151">
        <f>EW142</f>
        <v>0</v>
      </c>
      <c r="D142" s="398"/>
      <c r="E142" s="400"/>
      <c r="F142" s="151"/>
      <c r="G142" s="151"/>
      <c r="H142" s="405" t="s">
        <v>587</v>
      </c>
      <c r="I142" s="171" t="s">
        <v>491</v>
      </c>
      <c r="J142" s="164" t="s">
        <v>397</v>
      </c>
      <c r="K142" s="247" t="s">
        <v>492</v>
      </c>
      <c r="L142" s="233" t="s">
        <v>402</v>
      </c>
      <c r="M142" s="163" t="s">
        <v>61</v>
      </c>
      <c r="N142" s="163">
        <v>33.1</v>
      </c>
      <c r="O142" s="178">
        <v>2.2000000000000002</v>
      </c>
      <c r="P142" s="172">
        <v>72.8</v>
      </c>
      <c r="Q142" s="161"/>
      <c r="R142" s="162"/>
      <c r="S142" s="161"/>
      <c r="T142" s="162"/>
      <c r="U142" s="162"/>
      <c r="V142" s="162"/>
      <c r="W142" s="162"/>
      <c r="X142" s="162"/>
      <c r="Y142" s="162"/>
      <c r="Z142" s="162"/>
      <c r="AA142" s="162">
        <v>2.4</v>
      </c>
      <c r="AB142" s="162">
        <v>79.44</v>
      </c>
      <c r="AC142" s="162">
        <v>0</v>
      </c>
      <c r="AD142" s="162">
        <v>0</v>
      </c>
      <c r="AE142" s="162">
        <v>0</v>
      </c>
      <c r="AF142" s="162">
        <v>0</v>
      </c>
      <c r="AG142" s="162">
        <v>0</v>
      </c>
      <c r="AH142" s="162">
        <v>0</v>
      </c>
      <c r="AI142" s="162">
        <f>VLOOKUP(I142,'[119]MTO-rev09'!$A:$O,11,0)</f>
        <v>0</v>
      </c>
      <c r="AJ142" s="162">
        <f>VLOOKUP(I142,'[119]MTO-rev09'!$A:$O,12,0)</f>
        <v>0</v>
      </c>
      <c r="AK142" s="162">
        <v>0</v>
      </c>
      <c r="AL142" s="162">
        <v>0</v>
      </c>
      <c r="AM142" s="162"/>
      <c r="AN142" s="162"/>
      <c r="AO142" s="162">
        <v>0</v>
      </c>
      <c r="AP142" s="162">
        <v>0</v>
      </c>
      <c r="AQ142" s="162">
        <v>0</v>
      </c>
      <c r="AR142" s="162">
        <v>0</v>
      </c>
      <c r="AS142" s="162">
        <v>0</v>
      </c>
      <c r="AT142" s="162">
        <v>0</v>
      </c>
      <c r="AU142" s="162">
        <v>0</v>
      </c>
      <c r="AV142" s="162">
        <v>0</v>
      </c>
      <c r="AW142" s="162">
        <v>0</v>
      </c>
      <c r="AX142" s="162">
        <v>0</v>
      </c>
      <c r="AY142" s="162">
        <v>0</v>
      </c>
      <c r="AZ142" s="162">
        <v>0</v>
      </c>
      <c r="BA142" s="162"/>
      <c r="BB142" s="162"/>
      <c r="BC142" s="162">
        <v>0</v>
      </c>
      <c r="BD142" s="162">
        <v>0</v>
      </c>
      <c r="BE142" s="162">
        <v>0</v>
      </c>
      <c r="BF142" s="162">
        <v>0</v>
      </c>
      <c r="BG142" s="162">
        <v>0</v>
      </c>
      <c r="BH142" s="162">
        <v>0</v>
      </c>
      <c r="BI142" s="162">
        <v>0</v>
      </c>
      <c r="BJ142" s="162">
        <v>0</v>
      </c>
      <c r="BK142" s="162">
        <v>0</v>
      </c>
      <c r="BL142" s="162">
        <v>0</v>
      </c>
      <c r="BM142" s="162">
        <v>0</v>
      </c>
      <c r="BN142" s="162">
        <v>0</v>
      </c>
      <c r="BO142" s="162"/>
      <c r="BP142" s="162"/>
      <c r="BQ142" s="162">
        <v>0</v>
      </c>
      <c r="BR142" s="162">
        <v>0</v>
      </c>
      <c r="BS142" s="162">
        <v>0</v>
      </c>
      <c r="BT142" s="162">
        <v>0</v>
      </c>
      <c r="BU142" s="162">
        <v>0</v>
      </c>
      <c r="BV142" s="162">
        <v>0</v>
      </c>
      <c r="BW142" s="162"/>
      <c r="BX142" s="162"/>
      <c r="BY142" s="162">
        <v>0</v>
      </c>
      <c r="BZ142" s="162">
        <v>0</v>
      </c>
      <c r="CA142" s="162">
        <v>0</v>
      </c>
      <c r="CB142" s="162">
        <v>0</v>
      </c>
      <c r="CC142" s="162">
        <v>0</v>
      </c>
      <c r="CD142" s="162">
        <v>0</v>
      </c>
      <c r="CE142" s="162">
        <f>VLOOKUP(I142,[120]REV33!$A:$O,11,0)</f>
        <v>0</v>
      </c>
      <c r="CF142" s="162">
        <f>VLOOKUP(I142,[120]REV33!$A:$O,12,0)</f>
        <v>0</v>
      </c>
      <c r="CG142" s="162"/>
      <c r="CH142" s="162"/>
      <c r="CI142" s="162"/>
      <c r="CJ142" s="162"/>
      <c r="CK142" s="162"/>
      <c r="CL142" s="162"/>
      <c r="CM142" s="162"/>
      <c r="CN142" s="162"/>
      <c r="CO142" s="162">
        <v>0</v>
      </c>
      <c r="CP142" s="162">
        <v>0</v>
      </c>
      <c r="CQ142" s="162">
        <v>0</v>
      </c>
      <c r="CR142" s="162">
        <v>0</v>
      </c>
      <c r="CS142" s="209">
        <f>Q142+S142+U142+W142+Y142+AA142+AC142+AE142+AG142+AI142+AK142+AM142+AO142+AQ142+AS142+AU142+AW142+AY142+BA142+BC142+BE142+BG142+BI142+BK142+BM142+BO142+BQ142+BS142+BU142+BW142+BY142+CA142+CC142+CE142+CG142+CI142+CK142+CM142+CO142+CQ142</f>
        <v>2.4</v>
      </c>
      <c r="CT142" s="209">
        <f>R142+T142+V142+X142+Z142+AB142+AD142+AF142+AH142+AJ142+AL142+AN142+AP142+AR142+AT142+AV142+AX142+AZ142+BB142+BD142+BF142+BH142+BJ142+BL142+BN142+BP142+BR142+BT142+BV142+BX142+BZ142+CB142+CD142+CF142+CH142+CJ142+CL142+CN142+CP142+CR142</f>
        <v>79.44</v>
      </c>
      <c r="CU142" s="375" t="s">
        <v>516</v>
      </c>
      <c r="CV142" s="208"/>
      <c r="CW142" s="152"/>
      <c r="CX142" s="152"/>
      <c r="CY142" s="208"/>
      <c r="CZ142" s="208"/>
      <c r="DA142" s="152">
        <f t="shared" si="184"/>
        <v>2.4</v>
      </c>
      <c r="DB142" s="152">
        <f t="shared" si="185"/>
        <v>79.44</v>
      </c>
      <c r="DC142" s="153"/>
      <c r="DD142" s="153" t="s">
        <v>588</v>
      </c>
      <c r="DE142" s="153" t="s">
        <v>467</v>
      </c>
      <c r="DF142" s="406" t="s">
        <v>593</v>
      </c>
      <c r="DG142" s="368" t="s">
        <v>474</v>
      </c>
      <c r="DH142" s="413">
        <v>102</v>
      </c>
      <c r="DI142" s="153">
        <v>45842</v>
      </c>
      <c r="DJ142" s="1002">
        <v>2.4</v>
      </c>
      <c r="DK142" s="413">
        <v>102</v>
      </c>
      <c r="DL142" s="182">
        <f t="shared" si="191"/>
        <v>17090.909090909088</v>
      </c>
      <c r="DM142" s="181">
        <f t="shared" si="181"/>
        <v>1917600</v>
      </c>
      <c r="DN142" s="446">
        <f t="shared" si="182"/>
        <v>0.10000000000000013</v>
      </c>
      <c r="DO142" s="182">
        <f t="shared" si="183"/>
        <v>1743272.7272727271</v>
      </c>
      <c r="DP142" s="275">
        <v>45852</v>
      </c>
      <c r="DQ142" s="152">
        <f>SUMIF($I:$I,I142,$DJ:$DJ)</f>
        <v>2.4</v>
      </c>
      <c r="DR142" s="152">
        <f>SUMIF($I:$I,I142,$DK:$DK)</f>
        <v>102</v>
      </c>
      <c r="DS142" s="151"/>
      <c r="DT142" s="275"/>
      <c r="DU142" s="370"/>
      <c r="DV142" s="208"/>
      <c r="DW142" s="208"/>
      <c r="DX142" s="171"/>
      <c r="DY142" s="152"/>
      <c r="DZ142" s="152"/>
      <c r="EA142" s="152"/>
      <c r="EB142" s="152"/>
      <c r="EC142" s="152"/>
      <c r="ED142" s="152"/>
      <c r="EE142" s="371"/>
      <c r="EF142" s="371"/>
      <c r="EG142" s="153"/>
      <c r="EH142" s="153"/>
      <c r="EI142" s="153"/>
      <c r="EJ142" s="153"/>
      <c r="EK142" s="153"/>
      <c r="EL142" s="153"/>
      <c r="EM142" s="153"/>
      <c r="EN142" s="153"/>
      <c r="EO142" s="152">
        <f>SUMIF($I:$I,I142,$EC:$EC)</f>
        <v>0</v>
      </c>
      <c r="EP142" s="151">
        <f>SUMIF($I:$I,I142,$ED:$ED)</f>
        <v>0</v>
      </c>
      <c r="EQ142" s="153"/>
      <c r="ER142" s="153"/>
      <c r="ES142" s="153"/>
      <c r="ET142" s="153"/>
      <c r="EU142" s="152">
        <f t="shared" si="186"/>
        <v>2.4</v>
      </c>
      <c r="EV142" s="152">
        <f t="shared" si="187"/>
        <v>102</v>
      </c>
      <c r="EW142" s="152">
        <f t="shared" si="188"/>
        <v>0</v>
      </c>
      <c r="EX142" s="152">
        <f t="shared" si="189"/>
        <v>-22.560000000000002</v>
      </c>
      <c r="EY142" s="151" t="str">
        <f t="shared" si="190"/>
        <v>Đủ</v>
      </c>
      <c r="EZ142" s="152"/>
      <c r="FA142" s="372"/>
      <c r="FB142" s="373"/>
      <c r="FC142" s="367"/>
      <c r="FD142" s="374"/>
      <c r="FE142" s="183"/>
      <c r="FF142" s="184"/>
      <c r="FG142" s="185"/>
      <c r="FH142" s="185"/>
    </row>
    <row r="143" spans="1:164" s="157" customFormat="1" ht="14" hidden="1" customHeight="1">
      <c r="A143" s="208" t="str">
        <f t="shared" si="180"/>
        <v>Hiện</v>
      </c>
      <c r="B143" s="151" t="str">
        <f t="shared" si="84"/>
        <v>Thừa</v>
      </c>
      <c r="C143" s="151">
        <f>EW143</f>
        <v>-6</v>
      </c>
      <c r="D143" s="397"/>
      <c r="E143" s="400"/>
      <c r="F143" s="399"/>
      <c r="G143" s="151"/>
      <c r="H143" s="151"/>
      <c r="I143" s="171" t="s">
        <v>493</v>
      </c>
      <c r="J143" s="164" t="s">
        <v>397</v>
      </c>
      <c r="K143" s="247" t="s">
        <v>494</v>
      </c>
      <c r="L143" s="233" t="s">
        <v>399</v>
      </c>
      <c r="M143" s="163" t="s">
        <v>61</v>
      </c>
      <c r="N143" s="163">
        <v>422.45</v>
      </c>
      <c r="O143" s="178">
        <v>5.12</v>
      </c>
      <c r="P143" s="172">
        <v>1080</v>
      </c>
      <c r="Q143" s="161"/>
      <c r="R143" s="162"/>
      <c r="S143" s="161"/>
      <c r="T143" s="162"/>
      <c r="U143" s="162"/>
      <c r="V143" s="162"/>
      <c r="W143" s="162"/>
      <c r="X143" s="162"/>
      <c r="Y143" s="162"/>
      <c r="Z143" s="162"/>
      <c r="AA143" s="162">
        <v>6</v>
      </c>
      <c r="AB143" s="162">
        <v>2534.6999999999998</v>
      </c>
      <c r="AC143" s="162">
        <v>0</v>
      </c>
      <c r="AD143" s="162">
        <v>0</v>
      </c>
      <c r="AE143" s="162">
        <v>0</v>
      </c>
      <c r="AF143" s="162">
        <v>0</v>
      </c>
      <c r="AG143" s="162">
        <v>0</v>
      </c>
      <c r="AH143" s="162">
        <v>0</v>
      </c>
      <c r="AI143" s="162">
        <f>VLOOKUP(I143,'[119]MTO-rev09'!$A:$O,11,0)</f>
        <v>0</v>
      </c>
      <c r="AJ143" s="162">
        <f>VLOOKUP(I143,'[119]MTO-rev09'!$A:$O,12,0)</f>
        <v>0</v>
      </c>
      <c r="AK143" s="162">
        <v>0</v>
      </c>
      <c r="AL143" s="162">
        <v>0</v>
      </c>
      <c r="AM143" s="162"/>
      <c r="AN143" s="162"/>
      <c r="AO143" s="162">
        <v>0</v>
      </c>
      <c r="AP143" s="162">
        <v>0</v>
      </c>
      <c r="AQ143" s="162">
        <v>0</v>
      </c>
      <c r="AR143" s="162">
        <v>0</v>
      </c>
      <c r="AS143" s="162">
        <v>0</v>
      </c>
      <c r="AT143" s="162">
        <v>0</v>
      </c>
      <c r="AU143" s="162">
        <v>0</v>
      </c>
      <c r="AV143" s="162">
        <v>0</v>
      </c>
      <c r="AW143" s="162">
        <v>0</v>
      </c>
      <c r="AX143" s="162">
        <v>0</v>
      </c>
      <c r="AY143" s="162">
        <v>0</v>
      </c>
      <c r="AZ143" s="162">
        <v>0</v>
      </c>
      <c r="BA143" s="162"/>
      <c r="BB143" s="162"/>
      <c r="BC143" s="162">
        <v>0</v>
      </c>
      <c r="BD143" s="162">
        <v>0</v>
      </c>
      <c r="BE143" s="162">
        <v>0</v>
      </c>
      <c r="BF143" s="162">
        <v>0</v>
      </c>
      <c r="BG143" s="162">
        <v>0</v>
      </c>
      <c r="BH143" s="162">
        <v>0</v>
      </c>
      <c r="BI143" s="162">
        <v>0</v>
      </c>
      <c r="BJ143" s="162">
        <v>0</v>
      </c>
      <c r="BK143" s="162">
        <v>0</v>
      </c>
      <c r="BL143" s="162">
        <v>0</v>
      </c>
      <c r="BM143" s="162">
        <v>0</v>
      </c>
      <c r="BN143" s="162">
        <v>0</v>
      </c>
      <c r="BO143" s="162"/>
      <c r="BP143" s="162"/>
      <c r="BQ143" s="162">
        <v>0</v>
      </c>
      <c r="BR143" s="162">
        <v>0</v>
      </c>
      <c r="BS143" s="162">
        <v>0</v>
      </c>
      <c r="BT143" s="162">
        <v>0</v>
      </c>
      <c r="BU143" s="162">
        <v>0</v>
      </c>
      <c r="BV143" s="162">
        <v>0</v>
      </c>
      <c r="BW143" s="162"/>
      <c r="BX143" s="162"/>
      <c r="BY143" s="162">
        <v>0</v>
      </c>
      <c r="BZ143" s="162">
        <v>0</v>
      </c>
      <c r="CA143" s="162">
        <v>0</v>
      </c>
      <c r="CB143" s="162">
        <v>0</v>
      </c>
      <c r="CC143" s="162">
        <v>0</v>
      </c>
      <c r="CD143" s="162">
        <v>0</v>
      </c>
      <c r="CE143" s="162">
        <f>VLOOKUP(I143,[120]REV33!$A:$O,11,0)</f>
        <v>0</v>
      </c>
      <c r="CF143" s="162">
        <f>VLOOKUP(I143,[120]REV33!$A:$O,12,0)</f>
        <v>0</v>
      </c>
      <c r="CG143" s="162"/>
      <c r="CH143" s="162"/>
      <c r="CI143" s="162"/>
      <c r="CJ143" s="162"/>
      <c r="CK143" s="162"/>
      <c r="CL143" s="162"/>
      <c r="CM143" s="162"/>
      <c r="CN143" s="162"/>
      <c r="CO143" s="162">
        <v>0</v>
      </c>
      <c r="CP143" s="162">
        <v>0</v>
      </c>
      <c r="CQ143" s="162">
        <v>0</v>
      </c>
      <c r="CR143" s="162">
        <v>0</v>
      </c>
      <c r="CS143" s="209">
        <f>Q143+S143+U143+W143+Y143+AA143+AC143+AE143+AG143+AI143+AK143+AM143+AO143+AQ143+AS143+AU143+AW143+AY143+BA143+BC143+BE143+BG143+BI143+BK143+BM143+BO143+BQ143+BS143+BU143+BW143+BY143+CA143+CC143+CE143+CG143+CI143+CK143+CM143+CO143+CQ143</f>
        <v>6</v>
      </c>
      <c r="CT143" s="209">
        <f>R143+T143+V143+X143+Z143+AB143+AD143+AF143+AH143+AJ143+AL143+AN143+AP143+AR143+AT143+AV143+AX143+AZ143+BB143+BD143+BF143+BH143+BJ143+BL143+BN143+BP143+BR143+BT143+BV143+BX143+BZ143+CB143+CD143+CF143+CH143+CJ143+CL143+CN143+CP143+CR143</f>
        <v>2534.6999999999998</v>
      </c>
      <c r="CU143" s="375" t="s">
        <v>512</v>
      </c>
      <c r="CV143" s="208"/>
      <c r="CW143" s="152"/>
      <c r="CX143" s="152"/>
      <c r="CY143" s="208"/>
      <c r="CZ143" s="208"/>
      <c r="DA143" s="152">
        <f t="shared" si="184"/>
        <v>6</v>
      </c>
      <c r="DB143" s="152">
        <f t="shared" si="185"/>
        <v>2534.6999999999998</v>
      </c>
      <c r="DC143" s="153"/>
      <c r="DD143" s="153" t="s">
        <v>726</v>
      </c>
      <c r="DE143" s="153" t="s">
        <v>666</v>
      </c>
      <c r="DF143" s="376" t="s">
        <v>728</v>
      </c>
      <c r="DG143" s="368" t="s">
        <v>727</v>
      </c>
      <c r="DH143" s="181">
        <v>2958</v>
      </c>
      <c r="DI143" s="153">
        <v>45847</v>
      </c>
      <c r="DJ143" s="1000">
        <v>6</v>
      </c>
      <c r="DK143" s="181">
        <v>2958</v>
      </c>
      <c r="DL143" s="182">
        <v>17546</v>
      </c>
      <c r="DM143" s="181">
        <f t="shared" si="181"/>
        <v>57091174.800000004</v>
      </c>
      <c r="DN143" s="446">
        <f t="shared" si="182"/>
        <v>0.10000000000000009</v>
      </c>
      <c r="DO143" s="182">
        <f t="shared" si="183"/>
        <v>51901068</v>
      </c>
      <c r="DP143" s="275">
        <v>45869</v>
      </c>
      <c r="DQ143" s="152">
        <f>SUMIF($I:$I,I143,$DJ:$DJ)</f>
        <v>6</v>
      </c>
      <c r="DR143" s="152">
        <f>SUMIF($I:$I,I143,$DK:$DK)</f>
        <v>2958</v>
      </c>
      <c r="DS143" s="151"/>
      <c r="DT143" s="275"/>
      <c r="DU143" s="370"/>
      <c r="DV143" s="208"/>
      <c r="DW143" s="208"/>
      <c r="DX143" s="171"/>
      <c r="DY143" s="152"/>
      <c r="DZ143" s="152"/>
      <c r="EA143" s="152"/>
      <c r="EB143" s="152"/>
      <c r="EC143" s="152"/>
      <c r="ED143" s="152"/>
      <c r="EE143" s="371"/>
      <c r="EF143" s="371"/>
      <c r="EG143" s="153"/>
      <c r="EH143" s="153"/>
      <c r="EI143" s="153"/>
      <c r="EJ143" s="153"/>
      <c r="EK143" s="153"/>
      <c r="EL143" s="153"/>
      <c r="EM143" s="153"/>
      <c r="EN143" s="153"/>
      <c r="EO143" s="152">
        <f>SUMIF($I:$I,I143,$EC:$EC)</f>
        <v>6</v>
      </c>
      <c r="EP143" s="151">
        <f>SUMIF($I:$I,I143,$ED:$ED)</f>
        <v>2534.6999999999998</v>
      </c>
      <c r="EQ143" s="153"/>
      <c r="ER143" s="153"/>
      <c r="ES143" s="153"/>
      <c r="ET143" s="153"/>
      <c r="EU143" s="152">
        <f t="shared" si="186"/>
        <v>12</v>
      </c>
      <c r="EV143" s="152">
        <f t="shared" si="187"/>
        <v>5492.7</v>
      </c>
      <c r="EW143" s="152">
        <f t="shared" si="188"/>
        <v>-6</v>
      </c>
      <c r="EX143" s="152">
        <f t="shared" si="189"/>
        <v>-2958</v>
      </c>
      <c r="EY143" s="151" t="str">
        <f t="shared" si="190"/>
        <v>Thừa</v>
      </c>
      <c r="EZ143" s="152"/>
      <c r="FA143" s="372"/>
      <c r="FB143" s="373"/>
      <c r="FC143" s="367"/>
      <c r="FD143" s="374"/>
      <c r="FE143" s="183"/>
      <c r="FF143" s="184"/>
      <c r="FG143" s="185"/>
      <c r="FH143" s="185"/>
    </row>
    <row r="144" spans="1:164" s="157" customFormat="1" ht="14" hidden="1" customHeight="1">
      <c r="A144" s="208" t="str">
        <f t="shared" si="180"/>
        <v>ok</v>
      </c>
      <c r="B144" s="151"/>
      <c r="C144" s="151"/>
      <c r="D144" s="397"/>
      <c r="E144" s="400"/>
      <c r="F144" s="399"/>
      <c r="G144" s="151"/>
      <c r="H144" s="151"/>
      <c r="I144" s="171" t="s">
        <v>493</v>
      </c>
      <c r="J144" s="164" t="s">
        <v>397</v>
      </c>
      <c r="K144" s="247" t="s">
        <v>494</v>
      </c>
      <c r="L144" s="233" t="s">
        <v>399</v>
      </c>
      <c r="M144" s="163" t="s">
        <v>61</v>
      </c>
      <c r="N144" s="163"/>
      <c r="O144" s="178"/>
      <c r="P144" s="172"/>
      <c r="Q144" s="161"/>
      <c r="R144" s="162"/>
      <c r="S144" s="161"/>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209"/>
      <c r="CT144" s="209"/>
      <c r="CU144" s="375"/>
      <c r="CV144" s="208"/>
      <c r="CW144" s="152"/>
      <c r="CX144" s="152"/>
      <c r="CY144" s="208"/>
      <c r="CZ144" s="208"/>
      <c r="DA144" s="152"/>
      <c r="DB144" s="152"/>
      <c r="DC144" s="153"/>
      <c r="DD144" s="153"/>
      <c r="DE144" s="153"/>
      <c r="DF144" s="376"/>
      <c r="DG144" s="368"/>
      <c r="DH144" s="181"/>
      <c r="DI144" s="153"/>
      <c r="DJ144" s="1000"/>
      <c r="DK144" s="181"/>
      <c r="DL144" s="182"/>
      <c r="DM144" s="182"/>
      <c r="DN144" s="182"/>
      <c r="DO144" s="182"/>
      <c r="DP144" s="275"/>
      <c r="DQ144" s="152"/>
      <c r="DR144" s="152"/>
      <c r="DS144" s="151"/>
      <c r="DT144" s="275"/>
      <c r="DU144" s="370"/>
      <c r="DV144" s="208"/>
      <c r="DW144" s="208" t="s">
        <v>1439</v>
      </c>
      <c r="DX144" s="171" t="s">
        <v>1438</v>
      </c>
      <c r="DY144" s="411" t="s">
        <v>1442</v>
      </c>
      <c r="DZ144" s="152" t="s">
        <v>1450</v>
      </c>
      <c r="EA144" s="152">
        <v>2534.6999999999998</v>
      </c>
      <c r="EB144" s="153">
        <v>45863</v>
      </c>
      <c r="EC144" s="152">
        <v>6</v>
      </c>
      <c r="ED144" s="152">
        <v>2534.6999999999998</v>
      </c>
      <c r="EE144" s="371">
        <f>0.180163300015134+1.475</f>
        <v>1.655163300015134</v>
      </c>
      <c r="EF144" s="371">
        <f>EE144*ED144</f>
        <v>4195.3424165483602</v>
      </c>
      <c r="EG144" s="153">
        <v>45894</v>
      </c>
      <c r="EH144" s="153"/>
      <c r="EI144" s="153">
        <v>45905</v>
      </c>
      <c r="EJ144" s="153"/>
      <c r="EK144" s="153">
        <v>45909</v>
      </c>
      <c r="EL144" s="153">
        <v>45910</v>
      </c>
      <c r="EM144" s="153">
        <v>45910</v>
      </c>
      <c r="EN144" s="153">
        <v>45910</v>
      </c>
      <c r="EO144" s="152"/>
      <c r="EP144" s="151"/>
      <c r="EQ144" s="153"/>
      <c r="ER144" s="153"/>
      <c r="ES144" s="153"/>
      <c r="ET144" s="153"/>
      <c r="EU144" s="152"/>
      <c r="EV144" s="152"/>
      <c r="EW144" s="152"/>
      <c r="EX144" s="152"/>
      <c r="EY144" s="151"/>
      <c r="EZ144" s="152"/>
      <c r="FA144" s="372"/>
      <c r="FB144" s="373"/>
      <c r="FC144" s="367"/>
      <c r="FD144" s="374"/>
      <c r="FE144" s="183"/>
      <c r="FF144" s="184"/>
      <c r="FG144" s="185"/>
      <c r="FH144" s="185"/>
    </row>
    <row r="145" spans="1:164" s="157" customFormat="1" ht="14" hidden="1" customHeight="1">
      <c r="A145" s="208" t="str">
        <f t="shared" si="180"/>
        <v>Hiện</v>
      </c>
      <c r="B145" s="151" t="str">
        <f t="shared" ref="B145:B154" si="192">EY145</f>
        <v>Thừa</v>
      </c>
      <c r="C145" s="151">
        <f>EW145</f>
        <v>-10.799999999999997</v>
      </c>
      <c r="D145" s="399"/>
      <c r="E145" s="400"/>
      <c r="F145" s="151"/>
      <c r="G145" s="151"/>
      <c r="H145" s="151"/>
      <c r="I145" s="171" t="s">
        <v>520</v>
      </c>
      <c r="J145" s="164" t="s">
        <v>267</v>
      </c>
      <c r="K145" s="247" t="s">
        <v>521</v>
      </c>
      <c r="L145" s="233" t="s">
        <v>399</v>
      </c>
      <c r="M145" s="412" t="s">
        <v>61</v>
      </c>
      <c r="N145" s="163">
        <v>33.700000000000003</v>
      </c>
      <c r="O145" s="178">
        <v>24.63</v>
      </c>
      <c r="P145" s="172">
        <v>804.78</v>
      </c>
      <c r="Q145" s="161"/>
      <c r="R145" s="162"/>
      <c r="S145" s="161"/>
      <c r="T145" s="162"/>
      <c r="U145" s="162"/>
      <c r="V145" s="162"/>
      <c r="W145" s="162"/>
      <c r="X145" s="162"/>
      <c r="Y145" s="162"/>
      <c r="Z145" s="162"/>
      <c r="AA145" s="162"/>
      <c r="AB145" s="162"/>
      <c r="AC145" s="162">
        <v>25.200000000000003</v>
      </c>
      <c r="AD145" s="162">
        <v>849.24000000000012</v>
      </c>
      <c r="AE145" s="162">
        <v>0</v>
      </c>
      <c r="AF145" s="162">
        <v>0</v>
      </c>
      <c r="AG145" s="162">
        <v>0</v>
      </c>
      <c r="AH145" s="162">
        <v>0</v>
      </c>
      <c r="AI145" s="162">
        <f>VLOOKUP(I145,'[119]MTO-rev09'!$A:$O,11,0)</f>
        <v>0</v>
      </c>
      <c r="AJ145" s="162">
        <f>VLOOKUP(I145,'[119]MTO-rev09'!$A:$O,12,0)</f>
        <v>0</v>
      </c>
      <c r="AK145" s="162">
        <v>0</v>
      </c>
      <c r="AL145" s="162">
        <v>0</v>
      </c>
      <c r="AM145" s="162"/>
      <c r="AN145" s="162"/>
      <c r="AO145" s="162">
        <v>0</v>
      </c>
      <c r="AP145" s="162">
        <v>0</v>
      </c>
      <c r="AQ145" s="162">
        <v>0</v>
      </c>
      <c r="AR145" s="162">
        <v>0</v>
      </c>
      <c r="AS145" s="162">
        <v>0</v>
      </c>
      <c r="AT145" s="162">
        <v>0</v>
      </c>
      <c r="AU145" s="162">
        <v>0</v>
      </c>
      <c r="AV145" s="162">
        <v>0</v>
      </c>
      <c r="AW145" s="162">
        <v>0</v>
      </c>
      <c r="AX145" s="162">
        <v>0</v>
      </c>
      <c r="AY145" s="162">
        <v>0</v>
      </c>
      <c r="AZ145" s="162">
        <v>0</v>
      </c>
      <c r="BA145" s="162"/>
      <c r="BB145" s="162"/>
      <c r="BC145" s="162">
        <v>0</v>
      </c>
      <c r="BD145" s="162">
        <v>0</v>
      </c>
      <c r="BE145" s="162">
        <v>0</v>
      </c>
      <c r="BF145" s="162">
        <v>0</v>
      </c>
      <c r="BG145" s="162">
        <v>0</v>
      </c>
      <c r="BH145" s="162">
        <v>0</v>
      </c>
      <c r="BI145" s="162">
        <v>0</v>
      </c>
      <c r="BJ145" s="162">
        <v>0</v>
      </c>
      <c r="BK145" s="162">
        <v>0</v>
      </c>
      <c r="BL145" s="162">
        <v>0</v>
      </c>
      <c r="BM145" s="162">
        <v>0</v>
      </c>
      <c r="BN145" s="162">
        <v>0</v>
      </c>
      <c r="BO145" s="162"/>
      <c r="BP145" s="162"/>
      <c r="BQ145" s="162">
        <v>0</v>
      </c>
      <c r="BR145" s="162">
        <v>0</v>
      </c>
      <c r="BS145" s="162">
        <v>0</v>
      </c>
      <c r="BT145" s="162">
        <v>0</v>
      </c>
      <c r="BU145" s="162">
        <v>0</v>
      </c>
      <c r="BV145" s="162">
        <v>0</v>
      </c>
      <c r="BW145" s="162"/>
      <c r="BX145" s="162"/>
      <c r="BY145" s="162">
        <v>0</v>
      </c>
      <c r="BZ145" s="162">
        <v>0</v>
      </c>
      <c r="CA145" s="162">
        <v>0</v>
      </c>
      <c r="CB145" s="162">
        <v>0</v>
      </c>
      <c r="CC145" s="162">
        <v>0</v>
      </c>
      <c r="CD145" s="162">
        <v>0</v>
      </c>
      <c r="CE145" s="162">
        <f>VLOOKUP(I145,[120]REV33!$A:$O,11,0)</f>
        <v>0</v>
      </c>
      <c r="CF145" s="162">
        <f>VLOOKUP(I145,[120]REV33!$A:$O,12,0)</f>
        <v>0</v>
      </c>
      <c r="CG145" s="162"/>
      <c r="CH145" s="162"/>
      <c r="CI145" s="162"/>
      <c r="CJ145" s="162"/>
      <c r="CK145" s="162"/>
      <c r="CL145" s="162"/>
      <c r="CM145" s="162"/>
      <c r="CN145" s="162"/>
      <c r="CO145" s="162">
        <v>0</v>
      </c>
      <c r="CP145" s="162">
        <v>0</v>
      </c>
      <c r="CQ145" s="162">
        <v>0</v>
      </c>
      <c r="CR145" s="162">
        <v>0</v>
      </c>
      <c r="CS145" s="209">
        <f>Q145+S145+U145+W145+Y145+AA145+AC145+AE145+AG145+AI145+AK145+AM145+AO145+AQ145+AS145+AU145+AW145+AY145+BA145+BC145+BE145+BG145+BI145+BK145+BM145+BO145+BQ145+BS145+BU145+BW145+BY145+CA145+CC145+CE145+CG145+CI145+CK145+CM145+CO145+CQ145</f>
        <v>25.200000000000003</v>
      </c>
      <c r="CT145" s="209">
        <f>R145+T145+V145+X145+Z145+AB145+AD145+AF145+AH145+AJ145+AL145+AN145+AP145+AR145+AT145+AV145+AX145+AZ145+BB145+BD145+BF145+BH145+BJ145+BL145+BN145+BP145+BR145+BT145+BV145+BX145+BZ145+CB145+CD145+CF145+CH145+CJ145+CL145+CN145+CP145+CR145</f>
        <v>849.24000000000012</v>
      </c>
      <c r="CU145" s="375" t="s">
        <v>540</v>
      </c>
      <c r="CV145" s="208"/>
      <c r="CW145" s="152"/>
      <c r="CX145" s="152"/>
      <c r="CY145" s="208"/>
      <c r="CZ145" s="208"/>
      <c r="DA145" s="152">
        <f t="shared" ref="DA145:DA147" si="193">IF(CS145&gt;CW145,CS145-CW145,"0")</f>
        <v>25.200000000000003</v>
      </c>
      <c r="DB145" s="152">
        <f t="shared" ref="DB145:DB147" si="194">IF(CT145&gt;CX145,CT145-CX145,"0")</f>
        <v>849.24000000000012</v>
      </c>
      <c r="DC145" s="153"/>
      <c r="DD145" s="153"/>
      <c r="DE145" s="153"/>
      <c r="DF145" s="376"/>
      <c r="DG145" s="368"/>
      <c r="DH145" s="181"/>
      <c r="DI145" s="153"/>
      <c r="DJ145" s="1000"/>
      <c r="DK145" s="181"/>
      <c r="DL145" s="182"/>
      <c r="DM145" s="182"/>
      <c r="DN145" s="182"/>
      <c r="DO145" s="182"/>
      <c r="DP145" s="275"/>
      <c r="DQ145" s="152">
        <f>SUMIF($I:$I,I145,$DJ:$DJ)</f>
        <v>0</v>
      </c>
      <c r="DR145" s="152">
        <f>SUMIF($I:$I,I145,$DK:$DK)</f>
        <v>0</v>
      </c>
      <c r="DS145" s="151"/>
      <c r="DT145" s="275"/>
      <c r="DU145" s="370"/>
      <c r="DV145" s="208"/>
      <c r="DW145" s="208" t="s">
        <v>594</v>
      </c>
      <c r="DX145" s="171" t="s">
        <v>46</v>
      </c>
      <c r="DY145" s="171" t="s">
        <v>615</v>
      </c>
      <c r="DZ145" s="152" t="s">
        <v>616</v>
      </c>
      <c r="EA145" s="152">
        <v>1213.2</v>
      </c>
      <c r="EB145" s="153">
        <v>45833</v>
      </c>
      <c r="EC145" s="152">
        <v>36</v>
      </c>
      <c r="ED145" s="152">
        <v>1213.2</v>
      </c>
      <c r="EE145" s="396">
        <f>0.113081035655641+0.994</f>
        <v>1.1070810356556411</v>
      </c>
      <c r="EF145" s="371">
        <f t="shared" ref="EF145:EF146" si="195">EE145*ED145</f>
        <v>1343.1107124574239</v>
      </c>
      <c r="EG145" s="153">
        <v>45846</v>
      </c>
      <c r="EH145" s="153"/>
      <c r="EI145" s="153"/>
      <c r="EJ145" s="153"/>
      <c r="EK145" s="153"/>
      <c r="EL145" s="153"/>
      <c r="EM145" s="153">
        <v>45869</v>
      </c>
      <c r="EN145" s="153">
        <v>45869</v>
      </c>
      <c r="EO145" s="152">
        <f>SUMIF($I:$I,I145,$EC:$EC)</f>
        <v>36</v>
      </c>
      <c r="EP145" s="151">
        <f>SUMIF($I:$I,I145,$ED:$ED)</f>
        <v>1213.2</v>
      </c>
      <c r="EQ145" s="153"/>
      <c r="ER145" s="153"/>
      <c r="ES145" s="153"/>
      <c r="ET145" s="153"/>
      <c r="EU145" s="152">
        <f t="shared" ref="EU145:EU147" si="196">DQ145+EO145</f>
        <v>36</v>
      </c>
      <c r="EV145" s="152">
        <f t="shared" ref="EV145:EV147" si="197">DR145+EP145</f>
        <v>1213.2</v>
      </c>
      <c r="EW145" s="152">
        <f t="shared" ref="EW145:EW147" si="198">DA145-EU145</f>
        <v>-10.799999999999997</v>
      </c>
      <c r="EX145" s="152">
        <f t="shared" ref="EX145:EX147" si="199">DB145-EV145</f>
        <v>-363.95999999999992</v>
      </c>
      <c r="EY145" s="151" t="str">
        <f t="shared" ref="EY145:EY147" si="200">IF(EW145&lt;0,"Thừa",IF(EW145=0,"Đủ","Thiếu"))</f>
        <v>Thừa</v>
      </c>
      <c r="EZ145" s="152"/>
      <c r="FA145" s="372"/>
      <c r="FB145" s="373"/>
      <c r="FC145" s="367"/>
      <c r="FD145" s="374"/>
      <c r="FE145" s="183"/>
      <c r="FF145" s="184"/>
      <c r="FG145" s="185"/>
      <c r="FH145" s="185"/>
    </row>
    <row r="146" spans="1:164" s="157" customFormat="1" ht="14" hidden="1" customHeight="1">
      <c r="A146" s="208" t="str">
        <f t="shared" si="180"/>
        <v>Hiện</v>
      </c>
      <c r="B146" s="151" t="str">
        <f t="shared" si="192"/>
        <v>Đủ</v>
      </c>
      <c r="C146" s="151">
        <f>EW146</f>
        <v>0</v>
      </c>
      <c r="D146" s="399"/>
      <c r="E146" s="400"/>
      <c r="F146" s="151"/>
      <c r="G146" s="151"/>
      <c r="H146" s="151"/>
      <c r="I146" s="171" t="s">
        <v>522</v>
      </c>
      <c r="J146" s="164" t="s">
        <v>277</v>
      </c>
      <c r="K146" s="247" t="s">
        <v>523</v>
      </c>
      <c r="L146" s="233" t="s">
        <v>399</v>
      </c>
      <c r="M146" s="412" t="s">
        <v>61</v>
      </c>
      <c r="N146" s="163">
        <v>18.8</v>
      </c>
      <c r="O146" s="178">
        <v>120.03398</v>
      </c>
      <c r="P146" s="172">
        <v>2181.8799999999997</v>
      </c>
      <c r="Q146" s="161"/>
      <c r="R146" s="162"/>
      <c r="S146" s="161"/>
      <c r="T146" s="162"/>
      <c r="U146" s="162"/>
      <c r="V146" s="162"/>
      <c r="W146" s="162"/>
      <c r="X146" s="162"/>
      <c r="Y146" s="162"/>
      <c r="Z146" s="162"/>
      <c r="AA146" s="162"/>
      <c r="AB146" s="162"/>
      <c r="AC146" s="162">
        <v>132</v>
      </c>
      <c r="AD146" s="162">
        <v>2481.6</v>
      </c>
      <c r="AE146" s="162">
        <v>0</v>
      </c>
      <c r="AF146" s="162">
        <v>0</v>
      </c>
      <c r="AG146" s="162">
        <v>0</v>
      </c>
      <c r="AH146" s="162">
        <v>0</v>
      </c>
      <c r="AI146" s="162">
        <f>VLOOKUP(I146,'[119]MTO-rev09'!$A:$O,11,0)</f>
        <v>0</v>
      </c>
      <c r="AJ146" s="162">
        <f>VLOOKUP(I146,'[119]MTO-rev09'!$A:$O,12,0)</f>
        <v>0</v>
      </c>
      <c r="AK146" s="162">
        <v>0</v>
      </c>
      <c r="AL146" s="162">
        <v>0</v>
      </c>
      <c r="AM146" s="162"/>
      <c r="AN146" s="162"/>
      <c r="AO146" s="162">
        <v>0</v>
      </c>
      <c r="AP146" s="162">
        <v>0</v>
      </c>
      <c r="AQ146" s="162">
        <v>0</v>
      </c>
      <c r="AR146" s="162">
        <v>0</v>
      </c>
      <c r="AS146" s="162">
        <v>0</v>
      </c>
      <c r="AT146" s="162">
        <v>0</v>
      </c>
      <c r="AU146" s="162">
        <v>0</v>
      </c>
      <c r="AV146" s="162">
        <v>0</v>
      </c>
      <c r="AW146" s="162">
        <v>0</v>
      </c>
      <c r="AX146" s="162">
        <v>0</v>
      </c>
      <c r="AY146" s="162">
        <v>0</v>
      </c>
      <c r="AZ146" s="162">
        <v>0</v>
      </c>
      <c r="BA146" s="162"/>
      <c r="BB146" s="162"/>
      <c r="BC146" s="162">
        <v>0</v>
      </c>
      <c r="BD146" s="162">
        <v>0</v>
      </c>
      <c r="BE146" s="162">
        <v>0</v>
      </c>
      <c r="BF146" s="162">
        <v>0</v>
      </c>
      <c r="BG146" s="162">
        <v>0</v>
      </c>
      <c r="BH146" s="162">
        <v>0</v>
      </c>
      <c r="BI146" s="162">
        <v>0</v>
      </c>
      <c r="BJ146" s="162">
        <v>0</v>
      </c>
      <c r="BK146" s="162">
        <v>0</v>
      </c>
      <c r="BL146" s="162">
        <v>0</v>
      </c>
      <c r="BM146" s="162">
        <v>0</v>
      </c>
      <c r="BN146" s="162">
        <v>0</v>
      </c>
      <c r="BO146" s="162"/>
      <c r="BP146" s="162"/>
      <c r="BQ146" s="162">
        <v>0</v>
      </c>
      <c r="BR146" s="162">
        <v>0</v>
      </c>
      <c r="BS146" s="162">
        <v>0</v>
      </c>
      <c r="BT146" s="162">
        <v>0</v>
      </c>
      <c r="BU146" s="162">
        <v>0</v>
      </c>
      <c r="BV146" s="162">
        <v>0</v>
      </c>
      <c r="BW146" s="162"/>
      <c r="BX146" s="162"/>
      <c r="BY146" s="162">
        <v>0</v>
      </c>
      <c r="BZ146" s="162">
        <v>0</v>
      </c>
      <c r="CA146" s="162">
        <v>0</v>
      </c>
      <c r="CB146" s="162">
        <v>0</v>
      </c>
      <c r="CC146" s="162">
        <v>0</v>
      </c>
      <c r="CD146" s="162">
        <v>0</v>
      </c>
      <c r="CE146" s="162">
        <f>VLOOKUP(I146,[120]REV33!$A:$O,11,0)</f>
        <v>0</v>
      </c>
      <c r="CF146" s="162">
        <f>VLOOKUP(I146,[120]REV33!$A:$O,12,0)</f>
        <v>0</v>
      </c>
      <c r="CG146" s="162"/>
      <c r="CH146" s="162"/>
      <c r="CI146" s="162"/>
      <c r="CJ146" s="162"/>
      <c r="CK146" s="162"/>
      <c r="CL146" s="162"/>
      <c r="CM146" s="162"/>
      <c r="CN146" s="162"/>
      <c r="CO146" s="162">
        <v>0</v>
      </c>
      <c r="CP146" s="162">
        <v>0</v>
      </c>
      <c r="CQ146" s="162">
        <v>0</v>
      </c>
      <c r="CR146" s="162">
        <v>0</v>
      </c>
      <c r="CS146" s="209">
        <f>Q146+S146+U146+W146+Y146+AA146+AC146+AE146+AG146+AI146+AK146+AM146+AO146+AQ146+AS146+AU146+AW146+AY146+BA146+BC146+BE146+BG146+BI146+BK146+BM146+BO146+BQ146+BS146+BU146+BW146+BY146+CA146+CC146+CE146+CG146+CI146+CK146+CM146+CO146+CQ146</f>
        <v>132</v>
      </c>
      <c r="CT146" s="209">
        <f>R146+T146+V146+X146+Z146+AB146+AD146+AF146+AH146+AJ146+AL146+AN146+AP146+AR146+AT146+AV146+AX146+AZ146+BB146+BD146+BF146+BH146+BJ146+BL146+BN146+BP146+BR146+BT146+BV146+BX146+BZ146+CB146+CD146+CF146+CH146+CJ146+CL146+CN146+CP146+CR146</f>
        <v>2481.6</v>
      </c>
      <c r="CU146" s="375" t="s">
        <v>541</v>
      </c>
      <c r="CV146" s="208"/>
      <c r="CW146" s="152"/>
      <c r="CX146" s="152"/>
      <c r="CY146" s="208"/>
      <c r="CZ146" s="208"/>
      <c r="DA146" s="152">
        <f t="shared" si="193"/>
        <v>132</v>
      </c>
      <c r="DB146" s="152">
        <f t="shared" si="194"/>
        <v>2481.6</v>
      </c>
      <c r="DC146" s="153"/>
      <c r="DD146" s="153"/>
      <c r="DE146" s="153"/>
      <c r="DF146" s="376"/>
      <c r="DG146" s="368"/>
      <c r="DH146" s="181"/>
      <c r="DI146" s="153"/>
      <c r="DJ146" s="1000"/>
      <c r="DK146" s="181"/>
      <c r="DL146" s="182"/>
      <c r="DM146" s="182"/>
      <c r="DN146" s="182"/>
      <c r="DO146" s="182"/>
      <c r="DP146" s="275"/>
      <c r="DQ146" s="152">
        <f>SUMIF($I:$I,I146,$DJ:$DJ)</f>
        <v>0</v>
      </c>
      <c r="DR146" s="152">
        <f>SUMIF($I:$I,I146,$DK:$DK)</f>
        <v>0</v>
      </c>
      <c r="DS146" s="151"/>
      <c r="DT146" s="275"/>
      <c r="DU146" s="370"/>
      <c r="DV146" s="208"/>
      <c r="DW146" s="208" t="s">
        <v>594</v>
      </c>
      <c r="DX146" s="171" t="s">
        <v>46</v>
      </c>
      <c r="DY146" s="171" t="s">
        <v>617</v>
      </c>
      <c r="DZ146" s="152" t="s">
        <v>618</v>
      </c>
      <c r="EA146" s="152">
        <v>2481.6000000000004</v>
      </c>
      <c r="EB146" s="153">
        <v>45833</v>
      </c>
      <c r="EC146" s="152">
        <v>132</v>
      </c>
      <c r="ED146" s="152">
        <v>2481.6000000000004</v>
      </c>
      <c r="EE146" s="396">
        <f>0.113081035655641+0.981</f>
        <v>1.094081035655641</v>
      </c>
      <c r="EF146" s="371">
        <f t="shared" si="195"/>
        <v>2715.0714980830389</v>
      </c>
      <c r="EG146" s="153">
        <v>45846</v>
      </c>
      <c r="EH146" s="153"/>
      <c r="EI146" s="153"/>
      <c r="EJ146" s="153"/>
      <c r="EK146" s="153"/>
      <c r="EL146" s="153"/>
      <c r="EM146" s="153">
        <v>45869</v>
      </c>
      <c r="EN146" s="153">
        <v>45869</v>
      </c>
      <c r="EO146" s="152">
        <f>SUMIF($I:$I,I146,$EC:$EC)</f>
        <v>132</v>
      </c>
      <c r="EP146" s="151">
        <f>SUMIF($I:$I,I146,$ED:$ED)</f>
        <v>2481.6000000000004</v>
      </c>
      <c r="EQ146" s="153"/>
      <c r="ER146" s="153"/>
      <c r="ES146" s="153"/>
      <c r="ET146" s="153"/>
      <c r="EU146" s="152">
        <f t="shared" si="196"/>
        <v>132</v>
      </c>
      <c r="EV146" s="152">
        <f t="shared" si="197"/>
        <v>2481.6000000000004</v>
      </c>
      <c r="EW146" s="152">
        <f t="shared" si="198"/>
        <v>0</v>
      </c>
      <c r="EX146" s="152">
        <f t="shared" si="199"/>
        <v>0</v>
      </c>
      <c r="EY146" s="151" t="str">
        <f t="shared" si="200"/>
        <v>Đủ</v>
      </c>
      <c r="EZ146" s="152"/>
      <c r="FA146" s="372"/>
      <c r="FB146" s="373"/>
      <c r="FC146" s="367"/>
      <c r="FD146" s="374"/>
      <c r="FE146" s="183"/>
      <c r="FF146" s="184"/>
      <c r="FG146" s="185"/>
      <c r="FH146" s="185"/>
    </row>
    <row r="147" spans="1:164" s="157" customFormat="1" ht="14" hidden="1" customHeight="1">
      <c r="A147" s="208" t="str">
        <f t="shared" si="180"/>
        <v>Hiện</v>
      </c>
      <c r="B147" s="151" t="str">
        <f t="shared" si="192"/>
        <v>Đủ</v>
      </c>
      <c r="C147" s="151">
        <f>EW147</f>
        <v>0</v>
      </c>
      <c r="D147" s="151"/>
      <c r="E147" s="400"/>
      <c r="F147" s="151"/>
      <c r="G147" s="151"/>
      <c r="H147" s="151"/>
      <c r="I147" s="171" t="s">
        <v>524</v>
      </c>
      <c r="J147" s="164" t="s">
        <v>284</v>
      </c>
      <c r="K147" s="247" t="s">
        <v>525</v>
      </c>
      <c r="L147" s="233" t="s">
        <v>399</v>
      </c>
      <c r="M147" s="412" t="s">
        <v>61</v>
      </c>
      <c r="N147" s="163">
        <v>3.8</v>
      </c>
      <c r="O147" s="178">
        <v>596.6969799999996</v>
      </c>
      <c r="P147" s="172">
        <v>2164.4199999999992</v>
      </c>
      <c r="Q147" s="161"/>
      <c r="R147" s="162"/>
      <c r="S147" s="161"/>
      <c r="T147" s="162"/>
      <c r="U147" s="162"/>
      <c r="V147" s="162"/>
      <c r="W147" s="162"/>
      <c r="X147" s="162"/>
      <c r="Y147" s="162"/>
      <c r="Z147" s="162"/>
      <c r="AA147" s="162"/>
      <c r="AB147" s="162"/>
      <c r="AC147" s="162">
        <v>624</v>
      </c>
      <c r="AD147" s="162">
        <v>2371.1999999999998</v>
      </c>
      <c r="AE147" s="162">
        <v>78</v>
      </c>
      <c r="AF147" s="162">
        <v>296.39999999999998</v>
      </c>
      <c r="AG147" s="162">
        <v>0</v>
      </c>
      <c r="AH147" s="162">
        <v>0</v>
      </c>
      <c r="AI147" s="162">
        <f>VLOOKUP(I147,'[119]MTO-rev09'!$A:$O,11,0)</f>
        <v>0</v>
      </c>
      <c r="AJ147" s="162">
        <f>VLOOKUP(I147,'[119]MTO-rev09'!$A:$O,12,0)</f>
        <v>0</v>
      </c>
      <c r="AK147" s="162">
        <v>0</v>
      </c>
      <c r="AL147" s="162">
        <v>0</v>
      </c>
      <c r="AM147" s="162"/>
      <c r="AN147" s="162"/>
      <c r="AO147" s="162">
        <v>0</v>
      </c>
      <c r="AP147" s="162">
        <v>0</v>
      </c>
      <c r="AQ147" s="162">
        <v>0</v>
      </c>
      <c r="AR147" s="162">
        <v>0</v>
      </c>
      <c r="AS147" s="162">
        <v>0</v>
      </c>
      <c r="AT147" s="162">
        <v>0</v>
      </c>
      <c r="AU147" s="162">
        <v>0</v>
      </c>
      <c r="AV147" s="162">
        <v>0</v>
      </c>
      <c r="AW147" s="162">
        <v>0</v>
      </c>
      <c r="AX147" s="162">
        <v>0</v>
      </c>
      <c r="AY147" s="162">
        <v>0</v>
      </c>
      <c r="AZ147" s="162">
        <v>0</v>
      </c>
      <c r="BA147" s="162"/>
      <c r="BB147" s="162"/>
      <c r="BC147" s="162">
        <v>0</v>
      </c>
      <c r="BD147" s="162">
        <v>0</v>
      </c>
      <c r="BE147" s="162">
        <v>0</v>
      </c>
      <c r="BF147" s="162">
        <v>0</v>
      </c>
      <c r="BG147" s="162">
        <v>0</v>
      </c>
      <c r="BH147" s="162">
        <v>0</v>
      </c>
      <c r="BI147" s="162">
        <v>0</v>
      </c>
      <c r="BJ147" s="162">
        <v>0</v>
      </c>
      <c r="BK147" s="162">
        <v>0</v>
      </c>
      <c r="BL147" s="162">
        <v>0</v>
      </c>
      <c r="BM147" s="162">
        <v>0</v>
      </c>
      <c r="BN147" s="162">
        <v>0</v>
      </c>
      <c r="BO147" s="162"/>
      <c r="BP147" s="162"/>
      <c r="BQ147" s="162">
        <v>0</v>
      </c>
      <c r="BR147" s="162">
        <v>0</v>
      </c>
      <c r="BS147" s="162">
        <v>0</v>
      </c>
      <c r="BT147" s="162">
        <v>0</v>
      </c>
      <c r="BU147" s="162">
        <v>0</v>
      </c>
      <c r="BV147" s="162">
        <v>0</v>
      </c>
      <c r="BW147" s="162"/>
      <c r="BX147" s="162"/>
      <c r="BY147" s="162">
        <v>0</v>
      </c>
      <c r="BZ147" s="162">
        <v>0</v>
      </c>
      <c r="CA147" s="162">
        <v>0</v>
      </c>
      <c r="CB147" s="162">
        <v>0</v>
      </c>
      <c r="CC147" s="162">
        <v>0</v>
      </c>
      <c r="CD147" s="162">
        <v>0</v>
      </c>
      <c r="CE147" s="162">
        <f>VLOOKUP(I147,[120]REV33!$A:$O,11,0)</f>
        <v>0</v>
      </c>
      <c r="CF147" s="162">
        <f>VLOOKUP(I147,[120]REV33!$A:$O,12,0)</f>
        <v>0</v>
      </c>
      <c r="CG147" s="162"/>
      <c r="CH147" s="162"/>
      <c r="CI147" s="162"/>
      <c r="CJ147" s="162"/>
      <c r="CK147" s="162"/>
      <c r="CL147" s="162"/>
      <c r="CM147" s="162"/>
      <c r="CN147" s="162"/>
      <c r="CO147" s="162">
        <v>0</v>
      </c>
      <c r="CP147" s="162">
        <v>0</v>
      </c>
      <c r="CQ147" s="162">
        <v>0</v>
      </c>
      <c r="CR147" s="162">
        <v>0</v>
      </c>
      <c r="CS147" s="209">
        <f>Q147+S147+U147+W147+Y147+AA147+AC147+AE147+AG147+AI147+AK147+AM147+AO147+AQ147+AS147+AU147+AW147+AY147+BA147+BC147+BE147+BG147+BI147+BK147+BM147+BO147+BQ147+BS147+BU147+BW147+BY147+CA147+CC147+CE147+CG147+CI147+CK147+CM147+CO147+CQ147</f>
        <v>702</v>
      </c>
      <c r="CT147" s="209">
        <f>R147+T147+V147+X147+Z147+AB147+AD147+AF147+AH147+AJ147+AL147+AN147+AP147+AR147+AT147+AV147+AX147+AZ147+BB147+BD147+BF147+BH147+BJ147+BL147+BN147+BP147+BR147+BT147+BV147+BX147+BZ147+CB147+CD147+CF147+CH147+CJ147+CL147+CN147+CP147+CR147</f>
        <v>2667.6</v>
      </c>
      <c r="CU147" s="375" t="s">
        <v>651</v>
      </c>
      <c r="CV147" s="208"/>
      <c r="CW147" s="152"/>
      <c r="CX147" s="152"/>
      <c r="CY147" s="208"/>
      <c r="CZ147" s="208"/>
      <c r="DA147" s="152">
        <f t="shared" si="193"/>
        <v>702</v>
      </c>
      <c r="DB147" s="152">
        <f t="shared" si="194"/>
        <v>2667.6</v>
      </c>
      <c r="DC147" s="153"/>
      <c r="DD147" s="153" t="s">
        <v>655</v>
      </c>
      <c r="DE147" s="153" t="s">
        <v>45</v>
      </c>
      <c r="DF147" s="213" t="s">
        <v>572</v>
      </c>
      <c r="DG147" s="213" t="s">
        <v>43</v>
      </c>
      <c r="DH147" s="181">
        <v>2355.6</v>
      </c>
      <c r="DI147" s="153">
        <v>45829</v>
      </c>
      <c r="DJ147" s="1003">
        <v>624</v>
      </c>
      <c r="DK147" s="181">
        <v>2355.6</v>
      </c>
      <c r="DL147" s="182">
        <v>14272.73</v>
      </c>
      <c r="DM147" s="181">
        <f>DL147*DK147*1.1</f>
        <v>36982927.066799998</v>
      </c>
      <c r="DN147" s="446">
        <f>(DM147-DO147)/DO147</f>
        <v>0.10000000000000012</v>
      </c>
      <c r="DO147" s="182">
        <f>DL147*DK147</f>
        <v>33620842.787999995</v>
      </c>
      <c r="DP147" s="275">
        <v>45835</v>
      </c>
      <c r="DQ147" s="152">
        <f>SUMIF($I:$I,I147,$DJ:$DJ)</f>
        <v>702</v>
      </c>
      <c r="DR147" s="152">
        <f>SUMIF($I:$I,I147,$DK:$DK)</f>
        <v>2650.0499999999997</v>
      </c>
      <c r="DS147" s="151"/>
      <c r="DT147" s="275"/>
      <c r="DU147" s="370"/>
      <c r="DV147" s="208"/>
      <c r="DW147" s="208"/>
      <c r="DX147" s="171"/>
      <c r="DY147" s="152"/>
      <c r="DZ147" s="152"/>
      <c r="EA147" s="152"/>
      <c r="EB147" s="152"/>
      <c r="EC147" s="152"/>
      <c r="ED147" s="152"/>
      <c r="EE147" s="371"/>
      <c r="EF147" s="371"/>
      <c r="EG147" s="153"/>
      <c r="EH147" s="153"/>
      <c r="EI147" s="153"/>
      <c r="EJ147" s="153"/>
      <c r="EK147" s="153"/>
      <c r="EL147" s="153"/>
      <c r="EM147" s="153"/>
      <c r="EN147" s="153"/>
      <c r="EO147" s="152">
        <f>SUMIF($I:$I,I147,$EC:$EC)</f>
        <v>0</v>
      </c>
      <c r="EP147" s="151">
        <f>SUMIF($I:$I,I147,$ED:$ED)</f>
        <v>0</v>
      </c>
      <c r="EQ147" s="153"/>
      <c r="ER147" s="153"/>
      <c r="ES147" s="153"/>
      <c r="ET147" s="153"/>
      <c r="EU147" s="152">
        <f t="shared" si="196"/>
        <v>702</v>
      </c>
      <c r="EV147" s="152">
        <f t="shared" si="197"/>
        <v>2650.0499999999997</v>
      </c>
      <c r="EW147" s="152">
        <f t="shared" si="198"/>
        <v>0</v>
      </c>
      <c r="EX147" s="152">
        <f t="shared" si="199"/>
        <v>17.550000000000182</v>
      </c>
      <c r="EY147" s="151" t="str">
        <f t="shared" si="200"/>
        <v>Đủ</v>
      </c>
      <c r="EZ147" s="152"/>
      <c r="FA147" s="372"/>
      <c r="FB147" s="373"/>
      <c r="FC147" s="367"/>
      <c r="FD147" s="374"/>
      <c r="FE147" s="183"/>
      <c r="FF147" s="184"/>
      <c r="FG147" s="185"/>
      <c r="FH147" s="185"/>
    </row>
    <row r="148" spans="1:164" s="386" customFormat="1" ht="14" hidden="1" customHeight="1">
      <c r="A148" s="208" t="str">
        <f t="shared" si="180"/>
        <v>ok</v>
      </c>
      <c r="B148" s="151"/>
      <c r="C148" s="151"/>
      <c r="D148" s="151"/>
      <c r="E148" s="400"/>
      <c r="F148" s="151"/>
      <c r="G148" s="151"/>
      <c r="H148" s="151"/>
      <c r="I148" s="171" t="s">
        <v>524</v>
      </c>
      <c r="J148" s="164" t="s">
        <v>284</v>
      </c>
      <c r="K148" s="247" t="s">
        <v>525</v>
      </c>
      <c r="L148" s="233" t="s">
        <v>399</v>
      </c>
      <c r="M148" s="412" t="s">
        <v>61</v>
      </c>
      <c r="N148" s="163"/>
      <c r="O148" s="178"/>
      <c r="P148" s="172"/>
      <c r="Q148" s="161"/>
      <c r="R148" s="162"/>
      <c r="S148" s="161"/>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209"/>
      <c r="CT148" s="209"/>
      <c r="CU148" s="375"/>
      <c r="CV148" s="208"/>
      <c r="CW148" s="152"/>
      <c r="CX148" s="152"/>
      <c r="CY148" s="208"/>
      <c r="CZ148" s="208"/>
      <c r="DA148" s="152"/>
      <c r="DB148" s="152"/>
      <c r="DC148" s="153"/>
      <c r="DD148" s="153" t="s">
        <v>1695</v>
      </c>
      <c r="DE148" s="277" t="s">
        <v>45</v>
      </c>
      <c r="DF148" s="213" t="s">
        <v>724</v>
      </c>
      <c r="DG148" s="213" t="s">
        <v>43</v>
      </c>
      <c r="DH148" s="181">
        <v>294.45</v>
      </c>
      <c r="DI148" s="153">
        <v>45866</v>
      </c>
      <c r="DJ148" s="1003">
        <v>78</v>
      </c>
      <c r="DK148" s="181">
        <v>294.45</v>
      </c>
      <c r="DL148" s="182">
        <v>14363.64</v>
      </c>
      <c r="DM148" s="181">
        <f>DL148*DK148*1.1</f>
        <v>4652311.1777999997</v>
      </c>
      <c r="DN148" s="446">
        <f>(DM148-DO148)/DO148</f>
        <v>0.10000000000000006</v>
      </c>
      <c r="DO148" s="279">
        <f>DL148*DK148</f>
        <v>4229373.7979999995</v>
      </c>
      <c r="DP148" s="275">
        <v>45867</v>
      </c>
      <c r="DQ148" s="152"/>
      <c r="DR148" s="152"/>
      <c r="DS148" s="151"/>
      <c r="DT148" s="275"/>
      <c r="DU148" s="370"/>
      <c r="DV148" s="208"/>
      <c r="DW148" s="208"/>
      <c r="DX148" s="171"/>
      <c r="DY148" s="152"/>
      <c r="DZ148" s="152"/>
      <c r="EA148" s="152"/>
      <c r="EB148" s="152"/>
      <c r="EC148" s="152"/>
      <c r="ED148" s="152"/>
      <c r="EE148" s="371"/>
      <c r="EF148" s="371"/>
      <c r="EG148" s="153"/>
      <c r="EH148" s="153"/>
      <c r="EI148" s="153"/>
      <c r="EJ148" s="153"/>
      <c r="EK148" s="153"/>
      <c r="EL148" s="153"/>
      <c r="EM148" s="153"/>
      <c r="EN148" s="153"/>
      <c r="EO148" s="152"/>
      <c r="EP148" s="151"/>
      <c r="EQ148" s="153"/>
      <c r="ER148" s="153"/>
      <c r="ES148" s="153"/>
      <c r="ET148" s="153"/>
      <c r="EU148" s="152"/>
      <c r="EV148" s="152"/>
      <c r="EW148" s="152"/>
      <c r="EX148" s="152"/>
      <c r="EY148" s="151"/>
      <c r="EZ148" s="152"/>
      <c r="FA148" s="372"/>
      <c r="FB148" s="373"/>
      <c r="FC148" s="384"/>
      <c r="FD148" s="385"/>
      <c r="FE148" s="210"/>
      <c r="FF148" s="211"/>
      <c r="FG148" s="212"/>
      <c r="FH148" s="212"/>
    </row>
    <row r="149" spans="1:164" s="157" customFormat="1" ht="14" hidden="1" customHeight="1">
      <c r="A149" s="208" t="str">
        <f t="shared" si="180"/>
        <v>Hiện</v>
      </c>
      <c r="B149" s="151" t="str">
        <f t="shared" si="192"/>
        <v>Đủ</v>
      </c>
      <c r="C149" s="151">
        <f>EW149</f>
        <v>0</v>
      </c>
      <c r="D149" s="151"/>
      <c r="E149" s="400"/>
      <c r="F149" s="151"/>
      <c r="G149" s="151"/>
      <c r="H149" s="151"/>
      <c r="I149" s="171" t="s">
        <v>526</v>
      </c>
      <c r="J149" s="164" t="s">
        <v>412</v>
      </c>
      <c r="K149" s="247" t="s">
        <v>527</v>
      </c>
      <c r="L149" s="233" t="s">
        <v>399</v>
      </c>
      <c r="M149" s="412" t="s">
        <v>61</v>
      </c>
      <c r="N149" s="163">
        <v>0.61728395061728392</v>
      </c>
      <c r="O149" s="178">
        <v>306.08151999999995</v>
      </c>
      <c r="P149" s="172">
        <v>756.48</v>
      </c>
      <c r="Q149" s="161"/>
      <c r="R149" s="162"/>
      <c r="S149" s="161"/>
      <c r="T149" s="162"/>
      <c r="U149" s="162"/>
      <c r="V149" s="162"/>
      <c r="W149" s="162"/>
      <c r="X149" s="162"/>
      <c r="Y149" s="162"/>
      <c r="Z149" s="162"/>
      <c r="AA149" s="162"/>
      <c r="AB149" s="162"/>
      <c r="AC149" s="162">
        <v>312</v>
      </c>
      <c r="AD149" s="162">
        <v>192.59259259259258</v>
      </c>
      <c r="AE149" s="162">
        <v>132</v>
      </c>
      <c r="AF149" s="162">
        <v>81.481481481481481</v>
      </c>
      <c r="AG149" s="162">
        <v>0</v>
      </c>
      <c r="AH149" s="162">
        <v>0</v>
      </c>
      <c r="AI149" s="162">
        <f>VLOOKUP(I149,'[119]MTO-rev09'!$A:$O,11,0)</f>
        <v>0</v>
      </c>
      <c r="AJ149" s="162">
        <f>VLOOKUP(I149,'[119]MTO-rev09'!$A:$O,12,0)</f>
        <v>0</v>
      </c>
      <c r="AK149" s="162">
        <v>0</v>
      </c>
      <c r="AL149" s="162">
        <v>0</v>
      </c>
      <c r="AM149" s="162"/>
      <c r="AN149" s="162"/>
      <c r="AO149" s="162">
        <v>0</v>
      </c>
      <c r="AP149" s="162">
        <v>0</v>
      </c>
      <c r="AQ149" s="162">
        <v>0</v>
      </c>
      <c r="AR149" s="162">
        <v>0</v>
      </c>
      <c r="AS149" s="162">
        <v>0</v>
      </c>
      <c r="AT149" s="162">
        <v>0</v>
      </c>
      <c r="AU149" s="162">
        <v>0</v>
      </c>
      <c r="AV149" s="162">
        <v>0</v>
      </c>
      <c r="AW149" s="162">
        <v>0</v>
      </c>
      <c r="AX149" s="162">
        <v>0</v>
      </c>
      <c r="AY149" s="162">
        <v>0</v>
      </c>
      <c r="AZ149" s="162">
        <v>0</v>
      </c>
      <c r="BA149" s="162"/>
      <c r="BB149" s="162"/>
      <c r="BC149" s="162">
        <v>0</v>
      </c>
      <c r="BD149" s="162">
        <v>0</v>
      </c>
      <c r="BE149" s="162">
        <v>0</v>
      </c>
      <c r="BF149" s="162">
        <v>0</v>
      </c>
      <c r="BG149" s="162">
        <v>0</v>
      </c>
      <c r="BH149" s="162">
        <v>0</v>
      </c>
      <c r="BI149" s="162">
        <v>0</v>
      </c>
      <c r="BJ149" s="162">
        <v>0</v>
      </c>
      <c r="BK149" s="162">
        <v>0</v>
      </c>
      <c r="BL149" s="162">
        <v>0</v>
      </c>
      <c r="BM149" s="162">
        <v>0</v>
      </c>
      <c r="BN149" s="162">
        <v>0</v>
      </c>
      <c r="BO149" s="162"/>
      <c r="BP149" s="162"/>
      <c r="BQ149" s="162">
        <v>0</v>
      </c>
      <c r="BR149" s="162">
        <v>0</v>
      </c>
      <c r="BS149" s="162">
        <v>0</v>
      </c>
      <c r="BT149" s="162">
        <v>0</v>
      </c>
      <c r="BU149" s="162">
        <v>0</v>
      </c>
      <c r="BV149" s="162">
        <v>0</v>
      </c>
      <c r="BW149" s="162"/>
      <c r="BX149" s="162"/>
      <c r="BY149" s="162">
        <v>0</v>
      </c>
      <c r="BZ149" s="162">
        <v>0</v>
      </c>
      <c r="CA149" s="162">
        <v>0</v>
      </c>
      <c r="CB149" s="162">
        <v>0</v>
      </c>
      <c r="CC149" s="162">
        <v>0</v>
      </c>
      <c r="CD149" s="162">
        <v>0</v>
      </c>
      <c r="CE149" s="162">
        <f>VLOOKUP(I149,[120]REV33!$A:$O,11,0)</f>
        <v>0</v>
      </c>
      <c r="CF149" s="162">
        <f>VLOOKUP(I149,[120]REV33!$A:$O,12,0)</f>
        <v>0</v>
      </c>
      <c r="CG149" s="162"/>
      <c r="CH149" s="162"/>
      <c r="CI149" s="162"/>
      <c r="CJ149" s="162"/>
      <c r="CK149" s="162"/>
      <c r="CL149" s="162"/>
      <c r="CM149" s="162"/>
      <c r="CN149" s="162"/>
      <c r="CO149" s="162">
        <v>0</v>
      </c>
      <c r="CP149" s="162">
        <v>0</v>
      </c>
      <c r="CQ149" s="162">
        <v>0</v>
      </c>
      <c r="CR149" s="162">
        <v>0</v>
      </c>
      <c r="CS149" s="209">
        <f>Q149+S149+U149+W149+Y149+AA149+AC149+AE149+AG149+AI149+AK149+AM149+AO149+AQ149+AS149+AU149+AW149+AY149+BA149+BC149+BE149+BG149+BI149+BK149+BM149+BO149+BQ149+BS149+BU149+BW149+BY149+CA149+CC149+CE149+CG149+CI149+CK149+CM149+CO149+CQ149</f>
        <v>444</v>
      </c>
      <c r="CT149" s="209">
        <f>R149+T149+V149+X149+Z149+AB149+AD149+AF149+AH149+AJ149+AL149+AN149+AP149+AR149+AT149+AV149+AX149+AZ149+BB149+BD149+BF149+BH149+BJ149+BL149+BN149+BP149+BR149+BT149+BV149+BX149+BZ149+CB149+CD149+CF149+CH149+CJ149+CL149+CN149+CP149+CR149</f>
        <v>274.07407407407408</v>
      </c>
      <c r="CU149" s="375" t="s">
        <v>652</v>
      </c>
      <c r="CV149" s="208"/>
      <c r="CW149" s="152"/>
      <c r="CX149" s="152"/>
      <c r="CY149" s="208"/>
      <c r="CZ149" s="208"/>
      <c r="DA149" s="152">
        <f>IF(CS149&gt;CW149,CS149-CW149,"0")</f>
        <v>444</v>
      </c>
      <c r="DB149" s="152">
        <f>IF(CT149&gt;CX149,CT149-CX149,"0")</f>
        <v>274.07407407407408</v>
      </c>
      <c r="DC149" s="153"/>
      <c r="DD149" s="153" t="s">
        <v>655</v>
      </c>
      <c r="DE149" s="153" t="s">
        <v>45</v>
      </c>
      <c r="DF149" s="213" t="s">
        <v>573</v>
      </c>
      <c r="DG149" s="213" t="s">
        <v>43</v>
      </c>
      <c r="DH149" s="181">
        <v>769.39</v>
      </c>
      <c r="DI149" s="153">
        <v>45829</v>
      </c>
      <c r="DJ149" s="1000">
        <v>312</v>
      </c>
      <c r="DK149" s="181">
        <v>769.39</v>
      </c>
      <c r="DL149" s="182">
        <v>15727.27</v>
      </c>
      <c r="DM149" s="181">
        <f>DL149*DK149*1.1</f>
        <v>13310444.691830002</v>
      </c>
      <c r="DN149" s="446">
        <f>(DM149-DO149)/DO149</f>
        <v>0.10000000000000014</v>
      </c>
      <c r="DO149" s="182">
        <f>DL149*DK149</f>
        <v>12100404.2653</v>
      </c>
      <c r="DP149" s="275">
        <v>45835</v>
      </c>
      <c r="DQ149" s="152">
        <f>SUMIF($I:$I,I149,$DJ:$DJ)</f>
        <v>444</v>
      </c>
      <c r="DR149" s="152">
        <f>SUMIF($I:$I,I149,$DK:$DK)</f>
        <v>1094.9000000000001</v>
      </c>
      <c r="DS149" s="151"/>
      <c r="DT149" s="275"/>
      <c r="DU149" s="370"/>
      <c r="DV149" s="208"/>
      <c r="DW149" s="208"/>
      <c r="DX149" s="171"/>
      <c r="DY149" s="152"/>
      <c r="DZ149" s="152"/>
      <c r="EA149" s="152"/>
      <c r="EB149" s="152"/>
      <c r="EC149" s="152"/>
      <c r="ED149" s="152"/>
      <c r="EE149" s="371"/>
      <c r="EF149" s="371"/>
      <c r="EG149" s="153"/>
      <c r="EH149" s="153"/>
      <c r="EI149" s="153"/>
      <c r="EJ149" s="153"/>
      <c r="EK149" s="153"/>
      <c r="EL149" s="153"/>
      <c r="EM149" s="153"/>
      <c r="EN149" s="153"/>
      <c r="EO149" s="152">
        <f>SUMIF($I:$I,I149,$EC:$EC)</f>
        <v>0</v>
      </c>
      <c r="EP149" s="151">
        <f>SUMIF($I:$I,I149,$ED:$ED)</f>
        <v>0</v>
      </c>
      <c r="EQ149" s="153"/>
      <c r="ER149" s="153"/>
      <c r="ES149" s="153"/>
      <c r="ET149" s="153"/>
      <c r="EU149" s="152">
        <f>DQ149+EO149</f>
        <v>444</v>
      </c>
      <c r="EV149" s="152">
        <f>DR149+EP149</f>
        <v>1094.9000000000001</v>
      </c>
      <c r="EW149" s="152">
        <f t="shared" ref="EW149" si="201">DA149-EU149</f>
        <v>0</v>
      </c>
      <c r="EX149" s="152">
        <f t="shared" ref="EX149" si="202">DB149-EV149</f>
        <v>-820.82592592592596</v>
      </c>
      <c r="EY149" s="151" t="str">
        <f>IF(EW149&lt;0,"Thừa",IF(EW149=0,"Đủ","Thiếu"))</f>
        <v>Đủ</v>
      </c>
      <c r="EZ149" s="152"/>
      <c r="FA149" s="372"/>
      <c r="FB149" s="373"/>
      <c r="FC149" s="367"/>
      <c r="FD149" s="374"/>
      <c r="FE149" s="183"/>
      <c r="FF149" s="184"/>
      <c r="FG149" s="185"/>
      <c r="FH149" s="185"/>
    </row>
    <row r="150" spans="1:164" s="386" customFormat="1" ht="14" hidden="1" customHeight="1">
      <c r="A150" s="208" t="str">
        <f t="shared" si="180"/>
        <v>ok</v>
      </c>
      <c r="B150" s="151"/>
      <c r="C150" s="151"/>
      <c r="D150" s="151"/>
      <c r="E150" s="400"/>
      <c r="F150" s="151"/>
      <c r="G150" s="151"/>
      <c r="H150" s="151"/>
      <c r="I150" s="171" t="s">
        <v>526</v>
      </c>
      <c r="J150" s="164" t="s">
        <v>412</v>
      </c>
      <c r="K150" s="247" t="s">
        <v>527</v>
      </c>
      <c r="L150" s="233" t="s">
        <v>399</v>
      </c>
      <c r="M150" s="412" t="s">
        <v>61</v>
      </c>
      <c r="N150" s="163"/>
      <c r="O150" s="178"/>
      <c r="P150" s="172"/>
      <c r="Q150" s="161"/>
      <c r="R150" s="162"/>
      <c r="S150" s="161"/>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209"/>
      <c r="CT150" s="209"/>
      <c r="CU150" s="375"/>
      <c r="CV150" s="208"/>
      <c r="CW150" s="152"/>
      <c r="CX150" s="152"/>
      <c r="CY150" s="208"/>
      <c r="CZ150" s="208"/>
      <c r="DA150" s="152"/>
      <c r="DB150" s="152"/>
      <c r="DC150" s="153"/>
      <c r="DD150" s="377" t="s">
        <v>668</v>
      </c>
      <c r="DE150" s="153" t="s">
        <v>45</v>
      </c>
      <c r="DF150" s="213" t="s">
        <v>677</v>
      </c>
      <c r="DG150" s="213" t="s">
        <v>43</v>
      </c>
      <c r="DH150" s="181">
        <v>325.51</v>
      </c>
      <c r="DI150" s="153">
        <v>45853</v>
      </c>
      <c r="DJ150" s="378">
        <v>132</v>
      </c>
      <c r="DK150" s="181">
        <v>325.51</v>
      </c>
      <c r="DL150" s="182">
        <v>15863.64</v>
      </c>
      <c r="DM150" s="181">
        <f>DL150*DK150*1.1</f>
        <v>5680150.8020399995</v>
      </c>
      <c r="DN150" s="446">
        <f>(DM150-DO150)/DO150</f>
        <v>0.1</v>
      </c>
      <c r="DO150" s="182">
        <f>DL150*DK150</f>
        <v>5163773.4563999996</v>
      </c>
      <c r="DP150" s="275">
        <v>45856</v>
      </c>
      <c r="DQ150" s="152"/>
      <c r="DR150" s="152"/>
      <c r="DS150" s="151"/>
      <c r="DT150" s="275"/>
      <c r="DU150" s="370"/>
      <c r="DV150" s="208"/>
      <c r="DW150" s="208"/>
      <c r="DX150" s="171"/>
      <c r="DY150" s="152"/>
      <c r="DZ150" s="152"/>
      <c r="EA150" s="152"/>
      <c r="EB150" s="152"/>
      <c r="EC150" s="152"/>
      <c r="ED150" s="152"/>
      <c r="EE150" s="371"/>
      <c r="EF150" s="371"/>
      <c r="EG150" s="153"/>
      <c r="EH150" s="153"/>
      <c r="EI150" s="153"/>
      <c r="EJ150" s="153"/>
      <c r="EK150" s="153"/>
      <c r="EL150" s="153"/>
      <c r="EM150" s="153"/>
      <c r="EN150" s="153"/>
      <c r="EO150" s="152"/>
      <c r="EP150" s="151"/>
      <c r="EQ150" s="153"/>
      <c r="ER150" s="153"/>
      <c r="ES150" s="153"/>
      <c r="ET150" s="153"/>
      <c r="EU150" s="152"/>
      <c r="EV150" s="152"/>
      <c r="EW150" s="152"/>
      <c r="EX150" s="152"/>
      <c r="EY150" s="151"/>
      <c r="EZ150" s="152"/>
      <c r="FA150" s="372"/>
      <c r="FB150" s="373"/>
      <c r="FC150" s="384"/>
      <c r="FD150" s="385"/>
      <c r="FE150" s="210"/>
      <c r="FF150" s="211"/>
      <c r="FG150" s="212"/>
      <c r="FH150" s="212"/>
    </row>
    <row r="151" spans="1:164" s="157" customFormat="1" ht="14" hidden="1" customHeight="1">
      <c r="A151" s="208" t="str">
        <f t="shared" si="180"/>
        <v>Hiện</v>
      </c>
      <c r="B151" s="151" t="str">
        <f t="shared" si="192"/>
        <v>Đủ</v>
      </c>
      <c r="C151" s="151">
        <f>EW151</f>
        <v>0</v>
      </c>
      <c r="D151" s="399"/>
      <c r="E151" s="400"/>
      <c r="F151" s="399"/>
      <c r="G151" s="399"/>
      <c r="H151" s="151"/>
      <c r="I151" s="171" t="s">
        <v>528</v>
      </c>
      <c r="J151" s="164" t="s">
        <v>277</v>
      </c>
      <c r="K151" s="247" t="s">
        <v>529</v>
      </c>
      <c r="L151" s="233" t="s">
        <v>399</v>
      </c>
      <c r="M151" s="412" t="s">
        <v>61</v>
      </c>
      <c r="N151" s="163">
        <v>2.1497877501516069</v>
      </c>
      <c r="O151" s="178">
        <v>79.152000000000001</v>
      </c>
      <c r="P151" s="172">
        <v>170.16</v>
      </c>
      <c r="Q151" s="161"/>
      <c r="R151" s="162"/>
      <c r="S151" s="161"/>
      <c r="T151" s="162"/>
      <c r="U151" s="162"/>
      <c r="V151" s="162"/>
      <c r="W151" s="162"/>
      <c r="X151" s="162"/>
      <c r="Y151" s="162"/>
      <c r="Z151" s="162"/>
      <c r="AA151" s="162"/>
      <c r="AB151" s="162"/>
      <c r="AC151" s="162">
        <v>79.2</v>
      </c>
      <c r="AD151" s="162">
        <v>170.26318981200728</v>
      </c>
      <c r="AE151" s="162">
        <v>-79.2</v>
      </c>
      <c r="AF151" s="162">
        <v>-170.26318981200728</v>
      </c>
      <c r="AG151" s="162">
        <v>0</v>
      </c>
      <c r="AH151" s="162">
        <v>0</v>
      </c>
      <c r="AI151" s="162">
        <f>VLOOKUP(I151,'[119]MTO-rev09'!$A:$O,11,0)</f>
        <v>0</v>
      </c>
      <c r="AJ151" s="162">
        <f>VLOOKUP(I151,'[119]MTO-rev09'!$A:$O,12,0)</f>
        <v>0</v>
      </c>
      <c r="AK151" s="162">
        <v>0</v>
      </c>
      <c r="AL151" s="162">
        <v>0</v>
      </c>
      <c r="AM151" s="162"/>
      <c r="AN151" s="162"/>
      <c r="AO151" s="162">
        <v>0</v>
      </c>
      <c r="AP151" s="162">
        <v>0</v>
      </c>
      <c r="AQ151" s="162">
        <v>0</v>
      </c>
      <c r="AR151" s="162">
        <v>0</v>
      </c>
      <c r="AS151" s="162">
        <v>0</v>
      </c>
      <c r="AT151" s="162">
        <v>0</v>
      </c>
      <c r="AU151" s="162">
        <v>0</v>
      </c>
      <c r="AV151" s="162">
        <v>0</v>
      </c>
      <c r="AW151" s="162">
        <v>0</v>
      </c>
      <c r="AX151" s="162">
        <v>0</v>
      </c>
      <c r="AY151" s="162">
        <v>0</v>
      </c>
      <c r="AZ151" s="162">
        <v>0</v>
      </c>
      <c r="BA151" s="162"/>
      <c r="BB151" s="162"/>
      <c r="BC151" s="162">
        <v>0</v>
      </c>
      <c r="BD151" s="162">
        <v>0</v>
      </c>
      <c r="BE151" s="162">
        <v>0</v>
      </c>
      <c r="BF151" s="162">
        <v>0</v>
      </c>
      <c r="BG151" s="162">
        <v>0</v>
      </c>
      <c r="BH151" s="162">
        <v>0</v>
      </c>
      <c r="BI151" s="162">
        <v>0</v>
      </c>
      <c r="BJ151" s="162">
        <v>0</v>
      </c>
      <c r="BK151" s="162">
        <v>0</v>
      </c>
      <c r="BL151" s="162">
        <v>0</v>
      </c>
      <c r="BM151" s="162">
        <v>0</v>
      </c>
      <c r="BN151" s="162">
        <v>0</v>
      </c>
      <c r="BO151" s="162"/>
      <c r="BP151" s="162"/>
      <c r="BQ151" s="162">
        <v>0</v>
      </c>
      <c r="BR151" s="162">
        <v>0</v>
      </c>
      <c r="BS151" s="162">
        <v>0</v>
      </c>
      <c r="BT151" s="162">
        <v>0</v>
      </c>
      <c r="BU151" s="162">
        <v>0</v>
      </c>
      <c r="BV151" s="162">
        <v>0</v>
      </c>
      <c r="BW151" s="162"/>
      <c r="BX151" s="162"/>
      <c r="BY151" s="162">
        <v>0</v>
      </c>
      <c r="BZ151" s="162">
        <v>0</v>
      </c>
      <c r="CA151" s="162">
        <v>0</v>
      </c>
      <c r="CB151" s="162">
        <v>0</v>
      </c>
      <c r="CC151" s="162">
        <v>0</v>
      </c>
      <c r="CD151" s="162">
        <v>0</v>
      </c>
      <c r="CE151" s="162">
        <f>VLOOKUP(I151,[120]REV33!$A:$O,11,0)</f>
        <v>0</v>
      </c>
      <c r="CF151" s="162">
        <f>VLOOKUP(I151,[120]REV33!$A:$O,12,0)</f>
        <v>0</v>
      </c>
      <c r="CG151" s="162"/>
      <c r="CH151" s="162"/>
      <c r="CI151" s="162"/>
      <c r="CJ151" s="162"/>
      <c r="CK151" s="162"/>
      <c r="CL151" s="162"/>
      <c r="CM151" s="162"/>
      <c r="CN151" s="162"/>
      <c r="CO151" s="162">
        <v>0</v>
      </c>
      <c r="CP151" s="162">
        <v>0</v>
      </c>
      <c r="CQ151" s="162">
        <v>0</v>
      </c>
      <c r="CR151" s="162">
        <v>0</v>
      </c>
      <c r="CS151" s="209">
        <f>Q151+S151+U151+W151+Y151+AA151+AC151+AE151+AG151+AI151+AK151+AM151+AO151+AQ151+AS151+AU151+AW151+AY151+BA151+BC151+BE151+BG151+BI151+BK151+BM151+BO151+BQ151+BS151+BU151+BW151+BY151+CA151+CC151+CE151+CG151+CI151+CK151+CM151+CO151+CQ151</f>
        <v>0</v>
      </c>
      <c r="CT151" s="209">
        <f>R151+T151+V151+X151+Z151+AB151+AD151+AF151+AH151+AJ151+AL151+AN151+AP151+AR151+AT151+AV151+AX151+AZ151+BB151+BD151+BF151+BH151+BJ151+BL151+BN151+BP151+BR151+BT151+BV151+BX151+BZ151+CB151+CD151+CF151+CH151+CJ151+CL151+CN151+CP151+CR151</f>
        <v>0</v>
      </c>
      <c r="CU151" s="375" t="s">
        <v>653</v>
      </c>
      <c r="CV151" s="208"/>
      <c r="CW151" s="152"/>
      <c r="CX151" s="152"/>
      <c r="CY151" s="208"/>
      <c r="CZ151" s="208"/>
      <c r="DA151" s="152" t="str">
        <f t="shared" ref="DA151:DA154" si="203">IF(CS151&gt;CW151,CS151-CW151,"0")</f>
        <v>0</v>
      </c>
      <c r="DB151" s="152" t="str">
        <f t="shared" ref="DB151:DB154" si="204">IF(CT151&gt;CX151,CT151-CX151,"0")</f>
        <v>0</v>
      </c>
      <c r="DC151" s="153"/>
      <c r="DD151" s="153"/>
      <c r="DE151" s="153"/>
      <c r="DF151" s="376"/>
      <c r="DG151" s="368"/>
      <c r="DH151" s="181"/>
      <c r="DI151" s="153"/>
      <c r="DJ151" s="1000"/>
      <c r="DK151" s="181"/>
      <c r="DL151" s="182"/>
      <c r="DM151" s="182"/>
      <c r="DN151" s="182"/>
      <c r="DO151" s="182"/>
      <c r="DP151" s="275"/>
      <c r="DQ151" s="152">
        <f>SUMIF($I:$I,I151,$DJ:$DJ)</f>
        <v>0</v>
      </c>
      <c r="DR151" s="152">
        <f>SUMIF($I:$I,I151,$DK:$DK)</f>
        <v>0</v>
      </c>
      <c r="DS151" s="151"/>
      <c r="DT151" s="275"/>
      <c r="DU151" s="370"/>
      <c r="DV151" s="208"/>
      <c r="DW151" s="208"/>
      <c r="DX151" s="171"/>
      <c r="DY151" s="152"/>
      <c r="DZ151" s="152"/>
      <c r="EA151" s="152"/>
      <c r="EB151" s="152"/>
      <c r="EC151" s="152"/>
      <c r="ED151" s="152"/>
      <c r="EE151" s="371"/>
      <c r="EF151" s="371"/>
      <c r="EG151" s="153"/>
      <c r="EH151" s="153"/>
      <c r="EI151" s="153"/>
      <c r="EJ151" s="153"/>
      <c r="EK151" s="153"/>
      <c r="EL151" s="153"/>
      <c r="EM151" s="153"/>
      <c r="EN151" s="153"/>
      <c r="EO151" s="152">
        <f>SUMIF($I:$I,I151,$EC:$EC)</f>
        <v>0</v>
      </c>
      <c r="EP151" s="151">
        <f>SUMIF($I:$I,I151,$ED:$ED)</f>
        <v>0</v>
      </c>
      <c r="EQ151" s="153"/>
      <c r="ER151" s="153"/>
      <c r="ES151" s="153"/>
      <c r="ET151" s="153"/>
      <c r="EU151" s="152">
        <f t="shared" ref="EU151:EU154" si="205">DQ151+EO151</f>
        <v>0</v>
      </c>
      <c r="EV151" s="152">
        <f t="shared" ref="EV151:EV154" si="206">DR151+EP151</f>
        <v>0</v>
      </c>
      <c r="EW151" s="152">
        <f t="shared" ref="EW151:EW154" si="207">DA151-EU151</f>
        <v>0</v>
      </c>
      <c r="EX151" s="152">
        <f t="shared" ref="EX151:EX154" si="208">DB151-EV151</f>
        <v>0</v>
      </c>
      <c r="EY151" s="151" t="str">
        <f t="shared" ref="EY151:EY154" si="209">IF(EW151&lt;0,"Thừa",IF(EW151=0,"Đủ","Thiếu"))</f>
        <v>Đủ</v>
      </c>
      <c r="EZ151" s="152"/>
      <c r="FA151" s="372"/>
      <c r="FB151" s="373"/>
      <c r="FC151" s="367"/>
      <c r="FD151" s="374"/>
      <c r="FE151" s="183"/>
      <c r="FF151" s="184"/>
      <c r="FG151" s="185"/>
      <c r="FH151" s="185"/>
    </row>
    <row r="152" spans="1:164" s="157" customFormat="1" ht="29.5" hidden="1" customHeight="1">
      <c r="A152" s="208" t="str">
        <f t="shared" si="180"/>
        <v>Hiện</v>
      </c>
      <c r="B152" s="151" t="str">
        <f t="shared" si="192"/>
        <v>Đủ</v>
      </c>
      <c r="C152" s="409">
        <f>EW152</f>
        <v>0</v>
      </c>
      <c r="D152" s="151"/>
      <c r="E152" s="400"/>
      <c r="F152" s="151"/>
      <c r="G152" s="151"/>
      <c r="H152" s="151"/>
      <c r="I152" s="171" t="s">
        <v>530</v>
      </c>
      <c r="J152" s="164" t="s">
        <v>531</v>
      </c>
      <c r="K152" s="247" t="s">
        <v>532</v>
      </c>
      <c r="L152" s="233" t="s">
        <v>399</v>
      </c>
      <c r="M152" s="412" t="s">
        <v>345</v>
      </c>
      <c r="N152" s="163">
        <v>0.83179999999999998</v>
      </c>
      <c r="O152" s="178">
        <v>114</v>
      </c>
      <c r="P152" s="172">
        <v>94.825199999999995</v>
      </c>
      <c r="Q152" s="179"/>
      <c r="R152" s="180"/>
      <c r="S152" s="179"/>
      <c r="T152" s="180"/>
      <c r="U152" s="180"/>
      <c r="V152" s="180"/>
      <c r="W152" s="180"/>
      <c r="X152" s="180"/>
      <c r="Y152" s="180"/>
      <c r="Z152" s="180"/>
      <c r="AA152" s="180"/>
      <c r="AB152" s="180"/>
      <c r="AC152" s="180">
        <v>114</v>
      </c>
      <c r="AD152" s="180">
        <v>94.825199999999995</v>
      </c>
      <c r="AE152" s="180">
        <v>0</v>
      </c>
      <c r="AF152" s="180">
        <v>0</v>
      </c>
      <c r="AG152" s="180">
        <v>0</v>
      </c>
      <c r="AH152" s="180">
        <v>0</v>
      </c>
      <c r="AI152" s="162">
        <f>VLOOKUP(I152,'[119]MTO-rev09'!$A:$O,11,0)</f>
        <v>0</v>
      </c>
      <c r="AJ152" s="162">
        <f>VLOOKUP(I152,'[119]MTO-rev09'!$A:$O,12,0)</f>
        <v>0</v>
      </c>
      <c r="AK152" s="162">
        <v>0</v>
      </c>
      <c r="AL152" s="162">
        <v>0</v>
      </c>
      <c r="AM152" s="162"/>
      <c r="AN152" s="162"/>
      <c r="AO152" s="162">
        <v>0</v>
      </c>
      <c r="AP152" s="162">
        <v>0</v>
      </c>
      <c r="AQ152" s="162">
        <v>0</v>
      </c>
      <c r="AR152" s="162">
        <v>0</v>
      </c>
      <c r="AS152" s="162">
        <v>0</v>
      </c>
      <c r="AT152" s="162">
        <v>0</v>
      </c>
      <c r="AU152" s="162">
        <v>0</v>
      </c>
      <c r="AV152" s="162">
        <v>0</v>
      </c>
      <c r="AW152" s="162">
        <v>0</v>
      </c>
      <c r="AX152" s="162">
        <v>0</v>
      </c>
      <c r="AY152" s="162">
        <v>0</v>
      </c>
      <c r="AZ152" s="162">
        <v>0</v>
      </c>
      <c r="BA152" s="162"/>
      <c r="BB152" s="162"/>
      <c r="BC152" s="162">
        <v>0</v>
      </c>
      <c r="BD152" s="162">
        <v>0</v>
      </c>
      <c r="BE152" s="162">
        <v>0</v>
      </c>
      <c r="BF152" s="162">
        <v>0</v>
      </c>
      <c r="BG152" s="162">
        <v>0</v>
      </c>
      <c r="BH152" s="162">
        <v>0</v>
      </c>
      <c r="BI152" s="162">
        <v>0</v>
      </c>
      <c r="BJ152" s="162">
        <v>0</v>
      </c>
      <c r="BK152" s="162">
        <v>0</v>
      </c>
      <c r="BL152" s="162">
        <v>0</v>
      </c>
      <c r="BM152" s="162">
        <v>0</v>
      </c>
      <c r="BN152" s="162">
        <v>0</v>
      </c>
      <c r="BO152" s="162"/>
      <c r="BP152" s="162"/>
      <c r="BQ152" s="162">
        <v>0</v>
      </c>
      <c r="BR152" s="162">
        <v>0</v>
      </c>
      <c r="BS152" s="162">
        <v>0</v>
      </c>
      <c r="BT152" s="162">
        <v>0</v>
      </c>
      <c r="BU152" s="162">
        <v>0</v>
      </c>
      <c r="BV152" s="162">
        <v>0</v>
      </c>
      <c r="BW152" s="162"/>
      <c r="BX152" s="162"/>
      <c r="BY152" s="162">
        <v>0</v>
      </c>
      <c r="BZ152" s="162">
        <v>0</v>
      </c>
      <c r="CA152" s="162">
        <v>0</v>
      </c>
      <c r="CB152" s="162">
        <v>0</v>
      </c>
      <c r="CC152" s="162">
        <v>0</v>
      </c>
      <c r="CD152" s="162">
        <v>0</v>
      </c>
      <c r="CE152" s="162">
        <f>VLOOKUP(I152,[120]REV33!$A:$O,11,0)</f>
        <v>0</v>
      </c>
      <c r="CF152" s="162">
        <f>VLOOKUP(I152,[120]REV33!$A:$O,12,0)</f>
        <v>0</v>
      </c>
      <c r="CG152" s="162"/>
      <c r="CH152" s="162"/>
      <c r="CI152" s="162"/>
      <c r="CJ152" s="162"/>
      <c r="CK152" s="162"/>
      <c r="CL152" s="162"/>
      <c r="CM152" s="162"/>
      <c r="CN152" s="162"/>
      <c r="CO152" s="162">
        <v>0</v>
      </c>
      <c r="CP152" s="162">
        <v>0</v>
      </c>
      <c r="CQ152" s="162">
        <v>0</v>
      </c>
      <c r="CR152" s="162">
        <v>0</v>
      </c>
      <c r="CS152" s="209">
        <f>Q152+S152+U152+W152+Y152+AA152+AC152+AE152+AG152+AI152+AK152+AM152+AO152+AQ152+AS152+AU152+AW152+AY152+BA152+BC152+BE152+BG152+BI152+BK152+BM152+BO152+BQ152+BS152+BU152+BW152+BY152+CA152+CC152+CE152+CG152+CI152+CK152+CM152+CO152+CQ152</f>
        <v>114</v>
      </c>
      <c r="CT152" s="209">
        <f>R152+T152+V152+X152+Z152+AB152+AD152+AF152+AH152+AJ152+AL152+AN152+AP152+AR152+AT152+AV152+AX152+AZ152+BB152+BD152+BF152+BH152+BJ152+BL152+BN152+BP152+BR152+BT152+BV152+BX152+BZ152+CB152+CD152+CF152+CH152+CJ152+CL152+CN152+CP152+CR152</f>
        <v>94.825199999999995</v>
      </c>
      <c r="CU152" s="375" t="s">
        <v>542</v>
      </c>
      <c r="CV152" s="208"/>
      <c r="CW152" s="152"/>
      <c r="CX152" s="152"/>
      <c r="CY152" s="208"/>
      <c r="CZ152" s="208"/>
      <c r="DA152" s="152">
        <f t="shared" si="203"/>
        <v>114</v>
      </c>
      <c r="DB152" s="152">
        <f t="shared" si="204"/>
        <v>94.825199999999995</v>
      </c>
      <c r="DC152" s="153"/>
      <c r="DD152" s="153" t="s">
        <v>1431</v>
      </c>
      <c r="DE152" s="153" t="s">
        <v>1430</v>
      </c>
      <c r="DF152" s="376" t="s">
        <v>1432</v>
      </c>
      <c r="DG152" s="368" t="s">
        <v>43</v>
      </c>
      <c r="DH152" s="181" t="s">
        <v>477</v>
      </c>
      <c r="DI152" s="153">
        <v>45879</v>
      </c>
      <c r="DJ152" s="1000">
        <v>114</v>
      </c>
      <c r="DK152" s="181" t="s">
        <v>477</v>
      </c>
      <c r="DL152" s="182">
        <v>350000</v>
      </c>
      <c r="DM152" s="181">
        <f>DL152*DJ152*1.1</f>
        <v>43890000</v>
      </c>
      <c r="DN152" s="446">
        <f>(DM152-DO152)/DO152</f>
        <v>0.1</v>
      </c>
      <c r="DO152" s="182">
        <f>DL152*DJ152</f>
        <v>39900000</v>
      </c>
      <c r="DP152" s="275">
        <v>45890</v>
      </c>
      <c r="DQ152" s="152">
        <f>SUMIF($I:$I,I152,$DJ:$DJ)</f>
        <v>114</v>
      </c>
      <c r="DR152" s="152">
        <f>SUMIF($I:$I,I152,$DK:$DK)</f>
        <v>0</v>
      </c>
      <c r="DS152" s="151"/>
      <c r="DT152" s="275"/>
      <c r="DU152" s="370"/>
      <c r="DV152" s="208"/>
      <c r="DW152" s="208"/>
      <c r="DX152" s="171"/>
      <c r="DY152" s="152"/>
      <c r="DZ152" s="152"/>
      <c r="EA152" s="152"/>
      <c r="EB152" s="152"/>
      <c r="EC152" s="152"/>
      <c r="ED152" s="152"/>
      <c r="EE152" s="371"/>
      <c r="EF152" s="371"/>
      <c r="EG152" s="153"/>
      <c r="EH152" s="153"/>
      <c r="EI152" s="153"/>
      <c r="EJ152" s="153"/>
      <c r="EK152" s="153"/>
      <c r="EL152" s="153"/>
      <c r="EM152" s="153"/>
      <c r="EN152" s="153"/>
      <c r="EO152" s="152">
        <f>SUMIF($I:$I,I152,$EC:$EC)</f>
        <v>0</v>
      </c>
      <c r="EP152" s="151">
        <f>SUMIF($I:$I,I152,$ED:$ED)</f>
        <v>0</v>
      </c>
      <c r="EQ152" s="153"/>
      <c r="ER152" s="153"/>
      <c r="ES152" s="153"/>
      <c r="ET152" s="153"/>
      <c r="EU152" s="152">
        <f t="shared" si="205"/>
        <v>114</v>
      </c>
      <c r="EV152" s="152">
        <f t="shared" si="206"/>
        <v>0</v>
      </c>
      <c r="EW152" s="152">
        <f t="shared" si="207"/>
        <v>0</v>
      </c>
      <c r="EX152" s="152">
        <f t="shared" si="208"/>
        <v>94.825199999999995</v>
      </c>
      <c r="EY152" s="151" t="str">
        <f t="shared" si="209"/>
        <v>Đủ</v>
      </c>
      <c r="EZ152" s="152"/>
      <c r="FA152" s="372"/>
      <c r="FB152" s="373"/>
      <c r="FC152" s="367"/>
      <c r="FD152" s="374"/>
      <c r="FE152" s="183"/>
      <c r="FF152" s="184"/>
      <c r="FG152" s="185"/>
      <c r="FH152" s="185"/>
    </row>
    <row r="153" spans="1:164" s="157" customFormat="1" ht="14" hidden="1" customHeight="1">
      <c r="A153" s="208" t="str">
        <f t="shared" si="180"/>
        <v>Hiện</v>
      </c>
      <c r="B153" s="151" t="str">
        <f t="shared" si="192"/>
        <v>Thừa</v>
      </c>
      <c r="C153" s="151">
        <f>EW153</f>
        <v>-8</v>
      </c>
      <c r="D153" s="151"/>
      <c r="E153" s="400"/>
      <c r="F153" s="151"/>
      <c r="G153" s="151"/>
      <c r="H153" s="151"/>
      <c r="I153" s="163" t="s">
        <v>533</v>
      </c>
      <c r="J153" s="164" t="s">
        <v>237</v>
      </c>
      <c r="K153" s="247" t="s">
        <v>534</v>
      </c>
      <c r="L153" s="233" t="s">
        <v>535</v>
      </c>
      <c r="M153" s="412" t="s">
        <v>239</v>
      </c>
      <c r="N153" s="163">
        <v>0.24</v>
      </c>
      <c r="O153" s="178">
        <v>72</v>
      </c>
      <c r="P153" s="172">
        <v>17.279999999999998</v>
      </c>
      <c r="Q153" s="179"/>
      <c r="R153" s="180"/>
      <c r="S153" s="179"/>
      <c r="T153" s="180"/>
      <c r="U153" s="180"/>
      <c r="V153" s="180"/>
      <c r="W153" s="180"/>
      <c r="X153" s="180"/>
      <c r="Y153" s="180"/>
      <c r="Z153" s="180"/>
      <c r="AA153" s="180"/>
      <c r="AB153" s="180"/>
      <c r="AC153" s="180">
        <v>72</v>
      </c>
      <c r="AD153" s="180">
        <v>17.28</v>
      </c>
      <c r="AE153" s="180">
        <v>0</v>
      </c>
      <c r="AF153" s="180">
        <v>0</v>
      </c>
      <c r="AG153" s="180">
        <v>0</v>
      </c>
      <c r="AH153" s="180">
        <v>0</v>
      </c>
      <c r="AI153" s="162">
        <f>VLOOKUP(I153,'[119]MTO-rev09'!$A:$O,11,0)</f>
        <v>0</v>
      </c>
      <c r="AJ153" s="162">
        <f>VLOOKUP(I153,'[119]MTO-rev09'!$A:$O,12,0)</f>
        <v>0</v>
      </c>
      <c r="AK153" s="162">
        <v>0</v>
      </c>
      <c r="AL153" s="162">
        <v>0</v>
      </c>
      <c r="AM153" s="162"/>
      <c r="AN153" s="162"/>
      <c r="AO153" s="162">
        <v>0</v>
      </c>
      <c r="AP153" s="162">
        <v>0</v>
      </c>
      <c r="AQ153" s="162">
        <v>0</v>
      </c>
      <c r="AR153" s="162">
        <v>0</v>
      </c>
      <c r="AS153" s="162">
        <v>0</v>
      </c>
      <c r="AT153" s="162">
        <v>0</v>
      </c>
      <c r="AU153" s="162">
        <v>0</v>
      </c>
      <c r="AV153" s="162">
        <v>0</v>
      </c>
      <c r="AW153" s="162">
        <v>0</v>
      </c>
      <c r="AX153" s="162">
        <v>0</v>
      </c>
      <c r="AY153" s="162">
        <v>0</v>
      </c>
      <c r="AZ153" s="162">
        <v>0</v>
      </c>
      <c r="BA153" s="162"/>
      <c r="BB153" s="162"/>
      <c r="BC153" s="162">
        <v>0</v>
      </c>
      <c r="BD153" s="162">
        <v>0</v>
      </c>
      <c r="BE153" s="162">
        <v>0</v>
      </c>
      <c r="BF153" s="162">
        <v>0</v>
      </c>
      <c r="BG153" s="162">
        <v>0</v>
      </c>
      <c r="BH153" s="162">
        <v>0</v>
      </c>
      <c r="BI153" s="162">
        <v>0</v>
      </c>
      <c r="BJ153" s="162">
        <v>0</v>
      </c>
      <c r="BK153" s="162">
        <v>0</v>
      </c>
      <c r="BL153" s="162">
        <v>0</v>
      </c>
      <c r="BM153" s="162">
        <v>0</v>
      </c>
      <c r="BN153" s="162">
        <v>0</v>
      </c>
      <c r="BO153" s="162"/>
      <c r="BP153" s="162"/>
      <c r="BQ153" s="162">
        <v>0</v>
      </c>
      <c r="BR153" s="162">
        <v>0</v>
      </c>
      <c r="BS153" s="162">
        <v>0</v>
      </c>
      <c r="BT153" s="162">
        <v>0</v>
      </c>
      <c r="BU153" s="162">
        <v>0</v>
      </c>
      <c r="BV153" s="162">
        <v>0</v>
      </c>
      <c r="BW153" s="162"/>
      <c r="BX153" s="162"/>
      <c r="BY153" s="162">
        <v>0</v>
      </c>
      <c r="BZ153" s="162">
        <v>0</v>
      </c>
      <c r="CA153" s="162">
        <v>0</v>
      </c>
      <c r="CB153" s="162">
        <v>0</v>
      </c>
      <c r="CC153" s="162">
        <v>0</v>
      </c>
      <c r="CD153" s="162">
        <v>0</v>
      </c>
      <c r="CE153" s="162">
        <f>VLOOKUP(I153,[120]REV33!$A:$O,11,0)</f>
        <v>0</v>
      </c>
      <c r="CF153" s="162">
        <f>VLOOKUP(I153,[120]REV33!$A:$O,12,0)</f>
        <v>0</v>
      </c>
      <c r="CG153" s="162"/>
      <c r="CH153" s="162"/>
      <c r="CI153" s="162"/>
      <c r="CJ153" s="162"/>
      <c r="CK153" s="162"/>
      <c r="CL153" s="162"/>
      <c r="CM153" s="162"/>
      <c r="CN153" s="162"/>
      <c r="CO153" s="162">
        <v>0</v>
      </c>
      <c r="CP153" s="162">
        <v>0</v>
      </c>
      <c r="CQ153" s="162">
        <v>0</v>
      </c>
      <c r="CR153" s="162">
        <v>0</v>
      </c>
      <c r="CS153" s="209">
        <f>Q153+S153+U153+W153+Y153+AA153+AC153+AE153+AG153+AI153+AK153+AM153+AO153+AQ153+AS153+AU153+AW153+AY153+BA153+BC153+BE153+BG153+BI153+BK153+BM153+BO153+BQ153+BS153+BU153+BW153+BY153+CA153+CC153+CE153+CG153+CI153+CK153+CM153+CO153+CQ153</f>
        <v>72</v>
      </c>
      <c r="CT153" s="209">
        <f>R153+T153+V153+X153+Z153+AB153+AD153+AF153+AH153+AJ153+AL153+AN153+AP153+AR153+AT153+AV153+AX153+AZ153+BB153+BD153+BF153+BH153+BJ153+BL153+BN153+BP153+BR153+BT153+BV153+BX153+BZ153+CB153+CD153+CF153+CH153+CJ153+CL153+CN153+CP153+CR153</f>
        <v>17.28</v>
      </c>
      <c r="CU153" s="375" t="s">
        <v>543</v>
      </c>
      <c r="CV153" s="208"/>
      <c r="CW153" s="152"/>
      <c r="CX153" s="152"/>
      <c r="CY153" s="208"/>
      <c r="CZ153" s="208"/>
      <c r="DA153" s="152">
        <f t="shared" si="203"/>
        <v>72</v>
      </c>
      <c r="DB153" s="152">
        <f t="shared" si="204"/>
        <v>17.28</v>
      </c>
      <c r="DC153" s="153"/>
      <c r="DD153" s="153" t="s">
        <v>729</v>
      </c>
      <c r="DE153" s="153" t="s">
        <v>744</v>
      </c>
      <c r="DF153" s="376" t="s">
        <v>745</v>
      </c>
      <c r="DG153" s="368"/>
      <c r="DH153" s="181" t="s">
        <v>477</v>
      </c>
      <c r="DI153" s="153">
        <v>45869</v>
      </c>
      <c r="DJ153" s="1000">
        <v>80</v>
      </c>
      <c r="DK153" s="181" t="s">
        <v>477</v>
      </c>
      <c r="DL153" s="182">
        <f>259500</f>
        <v>259500</v>
      </c>
      <c r="DM153" s="181">
        <f>DL153*DJ153*1.08</f>
        <v>22420800</v>
      </c>
      <c r="DN153" s="446">
        <f>(DM153-DO153)/DO153</f>
        <v>0.08</v>
      </c>
      <c r="DO153" s="182">
        <f>DL153*DJ153</f>
        <v>20760000</v>
      </c>
      <c r="DP153" s="275">
        <v>45915</v>
      </c>
      <c r="DQ153" s="152">
        <f>SUMIF($I:$I,I153,$DJ:$DJ)</f>
        <v>80</v>
      </c>
      <c r="DR153" s="152">
        <f>SUMIF($I:$I,I153,$DK:$DK)</f>
        <v>0</v>
      </c>
      <c r="DS153" s="151"/>
      <c r="DT153" s="275"/>
      <c r="DU153" s="370"/>
      <c r="DV153" s="208"/>
      <c r="DW153" s="208"/>
      <c r="DX153" s="171"/>
      <c r="DY153" s="152"/>
      <c r="DZ153" s="152"/>
      <c r="EA153" s="152"/>
      <c r="EB153" s="152"/>
      <c r="EC153" s="152"/>
      <c r="ED153" s="152"/>
      <c r="EE153" s="371"/>
      <c r="EF153" s="371"/>
      <c r="EG153" s="153"/>
      <c r="EH153" s="153"/>
      <c r="EI153" s="153"/>
      <c r="EJ153" s="153"/>
      <c r="EK153" s="153"/>
      <c r="EL153" s="153"/>
      <c r="EM153" s="153"/>
      <c r="EN153" s="153"/>
      <c r="EO153" s="152">
        <f>SUMIF($I:$I,I153,$EC:$EC)</f>
        <v>0</v>
      </c>
      <c r="EP153" s="151">
        <f>SUMIF($I:$I,I153,$ED:$ED)</f>
        <v>0</v>
      </c>
      <c r="EQ153" s="153"/>
      <c r="ER153" s="153"/>
      <c r="ES153" s="153"/>
      <c r="ET153" s="153"/>
      <c r="EU153" s="152">
        <f t="shared" si="205"/>
        <v>80</v>
      </c>
      <c r="EV153" s="152">
        <f t="shared" si="206"/>
        <v>0</v>
      </c>
      <c r="EW153" s="152">
        <f t="shared" si="207"/>
        <v>-8</v>
      </c>
      <c r="EX153" s="152">
        <f t="shared" si="208"/>
        <v>17.28</v>
      </c>
      <c r="EY153" s="151" t="str">
        <f t="shared" si="209"/>
        <v>Thừa</v>
      </c>
      <c r="EZ153" s="152"/>
      <c r="FA153" s="372"/>
      <c r="FB153" s="373"/>
      <c r="FC153" s="367"/>
      <c r="FD153" s="374"/>
      <c r="FE153" s="183"/>
      <c r="FF153" s="184"/>
      <c r="FG153" s="185"/>
      <c r="FH153" s="185"/>
    </row>
    <row r="154" spans="1:164" s="157" customFormat="1" ht="14" hidden="1" customHeight="1">
      <c r="A154" s="208" t="str">
        <f t="shared" si="180"/>
        <v>Hiện</v>
      </c>
      <c r="B154" s="151" t="str">
        <f t="shared" si="192"/>
        <v>Đủ</v>
      </c>
      <c r="C154" s="151">
        <f>EW154</f>
        <v>0</v>
      </c>
      <c r="D154" s="151"/>
      <c r="E154" s="400"/>
      <c r="F154" s="399"/>
      <c r="G154" s="399"/>
      <c r="H154" s="151"/>
      <c r="I154" s="171" t="s">
        <v>536</v>
      </c>
      <c r="J154" s="164" t="s">
        <v>235</v>
      </c>
      <c r="K154" s="247" t="s">
        <v>1178</v>
      </c>
      <c r="L154" s="233" t="s">
        <v>537</v>
      </c>
      <c r="M154" s="412" t="s">
        <v>44</v>
      </c>
      <c r="N154" s="163">
        <v>47.1</v>
      </c>
      <c r="O154" s="178">
        <v>70.912951167728238</v>
      </c>
      <c r="P154" s="172">
        <v>3340</v>
      </c>
      <c r="Q154" s="161"/>
      <c r="R154" s="162"/>
      <c r="S154" s="161"/>
      <c r="T154" s="162"/>
      <c r="U154" s="162"/>
      <c r="V154" s="162"/>
      <c r="W154" s="162"/>
      <c r="X154" s="162"/>
      <c r="Y154" s="162"/>
      <c r="Z154" s="162"/>
      <c r="AA154" s="162"/>
      <c r="AB154" s="162"/>
      <c r="AC154" s="162">
        <v>81</v>
      </c>
      <c r="AD154" s="162">
        <v>3815.1</v>
      </c>
      <c r="AE154" s="162">
        <v>0</v>
      </c>
      <c r="AF154" s="162">
        <v>0</v>
      </c>
      <c r="AG154" s="162">
        <v>0</v>
      </c>
      <c r="AH154" s="162">
        <v>0</v>
      </c>
      <c r="AI154" s="162">
        <f>VLOOKUP(I154,'[119]MTO-rev09'!$A:$O,11,0)</f>
        <v>138</v>
      </c>
      <c r="AJ154" s="162">
        <f>VLOOKUP(I154,'[119]MTO-rev09'!$A:$O,12,0)</f>
        <v>6499.8</v>
      </c>
      <c r="AK154" s="162">
        <v>0</v>
      </c>
      <c r="AL154" s="162">
        <v>0</v>
      </c>
      <c r="AM154" s="162"/>
      <c r="AN154" s="162"/>
      <c r="AO154" s="162">
        <v>0</v>
      </c>
      <c r="AP154" s="162">
        <v>0</v>
      </c>
      <c r="AQ154" s="162">
        <v>0</v>
      </c>
      <c r="AR154" s="162">
        <v>0</v>
      </c>
      <c r="AS154" s="162">
        <v>0</v>
      </c>
      <c r="AT154" s="162">
        <v>0</v>
      </c>
      <c r="AU154" s="162">
        <v>0</v>
      </c>
      <c r="AV154" s="162">
        <v>0</v>
      </c>
      <c r="AW154" s="162">
        <v>0</v>
      </c>
      <c r="AX154" s="162">
        <v>0</v>
      </c>
      <c r="AY154" s="162">
        <v>0</v>
      </c>
      <c r="AZ154" s="162">
        <v>0</v>
      </c>
      <c r="BA154" s="162"/>
      <c r="BB154" s="162"/>
      <c r="BC154" s="162">
        <v>0</v>
      </c>
      <c r="BD154" s="162">
        <v>0</v>
      </c>
      <c r="BE154" s="162">
        <v>0</v>
      </c>
      <c r="BF154" s="162">
        <v>0</v>
      </c>
      <c r="BG154" s="162">
        <v>0</v>
      </c>
      <c r="BH154" s="162">
        <v>0</v>
      </c>
      <c r="BI154" s="162">
        <v>0</v>
      </c>
      <c r="BJ154" s="162">
        <v>0</v>
      </c>
      <c r="BK154" s="162">
        <v>0</v>
      </c>
      <c r="BL154" s="162">
        <v>0</v>
      </c>
      <c r="BM154" s="162">
        <v>0</v>
      </c>
      <c r="BN154" s="162">
        <v>0</v>
      </c>
      <c r="BO154" s="162"/>
      <c r="BP154" s="162"/>
      <c r="BQ154" s="162">
        <v>0</v>
      </c>
      <c r="BR154" s="162">
        <v>0</v>
      </c>
      <c r="BS154" s="162">
        <v>0</v>
      </c>
      <c r="BT154" s="162">
        <v>0</v>
      </c>
      <c r="BU154" s="162">
        <v>0</v>
      </c>
      <c r="BV154" s="162">
        <v>0</v>
      </c>
      <c r="BW154" s="162"/>
      <c r="BX154" s="162"/>
      <c r="BY154" s="162">
        <v>0</v>
      </c>
      <c r="BZ154" s="162">
        <v>0</v>
      </c>
      <c r="CA154" s="162">
        <v>0</v>
      </c>
      <c r="CB154" s="162">
        <v>0</v>
      </c>
      <c r="CC154" s="162">
        <v>0</v>
      </c>
      <c r="CD154" s="162">
        <v>0</v>
      </c>
      <c r="CE154" s="162">
        <f>VLOOKUP(I154,[120]REV33!$A:$O,11,0)</f>
        <v>0</v>
      </c>
      <c r="CF154" s="162">
        <f>VLOOKUP(I154,[120]REV33!$A:$O,12,0)</f>
        <v>0</v>
      </c>
      <c r="CG154" s="162"/>
      <c r="CH154" s="162"/>
      <c r="CI154" s="162"/>
      <c r="CJ154" s="162"/>
      <c r="CK154" s="162"/>
      <c r="CL154" s="162"/>
      <c r="CM154" s="162"/>
      <c r="CN154" s="162"/>
      <c r="CO154" s="162">
        <v>0</v>
      </c>
      <c r="CP154" s="162">
        <v>0</v>
      </c>
      <c r="CQ154" s="162">
        <v>0</v>
      </c>
      <c r="CR154" s="162">
        <v>0</v>
      </c>
      <c r="CS154" s="209">
        <f>Q154+S154+U154+W154+Y154+AA154+AC154+AE154+AG154+AI154+AK154+AM154+AO154+AQ154+AS154+AU154+AW154+AY154+BA154+BC154+BE154+BG154+BI154+BK154+BM154+BO154+BQ154+BS154+BU154+BW154+BY154+CA154+CC154+CE154+CG154+CI154+CK154+CM154+CO154+CQ154</f>
        <v>219</v>
      </c>
      <c r="CT154" s="209">
        <f>R154+T154+V154+X154+Z154+AB154+AD154+AF154+AH154+AJ154+AL154+AN154+AP154+AR154+AT154+AV154+AX154+AZ154+BB154+BD154+BF154+BH154+BJ154+BL154+BN154+BP154+BR154+BT154+BV154+BX154+BZ154+CB154+CD154+CF154+CH154+CJ154+CL154+CN154+CP154+CR154</f>
        <v>10314.9</v>
      </c>
      <c r="CU154" s="375" t="s">
        <v>734</v>
      </c>
      <c r="CV154" s="208"/>
      <c r="CW154" s="152"/>
      <c r="CX154" s="152"/>
      <c r="CY154" s="208"/>
      <c r="CZ154" s="208"/>
      <c r="DA154" s="152">
        <f t="shared" si="203"/>
        <v>219</v>
      </c>
      <c r="DB154" s="152">
        <f t="shared" si="204"/>
        <v>10314.9</v>
      </c>
      <c r="DC154" s="153"/>
      <c r="DD154" s="153"/>
      <c r="DE154" s="153"/>
      <c r="DF154" s="376"/>
      <c r="DG154" s="368"/>
      <c r="DH154" s="181"/>
      <c r="DI154" s="153"/>
      <c r="DJ154" s="1000"/>
      <c r="DK154" s="181"/>
      <c r="DL154" s="182"/>
      <c r="DM154" s="182"/>
      <c r="DN154" s="182"/>
      <c r="DO154" s="182"/>
      <c r="DP154" s="275"/>
      <c r="DQ154" s="152">
        <f>SUMIF($I:$I,I154,$DJ:$DJ)</f>
        <v>0</v>
      </c>
      <c r="DR154" s="152">
        <f>SUMIF($I:$I,I154,$DK:$DK)</f>
        <v>0</v>
      </c>
      <c r="DS154" s="151"/>
      <c r="DT154" s="275"/>
      <c r="DU154" s="370"/>
      <c r="DV154" s="208"/>
      <c r="DW154" s="208" t="s">
        <v>594</v>
      </c>
      <c r="DX154" s="171" t="s">
        <v>46</v>
      </c>
      <c r="DY154" s="152" t="s">
        <v>125</v>
      </c>
      <c r="DZ154" s="152" t="s">
        <v>743</v>
      </c>
      <c r="EA154" s="152">
        <v>3815.1</v>
      </c>
      <c r="EB154" s="153">
        <v>45863</v>
      </c>
      <c r="EC154" s="152">
        <v>81</v>
      </c>
      <c r="ED154" s="152">
        <v>3815.1</v>
      </c>
      <c r="EE154" s="371">
        <f>0.113081035655641+1.801</f>
        <v>1.914081035655641</v>
      </c>
      <c r="EF154" s="371">
        <f t="shared" ref="EF154:EF160" si="210">EE154*ED154</f>
        <v>7302.4105591298357</v>
      </c>
      <c r="EG154" s="153">
        <v>45846</v>
      </c>
      <c r="EH154" s="153"/>
      <c r="EI154" s="153"/>
      <c r="EJ154" s="153"/>
      <c r="EK154" s="153"/>
      <c r="EL154" s="153"/>
      <c r="EM154" s="153">
        <v>45869</v>
      </c>
      <c r="EN154" s="153">
        <v>45869</v>
      </c>
      <c r="EO154" s="152">
        <f>SUMIF($I:$I,I154,$EC:$EC)</f>
        <v>219</v>
      </c>
      <c r="EP154" s="151">
        <f>SUMIF($I:$I,I154,$ED:$ED)</f>
        <v>10314.900000000001</v>
      </c>
      <c r="EQ154" s="153"/>
      <c r="ER154" s="153"/>
      <c r="ES154" s="153"/>
      <c r="ET154" s="153"/>
      <c r="EU154" s="152">
        <f t="shared" si="205"/>
        <v>219</v>
      </c>
      <c r="EV154" s="152">
        <f t="shared" si="206"/>
        <v>10314.900000000001</v>
      </c>
      <c r="EW154" s="152">
        <f t="shared" si="207"/>
        <v>0</v>
      </c>
      <c r="EX154" s="152">
        <f t="shared" si="208"/>
        <v>0</v>
      </c>
      <c r="EY154" s="151" t="str">
        <f t="shared" si="209"/>
        <v>Đủ</v>
      </c>
      <c r="EZ154" s="152"/>
      <c r="FA154" s="372"/>
      <c r="FB154" s="373"/>
      <c r="FC154" s="367"/>
      <c r="FD154" s="374"/>
      <c r="FE154" s="183"/>
      <c r="FF154" s="184"/>
      <c r="FG154" s="185"/>
      <c r="FH154" s="185"/>
    </row>
    <row r="155" spans="1:164" s="157" customFormat="1" ht="14" hidden="1" customHeight="1">
      <c r="A155" s="208" t="str">
        <f t="shared" si="180"/>
        <v>ok</v>
      </c>
      <c r="B155" s="151"/>
      <c r="C155" s="151"/>
      <c r="D155" s="151"/>
      <c r="E155" s="400"/>
      <c r="F155" s="399"/>
      <c r="G155" s="399"/>
      <c r="H155" s="151"/>
      <c r="I155" s="171" t="s">
        <v>536</v>
      </c>
      <c r="J155" s="164" t="s">
        <v>235</v>
      </c>
      <c r="K155" s="247" t="s">
        <v>1178</v>
      </c>
      <c r="L155" s="233" t="s">
        <v>537</v>
      </c>
      <c r="M155" s="412" t="s">
        <v>44</v>
      </c>
      <c r="N155" s="163"/>
      <c r="O155" s="178"/>
      <c r="P155" s="172"/>
      <c r="Q155" s="161"/>
      <c r="R155" s="162"/>
      <c r="S155" s="161"/>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209"/>
      <c r="CT155" s="209"/>
      <c r="CU155" s="375"/>
      <c r="CV155" s="208"/>
      <c r="CW155" s="152"/>
      <c r="CX155" s="152"/>
      <c r="CY155" s="208"/>
      <c r="CZ155" s="208"/>
      <c r="DA155" s="152"/>
      <c r="DB155" s="152"/>
      <c r="DC155" s="153"/>
      <c r="DD155" s="153"/>
      <c r="DE155" s="153"/>
      <c r="DF155" s="376"/>
      <c r="DG155" s="368"/>
      <c r="DH155" s="181"/>
      <c r="DI155" s="153"/>
      <c r="DJ155" s="1000"/>
      <c r="DK155" s="181"/>
      <c r="DL155" s="182"/>
      <c r="DM155" s="182"/>
      <c r="DN155" s="182"/>
      <c r="DO155" s="182"/>
      <c r="DP155" s="275"/>
      <c r="DQ155" s="152"/>
      <c r="DR155" s="152"/>
      <c r="DS155" s="151"/>
      <c r="DT155" s="275"/>
      <c r="DU155" s="370"/>
      <c r="DV155" s="208"/>
      <c r="DW155" s="208" t="s">
        <v>1439</v>
      </c>
      <c r="DX155" s="171" t="s">
        <v>1438</v>
      </c>
      <c r="DY155" s="411" t="s">
        <v>1443</v>
      </c>
      <c r="DZ155" s="152" t="s">
        <v>1451</v>
      </c>
      <c r="EA155" s="152">
        <v>5934.6</v>
      </c>
      <c r="EB155" s="153">
        <v>45863</v>
      </c>
      <c r="EC155" s="152">
        <v>126</v>
      </c>
      <c r="ED155" s="152">
        <v>5934.6</v>
      </c>
      <c r="EE155" s="371">
        <f>0.180163300015134+1.801</f>
        <v>1.9811633000151339</v>
      </c>
      <c r="EF155" s="371">
        <f t="shared" si="210"/>
        <v>11757.411720269814</v>
      </c>
      <c r="EG155" s="153">
        <v>45894</v>
      </c>
      <c r="EH155" s="153"/>
      <c r="EI155" s="153">
        <v>45905</v>
      </c>
      <c r="EJ155" s="153"/>
      <c r="EK155" s="153">
        <v>45909</v>
      </c>
      <c r="EL155" s="153">
        <v>45910</v>
      </c>
      <c r="EM155" s="153">
        <v>45910</v>
      </c>
      <c r="EN155" s="153">
        <v>45910</v>
      </c>
      <c r="EO155" s="152"/>
      <c r="EP155" s="151"/>
      <c r="EQ155" s="153"/>
      <c r="ER155" s="153"/>
      <c r="ES155" s="153"/>
      <c r="ET155" s="153"/>
      <c r="EU155" s="152"/>
      <c r="EV155" s="152"/>
      <c r="EW155" s="152"/>
      <c r="EX155" s="152"/>
      <c r="EY155" s="151"/>
      <c r="EZ155" s="152"/>
      <c r="FA155" s="372"/>
      <c r="FB155" s="373"/>
      <c r="FC155" s="367"/>
      <c r="FD155" s="374"/>
      <c r="FE155" s="183"/>
      <c r="FF155" s="184"/>
      <c r="FG155" s="185"/>
      <c r="FH155" s="185"/>
    </row>
    <row r="156" spans="1:164" s="157" customFormat="1" ht="14" hidden="1" customHeight="1">
      <c r="A156" s="208" t="str">
        <f t="shared" si="180"/>
        <v>ok</v>
      </c>
      <c r="B156" s="151"/>
      <c r="C156" s="151"/>
      <c r="D156" s="151"/>
      <c r="E156" s="400"/>
      <c r="F156" s="399"/>
      <c r="G156" s="399"/>
      <c r="H156" s="151"/>
      <c r="I156" s="171" t="s">
        <v>536</v>
      </c>
      <c r="J156" s="164" t="s">
        <v>235</v>
      </c>
      <c r="K156" s="247" t="s">
        <v>1178</v>
      </c>
      <c r="L156" s="233" t="s">
        <v>537</v>
      </c>
      <c r="M156" s="412" t="s">
        <v>44</v>
      </c>
      <c r="N156" s="163"/>
      <c r="O156" s="178"/>
      <c r="P156" s="172"/>
      <c r="Q156" s="161"/>
      <c r="R156" s="162"/>
      <c r="S156" s="161"/>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209"/>
      <c r="CT156" s="209"/>
      <c r="CU156" s="375"/>
      <c r="CV156" s="208"/>
      <c r="CW156" s="152"/>
      <c r="CX156" s="152"/>
      <c r="CY156" s="208"/>
      <c r="CZ156" s="208"/>
      <c r="DA156" s="152"/>
      <c r="DB156" s="152"/>
      <c r="DC156" s="153"/>
      <c r="DD156" s="153"/>
      <c r="DE156" s="153"/>
      <c r="DF156" s="376"/>
      <c r="DG156" s="368"/>
      <c r="DH156" s="181"/>
      <c r="DI156" s="153"/>
      <c r="DJ156" s="1000"/>
      <c r="DK156" s="181"/>
      <c r="DL156" s="182"/>
      <c r="DM156" s="182"/>
      <c r="DN156" s="182"/>
      <c r="DO156" s="182"/>
      <c r="DP156" s="275"/>
      <c r="DQ156" s="152"/>
      <c r="DR156" s="152"/>
      <c r="DS156" s="151"/>
      <c r="DT156" s="275"/>
      <c r="DU156" s="370"/>
      <c r="DV156" s="208"/>
      <c r="DW156" s="208" t="s">
        <v>1439</v>
      </c>
      <c r="DX156" s="171" t="s">
        <v>1438</v>
      </c>
      <c r="DY156" s="411" t="s">
        <v>1444</v>
      </c>
      <c r="DZ156" s="152" t="s">
        <v>1451</v>
      </c>
      <c r="EA156" s="152">
        <v>565.20000000000005</v>
      </c>
      <c r="EB156" s="153">
        <v>45863</v>
      </c>
      <c r="EC156" s="152">
        <v>12</v>
      </c>
      <c r="ED156" s="152">
        <v>565.20000000000005</v>
      </c>
      <c r="EE156" s="371">
        <f>0.180163300015134+1.801</f>
        <v>1.9811633000151339</v>
      </c>
      <c r="EF156" s="371">
        <f t="shared" si="210"/>
        <v>1119.7534971685538</v>
      </c>
      <c r="EG156" s="153">
        <v>45894</v>
      </c>
      <c r="EH156" s="153"/>
      <c r="EI156" s="153">
        <v>45905</v>
      </c>
      <c r="EJ156" s="153"/>
      <c r="EK156" s="153">
        <v>45909</v>
      </c>
      <c r="EL156" s="153">
        <v>45910</v>
      </c>
      <c r="EM156" s="153">
        <v>45910</v>
      </c>
      <c r="EN156" s="153">
        <v>45910</v>
      </c>
      <c r="EO156" s="152"/>
      <c r="EP156" s="151"/>
      <c r="EQ156" s="153"/>
      <c r="ER156" s="153"/>
      <c r="ES156" s="153"/>
      <c r="ET156" s="153"/>
      <c r="EU156" s="152"/>
      <c r="EV156" s="152"/>
      <c r="EW156" s="152"/>
      <c r="EX156" s="152"/>
      <c r="EY156" s="151"/>
      <c r="EZ156" s="152"/>
      <c r="FA156" s="372"/>
      <c r="FB156" s="373"/>
      <c r="FC156" s="367"/>
      <c r="FD156" s="374"/>
      <c r="FE156" s="183"/>
      <c r="FF156" s="184"/>
      <c r="FG156" s="185"/>
      <c r="FH156" s="185"/>
    </row>
    <row r="157" spans="1:164" s="157" customFormat="1" ht="13.5" hidden="1" customHeight="1">
      <c r="A157" s="208" t="str">
        <f t="shared" si="180"/>
        <v>Hiện</v>
      </c>
      <c r="B157" s="151" t="str">
        <f t="shared" ref="B157" si="211">EY157</f>
        <v>Thừa</v>
      </c>
      <c r="C157" s="151">
        <f t="shared" ref="C157" si="212">EW157</f>
        <v>-4.0999999999999996</v>
      </c>
      <c r="D157" s="151"/>
      <c r="E157" s="400"/>
      <c r="F157" s="399"/>
      <c r="G157" s="399"/>
      <c r="H157" s="151"/>
      <c r="I157" s="171" t="s">
        <v>732</v>
      </c>
      <c r="J157" s="164" t="s">
        <v>235</v>
      </c>
      <c r="K157" s="247" t="s">
        <v>733</v>
      </c>
      <c r="L157" s="233" t="s">
        <v>537</v>
      </c>
      <c r="M157" s="412" t="s">
        <v>44</v>
      </c>
      <c r="N157" s="163">
        <f>78.5*1</f>
        <v>78.5</v>
      </c>
      <c r="O157" s="178">
        <f>+P157/N157</f>
        <v>0.94522292993630574</v>
      </c>
      <c r="P157" s="172">
        <v>74.2</v>
      </c>
      <c r="Q157" s="161"/>
      <c r="R157" s="162"/>
      <c r="S157" s="161"/>
      <c r="T157" s="162"/>
      <c r="U157" s="162"/>
      <c r="V157" s="162"/>
      <c r="W157" s="162"/>
      <c r="X157" s="162"/>
      <c r="Y157" s="162"/>
      <c r="Z157" s="162"/>
      <c r="AA157" s="162"/>
      <c r="AB157" s="162"/>
      <c r="AC157" s="162"/>
      <c r="AD157" s="162"/>
      <c r="AE157" s="162"/>
      <c r="AF157" s="162"/>
      <c r="AG157" s="162"/>
      <c r="AH157" s="162"/>
      <c r="AI157" s="162">
        <f>VLOOKUP(I157,'[119]MTO-rev09'!$A:$O,11,0)</f>
        <v>4.9000000000000004</v>
      </c>
      <c r="AJ157" s="162">
        <f>VLOOKUP(I157,'[119]MTO-rev09'!$A:$O,12,0)</f>
        <v>384.65000000000003</v>
      </c>
      <c r="AK157" s="162">
        <v>0</v>
      </c>
      <c r="AL157" s="162">
        <v>0</v>
      </c>
      <c r="AM157" s="162"/>
      <c r="AN157" s="162"/>
      <c r="AO157" s="162">
        <v>0</v>
      </c>
      <c r="AP157" s="162">
        <v>0</v>
      </c>
      <c r="AQ157" s="162">
        <v>0</v>
      </c>
      <c r="AR157" s="162">
        <v>0</v>
      </c>
      <c r="AS157" s="162">
        <v>0</v>
      </c>
      <c r="AT157" s="162">
        <v>0</v>
      </c>
      <c r="AU157" s="162">
        <v>0</v>
      </c>
      <c r="AV157" s="162">
        <v>0</v>
      </c>
      <c r="AW157" s="162">
        <v>0</v>
      </c>
      <c r="AX157" s="162">
        <v>0</v>
      </c>
      <c r="AY157" s="162">
        <v>0</v>
      </c>
      <c r="AZ157" s="162">
        <v>0</v>
      </c>
      <c r="BA157" s="162"/>
      <c r="BB157" s="162"/>
      <c r="BC157" s="162">
        <v>0</v>
      </c>
      <c r="BD157" s="162">
        <v>0</v>
      </c>
      <c r="BE157" s="162">
        <v>0</v>
      </c>
      <c r="BF157" s="162">
        <v>0</v>
      </c>
      <c r="BG157" s="162">
        <v>0</v>
      </c>
      <c r="BH157" s="162">
        <v>0</v>
      </c>
      <c r="BI157" s="162">
        <v>0</v>
      </c>
      <c r="BJ157" s="162">
        <v>0</v>
      </c>
      <c r="BK157" s="162">
        <v>0</v>
      </c>
      <c r="BL157" s="162">
        <v>0</v>
      </c>
      <c r="BM157" s="162">
        <v>0</v>
      </c>
      <c r="BN157" s="162">
        <v>0</v>
      </c>
      <c r="BO157" s="162"/>
      <c r="BP157" s="162"/>
      <c r="BQ157" s="162">
        <v>0</v>
      </c>
      <c r="BR157" s="162">
        <v>0</v>
      </c>
      <c r="BS157" s="162">
        <v>0</v>
      </c>
      <c r="BT157" s="162">
        <v>0</v>
      </c>
      <c r="BU157" s="162">
        <v>0</v>
      </c>
      <c r="BV157" s="162">
        <v>0</v>
      </c>
      <c r="BW157" s="162"/>
      <c r="BX157" s="162"/>
      <c r="BY157" s="162">
        <v>0</v>
      </c>
      <c r="BZ157" s="162">
        <v>0</v>
      </c>
      <c r="CA157" s="162">
        <v>0</v>
      </c>
      <c r="CB157" s="162">
        <v>0</v>
      </c>
      <c r="CC157" s="162">
        <v>0</v>
      </c>
      <c r="CD157" s="162">
        <v>0</v>
      </c>
      <c r="CE157" s="162">
        <f>VLOOKUP(I157,[120]REV33!$A:$O,11,0)</f>
        <v>0</v>
      </c>
      <c r="CF157" s="162">
        <f>VLOOKUP(I157,[120]REV33!$A:$O,12,0)</f>
        <v>0</v>
      </c>
      <c r="CG157" s="162"/>
      <c r="CH157" s="162"/>
      <c r="CI157" s="162"/>
      <c r="CJ157" s="162"/>
      <c r="CK157" s="162"/>
      <c r="CL157" s="162"/>
      <c r="CM157" s="162"/>
      <c r="CN157" s="162"/>
      <c r="CO157" s="162">
        <v>0</v>
      </c>
      <c r="CP157" s="162">
        <v>0</v>
      </c>
      <c r="CQ157" s="162">
        <v>0</v>
      </c>
      <c r="CR157" s="162">
        <v>0</v>
      </c>
      <c r="CS157" s="209">
        <f>Q157+S157+U157+W157+Y157+AA157+AC157+AE157+AG157+AI157+AK157+AM157+AO157+AQ157+AS157+AU157+AW157+AY157+BA157+BC157+BE157+BG157+BI157+BK157+BM157+BO157+BQ157+BS157+BU157+BW157+BY157+CA157+CC157+CE157+CG157+CI157+CK157+CM157+CO157+CQ157</f>
        <v>4.9000000000000004</v>
      </c>
      <c r="CT157" s="209">
        <f>R157+T157+V157+X157+Z157+AB157+AD157+AF157+AH157+AJ157+AL157+AN157+AP157+AR157+AT157+AV157+AX157+AZ157+BB157+BD157+BF157+BH157+BJ157+BL157+BN157+BP157+BR157+BT157+BV157+BX157+BZ157+CB157+CD157+CF157+CH157+CJ157+CL157+CN157+CP157+CR157</f>
        <v>384.65000000000003</v>
      </c>
      <c r="CU157" s="375" t="s">
        <v>735</v>
      </c>
      <c r="CV157" s="208"/>
      <c r="CW157" s="152"/>
      <c r="CX157" s="152"/>
      <c r="CY157" s="208"/>
      <c r="CZ157" s="208"/>
      <c r="DA157" s="152">
        <f t="shared" ref="DA157:DA166" si="213">IF(CS157&gt;CW157,CS157-CW157,"0")</f>
        <v>4.9000000000000004</v>
      </c>
      <c r="DB157" s="152">
        <f t="shared" ref="DB157:DB166" si="214">IF(CT157&gt;CX157,CT157-CX157,"0")</f>
        <v>384.65000000000003</v>
      </c>
      <c r="DC157" s="153"/>
      <c r="DD157" s="153"/>
      <c r="DE157" s="153"/>
      <c r="DF157" s="376"/>
      <c r="DG157" s="368"/>
      <c r="DH157" s="181"/>
      <c r="DI157" s="153"/>
      <c r="DJ157" s="1000"/>
      <c r="DK157" s="181"/>
      <c r="DL157" s="182"/>
      <c r="DM157" s="182"/>
      <c r="DN157" s="182"/>
      <c r="DO157" s="182"/>
      <c r="DP157" s="275"/>
      <c r="DQ157" s="152">
        <f>SUMIF($I:$I,I157,$DJ:$DJ)</f>
        <v>0</v>
      </c>
      <c r="DR157" s="152">
        <f>SUMIF($I:$I,I157,$DK:$DK)</f>
        <v>0</v>
      </c>
      <c r="DS157" s="151"/>
      <c r="DT157" s="275"/>
      <c r="DU157" s="370"/>
      <c r="DV157" s="208"/>
      <c r="DW157" s="208" t="s">
        <v>1439</v>
      </c>
      <c r="DX157" s="171" t="s">
        <v>1438</v>
      </c>
      <c r="DY157" s="411" t="s">
        <v>1445</v>
      </c>
      <c r="DZ157" s="152" t="s">
        <v>1451</v>
      </c>
      <c r="EA157" s="152">
        <v>706.5</v>
      </c>
      <c r="EB157" s="153">
        <v>45863</v>
      </c>
      <c r="EC157" s="152">
        <v>9</v>
      </c>
      <c r="ED157" s="152">
        <v>706.5</v>
      </c>
      <c r="EE157" s="371">
        <f>0.180163300015134+1.801</f>
        <v>1.9811633000151339</v>
      </c>
      <c r="EF157" s="371">
        <f t="shared" si="210"/>
        <v>1399.691871460692</v>
      </c>
      <c r="EG157" s="153">
        <v>45894</v>
      </c>
      <c r="EH157" s="153"/>
      <c r="EI157" s="153">
        <v>45905</v>
      </c>
      <c r="EJ157" s="153"/>
      <c r="EK157" s="153">
        <v>45909</v>
      </c>
      <c r="EL157" s="153">
        <v>45910</v>
      </c>
      <c r="EM157" s="153">
        <v>45910</v>
      </c>
      <c r="EN157" s="153">
        <v>45910</v>
      </c>
      <c r="EO157" s="152">
        <f>SUMIF($I:$I,I157,$EC:$EC)</f>
        <v>9</v>
      </c>
      <c r="EP157" s="151">
        <f>SUMIF($I:$I,I157,$ED:$ED)</f>
        <v>706.5</v>
      </c>
      <c r="EQ157" s="153"/>
      <c r="ER157" s="153"/>
      <c r="ES157" s="153"/>
      <c r="ET157" s="153"/>
      <c r="EU157" s="152">
        <f t="shared" ref="EU157:EU166" si="215">DQ157+EO157</f>
        <v>9</v>
      </c>
      <c r="EV157" s="152">
        <f t="shared" ref="EV157:EV166" si="216">DR157+EP157</f>
        <v>706.5</v>
      </c>
      <c r="EW157" s="152">
        <f t="shared" ref="EW157:EW166" si="217">DA157-EU157</f>
        <v>-4.0999999999999996</v>
      </c>
      <c r="EX157" s="152">
        <f t="shared" ref="EX157:EX166" si="218">DB157-EV157</f>
        <v>-321.84999999999997</v>
      </c>
      <c r="EY157" s="151" t="str">
        <f t="shared" ref="EY157:EY166" si="219">IF(EW157&lt;0,"Thừa",IF(EW157=0,"Đủ","Thiếu"))</f>
        <v>Thừa</v>
      </c>
      <c r="EZ157" s="152"/>
      <c r="FA157" s="372"/>
      <c r="FB157" s="373"/>
      <c r="FC157" s="367"/>
      <c r="FD157" s="374"/>
      <c r="FE157" s="183"/>
      <c r="FF157" s="184"/>
      <c r="FG157" s="185"/>
      <c r="FH157" s="185"/>
    </row>
    <row r="158" spans="1:164" s="157" customFormat="1" ht="14" hidden="1" customHeight="1">
      <c r="A158" s="208" t="str">
        <f t="shared" si="180"/>
        <v>Hiện</v>
      </c>
      <c r="B158" s="151" t="str">
        <f t="shared" ref="B158:B165" si="220">EY158</f>
        <v>Thừa</v>
      </c>
      <c r="C158" s="409">
        <f t="shared" ref="C158:C166" si="221">EW158</f>
        <v>-12</v>
      </c>
      <c r="D158" s="151"/>
      <c r="E158" s="400"/>
      <c r="F158" s="151"/>
      <c r="G158" s="151"/>
      <c r="H158" s="151"/>
      <c r="I158" s="171" t="s">
        <v>619</v>
      </c>
      <c r="J158" s="164" t="s">
        <v>397</v>
      </c>
      <c r="K158" s="247" t="s">
        <v>620</v>
      </c>
      <c r="L158" s="233" t="s">
        <v>399</v>
      </c>
      <c r="M158" s="412" t="s">
        <v>61</v>
      </c>
      <c r="N158" s="163">
        <v>25.753086419753085</v>
      </c>
      <c r="O158" s="178">
        <v>21.6</v>
      </c>
      <c r="P158" s="172">
        <v>552.20000000000005</v>
      </c>
      <c r="Q158" s="179"/>
      <c r="R158" s="180"/>
      <c r="S158" s="179"/>
      <c r="T158" s="180"/>
      <c r="U158" s="180"/>
      <c r="V158" s="180"/>
      <c r="W158" s="180"/>
      <c r="X158" s="180"/>
      <c r="Y158" s="180"/>
      <c r="Z158" s="180"/>
      <c r="AA158" s="180"/>
      <c r="AB158" s="180"/>
      <c r="AC158" s="180"/>
      <c r="AD158" s="180"/>
      <c r="AE158" s="180">
        <v>24</v>
      </c>
      <c r="AF158" s="180">
        <v>618.07407407407402</v>
      </c>
      <c r="AG158" s="180">
        <v>0</v>
      </c>
      <c r="AH158" s="180">
        <v>0</v>
      </c>
      <c r="AI158" s="162">
        <f>VLOOKUP(I158,'[119]MTO-rev09'!$A:$O,11,0)</f>
        <v>0</v>
      </c>
      <c r="AJ158" s="162">
        <f>VLOOKUP(I158,'[119]MTO-rev09'!$A:$O,12,0)</f>
        <v>0</v>
      </c>
      <c r="AK158" s="162">
        <v>0</v>
      </c>
      <c r="AL158" s="162">
        <v>0</v>
      </c>
      <c r="AM158" s="162"/>
      <c r="AN158" s="162"/>
      <c r="AO158" s="162">
        <v>0</v>
      </c>
      <c r="AP158" s="162">
        <v>0</v>
      </c>
      <c r="AQ158" s="162">
        <v>0</v>
      </c>
      <c r="AR158" s="162">
        <v>0</v>
      </c>
      <c r="AS158" s="162">
        <v>0</v>
      </c>
      <c r="AT158" s="162">
        <v>0</v>
      </c>
      <c r="AU158" s="162">
        <v>0</v>
      </c>
      <c r="AV158" s="162">
        <v>0</v>
      </c>
      <c r="AW158" s="162">
        <v>0</v>
      </c>
      <c r="AX158" s="162">
        <v>0</v>
      </c>
      <c r="AY158" s="162">
        <v>0</v>
      </c>
      <c r="AZ158" s="162">
        <v>0</v>
      </c>
      <c r="BA158" s="162"/>
      <c r="BB158" s="162"/>
      <c r="BC158" s="162">
        <v>0</v>
      </c>
      <c r="BD158" s="162">
        <v>0</v>
      </c>
      <c r="BE158" s="162">
        <v>0</v>
      </c>
      <c r="BF158" s="162">
        <v>0</v>
      </c>
      <c r="BG158" s="162">
        <v>0</v>
      </c>
      <c r="BH158" s="162">
        <v>0</v>
      </c>
      <c r="BI158" s="162">
        <v>0</v>
      </c>
      <c r="BJ158" s="162">
        <v>0</v>
      </c>
      <c r="BK158" s="162">
        <v>0</v>
      </c>
      <c r="BL158" s="162">
        <v>0</v>
      </c>
      <c r="BM158" s="162">
        <v>0</v>
      </c>
      <c r="BN158" s="162">
        <v>0</v>
      </c>
      <c r="BO158" s="162"/>
      <c r="BP158" s="162"/>
      <c r="BQ158" s="162">
        <v>0</v>
      </c>
      <c r="BR158" s="162">
        <v>0</v>
      </c>
      <c r="BS158" s="162">
        <v>0</v>
      </c>
      <c r="BT158" s="162">
        <v>0</v>
      </c>
      <c r="BU158" s="162">
        <v>0</v>
      </c>
      <c r="BV158" s="162">
        <v>0</v>
      </c>
      <c r="BW158" s="162"/>
      <c r="BX158" s="162"/>
      <c r="BY158" s="162">
        <v>0</v>
      </c>
      <c r="BZ158" s="162">
        <v>0</v>
      </c>
      <c r="CA158" s="162">
        <v>0</v>
      </c>
      <c r="CB158" s="162">
        <v>0</v>
      </c>
      <c r="CC158" s="162">
        <v>0</v>
      </c>
      <c r="CD158" s="162">
        <v>0</v>
      </c>
      <c r="CE158" s="162">
        <f>VLOOKUP(I158,[120]REV33!$A:$O,11,0)</f>
        <v>0</v>
      </c>
      <c r="CF158" s="162">
        <f>VLOOKUP(I158,[120]REV33!$A:$O,12,0)</f>
        <v>0</v>
      </c>
      <c r="CG158" s="162"/>
      <c r="CH158" s="162"/>
      <c r="CI158" s="162"/>
      <c r="CJ158" s="162"/>
      <c r="CK158" s="162"/>
      <c r="CL158" s="162"/>
      <c r="CM158" s="162"/>
      <c r="CN158" s="162"/>
      <c r="CO158" s="162">
        <v>0</v>
      </c>
      <c r="CP158" s="162">
        <v>0</v>
      </c>
      <c r="CQ158" s="162">
        <v>0</v>
      </c>
      <c r="CR158" s="162">
        <v>0</v>
      </c>
      <c r="CS158" s="209">
        <f>Q158+S158+U158+W158+Y158+AA158+AC158+AE158+AG158+AI158+AK158+AM158+AO158+AQ158+AS158+AU158+AW158+AY158+BA158+BC158+BE158+BG158+BI158+BK158+BM158+BO158+BQ158+BS158+BU158+BW158+BY158+CA158+CC158+CE158+CG158+CI158+CK158+CM158+CO158+CQ158</f>
        <v>24</v>
      </c>
      <c r="CT158" s="209">
        <f>R158+T158+V158+X158+Z158+AB158+AD158+AF158+AH158+AJ158+AL158+AN158+AP158+AR158+AT158+AV158+AX158+AZ158+BB158+BD158+BF158+BH158+BJ158+BL158+BN158+BP158+BR158+BT158+BV158+BX158+BZ158+CB158+CD158+CF158+CH158+CJ158+CL158+CN158+CP158+CR158</f>
        <v>618.07407407407402</v>
      </c>
      <c r="CU158" s="375" t="s">
        <v>654</v>
      </c>
      <c r="CV158" s="208"/>
      <c r="CW158" s="152"/>
      <c r="CX158" s="152"/>
      <c r="CY158" s="208"/>
      <c r="CZ158" s="208"/>
      <c r="DA158" s="152">
        <f t="shared" si="213"/>
        <v>24</v>
      </c>
      <c r="DB158" s="152">
        <f t="shared" si="214"/>
        <v>618.07407407407402</v>
      </c>
      <c r="DC158" s="153"/>
      <c r="DD158" s="153" t="s">
        <v>730</v>
      </c>
      <c r="DE158" s="153" t="s">
        <v>467</v>
      </c>
      <c r="DF158" s="247" t="s">
        <v>620</v>
      </c>
      <c r="DG158" s="368"/>
      <c r="DH158" s="214">
        <v>324</v>
      </c>
      <c r="DI158" s="153">
        <v>45868</v>
      </c>
      <c r="DJ158" s="1004">
        <v>12</v>
      </c>
      <c r="DK158" s="241">
        <v>324</v>
      </c>
      <c r="DL158" s="182">
        <f>18500/1.1</f>
        <v>16818.181818181816</v>
      </c>
      <c r="DM158" s="181">
        <f>DL158*1.1*DK158</f>
        <v>5994000</v>
      </c>
      <c r="DN158" s="446">
        <f>(DM158-DO158)/DO158</f>
        <v>0.10000000000000017</v>
      </c>
      <c r="DO158" s="182">
        <f>DL158 *DK158</f>
        <v>5449090.9090909082</v>
      </c>
      <c r="DP158" s="275">
        <v>45869</v>
      </c>
      <c r="DQ158" s="152">
        <f>SUMIF($I:$I,I158,$DJ:$DJ)</f>
        <v>12</v>
      </c>
      <c r="DR158" s="152">
        <f>SUMIF($I:$I,I158,$DK:$DK)</f>
        <v>324</v>
      </c>
      <c r="DS158" s="151"/>
      <c r="DT158" s="275"/>
      <c r="DU158" s="370"/>
      <c r="DV158" s="208"/>
      <c r="DW158" s="208" t="s">
        <v>1439</v>
      </c>
      <c r="DX158" s="171" t="s">
        <v>1438</v>
      </c>
      <c r="DY158" s="411" t="s">
        <v>1446</v>
      </c>
      <c r="DZ158" s="152" t="s">
        <v>1450</v>
      </c>
      <c r="EA158" s="152">
        <v>617.20000000000005</v>
      </c>
      <c r="EB158" s="153">
        <v>45863</v>
      </c>
      <c r="EC158" s="152">
        <v>24</v>
      </c>
      <c r="ED158" s="152">
        <v>617.20000000000005</v>
      </c>
      <c r="EE158" s="396">
        <f>0.180163300015134+1.198</f>
        <v>1.3781633000151339</v>
      </c>
      <c r="EF158" s="371">
        <f t="shared" si="210"/>
        <v>850.60238876934068</v>
      </c>
      <c r="EG158" s="153">
        <v>45894</v>
      </c>
      <c r="EH158" s="153"/>
      <c r="EI158" s="153">
        <v>45905</v>
      </c>
      <c r="EJ158" s="153"/>
      <c r="EK158" s="153">
        <v>45909</v>
      </c>
      <c r="EL158" s="153">
        <v>45910</v>
      </c>
      <c r="EM158" s="153">
        <v>45910</v>
      </c>
      <c r="EN158" s="153">
        <v>45910</v>
      </c>
      <c r="EO158" s="152">
        <f>SUMIF($I:$I,I158,$EC:$EC)</f>
        <v>24</v>
      </c>
      <c r="EP158" s="151">
        <f>SUMIF($I:$I,I158,$ED:$ED)</f>
        <v>617.20000000000005</v>
      </c>
      <c r="EQ158" s="153"/>
      <c r="ER158" s="153"/>
      <c r="ES158" s="153"/>
      <c r="ET158" s="153"/>
      <c r="EU158" s="152">
        <f t="shared" si="215"/>
        <v>36</v>
      </c>
      <c r="EV158" s="152">
        <f t="shared" si="216"/>
        <v>941.2</v>
      </c>
      <c r="EW158" s="152">
        <f t="shared" si="217"/>
        <v>-12</v>
      </c>
      <c r="EX158" s="152">
        <f t="shared" si="218"/>
        <v>-323.12592592592603</v>
      </c>
      <c r="EY158" s="151" t="str">
        <f t="shared" si="219"/>
        <v>Thừa</v>
      </c>
      <c r="EZ158" s="152"/>
      <c r="FA158" s="372"/>
      <c r="FB158" s="373"/>
      <c r="FC158" s="367"/>
      <c r="FD158" s="374"/>
      <c r="FE158" s="183"/>
      <c r="FF158" s="184"/>
      <c r="FG158" s="185"/>
      <c r="FH158" s="185"/>
    </row>
    <row r="159" spans="1:164" s="157" customFormat="1" ht="14" hidden="1" customHeight="1">
      <c r="A159" s="208" t="str">
        <f t="shared" si="180"/>
        <v>Hiện</v>
      </c>
      <c r="B159" s="151" t="str">
        <f t="shared" si="220"/>
        <v>Đủ</v>
      </c>
      <c r="C159" s="409">
        <f t="shared" si="221"/>
        <v>0</v>
      </c>
      <c r="D159" s="151"/>
      <c r="E159" s="400"/>
      <c r="F159" s="151"/>
      <c r="G159" s="151"/>
      <c r="H159" s="151"/>
      <c r="I159" s="171" t="s">
        <v>621</v>
      </c>
      <c r="J159" s="164" t="s">
        <v>397</v>
      </c>
      <c r="K159" s="247" t="s">
        <v>622</v>
      </c>
      <c r="L159" s="233" t="s">
        <v>399</v>
      </c>
      <c r="M159" s="412" t="s">
        <v>61</v>
      </c>
      <c r="N159" s="163">
        <v>1.5600000000000005</v>
      </c>
      <c r="O159" s="178">
        <v>88.960000000000008</v>
      </c>
      <c r="P159" s="172">
        <v>77.400000000000006</v>
      </c>
      <c r="Q159" s="179"/>
      <c r="R159" s="180"/>
      <c r="S159" s="179"/>
      <c r="T159" s="180"/>
      <c r="U159" s="180"/>
      <c r="V159" s="180"/>
      <c r="W159" s="180"/>
      <c r="X159" s="180"/>
      <c r="Y159" s="180"/>
      <c r="Z159" s="180"/>
      <c r="AA159" s="180"/>
      <c r="AB159" s="180"/>
      <c r="AC159" s="180"/>
      <c r="AD159" s="180"/>
      <c r="AE159" s="180">
        <v>96</v>
      </c>
      <c r="AF159" s="180">
        <v>149.76000000000005</v>
      </c>
      <c r="AG159" s="180">
        <v>0</v>
      </c>
      <c r="AH159" s="180">
        <v>0</v>
      </c>
      <c r="AI159" s="162">
        <f>VLOOKUP(I159,'[119]MTO-rev09'!$A:$O,11,0)</f>
        <v>0</v>
      </c>
      <c r="AJ159" s="162">
        <f>VLOOKUP(I159,'[119]MTO-rev09'!$A:$O,12,0)</f>
        <v>0</v>
      </c>
      <c r="AK159" s="162">
        <v>0</v>
      </c>
      <c r="AL159" s="162">
        <v>0</v>
      </c>
      <c r="AM159" s="162"/>
      <c r="AN159" s="162"/>
      <c r="AO159" s="162">
        <v>0</v>
      </c>
      <c r="AP159" s="162">
        <v>0</v>
      </c>
      <c r="AQ159" s="162">
        <v>0</v>
      </c>
      <c r="AR159" s="162">
        <v>0</v>
      </c>
      <c r="AS159" s="162">
        <v>0</v>
      </c>
      <c r="AT159" s="162">
        <v>0</v>
      </c>
      <c r="AU159" s="162">
        <v>0</v>
      </c>
      <c r="AV159" s="162">
        <v>0</v>
      </c>
      <c r="AW159" s="162">
        <v>0</v>
      </c>
      <c r="AX159" s="162">
        <v>0</v>
      </c>
      <c r="AY159" s="162">
        <v>0</v>
      </c>
      <c r="AZ159" s="162">
        <v>0</v>
      </c>
      <c r="BA159" s="162"/>
      <c r="BB159" s="162"/>
      <c r="BC159" s="162">
        <v>0</v>
      </c>
      <c r="BD159" s="162">
        <v>0</v>
      </c>
      <c r="BE159" s="162">
        <v>0</v>
      </c>
      <c r="BF159" s="162">
        <v>0</v>
      </c>
      <c r="BG159" s="162">
        <v>0</v>
      </c>
      <c r="BH159" s="162">
        <v>0</v>
      </c>
      <c r="BI159" s="162">
        <v>0</v>
      </c>
      <c r="BJ159" s="162">
        <v>0</v>
      </c>
      <c r="BK159" s="162">
        <v>0</v>
      </c>
      <c r="BL159" s="162">
        <v>0</v>
      </c>
      <c r="BM159" s="162">
        <v>0</v>
      </c>
      <c r="BN159" s="162">
        <v>0</v>
      </c>
      <c r="BO159" s="162"/>
      <c r="BP159" s="162"/>
      <c r="BQ159" s="162">
        <v>0</v>
      </c>
      <c r="BR159" s="162">
        <v>0</v>
      </c>
      <c r="BS159" s="162">
        <v>0</v>
      </c>
      <c r="BT159" s="162">
        <v>0</v>
      </c>
      <c r="BU159" s="162">
        <v>0</v>
      </c>
      <c r="BV159" s="162">
        <v>0</v>
      </c>
      <c r="BW159" s="162"/>
      <c r="BX159" s="162"/>
      <c r="BY159" s="162">
        <v>0</v>
      </c>
      <c r="BZ159" s="162">
        <v>0</v>
      </c>
      <c r="CA159" s="162">
        <v>0</v>
      </c>
      <c r="CB159" s="162">
        <v>0</v>
      </c>
      <c r="CC159" s="162">
        <v>0</v>
      </c>
      <c r="CD159" s="162">
        <v>0</v>
      </c>
      <c r="CE159" s="162">
        <f>VLOOKUP(I159,[120]REV33!$A:$O,11,0)</f>
        <v>0</v>
      </c>
      <c r="CF159" s="162">
        <f>VLOOKUP(I159,[120]REV33!$A:$O,12,0)</f>
        <v>0</v>
      </c>
      <c r="CG159" s="162"/>
      <c r="CH159" s="162"/>
      <c r="CI159" s="162"/>
      <c r="CJ159" s="162"/>
      <c r="CK159" s="162"/>
      <c r="CL159" s="162"/>
      <c r="CM159" s="162"/>
      <c r="CN159" s="162"/>
      <c r="CO159" s="162">
        <v>0</v>
      </c>
      <c r="CP159" s="162">
        <v>0</v>
      </c>
      <c r="CQ159" s="162">
        <v>0</v>
      </c>
      <c r="CR159" s="162">
        <v>0</v>
      </c>
      <c r="CS159" s="209">
        <f>Q159+S159+U159+W159+Y159+AA159+AC159+AE159+AG159+AI159+AK159+AM159+AO159+AQ159+AS159+AU159+AW159+AY159+BA159+BC159+BE159+BG159+BI159+BK159+BM159+BO159+BQ159+BS159+BU159+BW159+BY159+CA159+CC159+CE159+CG159+CI159+CK159+CM159+CO159+CQ159</f>
        <v>96</v>
      </c>
      <c r="CT159" s="209">
        <f>R159+T159+V159+X159+Z159+AB159+AD159+AF159+AH159+AJ159+AL159+AN159+AP159+AR159+AT159+AV159+AX159+AZ159+BB159+BD159+BF159+BH159+BJ159+BL159+BN159+BP159+BR159+BT159+BV159+BX159+BZ159+CB159+CD159+CF159+CH159+CJ159+CL159+CN159+CP159+CR159</f>
        <v>149.76000000000005</v>
      </c>
      <c r="CU159" s="375" t="s">
        <v>654</v>
      </c>
      <c r="CV159" s="208"/>
      <c r="CW159" s="152"/>
      <c r="CX159" s="152"/>
      <c r="CY159" s="208"/>
      <c r="CZ159" s="208"/>
      <c r="DA159" s="152">
        <f t="shared" si="213"/>
        <v>96</v>
      </c>
      <c r="DB159" s="152">
        <f t="shared" si="214"/>
        <v>149.76000000000005</v>
      </c>
      <c r="DC159" s="153"/>
      <c r="DD159" s="153"/>
      <c r="DE159" s="153"/>
      <c r="DF159" s="376"/>
      <c r="DG159" s="368"/>
      <c r="DH159" s="181"/>
      <c r="DI159" s="153"/>
      <c r="DJ159" s="1000"/>
      <c r="DK159" s="181"/>
      <c r="DL159" s="182"/>
      <c r="DM159" s="182"/>
      <c r="DN159" s="182"/>
      <c r="DO159" s="182"/>
      <c r="DP159" s="275"/>
      <c r="DQ159" s="152">
        <f>SUMIF($I:$I,I159,$DJ:$DJ)</f>
        <v>0</v>
      </c>
      <c r="DR159" s="152">
        <f>SUMIF($I:$I,I159,$DK:$DK)</f>
        <v>0</v>
      </c>
      <c r="DS159" s="151"/>
      <c r="DT159" s="275"/>
      <c r="DU159" s="370"/>
      <c r="DV159" s="208"/>
      <c r="DW159" s="208" t="s">
        <v>1439</v>
      </c>
      <c r="DX159" s="171" t="s">
        <v>1438</v>
      </c>
      <c r="DY159" s="411" t="s">
        <v>1447</v>
      </c>
      <c r="DZ159" s="152" t="s">
        <v>1450</v>
      </c>
      <c r="EA159" s="152">
        <v>148.80000000000001</v>
      </c>
      <c r="EB159" s="153">
        <v>45863</v>
      </c>
      <c r="EC159" s="152">
        <v>96</v>
      </c>
      <c r="ED159" s="152">
        <v>148.80000000000001</v>
      </c>
      <c r="EE159" s="396">
        <f>0.180163300015134+1.198</f>
        <v>1.3781633000151339</v>
      </c>
      <c r="EF159" s="371">
        <f t="shared" si="210"/>
        <v>205.07069904225193</v>
      </c>
      <c r="EG159" s="153">
        <v>45894</v>
      </c>
      <c r="EH159" s="153"/>
      <c r="EI159" s="153">
        <v>45905</v>
      </c>
      <c r="EJ159" s="153"/>
      <c r="EK159" s="153">
        <v>45909</v>
      </c>
      <c r="EL159" s="153">
        <v>45910</v>
      </c>
      <c r="EM159" s="153">
        <v>45910</v>
      </c>
      <c r="EN159" s="153">
        <v>45910</v>
      </c>
      <c r="EO159" s="152">
        <f>SUMIF($I:$I,I159,$EC:$EC)</f>
        <v>96</v>
      </c>
      <c r="EP159" s="151">
        <f>SUMIF($I:$I,I159,$ED:$ED)</f>
        <v>148.80000000000001</v>
      </c>
      <c r="EQ159" s="153"/>
      <c r="ER159" s="153"/>
      <c r="ES159" s="153"/>
      <c r="ET159" s="153"/>
      <c r="EU159" s="152">
        <f t="shared" si="215"/>
        <v>96</v>
      </c>
      <c r="EV159" s="152">
        <f t="shared" si="216"/>
        <v>148.80000000000001</v>
      </c>
      <c r="EW159" s="152">
        <f t="shared" si="217"/>
        <v>0</v>
      </c>
      <c r="EX159" s="152">
        <f t="shared" si="218"/>
        <v>0.96000000000003638</v>
      </c>
      <c r="EY159" s="151" t="str">
        <f t="shared" si="219"/>
        <v>Đủ</v>
      </c>
      <c r="EZ159" s="152"/>
      <c r="FA159" s="372"/>
      <c r="FB159" s="373"/>
      <c r="FC159" s="367"/>
      <c r="FD159" s="374"/>
      <c r="FE159" s="183"/>
      <c r="FF159" s="184"/>
      <c r="FG159" s="185"/>
      <c r="FH159" s="185"/>
    </row>
    <row r="160" spans="1:164" s="157" customFormat="1" ht="14" hidden="1" customHeight="1">
      <c r="A160" s="208" t="str">
        <f t="shared" si="180"/>
        <v>Hiện</v>
      </c>
      <c r="B160" s="151" t="str">
        <f t="shared" si="220"/>
        <v>Thừa</v>
      </c>
      <c r="C160" s="409">
        <f t="shared" si="221"/>
        <v>-14.5</v>
      </c>
      <c r="D160" s="151"/>
      <c r="E160" s="400"/>
      <c r="F160" s="151"/>
      <c r="G160" s="151"/>
      <c r="H160" s="151"/>
      <c r="I160" s="171" t="s">
        <v>623</v>
      </c>
      <c r="J160" s="164" t="s">
        <v>397</v>
      </c>
      <c r="K160" s="247" t="s">
        <v>624</v>
      </c>
      <c r="L160" s="233" t="s">
        <v>402</v>
      </c>
      <c r="M160" s="412" t="s">
        <v>61</v>
      </c>
      <c r="N160" s="163">
        <v>28</v>
      </c>
      <c r="O160" s="178">
        <v>26.200000000000003</v>
      </c>
      <c r="P160" s="172">
        <v>728.40000000000009</v>
      </c>
      <c r="Q160" s="179"/>
      <c r="R160" s="180"/>
      <c r="S160" s="179"/>
      <c r="T160" s="180"/>
      <c r="U160" s="180"/>
      <c r="V160" s="180"/>
      <c r="W160" s="180"/>
      <c r="X160" s="180"/>
      <c r="Y160" s="180"/>
      <c r="Z160" s="180"/>
      <c r="AA160" s="180"/>
      <c r="AB160" s="180"/>
      <c r="AC160" s="180"/>
      <c r="AD160" s="180"/>
      <c r="AE160" s="180">
        <v>27</v>
      </c>
      <c r="AF160" s="180">
        <v>756</v>
      </c>
      <c r="AG160" s="180">
        <v>0</v>
      </c>
      <c r="AH160" s="180">
        <v>0</v>
      </c>
      <c r="AI160" s="162">
        <f>VLOOKUP(I160,'[119]MTO-rev09'!$A:$O,11,0)</f>
        <v>0</v>
      </c>
      <c r="AJ160" s="162">
        <f>VLOOKUP(I160,'[119]MTO-rev09'!$A:$O,12,0)</f>
        <v>0</v>
      </c>
      <c r="AK160" s="162">
        <v>0</v>
      </c>
      <c r="AL160" s="162">
        <v>0</v>
      </c>
      <c r="AM160" s="162"/>
      <c r="AN160" s="162"/>
      <c r="AO160" s="162">
        <v>0</v>
      </c>
      <c r="AP160" s="162">
        <v>0</v>
      </c>
      <c r="AQ160" s="162">
        <v>0</v>
      </c>
      <c r="AR160" s="162">
        <v>0</v>
      </c>
      <c r="AS160" s="162">
        <v>0</v>
      </c>
      <c r="AT160" s="162">
        <v>0</v>
      </c>
      <c r="AU160" s="162">
        <v>0</v>
      </c>
      <c r="AV160" s="162">
        <v>0</v>
      </c>
      <c r="AW160" s="162">
        <v>0</v>
      </c>
      <c r="AX160" s="162">
        <v>0</v>
      </c>
      <c r="AY160" s="162">
        <v>0</v>
      </c>
      <c r="AZ160" s="162">
        <v>0</v>
      </c>
      <c r="BA160" s="162"/>
      <c r="BB160" s="162"/>
      <c r="BC160" s="162">
        <v>0</v>
      </c>
      <c r="BD160" s="162">
        <v>0</v>
      </c>
      <c r="BE160" s="162">
        <v>0</v>
      </c>
      <c r="BF160" s="162">
        <v>0</v>
      </c>
      <c r="BG160" s="162">
        <v>0</v>
      </c>
      <c r="BH160" s="162">
        <v>0</v>
      </c>
      <c r="BI160" s="162">
        <v>0</v>
      </c>
      <c r="BJ160" s="162">
        <v>0</v>
      </c>
      <c r="BK160" s="162">
        <v>0</v>
      </c>
      <c r="BL160" s="162">
        <v>0</v>
      </c>
      <c r="BM160" s="162">
        <v>0</v>
      </c>
      <c r="BN160" s="162">
        <v>0</v>
      </c>
      <c r="BO160" s="162"/>
      <c r="BP160" s="162"/>
      <c r="BQ160" s="162">
        <v>0</v>
      </c>
      <c r="BR160" s="162">
        <v>0</v>
      </c>
      <c r="BS160" s="162">
        <v>0</v>
      </c>
      <c r="BT160" s="162">
        <v>0</v>
      </c>
      <c r="BU160" s="162">
        <v>0</v>
      </c>
      <c r="BV160" s="162">
        <v>0</v>
      </c>
      <c r="BW160" s="162"/>
      <c r="BX160" s="162"/>
      <c r="BY160" s="162">
        <v>0</v>
      </c>
      <c r="BZ160" s="162">
        <v>0</v>
      </c>
      <c r="CA160" s="162">
        <v>0</v>
      </c>
      <c r="CB160" s="162">
        <v>0</v>
      </c>
      <c r="CC160" s="162">
        <v>0</v>
      </c>
      <c r="CD160" s="162">
        <v>0</v>
      </c>
      <c r="CE160" s="162">
        <f>VLOOKUP(I160,[120]REV33!$A:$O,11,0)</f>
        <v>0</v>
      </c>
      <c r="CF160" s="162">
        <f>VLOOKUP(I160,[120]REV33!$A:$O,12,0)</f>
        <v>0</v>
      </c>
      <c r="CG160" s="162"/>
      <c r="CH160" s="162"/>
      <c r="CI160" s="162"/>
      <c r="CJ160" s="162"/>
      <c r="CK160" s="162"/>
      <c r="CL160" s="162"/>
      <c r="CM160" s="162"/>
      <c r="CN160" s="162"/>
      <c r="CO160" s="162">
        <v>0</v>
      </c>
      <c r="CP160" s="162">
        <v>0</v>
      </c>
      <c r="CQ160" s="162">
        <v>0</v>
      </c>
      <c r="CR160" s="162">
        <v>0</v>
      </c>
      <c r="CS160" s="209">
        <f>Q160+S160+U160+W160+Y160+AA160+AC160+AE160+AG160+AI160+AK160+AM160+AO160+AQ160+AS160+AU160+AW160+AY160+BA160+BC160+BE160+BG160+BI160+BK160+BM160+BO160+BQ160+BS160+BU160+BW160+BY160+CA160+CC160+CE160+CG160+CI160+CK160+CM160+CO160+CQ160</f>
        <v>27</v>
      </c>
      <c r="CT160" s="209">
        <f>R160+T160+V160+X160+Z160+AB160+AD160+AF160+AH160+AJ160+AL160+AN160+AP160+AR160+AT160+AV160+AX160+AZ160+BB160+BD160+BF160+BH160+BJ160+BL160+BN160+BP160+BR160+BT160+BV160+BX160+BZ160+CB160+CD160+CF160+CH160+CJ160+CL160+CN160+CP160+CR160</f>
        <v>756</v>
      </c>
      <c r="CU160" s="375" t="s">
        <v>654</v>
      </c>
      <c r="CV160" s="208"/>
      <c r="CW160" s="152"/>
      <c r="CX160" s="152"/>
      <c r="CY160" s="208"/>
      <c r="CZ160" s="208"/>
      <c r="DA160" s="152">
        <f t="shared" si="213"/>
        <v>27</v>
      </c>
      <c r="DB160" s="152">
        <f t="shared" si="214"/>
        <v>756</v>
      </c>
      <c r="DC160" s="153"/>
      <c r="DD160" s="153" t="s">
        <v>730</v>
      </c>
      <c r="DE160" s="153" t="s">
        <v>467</v>
      </c>
      <c r="DF160" s="247" t="s">
        <v>624</v>
      </c>
      <c r="DG160" s="368"/>
      <c r="DH160" s="181">
        <v>182</v>
      </c>
      <c r="DI160" s="153">
        <v>45868</v>
      </c>
      <c r="DJ160" s="1000">
        <v>5.5</v>
      </c>
      <c r="DK160" s="181">
        <v>182</v>
      </c>
      <c r="DL160" s="182">
        <f>18500/1.1</f>
        <v>16818.181818181816</v>
      </c>
      <c r="DM160" s="181">
        <f>DL160*1.1*DK160</f>
        <v>3367000</v>
      </c>
      <c r="DN160" s="446">
        <f>(DM160-DO160)/DO160</f>
        <v>0.1000000000000002</v>
      </c>
      <c r="DO160" s="182">
        <f>DL160 *DK160</f>
        <v>3060909.0909090904</v>
      </c>
      <c r="DP160" s="275">
        <v>45869</v>
      </c>
      <c r="DQ160" s="152">
        <f>SUMIF($I:$I,I160,$DJ:$DJ)</f>
        <v>5.5</v>
      </c>
      <c r="DR160" s="152">
        <f>SUMIF($I:$I,I160,$DK:$DK)</f>
        <v>182</v>
      </c>
      <c r="DS160" s="151"/>
      <c r="DT160" s="275"/>
      <c r="DU160" s="370"/>
      <c r="DV160" s="208"/>
      <c r="DW160" s="208" t="s">
        <v>1439</v>
      </c>
      <c r="DX160" s="171" t="s">
        <v>1438</v>
      </c>
      <c r="DY160" s="411" t="s">
        <v>1448</v>
      </c>
      <c r="DZ160" s="152" t="s">
        <v>1450</v>
      </c>
      <c r="EA160" s="152">
        <v>1006.8</v>
      </c>
      <c r="EB160" s="153">
        <v>45863</v>
      </c>
      <c r="EC160" s="152">
        <v>36</v>
      </c>
      <c r="ED160" s="152">
        <v>1006.8</v>
      </c>
      <c r="EE160" s="396">
        <f>0.180163300015134+1.198</f>
        <v>1.3781633000151339</v>
      </c>
      <c r="EF160" s="371">
        <f t="shared" si="210"/>
        <v>1387.5348104552368</v>
      </c>
      <c r="EG160" s="153">
        <v>45894</v>
      </c>
      <c r="EH160" s="153"/>
      <c r="EI160" s="153">
        <v>45905</v>
      </c>
      <c r="EJ160" s="153"/>
      <c r="EK160" s="153">
        <v>45909</v>
      </c>
      <c r="EL160" s="153">
        <v>45910</v>
      </c>
      <c r="EM160" s="153">
        <v>45910</v>
      </c>
      <c r="EN160" s="153">
        <v>45910</v>
      </c>
      <c r="EO160" s="152">
        <f>SUMIF($I:$I,I160,$EC:$EC)</f>
        <v>36</v>
      </c>
      <c r="EP160" s="151">
        <f>SUMIF($I:$I,I160,$ED:$ED)</f>
        <v>1006.8</v>
      </c>
      <c r="EQ160" s="153"/>
      <c r="ER160" s="153"/>
      <c r="ES160" s="153"/>
      <c r="ET160" s="153"/>
      <c r="EU160" s="152">
        <f t="shared" si="215"/>
        <v>41.5</v>
      </c>
      <c r="EV160" s="152">
        <f t="shared" si="216"/>
        <v>1188.8</v>
      </c>
      <c r="EW160" s="152">
        <f t="shared" si="217"/>
        <v>-14.5</v>
      </c>
      <c r="EX160" s="152">
        <f t="shared" si="218"/>
        <v>-432.79999999999995</v>
      </c>
      <c r="EY160" s="151" t="str">
        <f t="shared" si="219"/>
        <v>Thừa</v>
      </c>
      <c r="EZ160" s="152"/>
      <c r="FA160" s="372"/>
      <c r="FB160" s="373"/>
      <c r="FC160" s="367"/>
      <c r="FD160" s="374"/>
      <c r="FE160" s="183"/>
      <c r="FF160" s="184"/>
      <c r="FG160" s="185"/>
      <c r="FH160" s="185"/>
    </row>
    <row r="161" spans="1:164" s="157" customFormat="1" ht="14" hidden="1" customHeight="1">
      <c r="A161" s="208" t="str">
        <f t="shared" si="180"/>
        <v>Hiện</v>
      </c>
      <c r="B161" s="151" t="str">
        <f t="shared" si="220"/>
        <v>Đủ</v>
      </c>
      <c r="C161" s="409">
        <f t="shared" si="221"/>
        <v>0</v>
      </c>
      <c r="D161" s="151"/>
      <c r="E161" s="400"/>
      <c r="F161" s="151"/>
      <c r="G161" s="151"/>
      <c r="H161" s="151"/>
      <c r="I161" s="171" t="s">
        <v>625</v>
      </c>
      <c r="J161" s="164" t="s">
        <v>412</v>
      </c>
      <c r="K161" s="247" t="s">
        <v>626</v>
      </c>
      <c r="L161" s="233" t="s">
        <v>399</v>
      </c>
      <c r="M161" s="412" t="s">
        <v>61</v>
      </c>
      <c r="N161" s="163">
        <v>5.5555555555555552E-2</v>
      </c>
      <c r="O161" s="178">
        <v>54.2</v>
      </c>
      <c r="P161" s="172">
        <v>0</v>
      </c>
      <c r="Q161" s="179"/>
      <c r="R161" s="180"/>
      <c r="S161" s="179"/>
      <c r="T161" s="180"/>
      <c r="U161" s="180"/>
      <c r="V161" s="180"/>
      <c r="W161" s="180"/>
      <c r="X161" s="180"/>
      <c r="Y161" s="180"/>
      <c r="Z161" s="180"/>
      <c r="AA161" s="180"/>
      <c r="AB161" s="180"/>
      <c r="AC161" s="180"/>
      <c r="AD161" s="180"/>
      <c r="AE161" s="180">
        <v>60</v>
      </c>
      <c r="AF161" s="180">
        <v>3.333333333333333</v>
      </c>
      <c r="AG161" s="180">
        <v>0</v>
      </c>
      <c r="AH161" s="180">
        <v>0</v>
      </c>
      <c r="AI161" s="162">
        <f>VLOOKUP(I161,'[119]MTO-rev09'!$A:$O,11,0)</f>
        <v>0</v>
      </c>
      <c r="AJ161" s="162">
        <f>VLOOKUP(I161,'[119]MTO-rev09'!$A:$O,12,0)</f>
        <v>0</v>
      </c>
      <c r="AK161" s="162">
        <v>0</v>
      </c>
      <c r="AL161" s="162">
        <v>0</v>
      </c>
      <c r="AM161" s="162"/>
      <c r="AN161" s="162"/>
      <c r="AO161" s="162">
        <v>0</v>
      </c>
      <c r="AP161" s="162">
        <v>0</v>
      </c>
      <c r="AQ161" s="162">
        <v>0</v>
      </c>
      <c r="AR161" s="162">
        <v>0</v>
      </c>
      <c r="AS161" s="162">
        <v>0</v>
      </c>
      <c r="AT161" s="162">
        <v>0</v>
      </c>
      <c r="AU161" s="162">
        <v>0</v>
      </c>
      <c r="AV161" s="162">
        <v>0</v>
      </c>
      <c r="AW161" s="162">
        <v>0</v>
      </c>
      <c r="AX161" s="162">
        <v>0</v>
      </c>
      <c r="AY161" s="162">
        <v>0</v>
      </c>
      <c r="AZ161" s="162">
        <v>0</v>
      </c>
      <c r="BA161" s="162"/>
      <c r="BB161" s="162"/>
      <c r="BC161" s="162">
        <v>0</v>
      </c>
      <c r="BD161" s="162">
        <v>0</v>
      </c>
      <c r="BE161" s="162">
        <v>0</v>
      </c>
      <c r="BF161" s="162">
        <v>0</v>
      </c>
      <c r="BG161" s="162">
        <v>0</v>
      </c>
      <c r="BH161" s="162">
        <v>0</v>
      </c>
      <c r="BI161" s="162">
        <v>0</v>
      </c>
      <c r="BJ161" s="162">
        <v>0</v>
      </c>
      <c r="BK161" s="162">
        <v>0</v>
      </c>
      <c r="BL161" s="162">
        <v>0</v>
      </c>
      <c r="BM161" s="162">
        <v>0</v>
      </c>
      <c r="BN161" s="162">
        <v>0</v>
      </c>
      <c r="BO161" s="162"/>
      <c r="BP161" s="162"/>
      <c r="BQ161" s="162">
        <v>0</v>
      </c>
      <c r="BR161" s="162">
        <v>0</v>
      </c>
      <c r="BS161" s="162">
        <v>0</v>
      </c>
      <c r="BT161" s="162">
        <v>0</v>
      </c>
      <c r="BU161" s="162">
        <v>0</v>
      </c>
      <c r="BV161" s="162">
        <v>0</v>
      </c>
      <c r="BW161" s="162"/>
      <c r="BX161" s="162"/>
      <c r="BY161" s="162">
        <v>0</v>
      </c>
      <c r="BZ161" s="162">
        <v>0</v>
      </c>
      <c r="CA161" s="162">
        <v>0</v>
      </c>
      <c r="CB161" s="162">
        <v>0</v>
      </c>
      <c r="CC161" s="162">
        <v>0</v>
      </c>
      <c r="CD161" s="162">
        <v>0</v>
      </c>
      <c r="CE161" s="162">
        <f>VLOOKUP(I161,[120]REV33!$A:$O,11,0)</f>
        <v>0</v>
      </c>
      <c r="CF161" s="162">
        <f>VLOOKUP(I161,[120]REV33!$A:$O,12,0)</f>
        <v>0</v>
      </c>
      <c r="CG161" s="162"/>
      <c r="CH161" s="162"/>
      <c r="CI161" s="162"/>
      <c r="CJ161" s="162"/>
      <c r="CK161" s="162"/>
      <c r="CL161" s="162"/>
      <c r="CM161" s="162"/>
      <c r="CN161" s="162"/>
      <c r="CO161" s="162">
        <v>0</v>
      </c>
      <c r="CP161" s="162">
        <v>0</v>
      </c>
      <c r="CQ161" s="162">
        <v>0</v>
      </c>
      <c r="CR161" s="162">
        <v>0</v>
      </c>
      <c r="CS161" s="209">
        <f>Q161+S161+U161+W161+Y161+AA161+AC161+AE161+AG161+AI161+AK161+AM161+AO161+AQ161+AS161+AU161+AW161+AY161+BA161+BC161+BE161+BG161+BI161+BK161+BM161+BO161+BQ161+BS161+BU161+BW161+BY161+CA161+CC161+CE161+CG161+CI161+CK161+CM161+CO161+CQ161</f>
        <v>60</v>
      </c>
      <c r="CT161" s="209">
        <f>R161+T161+V161+X161+Z161+AB161+AD161+AF161+AH161+AJ161+AL161+AN161+AP161+AR161+AT161+AV161+AX161+AZ161+BB161+BD161+BF161+BH161+BJ161+BL161+BN161+BP161+BR161+BT161+BV161+BX161+BZ161+CB161+CD161+CF161+CH161+CJ161+CL161+CN161+CP161+CR161</f>
        <v>3.333333333333333</v>
      </c>
      <c r="CU161" s="375" t="s">
        <v>654</v>
      </c>
      <c r="CV161" s="208"/>
      <c r="CW161" s="152"/>
      <c r="CX161" s="152"/>
      <c r="CY161" s="208"/>
      <c r="CZ161" s="208"/>
      <c r="DA161" s="152">
        <f t="shared" si="213"/>
        <v>60</v>
      </c>
      <c r="DB161" s="152">
        <f t="shared" si="214"/>
        <v>3.333333333333333</v>
      </c>
      <c r="DC161" s="153"/>
      <c r="DD161" s="153" t="s">
        <v>1020</v>
      </c>
      <c r="DE161" s="153" t="s">
        <v>435</v>
      </c>
      <c r="DF161" s="376" t="s">
        <v>1021</v>
      </c>
      <c r="DG161" s="368"/>
      <c r="DH161" s="181"/>
      <c r="DI161" s="153"/>
      <c r="DJ161" s="1000">
        <v>60</v>
      </c>
      <c r="DK161" s="181">
        <v>12</v>
      </c>
      <c r="DL161" s="182">
        <v>40000</v>
      </c>
      <c r="DM161" s="181">
        <f>DL161*DK161*1.1</f>
        <v>528000</v>
      </c>
      <c r="DN161" s="446">
        <f>(DM161-DO161)/DO161</f>
        <v>0.1</v>
      </c>
      <c r="DO161" s="182">
        <f>DL161*DK161</f>
        <v>480000</v>
      </c>
      <c r="DP161" s="275">
        <v>45889</v>
      </c>
      <c r="DQ161" s="152">
        <f>SUMIF($I:$I,I161,$DJ:$DJ)</f>
        <v>60</v>
      </c>
      <c r="DR161" s="152">
        <f>SUMIF($I:$I,I161,$DK:$DK)</f>
        <v>12</v>
      </c>
      <c r="DS161" s="151"/>
      <c r="DT161" s="275"/>
      <c r="DU161" s="370"/>
      <c r="DV161" s="208"/>
      <c r="DW161" s="208"/>
      <c r="DX161" s="171"/>
      <c r="DY161" s="171"/>
      <c r="DZ161" s="152"/>
      <c r="EA161" s="152"/>
      <c r="EB161" s="153"/>
      <c r="EC161" s="152"/>
      <c r="ED161" s="152"/>
      <c r="EE161" s="396"/>
      <c r="EF161" s="371"/>
      <c r="EG161" s="153"/>
      <c r="EH161" s="153"/>
      <c r="EI161" s="153"/>
      <c r="EJ161" s="153"/>
      <c r="EK161" s="153"/>
      <c r="EL161" s="153"/>
      <c r="EM161" s="153"/>
      <c r="EN161" s="153"/>
      <c r="EO161" s="152">
        <f>SUMIF($I:$I,I161,$EC:$EC)</f>
        <v>0</v>
      </c>
      <c r="EP161" s="151">
        <f>SUMIF($I:$I,I161,$ED:$ED)</f>
        <v>0</v>
      </c>
      <c r="EQ161" s="153"/>
      <c r="ER161" s="153"/>
      <c r="ES161" s="153"/>
      <c r="ET161" s="153"/>
      <c r="EU161" s="152">
        <f t="shared" si="215"/>
        <v>60</v>
      </c>
      <c r="EV161" s="152">
        <f t="shared" si="216"/>
        <v>12</v>
      </c>
      <c r="EW161" s="152">
        <f t="shared" si="217"/>
        <v>0</v>
      </c>
      <c r="EX161" s="152">
        <f t="shared" si="218"/>
        <v>-8.6666666666666679</v>
      </c>
      <c r="EY161" s="151" t="str">
        <f t="shared" si="219"/>
        <v>Đủ</v>
      </c>
      <c r="EZ161" s="152"/>
      <c r="FA161" s="372"/>
      <c r="FB161" s="373"/>
      <c r="FC161" s="367"/>
      <c r="FD161" s="374"/>
      <c r="FE161" s="183"/>
      <c r="FF161" s="184"/>
      <c r="FG161" s="185"/>
      <c r="FH161" s="185"/>
    </row>
    <row r="162" spans="1:164" s="157" customFormat="1" ht="14" hidden="1" customHeight="1">
      <c r="A162" s="208" t="str">
        <f t="shared" si="180"/>
        <v>Hiện</v>
      </c>
      <c r="B162" s="151" t="str">
        <f t="shared" si="220"/>
        <v>Đủ</v>
      </c>
      <c r="C162" s="409">
        <f t="shared" si="221"/>
        <v>0</v>
      </c>
      <c r="D162" s="399"/>
      <c r="E162" s="400"/>
      <c r="F162" s="151"/>
      <c r="G162" s="151"/>
      <c r="H162" s="151"/>
      <c r="I162" s="171" t="s">
        <v>627</v>
      </c>
      <c r="J162" s="164" t="s">
        <v>412</v>
      </c>
      <c r="K162" s="247" t="s">
        <v>628</v>
      </c>
      <c r="L162" s="233" t="s">
        <v>399</v>
      </c>
      <c r="M162" s="412" t="s">
        <v>61</v>
      </c>
      <c r="N162" s="163">
        <v>55.70987654320988</v>
      </c>
      <c r="O162" s="178">
        <v>3.2</v>
      </c>
      <c r="P162" s="172">
        <v>120</v>
      </c>
      <c r="Q162" s="161"/>
      <c r="R162" s="162"/>
      <c r="S162" s="161"/>
      <c r="T162" s="162"/>
      <c r="U162" s="162"/>
      <c r="V162" s="162"/>
      <c r="W162" s="162"/>
      <c r="X162" s="162"/>
      <c r="Y162" s="162"/>
      <c r="Z162" s="162"/>
      <c r="AA162" s="162"/>
      <c r="AB162" s="162"/>
      <c r="AC162" s="162"/>
      <c r="AD162" s="162"/>
      <c r="AE162" s="162">
        <v>4</v>
      </c>
      <c r="AF162" s="162">
        <v>222.83950617283952</v>
      </c>
      <c r="AG162" s="162">
        <v>0</v>
      </c>
      <c r="AH162" s="162">
        <v>0</v>
      </c>
      <c r="AI162" s="162">
        <f>VLOOKUP(I162,'[119]MTO-rev09'!$A:$O,11,0)</f>
        <v>0</v>
      </c>
      <c r="AJ162" s="162">
        <f>VLOOKUP(I162,'[119]MTO-rev09'!$A:$O,12,0)</f>
        <v>0</v>
      </c>
      <c r="AK162" s="162">
        <v>0</v>
      </c>
      <c r="AL162" s="162">
        <v>0</v>
      </c>
      <c r="AM162" s="162"/>
      <c r="AN162" s="162"/>
      <c r="AO162" s="162">
        <v>0</v>
      </c>
      <c r="AP162" s="162">
        <v>0</v>
      </c>
      <c r="AQ162" s="162">
        <v>0</v>
      </c>
      <c r="AR162" s="162">
        <v>0</v>
      </c>
      <c r="AS162" s="162">
        <v>0</v>
      </c>
      <c r="AT162" s="162">
        <v>0</v>
      </c>
      <c r="AU162" s="162">
        <v>0</v>
      </c>
      <c r="AV162" s="162">
        <v>0</v>
      </c>
      <c r="AW162" s="162">
        <v>0</v>
      </c>
      <c r="AX162" s="162">
        <v>0</v>
      </c>
      <c r="AY162" s="162">
        <v>0</v>
      </c>
      <c r="AZ162" s="162">
        <v>0</v>
      </c>
      <c r="BA162" s="162"/>
      <c r="BB162" s="162"/>
      <c r="BC162" s="162">
        <v>0</v>
      </c>
      <c r="BD162" s="162">
        <v>0</v>
      </c>
      <c r="BE162" s="162">
        <v>0</v>
      </c>
      <c r="BF162" s="162">
        <v>0</v>
      </c>
      <c r="BG162" s="162">
        <v>0</v>
      </c>
      <c r="BH162" s="162">
        <v>0</v>
      </c>
      <c r="BI162" s="162">
        <v>0</v>
      </c>
      <c r="BJ162" s="162">
        <v>0</v>
      </c>
      <c r="BK162" s="162">
        <v>0</v>
      </c>
      <c r="BL162" s="162">
        <v>0</v>
      </c>
      <c r="BM162" s="162">
        <v>0</v>
      </c>
      <c r="BN162" s="162">
        <v>0</v>
      </c>
      <c r="BO162" s="162"/>
      <c r="BP162" s="162"/>
      <c r="BQ162" s="162">
        <v>0</v>
      </c>
      <c r="BR162" s="162">
        <v>0</v>
      </c>
      <c r="BS162" s="162">
        <v>0</v>
      </c>
      <c r="BT162" s="162">
        <v>0</v>
      </c>
      <c r="BU162" s="162">
        <v>0</v>
      </c>
      <c r="BV162" s="162">
        <v>0</v>
      </c>
      <c r="BW162" s="162"/>
      <c r="BX162" s="162"/>
      <c r="BY162" s="162">
        <v>0</v>
      </c>
      <c r="BZ162" s="162">
        <v>0</v>
      </c>
      <c r="CA162" s="162">
        <v>0</v>
      </c>
      <c r="CB162" s="162">
        <v>0</v>
      </c>
      <c r="CC162" s="162">
        <v>0</v>
      </c>
      <c r="CD162" s="162">
        <v>0</v>
      </c>
      <c r="CE162" s="162">
        <f>VLOOKUP(I162,[120]REV33!$A:$O,11,0)</f>
        <v>0</v>
      </c>
      <c r="CF162" s="162">
        <f>VLOOKUP(I162,[120]REV33!$A:$O,12,0)</f>
        <v>0</v>
      </c>
      <c r="CG162" s="162"/>
      <c r="CH162" s="162"/>
      <c r="CI162" s="162"/>
      <c r="CJ162" s="162"/>
      <c r="CK162" s="162"/>
      <c r="CL162" s="162"/>
      <c r="CM162" s="162"/>
      <c r="CN162" s="162"/>
      <c r="CO162" s="162">
        <v>0</v>
      </c>
      <c r="CP162" s="162">
        <v>0</v>
      </c>
      <c r="CQ162" s="162">
        <v>0</v>
      </c>
      <c r="CR162" s="162">
        <v>0</v>
      </c>
      <c r="CS162" s="209">
        <f>Q162+S162+U162+W162+Y162+AA162+AC162+AE162+AG162+AI162+AK162+AM162+AO162+AQ162+AS162+AU162+AW162+AY162+BA162+BC162+BE162+BG162+BI162+BK162+BM162+BO162+BQ162+BS162+BU162+BW162+BY162+CA162+CC162+CE162+CG162+CI162+CK162+CM162+CO162+CQ162</f>
        <v>4</v>
      </c>
      <c r="CT162" s="209">
        <f>R162+T162+V162+X162+Z162+AB162+AD162+AF162+AH162+AJ162+AL162+AN162+AP162+AR162+AT162+AV162+AX162+AZ162+BB162+BD162+BF162+BH162+BJ162+BL162+BN162+BP162+BR162+BT162+BV162+BX162+BZ162+CB162+CD162+CF162+CH162+CJ162+CL162+CN162+CP162+CR162</f>
        <v>222.83950617283952</v>
      </c>
      <c r="CU162" s="375" t="s">
        <v>654</v>
      </c>
      <c r="CV162" s="208"/>
      <c r="CW162" s="152">
        <v>4</v>
      </c>
      <c r="CX162" s="152">
        <v>222.83950617283952</v>
      </c>
      <c r="CY162" s="208"/>
      <c r="CZ162" s="208" t="s">
        <v>383</v>
      </c>
      <c r="DA162" s="152" t="str">
        <f t="shared" si="213"/>
        <v>0</v>
      </c>
      <c r="DB162" s="152" t="str">
        <f t="shared" si="214"/>
        <v>0</v>
      </c>
      <c r="DC162" s="153"/>
      <c r="DD162" s="153"/>
      <c r="DE162" s="153"/>
      <c r="DF162" s="376"/>
      <c r="DG162" s="368"/>
      <c r="DH162" s="181"/>
      <c r="DI162" s="153"/>
      <c r="DJ162" s="1000"/>
      <c r="DK162" s="181"/>
      <c r="DL162" s="182"/>
      <c r="DM162" s="182"/>
      <c r="DN162" s="182"/>
      <c r="DO162" s="182"/>
      <c r="DP162" s="275"/>
      <c r="DQ162" s="152">
        <f>SUMIF($I:$I,I162,$DJ:$DJ)</f>
        <v>0</v>
      </c>
      <c r="DR162" s="152">
        <f>SUMIF($I:$I,I162,$DK:$DK)</f>
        <v>0</v>
      </c>
      <c r="DS162" s="151"/>
      <c r="DT162" s="275"/>
      <c r="DU162" s="370"/>
      <c r="DV162" s="208"/>
      <c r="DW162" s="208"/>
      <c r="DX162" s="171"/>
      <c r="DY162" s="171"/>
      <c r="DZ162" s="152"/>
      <c r="EA162" s="152"/>
      <c r="EB162" s="153"/>
      <c r="EC162" s="152"/>
      <c r="ED162" s="152"/>
      <c r="EE162" s="396"/>
      <c r="EF162" s="371"/>
      <c r="EG162" s="153"/>
      <c r="EH162" s="153"/>
      <c r="EI162" s="153"/>
      <c r="EJ162" s="153"/>
      <c r="EK162" s="153"/>
      <c r="EL162" s="153"/>
      <c r="EM162" s="153"/>
      <c r="EN162" s="153"/>
      <c r="EO162" s="152">
        <f>SUMIF($I:$I,I162,$EC:$EC)</f>
        <v>0</v>
      </c>
      <c r="EP162" s="151">
        <f>SUMIF($I:$I,I162,$ED:$ED)</f>
        <v>0</v>
      </c>
      <c r="EQ162" s="153"/>
      <c r="ER162" s="153"/>
      <c r="ES162" s="153"/>
      <c r="ET162" s="153"/>
      <c r="EU162" s="152">
        <f t="shared" si="215"/>
        <v>0</v>
      </c>
      <c r="EV162" s="152">
        <f t="shared" si="216"/>
        <v>0</v>
      </c>
      <c r="EW162" s="152">
        <f t="shared" si="217"/>
        <v>0</v>
      </c>
      <c r="EX162" s="152">
        <f t="shared" si="218"/>
        <v>0</v>
      </c>
      <c r="EY162" s="151" t="str">
        <f t="shared" si="219"/>
        <v>Đủ</v>
      </c>
      <c r="EZ162" s="152"/>
      <c r="FA162" s="372"/>
      <c r="FB162" s="373"/>
      <c r="FC162" s="367"/>
      <c r="FD162" s="374"/>
      <c r="FE162" s="183"/>
      <c r="FF162" s="184"/>
      <c r="FG162" s="185"/>
      <c r="FH162" s="185"/>
    </row>
    <row r="163" spans="1:164" s="157" customFormat="1" ht="26.5" hidden="1" customHeight="1">
      <c r="A163" s="208" t="str">
        <f t="shared" si="180"/>
        <v>Hiện</v>
      </c>
      <c r="B163" s="151" t="str">
        <f t="shared" si="220"/>
        <v>Đủ</v>
      </c>
      <c r="C163" s="409">
        <f t="shared" si="221"/>
        <v>0</v>
      </c>
      <c r="D163" s="409"/>
      <c r="E163" s="400"/>
      <c r="F163" s="151"/>
      <c r="G163" s="151"/>
      <c r="H163" s="151"/>
      <c r="I163" s="171" t="s">
        <v>629</v>
      </c>
      <c r="J163" s="164" t="s">
        <v>630</v>
      </c>
      <c r="K163" s="247" t="s">
        <v>631</v>
      </c>
      <c r="L163" s="233"/>
      <c r="M163" s="412" t="s">
        <v>345</v>
      </c>
      <c r="N163" s="163">
        <v>4.13</v>
      </c>
      <c r="O163" s="178">
        <v>10</v>
      </c>
      <c r="P163" s="172">
        <v>41.3</v>
      </c>
      <c r="Q163" s="179"/>
      <c r="R163" s="180"/>
      <c r="S163" s="179"/>
      <c r="T163" s="180"/>
      <c r="U163" s="180"/>
      <c r="V163" s="180"/>
      <c r="W163" s="180"/>
      <c r="X163" s="180"/>
      <c r="Y163" s="180"/>
      <c r="Z163" s="180"/>
      <c r="AA163" s="180"/>
      <c r="AB163" s="180"/>
      <c r="AC163" s="180"/>
      <c r="AD163" s="180"/>
      <c r="AE163" s="180">
        <v>10</v>
      </c>
      <c r="AF163" s="180">
        <v>41.3</v>
      </c>
      <c r="AG163" s="180">
        <v>0</v>
      </c>
      <c r="AH163" s="180">
        <v>0</v>
      </c>
      <c r="AI163" s="162">
        <f>VLOOKUP(I163,'[119]MTO-rev09'!$A:$O,11,0)</f>
        <v>0</v>
      </c>
      <c r="AJ163" s="162">
        <f>VLOOKUP(I163,'[119]MTO-rev09'!$A:$O,12,0)</f>
        <v>0</v>
      </c>
      <c r="AK163" s="162">
        <v>0</v>
      </c>
      <c r="AL163" s="162">
        <v>0</v>
      </c>
      <c r="AM163" s="162"/>
      <c r="AN163" s="162"/>
      <c r="AO163" s="162">
        <v>0</v>
      </c>
      <c r="AP163" s="162">
        <v>0</v>
      </c>
      <c r="AQ163" s="162">
        <v>0</v>
      </c>
      <c r="AR163" s="162">
        <v>0</v>
      </c>
      <c r="AS163" s="162">
        <v>0</v>
      </c>
      <c r="AT163" s="162">
        <v>0</v>
      </c>
      <c r="AU163" s="162">
        <v>0</v>
      </c>
      <c r="AV163" s="162">
        <v>0</v>
      </c>
      <c r="AW163" s="162">
        <v>0</v>
      </c>
      <c r="AX163" s="162">
        <v>0</v>
      </c>
      <c r="AY163" s="162">
        <v>0</v>
      </c>
      <c r="AZ163" s="162">
        <v>0</v>
      </c>
      <c r="BA163" s="162"/>
      <c r="BB163" s="162"/>
      <c r="BC163" s="162">
        <v>0</v>
      </c>
      <c r="BD163" s="162">
        <v>0</v>
      </c>
      <c r="BE163" s="162">
        <v>0</v>
      </c>
      <c r="BF163" s="162">
        <v>0</v>
      </c>
      <c r="BG163" s="162">
        <v>0</v>
      </c>
      <c r="BH163" s="162">
        <v>0</v>
      </c>
      <c r="BI163" s="162">
        <v>0</v>
      </c>
      <c r="BJ163" s="162">
        <v>0</v>
      </c>
      <c r="BK163" s="162">
        <v>0</v>
      </c>
      <c r="BL163" s="162">
        <v>0</v>
      </c>
      <c r="BM163" s="162">
        <v>0</v>
      </c>
      <c r="BN163" s="162">
        <v>0</v>
      </c>
      <c r="BO163" s="162"/>
      <c r="BP163" s="162"/>
      <c r="BQ163" s="162">
        <v>0</v>
      </c>
      <c r="BR163" s="162">
        <v>0</v>
      </c>
      <c r="BS163" s="162">
        <v>0</v>
      </c>
      <c r="BT163" s="162">
        <v>0</v>
      </c>
      <c r="BU163" s="162">
        <v>0</v>
      </c>
      <c r="BV163" s="162">
        <v>0</v>
      </c>
      <c r="BW163" s="162"/>
      <c r="BX163" s="162"/>
      <c r="BY163" s="162">
        <v>0</v>
      </c>
      <c r="BZ163" s="162">
        <v>0</v>
      </c>
      <c r="CA163" s="162">
        <v>0</v>
      </c>
      <c r="CB163" s="162">
        <v>0</v>
      </c>
      <c r="CC163" s="162">
        <v>0</v>
      </c>
      <c r="CD163" s="162">
        <v>0</v>
      </c>
      <c r="CE163" s="162">
        <f>VLOOKUP(I163,[120]REV33!$A:$O,11,0)</f>
        <v>0</v>
      </c>
      <c r="CF163" s="162">
        <f>VLOOKUP(I163,[120]REV33!$A:$O,12,0)</f>
        <v>0</v>
      </c>
      <c r="CG163" s="162"/>
      <c r="CH163" s="162"/>
      <c r="CI163" s="162"/>
      <c r="CJ163" s="162"/>
      <c r="CK163" s="162"/>
      <c r="CL163" s="162"/>
      <c r="CM163" s="162"/>
      <c r="CN163" s="162"/>
      <c r="CO163" s="162">
        <v>0</v>
      </c>
      <c r="CP163" s="162">
        <v>0</v>
      </c>
      <c r="CQ163" s="162">
        <v>0</v>
      </c>
      <c r="CR163" s="162">
        <v>0</v>
      </c>
      <c r="CS163" s="209">
        <f>Q163+S163+U163+W163+Y163+AA163+AC163+AE163+AG163+AI163+AK163+AM163+AO163+AQ163+AS163+AU163+AW163+AY163+BA163+BC163+BE163+BG163+BI163+BK163+BM163+BO163+BQ163+BS163+BU163+BW163+BY163+CA163+CC163+CE163+CG163+CI163+CK163+CM163+CO163+CQ163</f>
        <v>10</v>
      </c>
      <c r="CT163" s="209">
        <f>R163+T163+V163+X163+Z163+AB163+AD163+AF163+AH163+AJ163+AL163+AN163+AP163+AR163+AT163+AV163+AX163+AZ163+BB163+BD163+BF163+BH163+BJ163+BL163+BN163+BP163+BR163+BT163+BV163+BX163+BZ163+CB163+CD163+CF163+CH163+CJ163+CL163+CN163+CP163+CR163</f>
        <v>41.3</v>
      </c>
      <c r="CU163" s="375" t="s">
        <v>654</v>
      </c>
      <c r="CV163" s="208"/>
      <c r="CW163" s="152"/>
      <c r="CX163" s="152"/>
      <c r="CY163" s="208"/>
      <c r="CZ163" s="208"/>
      <c r="DA163" s="152">
        <f t="shared" si="213"/>
        <v>10</v>
      </c>
      <c r="DB163" s="152">
        <f t="shared" si="214"/>
        <v>41.3</v>
      </c>
      <c r="DC163" s="153"/>
      <c r="DD163" s="153" t="s">
        <v>1506</v>
      </c>
      <c r="DE163" s="153" t="s">
        <v>1303</v>
      </c>
      <c r="DF163" s="376" t="s">
        <v>1505</v>
      </c>
      <c r="DG163" s="368"/>
      <c r="DH163" s="181" t="s">
        <v>477</v>
      </c>
      <c r="DI163" s="153">
        <v>45896</v>
      </c>
      <c r="DJ163" s="1000">
        <v>10</v>
      </c>
      <c r="DK163" s="181" t="s">
        <v>477</v>
      </c>
      <c r="DL163" s="182">
        <v>3900000</v>
      </c>
      <c r="DM163" s="181">
        <f>DL163*DJ163*1.08</f>
        <v>42120000</v>
      </c>
      <c r="DN163" s="446">
        <f t="shared" ref="DN163:DN182" si="222">(DM163-DO163)/DO163</f>
        <v>0.08</v>
      </c>
      <c r="DO163" s="182">
        <f t="shared" ref="DO163:DO182" si="223">DL163*DJ163</f>
        <v>39000000</v>
      </c>
      <c r="DP163" s="275">
        <v>45920</v>
      </c>
      <c r="DQ163" s="152">
        <f>SUMIF($I:$I,I163,$DJ:$DJ)</f>
        <v>10</v>
      </c>
      <c r="DR163" s="152">
        <f>SUMIF($I:$I,I163,$DK:$DK)</f>
        <v>0</v>
      </c>
      <c r="DS163" s="151"/>
      <c r="DT163" s="275"/>
      <c r="DU163" s="370"/>
      <c r="DV163" s="208"/>
      <c r="DW163" s="208"/>
      <c r="DX163" s="171"/>
      <c r="DY163" s="171"/>
      <c r="DZ163" s="152"/>
      <c r="EA163" s="152"/>
      <c r="EB163" s="153"/>
      <c r="EC163" s="152"/>
      <c r="ED163" s="152"/>
      <c r="EE163" s="396"/>
      <c r="EF163" s="371"/>
      <c r="EG163" s="153"/>
      <c r="EH163" s="153"/>
      <c r="EI163" s="153"/>
      <c r="EJ163" s="153"/>
      <c r="EK163" s="153"/>
      <c r="EL163" s="153"/>
      <c r="EM163" s="153"/>
      <c r="EN163" s="153"/>
      <c r="EO163" s="152">
        <f>SUMIF($I:$I,I163,$EC:$EC)</f>
        <v>0</v>
      </c>
      <c r="EP163" s="151">
        <f>SUMIF($I:$I,I163,$ED:$ED)</f>
        <v>0</v>
      </c>
      <c r="EQ163" s="153"/>
      <c r="ER163" s="153"/>
      <c r="ES163" s="153"/>
      <c r="ET163" s="153"/>
      <c r="EU163" s="152">
        <f t="shared" si="215"/>
        <v>10</v>
      </c>
      <c r="EV163" s="152">
        <f t="shared" si="216"/>
        <v>0</v>
      </c>
      <c r="EW163" s="152">
        <f t="shared" si="217"/>
        <v>0</v>
      </c>
      <c r="EX163" s="152">
        <f t="shared" si="218"/>
        <v>41.3</v>
      </c>
      <c r="EY163" s="151" t="str">
        <f t="shared" si="219"/>
        <v>Đủ</v>
      </c>
      <c r="EZ163" s="152"/>
      <c r="FA163" s="372"/>
      <c r="FB163" s="373"/>
      <c r="FC163" s="367"/>
      <c r="FD163" s="374"/>
      <c r="FE163" s="183"/>
      <c r="FF163" s="184"/>
      <c r="FG163" s="185"/>
      <c r="FH163" s="185"/>
    </row>
    <row r="164" spans="1:164" s="157" customFormat="1" ht="30.5" hidden="1" customHeight="1">
      <c r="A164" s="208" t="str">
        <f t="shared" si="180"/>
        <v>Hiện</v>
      </c>
      <c r="B164" s="151" t="str">
        <f t="shared" si="220"/>
        <v>Đủ</v>
      </c>
      <c r="C164" s="409">
        <f t="shared" si="221"/>
        <v>0</v>
      </c>
      <c r="D164" s="409"/>
      <c r="E164" s="400"/>
      <c r="F164" s="151"/>
      <c r="G164" s="151"/>
      <c r="H164" s="151"/>
      <c r="I164" s="171" t="s">
        <v>632</v>
      </c>
      <c r="J164" s="164" t="s">
        <v>633</v>
      </c>
      <c r="K164" s="247" t="s">
        <v>634</v>
      </c>
      <c r="L164" s="233" t="s">
        <v>635</v>
      </c>
      <c r="M164" s="412" t="s">
        <v>345</v>
      </c>
      <c r="N164" s="163">
        <v>0.86</v>
      </c>
      <c r="O164" s="178">
        <v>10</v>
      </c>
      <c r="P164" s="172">
        <v>8.6</v>
      </c>
      <c r="Q164" s="179"/>
      <c r="R164" s="180"/>
      <c r="S164" s="179"/>
      <c r="T164" s="180"/>
      <c r="U164" s="180"/>
      <c r="V164" s="180"/>
      <c r="W164" s="180"/>
      <c r="X164" s="180"/>
      <c r="Y164" s="180"/>
      <c r="Z164" s="180"/>
      <c r="AA164" s="180"/>
      <c r="AB164" s="180"/>
      <c r="AC164" s="180"/>
      <c r="AD164" s="180"/>
      <c r="AE164" s="180">
        <v>10</v>
      </c>
      <c r="AF164" s="180">
        <v>8.6</v>
      </c>
      <c r="AG164" s="180">
        <v>0</v>
      </c>
      <c r="AH164" s="180">
        <v>0</v>
      </c>
      <c r="AI164" s="162">
        <f>VLOOKUP(I164,'[119]MTO-rev09'!$A:$O,11,0)</f>
        <v>0</v>
      </c>
      <c r="AJ164" s="162">
        <f>VLOOKUP(I164,'[119]MTO-rev09'!$A:$O,12,0)</f>
        <v>0</v>
      </c>
      <c r="AK164" s="162">
        <v>0</v>
      </c>
      <c r="AL164" s="162">
        <v>0</v>
      </c>
      <c r="AM164" s="162"/>
      <c r="AN164" s="162"/>
      <c r="AO164" s="162">
        <v>0</v>
      </c>
      <c r="AP164" s="162">
        <v>0</v>
      </c>
      <c r="AQ164" s="162">
        <v>0</v>
      </c>
      <c r="AR164" s="162">
        <v>0</v>
      </c>
      <c r="AS164" s="162">
        <v>0</v>
      </c>
      <c r="AT164" s="162">
        <v>0</v>
      </c>
      <c r="AU164" s="162">
        <v>0</v>
      </c>
      <c r="AV164" s="162">
        <v>0</v>
      </c>
      <c r="AW164" s="162">
        <v>0</v>
      </c>
      <c r="AX164" s="162">
        <v>0</v>
      </c>
      <c r="AY164" s="162">
        <v>0</v>
      </c>
      <c r="AZ164" s="162">
        <v>0</v>
      </c>
      <c r="BA164" s="162"/>
      <c r="BB164" s="162"/>
      <c r="BC164" s="162">
        <v>0</v>
      </c>
      <c r="BD164" s="162">
        <v>0</v>
      </c>
      <c r="BE164" s="162">
        <v>0</v>
      </c>
      <c r="BF164" s="162">
        <v>0</v>
      </c>
      <c r="BG164" s="162">
        <v>0</v>
      </c>
      <c r="BH164" s="162">
        <v>0</v>
      </c>
      <c r="BI164" s="162">
        <v>0</v>
      </c>
      <c r="BJ164" s="162">
        <v>0</v>
      </c>
      <c r="BK164" s="162">
        <v>0</v>
      </c>
      <c r="BL164" s="162">
        <v>0</v>
      </c>
      <c r="BM164" s="162">
        <v>0</v>
      </c>
      <c r="BN164" s="162">
        <v>0</v>
      </c>
      <c r="BO164" s="162"/>
      <c r="BP164" s="162"/>
      <c r="BQ164" s="162">
        <v>0</v>
      </c>
      <c r="BR164" s="162">
        <v>0</v>
      </c>
      <c r="BS164" s="162">
        <v>0</v>
      </c>
      <c r="BT164" s="162">
        <v>0</v>
      </c>
      <c r="BU164" s="162">
        <v>0</v>
      </c>
      <c r="BV164" s="162">
        <v>0</v>
      </c>
      <c r="BW164" s="162"/>
      <c r="BX164" s="162"/>
      <c r="BY164" s="162">
        <v>0</v>
      </c>
      <c r="BZ164" s="162">
        <v>0</v>
      </c>
      <c r="CA164" s="162">
        <v>0</v>
      </c>
      <c r="CB164" s="162">
        <v>0</v>
      </c>
      <c r="CC164" s="162">
        <v>0</v>
      </c>
      <c r="CD164" s="162">
        <v>0</v>
      </c>
      <c r="CE164" s="162">
        <f>VLOOKUP(I164,[120]REV33!$A:$O,11,0)</f>
        <v>0</v>
      </c>
      <c r="CF164" s="162">
        <f>VLOOKUP(I164,[120]REV33!$A:$O,12,0)</f>
        <v>0</v>
      </c>
      <c r="CG164" s="162"/>
      <c r="CH164" s="162"/>
      <c r="CI164" s="162"/>
      <c r="CJ164" s="162"/>
      <c r="CK164" s="162"/>
      <c r="CL164" s="162"/>
      <c r="CM164" s="162"/>
      <c r="CN164" s="162"/>
      <c r="CO164" s="162">
        <v>0</v>
      </c>
      <c r="CP164" s="162">
        <v>0</v>
      </c>
      <c r="CQ164" s="162">
        <v>0</v>
      </c>
      <c r="CR164" s="162">
        <v>0</v>
      </c>
      <c r="CS164" s="209">
        <f>Q164+S164+U164+W164+Y164+AA164+AC164+AE164+AG164+AI164+AK164+AM164+AO164+AQ164+AS164+AU164+AW164+AY164+BA164+BC164+BE164+BG164+BI164+BK164+BM164+BO164+BQ164+BS164+BU164+BW164+BY164+CA164+CC164+CE164+CG164+CI164+CK164+CM164+CO164+CQ164</f>
        <v>10</v>
      </c>
      <c r="CT164" s="209">
        <f>R164+T164+V164+X164+Z164+AB164+AD164+AF164+AH164+AJ164+AL164+AN164+AP164+AR164+AT164+AV164+AX164+AZ164+BB164+BD164+BF164+BH164+BJ164+BL164+BN164+BP164+BR164+BT164+BV164+BX164+BZ164+CB164+CD164+CF164+CH164+CJ164+CL164+CN164+CP164+CR164</f>
        <v>8.6</v>
      </c>
      <c r="CU164" s="375" t="s">
        <v>654</v>
      </c>
      <c r="CV164" s="208"/>
      <c r="CW164" s="152"/>
      <c r="CX164" s="152"/>
      <c r="CY164" s="208"/>
      <c r="CZ164" s="208"/>
      <c r="DA164" s="152">
        <f t="shared" si="213"/>
        <v>10</v>
      </c>
      <c r="DB164" s="152">
        <f t="shared" si="214"/>
        <v>8.6</v>
      </c>
      <c r="DC164" s="153"/>
      <c r="DD164" s="153" t="s">
        <v>1493</v>
      </c>
      <c r="DE164" s="153" t="s">
        <v>1412</v>
      </c>
      <c r="DF164" s="376" t="s">
        <v>1491</v>
      </c>
      <c r="DG164" s="368"/>
      <c r="DH164" s="181" t="s">
        <v>477</v>
      </c>
      <c r="DI164" s="275">
        <v>45911</v>
      </c>
      <c r="DJ164" s="1000">
        <v>10</v>
      </c>
      <c r="DK164" s="181" t="s">
        <v>477</v>
      </c>
      <c r="DL164" s="182">
        <v>695000</v>
      </c>
      <c r="DM164" s="181">
        <f>DL164*DJ164*1.1</f>
        <v>7645000.0000000009</v>
      </c>
      <c r="DN164" s="446">
        <f t="shared" si="222"/>
        <v>0.10000000000000013</v>
      </c>
      <c r="DO164" s="182">
        <f t="shared" si="223"/>
        <v>6950000</v>
      </c>
      <c r="DP164" s="275">
        <v>45911</v>
      </c>
      <c r="DQ164" s="152">
        <f>SUMIF($I:$I,I164,$DJ:$DJ)</f>
        <v>10</v>
      </c>
      <c r="DR164" s="152">
        <f>SUMIF($I:$I,I164,$DK:$DK)</f>
        <v>0</v>
      </c>
      <c r="DS164" s="151"/>
      <c r="DT164" s="275"/>
      <c r="DU164" s="370"/>
      <c r="DV164" s="208"/>
      <c r="DW164" s="208"/>
      <c r="DX164" s="171"/>
      <c r="DY164" s="171"/>
      <c r="DZ164" s="152"/>
      <c r="EA164" s="152"/>
      <c r="EB164" s="153"/>
      <c r="EC164" s="152"/>
      <c r="ED164" s="152"/>
      <c r="EE164" s="396"/>
      <c r="EF164" s="371"/>
      <c r="EG164" s="153"/>
      <c r="EH164" s="153"/>
      <c r="EI164" s="153"/>
      <c r="EJ164" s="153"/>
      <c r="EK164" s="153"/>
      <c r="EL164" s="153"/>
      <c r="EM164" s="153"/>
      <c r="EN164" s="153"/>
      <c r="EO164" s="152">
        <f>SUMIF($I:$I,I164,$EC:$EC)</f>
        <v>0</v>
      </c>
      <c r="EP164" s="151">
        <f>SUMIF($I:$I,I164,$ED:$ED)</f>
        <v>0</v>
      </c>
      <c r="EQ164" s="153"/>
      <c r="ER164" s="153"/>
      <c r="ES164" s="153"/>
      <c r="ET164" s="153"/>
      <c r="EU164" s="152">
        <f t="shared" si="215"/>
        <v>10</v>
      </c>
      <c r="EV164" s="152">
        <f t="shared" si="216"/>
        <v>0</v>
      </c>
      <c r="EW164" s="152">
        <f t="shared" si="217"/>
        <v>0</v>
      </c>
      <c r="EX164" s="152">
        <f t="shared" si="218"/>
        <v>8.6</v>
      </c>
      <c r="EY164" s="151" t="str">
        <f t="shared" si="219"/>
        <v>Đủ</v>
      </c>
      <c r="EZ164" s="152"/>
      <c r="FA164" s="372"/>
      <c r="FB164" s="373"/>
      <c r="FC164" s="367"/>
      <c r="FD164" s="374"/>
      <c r="FE164" s="183"/>
      <c r="FF164" s="184"/>
      <c r="FG164" s="185"/>
      <c r="FH164" s="185"/>
    </row>
    <row r="165" spans="1:164" s="157" customFormat="1" ht="44" hidden="1" customHeight="1">
      <c r="A165" s="208" t="str">
        <f t="shared" si="180"/>
        <v>Hiện</v>
      </c>
      <c r="B165" s="151" t="str">
        <f t="shared" si="220"/>
        <v>Đủ</v>
      </c>
      <c r="C165" s="409">
        <f t="shared" si="221"/>
        <v>0</v>
      </c>
      <c r="D165" s="151"/>
      <c r="E165" s="400"/>
      <c r="F165" s="151"/>
      <c r="G165" s="151"/>
      <c r="H165" s="151"/>
      <c r="I165" s="171" t="s">
        <v>636</v>
      </c>
      <c r="J165" s="164" t="s">
        <v>637</v>
      </c>
      <c r="K165" s="247" t="s">
        <v>638</v>
      </c>
      <c r="L165" s="233" t="s">
        <v>535</v>
      </c>
      <c r="M165" s="412" t="s">
        <v>239</v>
      </c>
      <c r="N165" s="163">
        <v>0</v>
      </c>
      <c r="O165" s="178">
        <v>60</v>
      </c>
      <c r="P165" s="172"/>
      <c r="Q165" s="179"/>
      <c r="R165" s="180"/>
      <c r="S165" s="179"/>
      <c r="T165" s="180"/>
      <c r="U165" s="180"/>
      <c r="V165" s="180"/>
      <c r="W165" s="180"/>
      <c r="X165" s="180"/>
      <c r="Y165" s="180"/>
      <c r="Z165" s="180"/>
      <c r="AA165" s="180"/>
      <c r="AB165" s="180"/>
      <c r="AC165" s="180"/>
      <c r="AD165" s="180"/>
      <c r="AE165" s="180">
        <v>60</v>
      </c>
      <c r="AF165" s="180">
        <v>0</v>
      </c>
      <c r="AG165" s="180">
        <v>0</v>
      </c>
      <c r="AH165" s="180">
        <v>0</v>
      </c>
      <c r="AI165" s="162">
        <f>VLOOKUP(I165,'[119]MTO-rev09'!$A:$O,11,0)</f>
        <v>0</v>
      </c>
      <c r="AJ165" s="162">
        <f>VLOOKUP(I165,'[119]MTO-rev09'!$A:$O,12,0)</f>
        <v>0</v>
      </c>
      <c r="AK165" s="162">
        <v>0</v>
      </c>
      <c r="AL165" s="162">
        <v>0</v>
      </c>
      <c r="AM165" s="162"/>
      <c r="AN165" s="162"/>
      <c r="AO165" s="162">
        <v>0</v>
      </c>
      <c r="AP165" s="162">
        <v>0</v>
      </c>
      <c r="AQ165" s="162">
        <v>0</v>
      </c>
      <c r="AR165" s="162">
        <v>0</v>
      </c>
      <c r="AS165" s="162">
        <v>0</v>
      </c>
      <c r="AT165" s="162">
        <v>0</v>
      </c>
      <c r="AU165" s="162">
        <v>0</v>
      </c>
      <c r="AV165" s="162">
        <v>0</v>
      </c>
      <c r="AW165" s="162">
        <v>0</v>
      </c>
      <c r="AX165" s="162">
        <v>0</v>
      </c>
      <c r="AY165" s="162">
        <v>0</v>
      </c>
      <c r="AZ165" s="162">
        <v>0</v>
      </c>
      <c r="BA165" s="162"/>
      <c r="BB165" s="162"/>
      <c r="BC165" s="162">
        <v>0</v>
      </c>
      <c r="BD165" s="162">
        <v>0</v>
      </c>
      <c r="BE165" s="162">
        <v>0</v>
      </c>
      <c r="BF165" s="162">
        <v>0</v>
      </c>
      <c r="BG165" s="162">
        <v>0</v>
      </c>
      <c r="BH165" s="162">
        <v>0</v>
      </c>
      <c r="BI165" s="162">
        <v>0</v>
      </c>
      <c r="BJ165" s="162">
        <v>0</v>
      </c>
      <c r="BK165" s="162">
        <v>0</v>
      </c>
      <c r="BL165" s="162">
        <v>0</v>
      </c>
      <c r="BM165" s="162">
        <v>0</v>
      </c>
      <c r="BN165" s="162">
        <v>0</v>
      </c>
      <c r="BO165" s="162"/>
      <c r="BP165" s="162"/>
      <c r="BQ165" s="162">
        <v>0</v>
      </c>
      <c r="BR165" s="162">
        <v>0</v>
      </c>
      <c r="BS165" s="162">
        <v>0</v>
      </c>
      <c r="BT165" s="162">
        <v>0</v>
      </c>
      <c r="BU165" s="162">
        <v>0</v>
      </c>
      <c r="BV165" s="162">
        <v>0</v>
      </c>
      <c r="BW165" s="162"/>
      <c r="BX165" s="162"/>
      <c r="BY165" s="162">
        <v>0</v>
      </c>
      <c r="BZ165" s="162">
        <v>0</v>
      </c>
      <c r="CA165" s="162">
        <v>0</v>
      </c>
      <c r="CB165" s="162">
        <v>0</v>
      </c>
      <c r="CC165" s="162">
        <v>0</v>
      </c>
      <c r="CD165" s="162">
        <v>0</v>
      </c>
      <c r="CE165" s="162">
        <f>VLOOKUP(I165,[120]REV33!$A:$O,11,0)</f>
        <v>0</v>
      </c>
      <c r="CF165" s="162">
        <f>VLOOKUP(I165,[120]REV33!$A:$O,12,0)</f>
        <v>0</v>
      </c>
      <c r="CG165" s="162"/>
      <c r="CH165" s="162"/>
      <c r="CI165" s="162"/>
      <c r="CJ165" s="162"/>
      <c r="CK165" s="162"/>
      <c r="CL165" s="162"/>
      <c r="CM165" s="162"/>
      <c r="CN165" s="162"/>
      <c r="CO165" s="162">
        <v>0</v>
      </c>
      <c r="CP165" s="162">
        <v>0</v>
      </c>
      <c r="CQ165" s="162">
        <v>0</v>
      </c>
      <c r="CR165" s="162">
        <v>0</v>
      </c>
      <c r="CS165" s="209">
        <f>Q165+S165+U165+W165+Y165+AA165+AC165+AE165+AG165+AI165+AK165+AM165+AO165+AQ165+AS165+AU165+AW165+AY165+BA165+BC165+BE165+BG165+BI165+BK165+BM165+BO165+BQ165+BS165+BU165+BW165+BY165+CA165+CC165+CE165+CG165+CI165+CK165+CM165+CO165+CQ165</f>
        <v>60</v>
      </c>
      <c r="CT165" s="209">
        <f>R165+T165+V165+X165+Z165+AB165+AD165+AF165+AH165+AJ165+AL165+AN165+AP165+AR165+AT165+AV165+AX165+AZ165+BB165+BD165+BF165+BH165+BJ165+BL165+BN165+BP165+BR165+BT165+BV165+BX165+BZ165+CB165+CD165+CF165+CH165+CJ165+CL165+CN165+CP165+CR165</f>
        <v>0</v>
      </c>
      <c r="CU165" s="375" t="s">
        <v>654</v>
      </c>
      <c r="CV165" s="208"/>
      <c r="CW165" s="152"/>
      <c r="CX165" s="152"/>
      <c r="CY165" s="208"/>
      <c r="CZ165" s="208"/>
      <c r="DA165" s="152">
        <f t="shared" si="213"/>
        <v>60</v>
      </c>
      <c r="DB165" s="152" t="str">
        <f t="shared" si="214"/>
        <v>0</v>
      </c>
      <c r="DC165" s="153"/>
      <c r="DD165" s="153" t="s">
        <v>1316</v>
      </c>
      <c r="DE165" s="153" t="s">
        <v>1317</v>
      </c>
      <c r="DF165" s="376" t="s">
        <v>1318</v>
      </c>
      <c r="DG165" s="368"/>
      <c r="DH165" s="181" t="s">
        <v>477</v>
      </c>
      <c r="DI165" s="153">
        <v>45885</v>
      </c>
      <c r="DJ165" s="1000">
        <v>60</v>
      </c>
      <c r="DK165" s="181" t="s">
        <v>477</v>
      </c>
      <c r="DL165" s="182">
        <v>32000</v>
      </c>
      <c r="DM165" s="181">
        <f>DL165*DJ165*1.1</f>
        <v>2112000</v>
      </c>
      <c r="DN165" s="446">
        <f t="shared" si="222"/>
        <v>0.1</v>
      </c>
      <c r="DO165" s="182">
        <f t="shared" si="223"/>
        <v>1920000</v>
      </c>
      <c r="DP165" s="275">
        <v>45899</v>
      </c>
      <c r="DQ165" s="152">
        <f>SUMIF($I:$I,I165,$DJ:$DJ)</f>
        <v>60</v>
      </c>
      <c r="DR165" s="152">
        <f>SUMIF($I:$I,I165,$DK:$DK)</f>
        <v>0</v>
      </c>
      <c r="DS165" s="151"/>
      <c r="DT165" s="275"/>
      <c r="DU165" s="370"/>
      <c r="DV165" s="208"/>
      <c r="DW165" s="208"/>
      <c r="DX165" s="171"/>
      <c r="DY165" s="171"/>
      <c r="DZ165" s="152"/>
      <c r="EA165" s="152"/>
      <c r="EB165" s="153"/>
      <c r="EC165" s="152"/>
      <c r="ED165" s="152"/>
      <c r="EE165" s="396"/>
      <c r="EF165" s="371"/>
      <c r="EG165" s="153"/>
      <c r="EH165" s="153"/>
      <c r="EI165" s="153"/>
      <c r="EJ165" s="153"/>
      <c r="EK165" s="153"/>
      <c r="EL165" s="153"/>
      <c r="EM165" s="153"/>
      <c r="EN165" s="153"/>
      <c r="EO165" s="152">
        <f>SUMIF($I:$I,I165,$EC:$EC)</f>
        <v>0</v>
      </c>
      <c r="EP165" s="151">
        <f>SUMIF($I:$I,I165,$ED:$ED)</f>
        <v>0</v>
      </c>
      <c r="EQ165" s="153"/>
      <c r="ER165" s="153"/>
      <c r="ES165" s="153"/>
      <c r="ET165" s="153"/>
      <c r="EU165" s="152">
        <f t="shared" si="215"/>
        <v>60</v>
      </c>
      <c r="EV165" s="152">
        <f t="shared" si="216"/>
        <v>0</v>
      </c>
      <c r="EW165" s="152">
        <f t="shared" si="217"/>
        <v>0</v>
      </c>
      <c r="EX165" s="152">
        <f t="shared" si="218"/>
        <v>0</v>
      </c>
      <c r="EY165" s="151" t="str">
        <f t="shared" si="219"/>
        <v>Đủ</v>
      </c>
      <c r="EZ165" s="152"/>
      <c r="FA165" s="372"/>
      <c r="FB165" s="373"/>
      <c r="FC165" s="367"/>
      <c r="FD165" s="374"/>
      <c r="FE165" s="183"/>
      <c r="FF165" s="184"/>
      <c r="FG165" s="185"/>
      <c r="FH165" s="185"/>
    </row>
    <row r="166" spans="1:164" s="157" customFormat="1" ht="14" hidden="1" customHeight="1">
      <c r="A166" s="208" t="str">
        <f t="shared" si="180"/>
        <v>Hiện</v>
      </c>
      <c r="B166" s="151" t="str">
        <f>CONCATENATE(EY166," nằm ở mục khác")</f>
        <v>Thiếu nằm ở mục khác</v>
      </c>
      <c r="C166" s="409">
        <f t="shared" si="221"/>
        <v>123</v>
      </c>
      <c r="D166" s="151"/>
      <c r="E166" s="154"/>
      <c r="F166" s="151"/>
      <c r="G166" s="151"/>
      <c r="H166" s="151"/>
      <c r="I166" s="164" t="s">
        <v>639</v>
      </c>
      <c r="J166" s="164" t="s">
        <v>640</v>
      </c>
      <c r="K166" s="247" t="s">
        <v>641</v>
      </c>
      <c r="L166" s="233" t="s">
        <v>642</v>
      </c>
      <c r="M166" s="412" t="s">
        <v>345</v>
      </c>
      <c r="N166" s="163"/>
      <c r="O166" s="178">
        <v>412</v>
      </c>
      <c r="P166" s="172">
        <v>18128.079999999994</v>
      </c>
      <c r="Q166" s="179"/>
      <c r="R166" s="180"/>
      <c r="S166" s="179"/>
      <c r="T166" s="180"/>
      <c r="U166" s="180"/>
      <c r="V166" s="180"/>
      <c r="W166" s="180"/>
      <c r="X166" s="180"/>
      <c r="Y166" s="180"/>
      <c r="Z166" s="180"/>
      <c r="AA166" s="180"/>
      <c r="AB166" s="180"/>
      <c r="AC166" s="180"/>
      <c r="AD166" s="180"/>
      <c r="AE166" s="180">
        <v>412</v>
      </c>
      <c r="AF166" s="180">
        <v>18128.079999999994</v>
      </c>
      <c r="AG166" s="180">
        <v>0</v>
      </c>
      <c r="AH166" s="180">
        <v>0</v>
      </c>
      <c r="AI166" s="162">
        <f>VLOOKUP(I166,'[119]MTO-rev09'!$A:$O,11,0)</f>
        <v>0</v>
      </c>
      <c r="AJ166" s="162">
        <f>VLOOKUP(I166,'[119]MTO-rev09'!$A:$O,12,0)</f>
        <v>0</v>
      </c>
      <c r="AK166" s="162">
        <v>0</v>
      </c>
      <c r="AL166" s="162">
        <v>0</v>
      </c>
      <c r="AM166" s="162"/>
      <c r="AN166" s="162"/>
      <c r="AO166" s="162">
        <v>0</v>
      </c>
      <c r="AP166" s="162">
        <v>0</v>
      </c>
      <c r="AQ166" s="162">
        <v>0</v>
      </c>
      <c r="AR166" s="162">
        <v>0</v>
      </c>
      <c r="AS166" s="162">
        <v>0</v>
      </c>
      <c r="AT166" s="162">
        <v>0</v>
      </c>
      <c r="AU166" s="162">
        <v>0</v>
      </c>
      <c r="AV166" s="162">
        <v>0</v>
      </c>
      <c r="AW166" s="162">
        <v>0</v>
      </c>
      <c r="AX166" s="162">
        <v>0</v>
      </c>
      <c r="AY166" s="162">
        <v>0</v>
      </c>
      <c r="AZ166" s="162">
        <v>0</v>
      </c>
      <c r="BA166" s="162"/>
      <c r="BB166" s="162"/>
      <c r="BC166" s="162">
        <v>0</v>
      </c>
      <c r="BD166" s="162">
        <v>0</v>
      </c>
      <c r="BE166" s="162">
        <v>0</v>
      </c>
      <c r="BF166" s="162">
        <v>0</v>
      </c>
      <c r="BG166" s="162">
        <v>0</v>
      </c>
      <c r="BH166" s="162">
        <v>0</v>
      </c>
      <c r="BI166" s="162">
        <v>0</v>
      </c>
      <c r="BJ166" s="162">
        <v>0</v>
      </c>
      <c r="BK166" s="162">
        <v>0</v>
      </c>
      <c r="BL166" s="162">
        <v>0</v>
      </c>
      <c r="BM166" s="162">
        <v>0</v>
      </c>
      <c r="BN166" s="162">
        <v>0</v>
      </c>
      <c r="BO166" s="162"/>
      <c r="BP166" s="162"/>
      <c r="BQ166" s="162">
        <v>0</v>
      </c>
      <c r="BR166" s="162">
        <v>0</v>
      </c>
      <c r="BS166" s="162">
        <v>0</v>
      </c>
      <c r="BT166" s="162">
        <v>0</v>
      </c>
      <c r="BU166" s="162">
        <v>-203</v>
      </c>
      <c r="BV166" s="162">
        <v>-9064.0400000000009</v>
      </c>
      <c r="BW166" s="162"/>
      <c r="BX166" s="162"/>
      <c r="BY166" s="162">
        <v>0</v>
      </c>
      <c r="BZ166" s="162">
        <v>0</v>
      </c>
      <c r="CA166" s="162">
        <v>0</v>
      </c>
      <c r="CB166" s="162">
        <v>0</v>
      </c>
      <c r="CC166" s="162">
        <v>0</v>
      </c>
      <c r="CD166" s="162">
        <v>0</v>
      </c>
      <c r="CE166" s="162">
        <f>VLOOKUP(I166,[120]REV33!$A:$O,11,0)</f>
        <v>0</v>
      </c>
      <c r="CF166" s="162">
        <f>VLOOKUP(I166,[120]REV33!$A:$O,12,0)</f>
        <v>0</v>
      </c>
      <c r="CG166" s="162"/>
      <c r="CH166" s="162"/>
      <c r="CI166" s="162"/>
      <c r="CJ166" s="162"/>
      <c r="CK166" s="162"/>
      <c r="CL166" s="162"/>
      <c r="CM166" s="162"/>
      <c r="CN166" s="162"/>
      <c r="CO166" s="162">
        <v>0</v>
      </c>
      <c r="CP166" s="162">
        <v>0</v>
      </c>
      <c r="CQ166" s="162">
        <v>0</v>
      </c>
      <c r="CR166" s="162">
        <v>0</v>
      </c>
      <c r="CS166" s="209">
        <f>Q166+S166+U166+W166+Y166+AA166+AC166+AE166+AG166+AI166+AK166+AM166+AO166+AQ166+AS166+AU166+AW166+AY166+BA166+BC166+BE166+BG166+BI166+BK166+BM166+BO166+BQ166+BS166+BU166+BW166+BY166+CA166+CC166+CE166+CG166+CI166+CK166+CM166+CO166+CQ166</f>
        <v>209</v>
      </c>
      <c r="CT166" s="209">
        <f>R166+T166+V166+X166+Z166+AB166+AD166+AF166+AH166+AJ166+AL166+AN166+AP166+AR166+AT166+AV166+AX166+AZ166+BB166+BD166+BF166+BH166+BJ166+BL166+BN166+BP166+BR166+BT166+BV166+BX166+BZ166+CB166+CD166+CF166+CH166+CJ166+CL166+CN166+CP166+CR166</f>
        <v>9064.0399999999936</v>
      </c>
      <c r="CU166" s="375" t="s">
        <v>2236</v>
      </c>
      <c r="CV166" s="208"/>
      <c r="CW166" s="152"/>
      <c r="CX166" s="152"/>
      <c r="CY166" s="208"/>
      <c r="CZ166" s="208"/>
      <c r="DA166" s="152">
        <f t="shared" si="213"/>
        <v>209</v>
      </c>
      <c r="DB166" s="152">
        <f t="shared" si="214"/>
        <v>9064.0399999999936</v>
      </c>
      <c r="DC166" s="153"/>
      <c r="DD166" s="414" t="s">
        <v>1411</v>
      </c>
      <c r="DE166" s="376" t="s">
        <v>1410</v>
      </c>
      <c r="DF166" s="376" t="s">
        <v>1396</v>
      </c>
      <c r="DG166" s="368"/>
      <c r="DH166" s="181" t="s">
        <v>477</v>
      </c>
      <c r="DI166" s="153">
        <v>45895</v>
      </c>
      <c r="DJ166" s="1000">
        <v>2</v>
      </c>
      <c r="DK166" s="181" t="s">
        <v>477</v>
      </c>
      <c r="DL166" s="182">
        <v>1400000</v>
      </c>
      <c r="DM166" s="181">
        <f t="shared" ref="DM166:DM181" si="224">DL166*DJ166*1.08</f>
        <v>3024000</v>
      </c>
      <c r="DN166" s="446">
        <f t="shared" si="222"/>
        <v>0.08</v>
      </c>
      <c r="DO166" s="182">
        <f t="shared" si="223"/>
        <v>2800000</v>
      </c>
      <c r="DP166" s="275">
        <v>45938</v>
      </c>
      <c r="DQ166" s="152">
        <f>SUMIF($I:$I,I166,$DJ:$DJ)</f>
        <v>86</v>
      </c>
      <c r="DR166" s="152">
        <f>SUMIF($I:$I,I166,$DK:$DK)</f>
        <v>0</v>
      </c>
      <c r="DS166" s="151"/>
      <c r="DT166" s="275"/>
      <c r="DU166" s="370"/>
      <c r="DV166" s="208"/>
      <c r="DW166" s="208"/>
      <c r="DX166" s="171"/>
      <c r="DY166" s="171"/>
      <c r="DZ166" s="152"/>
      <c r="EA166" s="152"/>
      <c r="EB166" s="153"/>
      <c r="EC166" s="152"/>
      <c r="ED166" s="152"/>
      <c r="EE166" s="396"/>
      <c r="EF166" s="371"/>
      <c r="EG166" s="153"/>
      <c r="EH166" s="153"/>
      <c r="EI166" s="153"/>
      <c r="EJ166" s="153"/>
      <c r="EK166" s="153"/>
      <c r="EL166" s="153"/>
      <c r="EM166" s="153"/>
      <c r="EN166" s="153"/>
      <c r="EO166" s="152">
        <f>SUMIF($I:$I,I166,$EC:$EC)</f>
        <v>0</v>
      </c>
      <c r="EP166" s="151">
        <f>SUMIF($I:$I,I166,$ED:$ED)</f>
        <v>0</v>
      </c>
      <c r="EQ166" s="153"/>
      <c r="ER166" s="153"/>
      <c r="ES166" s="153"/>
      <c r="ET166" s="153"/>
      <c r="EU166" s="152">
        <f t="shared" si="215"/>
        <v>86</v>
      </c>
      <c r="EV166" s="152">
        <f t="shared" si="216"/>
        <v>0</v>
      </c>
      <c r="EW166" s="152">
        <f t="shared" si="217"/>
        <v>123</v>
      </c>
      <c r="EX166" s="152">
        <f t="shared" si="218"/>
        <v>9064.0399999999936</v>
      </c>
      <c r="EY166" s="151" t="str">
        <f t="shared" si="219"/>
        <v>Thiếu</v>
      </c>
      <c r="EZ166" s="152"/>
      <c r="FA166" s="372"/>
      <c r="FB166" s="373"/>
      <c r="FC166" s="367"/>
      <c r="FD166" s="374"/>
      <c r="FE166" s="183"/>
      <c r="FF166" s="184"/>
      <c r="FG166" s="185"/>
      <c r="FH166" s="185"/>
    </row>
    <row r="167" spans="1:164" s="157" customFormat="1" ht="14" hidden="1" customHeight="1">
      <c r="A167" s="208" t="str">
        <f t="shared" si="180"/>
        <v>ok</v>
      </c>
      <c r="B167" s="151"/>
      <c r="C167" s="409"/>
      <c r="D167" s="151"/>
      <c r="E167" s="400"/>
      <c r="F167" s="151"/>
      <c r="G167" s="151"/>
      <c r="H167" s="151"/>
      <c r="I167" s="171" t="s">
        <v>639</v>
      </c>
      <c r="J167" s="164" t="s">
        <v>640</v>
      </c>
      <c r="K167" s="247" t="s">
        <v>641</v>
      </c>
      <c r="L167" s="233" t="s">
        <v>642</v>
      </c>
      <c r="M167" s="412" t="s">
        <v>345</v>
      </c>
      <c r="N167" s="163"/>
      <c r="O167" s="178"/>
      <c r="P167" s="172"/>
      <c r="Q167" s="179"/>
      <c r="R167" s="180"/>
      <c r="S167" s="179"/>
      <c r="T167" s="180"/>
      <c r="U167" s="180"/>
      <c r="V167" s="180"/>
      <c r="W167" s="180"/>
      <c r="X167" s="180"/>
      <c r="Y167" s="180"/>
      <c r="Z167" s="180"/>
      <c r="AA167" s="180"/>
      <c r="AB167" s="180"/>
      <c r="AC167" s="180"/>
      <c r="AD167" s="180"/>
      <c r="AE167" s="180"/>
      <c r="AF167" s="180"/>
      <c r="AG167" s="180"/>
      <c r="AH167" s="180"/>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209"/>
      <c r="CT167" s="209"/>
      <c r="CU167" s="375"/>
      <c r="CV167" s="208"/>
      <c r="CW167" s="152"/>
      <c r="CX167" s="152"/>
      <c r="CY167" s="208"/>
      <c r="CZ167" s="208"/>
      <c r="DA167" s="152"/>
      <c r="DB167" s="152"/>
      <c r="DC167" s="153"/>
      <c r="DD167" s="414" t="s">
        <v>1411</v>
      </c>
      <c r="DE167" s="376" t="s">
        <v>1410</v>
      </c>
      <c r="DF167" s="376" t="s">
        <v>1397</v>
      </c>
      <c r="DG167" s="368"/>
      <c r="DH167" s="181" t="s">
        <v>477</v>
      </c>
      <c r="DI167" s="153">
        <v>45895</v>
      </c>
      <c r="DJ167" s="1000">
        <v>2</v>
      </c>
      <c r="DK167" s="181" t="s">
        <v>477</v>
      </c>
      <c r="DL167" s="182">
        <v>1513000</v>
      </c>
      <c r="DM167" s="181">
        <f t="shared" si="224"/>
        <v>3268080</v>
      </c>
      <c r="DN167" s="446">
        <f t="shared" si="222"/>
        <v>0.08</v>
      </c>
      <c r="DO167" s="182">
        <f t="shared" si="223"/>
        <v>3026000</v>
      </c>
      <c r="DP167" s="275">
        <v>45938</v>
      </c>
      <c r="DQ167" s="152"/>
      <c r="DR167" s="152"/>
      <c r="DS167" s="151"/>
      <c r="DT167" s="275"/>
      <c r="DU167" s="370"/>
      <c r="DV167" s="208"/>
      <c r="DW167" s="208"/>
      <c r="DX167" s="171"/>
      <c r="DY167" s="171"/>
      <c r="DZ167" s="152"/>
      <c r="EA167" s="152"/>
      <c r="EB167" s="153"/>
      <c r="EC167" s="152"/>
      <c r="ED167" s="152"/>
      <c r="EE167" s="396"/>
      <c r="EF167" s="371"/>
      <c r="EG167" s="153"/>
      <c r="EH167" s="153"/>
      <c r="EI167" s="153"/>
      <c r="EJ167" s="153"/>
      <c r="EK167" s="153"/>
      <c r="EL167" s="153"/>
      <c r="EM167" s="153"/>
      <c r="EN167" s="153"/>
      <c r="EO167" s="152"/>
      <c r="EP167" s="151"/>
      <c r="EQ167" s="153"/>
      <c r="ER167" s="153"/>
      <c r="ES167" s="153"/>
      <c r="ET167" s="153"/>
      <c r="EU167" s="152"/>
      <c r="EV167" s="152"/>
      <c r="EW167" s="152"/>
      <c r="EX167" s="152"/>
      <c r="EY167" s="151"/>
      <c r="EZ167" s="152"/>
      <c r="FA167" s="372"/>
      <c r="FB167" s="373"/>
      <c r="FC167" s="367"/>
      <c r="FD167" s="374"/>
      <c r="FE167" s="183"/>
      <c r="FF167" s="184"/>
      <c r="FG167" s="185"/>
      <c r="FH167" s="185"/>
    </row>
    <row r="168" spans="1:164" s="157" customFormat="1" ht="14" hidden="1" customHeight="1">
      <c r="A168" s="208" t="str">
        <f t="shared" si="180"/>
        <v>ok</v>
      </c>
      <c r="B168" s="151"/>
      <c r="C168" s="409"/>
      <c r="D168" s="151"/>
      <c r="E168" s="400"/>
      <c r="F168" s="151"/>
      <c r="G168" s="151"/>
      <c r="H168" s="151"/>
      <c r="I168" s="171" t="s">
        <v>639</v>
      </c>
      <c r="J168" s="164" t="s">
        <v>640</v>
      </c>
      <c r="K168" s="247" t="s">
        <v>641</v>
      </c>
      <c r="L168" s="233" t="s">
        <v>642</v>
      </c>
      <c r="M168" s="412" t="s">
        <v>345</v>
      </c>
      <c r="N168" s="163"/>
      <c r="O168" s="178"/>
      <c r="P168" s="172"/>
      <c r="Q168" s="179"/>
      <c r="R168" s="180"/>
      <c r="S168" s="179"/>
      <c r="T168" s="180"/>
      <c r="U168" s="180"/>
      <c r="V168" s="180"/>
      <c r="W168" s="180"/>
      <c r="X168" s="180"/>
      <c r="Y168" s="180"/>
      <c r="Z168" s="180"/>
      <c r="AA168" s="180"/>
      <c r="AB168" s="180"/>
      <c r="AC168" s="180"/>
      <c r="AD168" s="180"/>
      <c r="AE168" s="180"/>
      <c r="AF168" s="180"/>
      <c r="AG168" s="180"/>
      <c r="AH168" s="180"/>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209"/>
      <c r="CT168" s="209"/>
      <c r="CU168" s="375"/>
      <c r="CV168" s="208"/>
      <c r="CW168" s="152"/>
      <c r="CX168" s="152"/>
      <c r="CY168" s="208"/>
      <c r="CZ168" s="208"/>
      <c r="DA168" s="152"/>
      <c r="DB168" s="152"/>
      <c r="DC168" s="153"/>
      <c r="DD168" s="414" t="s">
        <v>1411</v>
      </c>
      <c r="DE168" s="376" t="s">
        <v>1410</v>
      </c>
      <c r="DF168" s="376" t="s">
        <v>1397</v>
      </c>
      <c r="DG168" s="368"/>
      <c r="DH168" s="181" t="s">
        <v>477</v>
      </c>
      <c r="DI168" s="153">
        <v>45895</v>
      </c>
      <c r="DJ168" s="1000">
        <v>2</v>
      </c>
      <c r="DK168" s="181" t="s">
        <v>477</v>
      </c>
      <c r="DL168" s="182">
        <v>1513000</v>
      </c>
      <c r="DM168" s="181">
        <f t="shared" si="224"/>
        <v>3268080</v>
      </c>
      <c r="DN168" s="446">
        <f t="shared" si="222"/>
        <v>0.08</v>
      </c>
      <c r="DO168" s="182">
        <f t="shared" si="223"/>
        <v>3026000</v>
      </c>
      <c r="DP168" s="275">
        <v>45938</v>
      </c>
      <c r="DQ168" s="152"/>
      <c r="DR168" s="152"/>
      <c r="DS168" s="151"/>
      <c r="DT168" s="275"/>
      <c r="DU168" s="370"/>
      <c r="DV168" s="208"/>
      <c r="DW168" s="208"/>
      <c r="DX168" s="171"/>
      <c r="DY168" s="171"/>
      <c r="DZ168" s="152"/>
      <c r="EA168" s="152"/>
      <c r="EB168" s="153"/>
      <c r="EC168" s="152"/>
      <c r="ED168" s="152"/>
      <c r="EE168" s="396"/>
      <c r="EF168" s="371"/>
      <c r="EG168" s="153"/>
      <c r="EH168" s="153"/>
      <c r="EI168" s="153"/>
      <c r="EJ168" s="153"/>
      <c r="EK168" s="153"/>
      <c r="EL168" s="153"/>
      <c r="EM168" s="153"/>
      <c r="EN168" s="153"/>
      <c r="EO168" s="152"/>
      <c r="EP168" s="151"/>
      <c r="EQ168" s="153"/>
      <c r="ER168" s="153"/>
      <c r="ES168" s="153"/>
      <c r="ET168" s="153"/>
      <c r="EU168" s="152"/>
      <c r="EV168" s="152"/>
      <c r="EW168" s="152"/>
      <c r="EX168" s="152"/>
      <c r="EY168" s="151"/>
      <c r="EZ168" s="152"/>
      <c r="FA168" s="372"/>
      <c r="FB168" s="373"/>
      <c r="FC168" s="367"/>
      <c r="FD168" s="374"/>
      <c r="FE168" s="183"/>
      <c r="FF168" s="184"/>
      <c r="FG168" s="185"/>
      <c r="FH168" s="185"/>
    </row>
    <row r="169" spans="1:164" s="157" customFormat="1" ht="14" hidden="1" customHeight="1">
      <c r="A169" s="208" t="str">
        <f t="shared" si="180"/>
        <v>ok</v>
      </c>
      <c r="B169" s="151"/>
      <c r="C169" s="409"/>
      <c r="D169" s="151"/>
      <c r="E169" s="400"/>
      <c r="F169" s="151"/>
      <c r="G169" s="151"/>
      <c r="H169" s="151"/>
      <c r="I169" s="171" t="s">
        <v>639</v>
      </c>
      <c r="J169" s="164" t="s">
        <v>640</v>
      </c>
      <c r="K169" s="247" t="s">
        <v>641</v>
      </c>
      <c r="L169" s="233" t="s">
        <v>642</v>
      </c>
      <c r="M169" s="412" t="s">
        <v>345</v>
      </c>
      <c r="N169" s="163"/>
      <c r="O169" s="178"/>
      <c r="P169" s="172"/>
      <c r="Q169" s="179"/>
      <c r="R169" s="180"/>
      <c r="S169" s="179"/>
      <c r="T169" s="180"/>
      <c r="U169" s="180"/>
      <c r="V169" s="180"/>
      <c r="W169" s="180"/>
      <c r="X169" s="180"/>
      <c r="Y169" s="180"/>
      <c r="Z169" s="180"/>
      <c r="AA169" s="180"/>
      <c r="AB169" s="180"/>
      <c r="AC169" s="180"/>
      <c r="AD169" s="180"/>
      <c r="AE169" s="180"/>
      <c r="AF169" s="180"/>
      <c r="AG169" s="180"/>
      <c r="AH169" s="180"/>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209"/>
      <c r="CT169" s="209"/>
      <c r="CU169" s="375"/>
      <c r="CV169" s="208"/>
      <c r="CW169" s="152"/>
      <c r="CX169" s="152"/>
      <c r="CY169" s="208"/>
      <c r="CZ169" s="208"/>
      <c r="DA169" s="152"/>
      <c r="DB169" s="152"/>
      <c r="DC169" s="153"/>
      <c r="DD169" s="414" t="s">
        <v>1411</v>
      </c>
      <c r="DE169" s="376" t="s">
        <v>1410</v>
      </c>
      <c r="DF169" s="376" t="s">
        <v>1398</v>
      </c>
      <c r="DG169" s="368"/>
      <c r="DH169" s="181" t="s">
        <v>477</v>
      </c>
      <c r="DI169" s="153">
        <v>45895</v>
      </c>
      <c r="DJ169" s="1000">
        <v>8</v>
      </c>
      <c r="DK169" s="181" t="s">
        <v>477</v>
      </c>
      <c r="DL169" s="182">
        <v>888000</v>
      </c>
      <c r="DM169" s="181">
        <f t="shared" si="224"/>
        <v>7672320.0000000009</v>
      </c>
      <c r="DN169" s="446">
        <f t="shared" si="222"/>
        <v>8.0000000000000127E-2</v>
      </c>
      <c r="DO169" s="182">
        <f t="shared" si="223"/>
        <v>7104000</v>
      </c>
      <c r="DP169" s="275">
        <v>45938</v>
      </c>
      <c r="DQ169" s="152"/>
      <c r="DR169" s="152"/>
      <c r="DS169" s="151"/>
      <c r="DT169" s="275"/>
      <c r="DU169" s="370"/>
      <c r="DV169" s="208"/>
      <c r="DW169" s="208"/>
      <c r="DX169" s="171"/>
      <c r="DY169" s="171"/>
      <c r="DZ169" s="152"/>
      <c r="EA169" s="152"/>
      <c r="EB169" s="153"/>
      <c r="EC169" s="152"/>
      <c r="ED169" s="152"/>
      <c r="EE169" s="396"/>
      <c r="EF169" s="371"/>
      <c r="EG169" s="153"/>
      <c r="EH169" s="153"/>
      <c r="EI169" s="153"/>
      <c r="EJ169" s="153"/>
      <c r="EK169" s="153"/>
      <c r="EL169" s="153"/>
      <c r="EM169" s="153"/>
      <c r="EN169" s="153"/>
      <c r="EO169" s="152"/>
      <c r="EP169" s="151"/>
      <c r="EQ169" s="153"/>
      <c r="ER169" s="153"/>
      <c r="ES169" s="153"/>
      <c r="ET169" s="153"/>
      <c r="EU169" s="152"/>
      <c r="EV169" s="152"/>
      <c r="EW169" s="152"/>
      <c r="EX169" s="152"/>
      <c r="EY169" s="151"/>
      <c r="EZ169" s="152"/>
      <c r="FA169" s="372"/>
      <c r="FB169" s="373"/>
      <c r="FC169" s="367"/>
      <c r="FD169" s="374"/>
      <c r="FE169" s="183"/>
      <c r="FF169" s="184"/>
      <c r="FG169" s="185"/>
      <c r="FH169" s="185"/>
    </row>
    <row r="170" spans="1:164" s="157" customFormat="1" ht="14" hidden="1" customHeight="1">
      <c r="A170" s="208" t="str">
        <f t="shared" si="180"/>
        <v>ok</v>
      </c>
      <c r="B170" s="151"/>
      <c r="C170" s="409"/>
      <c r="D170" s="151"/>
      <c r="E170" s="400"/>
      <c r="F170" s="151"/>
      <c r="G170" s="151"/>
      <c r="H170" s="151"/>
      <c r="I170" s="171" t="s">
        <v>639</v>
      </c>
      <c r="J170" s="164" t="s">
        <v>640</v>
      </c>
      <c r="K170" s="247" t="s">
        <v>641</v>
      </c>
      <c r="L170" s="233" t="s">
        <v>642</v>
      </c>
      <c r="M170" s="412" t="s">
        <v>345</v>
      </c>
      <c r="N170" s="163"/>
      <c r="O170" s="178"/>
      <c r="P170" s="172"/>
      <c r="Q170" s="179"/>
      <c r="R170" s="180"/>
      <c r="S170" s="179"/>
      <c r="T170" s="180"/>
      <c r="U170" s="180"/>
      <c r="V170" s="180"/>
      <c r="W170" s="180"/>
      <c r="X170" s="180"/>
      <c r="Y170" s="180"/>
      <c r="Z170" s="180"/>
      <c r="AA170" s="180"/>
      <c r="AB170" s="180"/>
      <c r="AC170" s="180"/>
      <c r="AD170" s="180"/>
      <c r="AE170" s="180"/>
      <c r="AF170" s="180"/>
      <c r="AG170" s="180"/>
      <c r="AH170" s="180"/>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209"/>
      <c r="CT170" s="209"/>
      <c r="CU170" s="375"/>
      <c r="CV170" s="208"/>
      <c r="CW170" s="152"/>
      <c r="CX170" s="152"/>
      <c r="CY170" s="208"/>
      <c r="CZ170" s="208"/>
      <c r="DA170" s="152"/>
      <c r="DB170" s="152"/>
      <c r="DC170" s="153"/>
      <c r="DD170" s="414" t="s">
        <v>1411</v>
      </c>
      <c r="DE170" s="376" t="s">
        <v>1410</v>
      </c>
      <c r="DF170" s="376" t="s">
        <v>1399</v>
      </c>
      <c r="DG170" s="368"/>
      <c r="DH170" s="181" t="s">
        <v>477</v>
      </c>
      <c r="DI170" s="153">
        <v>45895</v>
      </c>
      <c r="DJ170" s="1000">
        <v>2</v>
      </c>
      <c r="DK170" s="181" t="s">
        <v>477</v>
      </c>
      <c r="DL170" s="182">
        <v>1445000</v>
      </c>
      <c r="DM170" s="181">
        <f t="shared" si="224"/>
        <v>3121200</v>
      </c>
      <c r="DN170" s="446">
        <f t="shared" si="222"/>
        <v>0.08</v>
      </c>
      <c r="DO170" s="182">
        <f t="shared" si="223"/>
        <v>2890000</v>
      </c>
      <c r="DP170" s="275">
        <v>45938</v>
      </c>
      <c r="DQ170" s="152"/>
      <c r="DR170" s="152"/>
      <c r="DS170" s="151"/>
      <c r="DT170" s="275"/>
      <c r="DU170" s="370"/>
      <c r="DV170" s="208"/>
      <c r="DW170" s="208"/>
      <c r="DX170" s="171"/>
      <c r="DY170" s="171"/>
      <c r="DZ170" s="152"/>
      <c r="EA170" s="152"/>
      <c r="EB170" s="153"/>
      <c r="EC170" s="152"/>
      <c r="ED170" s="152"/>
      <c r="EE170" s="396"/>
      <c r="EF170" s="371"/>
      <c r="EG170" s="153"/>
      <c r="EH170" s="153"/>
      <c r="EI170" s="153"/>
      <c r="EJ170" s="153"/>
      <c r="EK170" s="153"/>
      <c r="EL170" s="153"/>
      <c r="EM170" s="153"/>
      <c r="EN170" s="153"/>
      <c r="EO170" s="152"/>
      <c r="EP170" s="151"/>
      <c r="EQ170" s="153"/>
      <c r="ER170" s="153"/>
      <c r="ES170" s="153"/>
      <c r="ET170" s="153"/>
      <c r="EU170" s="152"/>
      <c r="EV170" s="152"/>
      <c r="EW170" s="152"/>
      <c r="EX170" s="152"/>
      <c r="EY170" s="151"/>
      <c r="EZ170" s="152"/>
      <c r="FA170" s="372"/>
      <c r="FB170" s="373"/>
      <c r="FC170" s="367"/>
      <c r="FD170" s="374"/>
      <c r="FE170" s="183"/>
      <c r="FF170" s="184"/>
      <c r="FG170" s="185"/>
      <c r="FH170" s="185"/>
    </row>
    <row r="171" spans="1:164" s="157" customFormat="1" ht="14" hidden="1" customHeight="1">
      <c r="A171" s="208" t="str">
        <f t="shared" si="180"/>
        <v>ok</v>
      </c>
      <c r="B171" s="151"/>
      <c r="C171" s="409"/>
      <c r="D171" s="151"/>
      <c r="E171" s="400"/>
      <c r="F171" s="151"/>
      <c r="G171" s="151"/>
      <c r="H171" s="151"/>
      <c r="I171" s="171" t="s">
        <v>639</v>
      </c>
      <c r="J171" s="164" t="s">
        <v>640</v>
      </c>
      <c r="K171" s="247" t="s">
        <v>641</v>
      </c>
      <c r="L171" s="233" t="s">
        <v>642</v>
      </c>
      <c r="M171" s="412" t="s">
        <v>345</v>
      </c>
      <c r="N171" s="163"/>
      <c r="O171" s="178"/>
      <c r="P171" s="172"/>
      <c r="Q171" s="179"/>
      <c r="R171" s="180"/>
      <c r="S171" s="179"/>
      <c r="T171" s="180"/>
      <c r="U171" s="180"/>
      <c r="V171" s="180"/>
      <c r="W171" s="180"/>
      <c r="X171" s="180"/>
      <c r="Y171" s="180"/>
      <c r="Z171" s="180"/>
      <c r="AA171" s="180"/>
      <c r="AB171" s="180"/>
      <c r="AC171" s="180"/>
      <c r="AD171" s="180"/>
      <c r="AE171" s="180"/>
      <c r="AF171" s="180"/>
      <c r="AG171" s="180"/>
      <c r="AH171" s="180"/>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209"/>
      <c r="CT171" s="209"/>
      <c r="CU171" s="375"/>
      <c r="CV171" s="208"/>
      <c r="CW171" s="152"/>
      <c r="CX171" s="152"/>
      <c r="CY171" s="208"/>
      <c r="CZ171" s="208"/>
      <c r="DA171" s="152"/>
      <c r="DB171" s="152"/>
      <c r="DC171" s="153"/>
      <c r="DD171" s="414" t="s">
        <v>1411</v>
      </c>
      <c r="DE171" s="376" t="s">
        <v>1410</v>
      </c>
      <c r="DF171" s="376" t="s">
        <v>1398</v>
      </c>
      <c r="DG171" s="368"/>
      <c r="DH171" s="181" t="s">
        <v>477</v>
      </c>
      <c r="DI171" s="153">
        <v>45895</v>
      </c>
      <c r="DJ171" s="1000">
        <v>8</v>
      </c>
      <c r="DK171" s="181" t="s">
        <v>477</v>
      </c>
      <c r="DL171" s="182">
        <v>888000</v>
      </c>
      <c r="DM171" s="181">
        <f t="shared" si="224"/>
        <v>7672320.0000000009</v>
      </c>
      <c r="DN171" s="446">
        <f t="shared" si="222"/>
        <v>8.0000000000000127E-2</v>
      </c>
      <c r="DO171" s="182">
        <f t="shared" si="223"/>
        <v>7104000</v>
      </c>
      <c r="DP171" s="275">
        <v>45938</v>
      </c>
      <c r="DQ171" s="152"/>
      <c r="DR171" s="152"/>
      <c r="DS171" s="151"/>
      <c r="DT171" s="275"/>
      <c r="DU171" s="370"/>
      <c r="DV171" s="208"/>
      <c r="DW171" s="208"/>
      <c r="DX171" s="171"/>
      <c r="DY171" s="171"/>
      <c r="DZ171" s="152"/>
      <c r="EA171" s="152"/>
      <c r="EB171" s="153"/>
      <c r="EC171" s="152"/>
      <c r="ED171" s="152"/>
      <c r="EE171" s="396"/>
      <c r="EF171" s="371"/>
      <c r="EG171" s="153"/>
      <c r="EH171" s="153"/>
      <c r="EI171" s="153"/>
      <c r="EJ171" s="153"/>
      <c r="EK171" s="153"/>
      <c r="EL171" s="153"/>
      <c r="EM171" s="153"/>
      <c r="EN171" s="153"/>
      <c r="EO171" s="152"/>
      <c r="EP171" s="151"/>
      <c r="EQ171" s="153"/>
      <c r="ER171" s="153"/>
      <c r="ES171" s="153"/>
      <c r="ET171" s="153"/>
      <c r="EU171" s="152"/>
      <c r="EV171" s="152"/>
      <c r="EW171" s="152"/>
      <c r="EX171" s="152"/>
      <c r="EY171" s="151"/>
      <c r="EZ171" s="152"/>
      <c r="FA171" s="372"/>
      <c r="FB171" s="373"/>
      <c r="FC171" s="367"/>
      <c r="FD171" s="374"/>
      <c r="FE171" s="183"/>
      <c r="FF171" s="184"/>
      <c r="FG171" s="185"/>
      <c r="FH171" s="185"/>
    </row>
    <row r="172" spans="1:164" s="157" customFormat="1" ht="14" hidden="1" customHeight="1">
      <c r="A172" s="208" t="str">
        <f t="shared" si="180"/>
        <v>ok</v>
      </c>
      <c r="B172" s="151"/>
      <c r="C172" s="409"/>
      <c r="D172" s="151"/>
      <c r="E172" s="400"/>
      <c r="F172" s="151"/>
      <c r="G172" s="151"/>
      <c r="H172" s="151"/>
      <c r="I172" s="171" t="s">
        <v>639</v>
      </c>
      <c r="J172" s="164" t="s">
        <v>640</v>
      </c>
      <c r="K172" s="247" t="s">
        <v>641</v>
      </c>
      <c r="L172" s="233" t="s">
        <v>642</v>
      </c>
      <c r="M172" s="412" t="s">
        <v>345</v>
      </c>
      <c r="N172" s="163"/>
      <c r="O172" s="178"/>
      <c r="P172" s="172"/>
      <c r="Q172" s="179"/>
      <c r="R172" s="180"/>
      <c r="S172" s="179"/>
      <c r="T172" s="180"/>
      <c r="U172" s="180"/>
      <c r="V172" s="180"/>
      <c r="W172" s="180"/>
      <c r="X172" s="180"/>
      <c r="Y172" s="180"/>
      <c r="Z172" s="180"/>
      <c r="AA172" s="180"/>
      <c r="AB172" s="180"/>
      <c r="AC172" s="180"/>
      <c r="AD172" s="180"/>
      <c r="AE172" s="180"/>
      <c r="AF172" s="180"/>
      <c r="AG172" s="180"/>
      <c r="AH172" s="180"/>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209"/>
      <c r="CT172" s="209"/>
      <c r="CU172" s="375"/>
      <c r="CV172" s="208"/>
      <c r="CW172" s="152"/>
      <c r="CX172" s="152"/>
      <c r="CY172" s="208"/>
      <c r="CZ172" s="208"/>
      <c r="DA172" s="152"/>
      <c r="DB172" s="152"/>
      <c r="DC172" s="153"/>
      <c r="DD172" s="414" t="s">
        <v>1411</v>
      </c>
      <c r="DE172" s="376" t="s">
        <v>1410</v>
      </c>
      <c r="DF172" s="376" t="s">
        <v>1400</v>
      </c>
      <c r="DG172" s="368"/>
      <c r="DH172" s="181" t="s">
        <v>477</v>
      </c>
      <c r="DI172" s="153">
        <v>45895</v>
      </c>
      <c r="DJ172" s="1000">
        <v>30</v>
      </c>
      <c r="DK172" s="181" t="s">
        <v>477</v>
      </c>
      <c r="DL172" s="182">
        <v>1495000</v>
      </c>
      <c r="DM172" s="181">
        <f t="shared" si="224"/>
        <v>48438000</v>
      </c>
      <c r="DN172" s="446">
        <f t="shared" si="222"/>
        <v>0.08</v>
      </c>
      <c r="DO172" s="182">
        <f t="shared" si="223"/>
        <v>44850000</v>
      </c>
      <c r="DP172" s="275">
        <v>45938</v>
      </c>
      <c r="DQ172" s="152"/>
      <c r="DR172" s="152"/>
      <c r="DS172" s="151"/>
      <c r="DT172" s="275"/>
      <c r="DU172" s="370"/>
      <c r="DV172" s="208"/>
      <c r="DW172" s="208"/>
      <c r="DX172" s="171"/>
      <c r="DY172" s="171"/>
      <c r="DZ172" s="152"/>
      <c r="EA172" s="152"/>
      <c r="EB172" s="153"/>
      <c r="EC172" s="152"/>
      <c r="ED172" s="152"/>
      <c r="EE172" s="396"/>
      <c r="EF172" s="371"/>
      <c r="EG172" s="153"/>
      <c r="EH172" s="153"/>
      <c r="EI172" s="153"/>
      <c r="EJ172" s="153"/>
      <c r="EK172" s="153"/>
      <c r="EL172" s="153"/>
      <c r="EM172" s="153"/>
      <c r="EN172" s="153"/>
      <c r="EO172" s="152"/>
      <c r="EP172" s="151"/>
      <c r="EQ172" s="153"/>
      <c r="ER172" s="153"/>
      <c r="ES172" s="153"/>
      <c r="ET172" s="153"/>
      <c r="EU172" s="152"/>
      <c r="EV172" s="152"/>
      <c r="EW172" s="152"/>
      <c r="EX172" s="152"/>
      <c r="EY172" s="151"/>
      <c r="EZ172" s="152"/>
      <c r="FA172" s="372"/>
      <c r="FB172" s="373"/>
      <c r="FC172" s="367"/>
      <c r="FD172" s="374"/>
      <c r="FE172" s="183"/>
      <c r="FF172" s="184"/>
      <c r="FG172" s="185"/>
      <c r="FH172" s="185"/>
    </row>
    <row r="173" spans="1:164" s="157" customFormat="1" ht="14" hidden="1" customHeight="1">
      <c r="A173" s="208" t="str">
        <f t="shared" si="180"/>
        <v>ok</v>
      </c>
      <c r="B173" s="151"/>
      <c r="C173" s="409"/>
      <c r="D173" s="151"/>
      <c r="E173" s="400"/>
      <c r="F173" s="151"/>
      <c r="G173" s="151"/>
      <c r="H173" s="151"/>
      <c r="I173" s="171" t="s">
        <v>639</v>
      </c>
      <c r="J173" s="164" t="s">
        <v>640</v>
      </c>
      <c r="K173" s="247" t="s">
        <v>641</v>
      </c>
      <c r="L173" s="233" t="s">
        <v>642</v>
      </c>
      <c r="M173" s="412" t="s">
        <v>345</v>
      </c>
      <c r="N173" s="163"/>
      <c r="O173" s="178"/>
      <c r="P173" s="172"/>
      <c r="Q173" s="179"/>
      <c r="R173" s="180"/>
      <c r="S173" s="179"/>
      <c r="T173" s="180"/>
      <c r="U173" s="180"/>
      <c r="V173" s="180"/>
      <c r="W173" s="180"/>
      <c r="X173" s="180"/>
      <c r="Y173" s="180"/>
      <c r="Z173" s="180"/>
      <c r="AA173" s="180"/>
      <c r="AB173" s="180"/>
      <c r="AC173" s="180"/>
      <c r="AD173" s="180"/>
      <c r="AE173" s="180"/>
      <c r="AF173" s="180"/>
      <c r="AG173" s="180"/>
      <c r="AH173" s="180"/>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209"/>
      <c r="CT173" s="209"/>
      <c r="CU173" s="375"/>
      <c r="CV173" s="208"/>
      <c r="CW173" s="152"/>
      <c r="CX173" s="152"/>
      <c r="CY173" s="208"/>
      <c r="CZ173" s="208"/>
      <c r="DA173" s="152"/>
      <c r="DB173" s="152"/>
      <c r="DC173" s="153"/>
      <c r="DD173" s="414" t="s">
        <v>1411</v>
      </c>
      <c r="DE173" s="376" t="s">
        <v>1410</v>
      </c>
      <c r="DF173" s="376" t="s">
        <v>1401</v>
      </c>
      <c r="DG173" s="368"/>
      <c r="DH173" s="181" t="s">
        <v>477</v>
      </c>
      <c r="DI173" s="153">
        <v>45895</v>
      </c>
      <c r="DJ173" s="1000">
        <v>2</v>
      </c>
      <c r="DK173" s="181" t="s">
        <v>477</v>
      </c>
      <c r="DL173" s="182">
        <v>1337000</v>
      </c>
      <c r="DM173" s="181">
        <f t="shared" si="224"/>
        <v>2887920</v>
      </c>
      <c r="DN173" s="446">
        <f t="shared" si="222"/>
        <v>0.08</v>
      </c>
      <c r="DO173" s="182">
        <f t="shared" si="223"/>
        <v>2674000</v>
      </c>
      <c r="DP173" s="275">
        <v>45938</v>
      </c>
      <c r="DQ173" s="152"/>
      <c r="DR173" s="152"/>
      <c r="DS173" s="151"/>
      <c r="DT173" s="275"/>
      <c r="DU173" s="370"/>
      <c r="DV173" s="208"/>
      <c r="DW173" s="208"/>
      <c r="DX173" s="171"/>
      <c r="DY173" s="171"/>
      <c r="DZ173" s="152"/>
      <c r="EA173" s="152"/>
      <c r="EB173" s="153"/>
      <c r="EC173" s="152"/>
      <c r="ED173" s="152"/>
      <c r="EE173" s="396"/>
      <c r="EF173" s="371"/>
      <c r="EG173" s="153"/>
      <c r="EH173" s="153"/>
      <c r="EI173" s="153"/>
      <c r="EJ173" s="153"/>
      <c r="EK173" s="153"/>
      <c r="EL173" s="153"/>
      <c r="EM173" s="153"/>
      <c r="EN173" s="153"/>
      <c r="EO173" s="152"/>
      <c r="EP173" s="151"/>
      <c r="EQ173" s="153"/>
      <c r="ER173" s="153"/>
      <c r="ES173" s="153"/>
      <c r="ET173" s="153"/>
      <c r="EU173" s="152"/>
      <c r="EV173" s="152"/>
      <c r="EW173" s="152"/>
      <c r="EX173" s="152"/>
      <c r="EY173" s="151"/>
      <c r="EZ173" s="152"/>
      <c r="FA173" s="372"/>
      <c r="FB173" s="373"/>
      <c r="FC173" s="367"/>
      <c r="FD173" s="374"/>
      <c r="FE173" s="183"/>
      <c r="FF173" s="184"/>
      <c r="FG173" s="185"/>
      <c r="FH173" s="185"/>
    </row>
    <row r="174" spans="1:164" s="157" customFormat="1" ht="14" hidden="1" customHeight="1">
      <c r="A174" s="208" t="str">
        <f t="shared" si="180"/>
        <v>ok</v>
      </c>
      <c r="B174" s="151"/>
      <c r="C174" s="409"/>
      <c r="D174" s="151"/>
      <c r="E174" s="400"/>
      <c r="F174" s="151"/>
      <c r="G174" s="151"/>
      <c r="H174" s="151"/>
      <c r="I174" s="171" t="s">
        <v>639</v>
      </c>
      <c r="J174" s="164" t="s">
        <v>640</v>
      </c>
      <c r="K174" s="247" t="s">
        <v>641</v>
      </c>
      <c r="L174" s="233" t="s">
        <v>642</v>
      </c>
      <c r="M174" s="412" t="s">
        <v>345</v>
      </c>
      <c r="N174" s="163"/>
      <c r="O174" s="178"/>
      <c r="P174" s="172"/>
      <c r="Q174" s="179"/>
      <c r="R174" s="180"/>
      <c r="S174" s="179"/>
      <c r="T174" s="180"/>
      <c r="U174" s="180"/>
      <c r="V174" s="180"/>
      <c r="W174" s="180"/>
      <c r="X174" s="180"/>
      <c r="Y174" s="180"/>
      <c r="Z174" s="180"/>
      <c r="AA174" s="180"/>
      <c r="AB174" s="180"/>
      <c r="AC174" s="180"/>
      <c r="AD174" s="180"/>
      <c r="AE174" s="180"/>
      <c r="AF174" s="180"/>
      <c r="AG174" s="180"/>
      <c r="AH174" s="180"/>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209"/>
      <c r="CT174" s="209"/>
      <c r="CU174" s="375"/>
      <c r="CV174" s="208"/>
      <c r="CW174" s="152"/>
      <c r="CX174" s="152"/>
      <c r="CY174" s="208"/>
      <c r="CZ174" s="208"/>
      <c r="DA174" s="152"/>
      <c r="DB174" s="152"/>
      <c r="DC174" s="153"/>
      <c r="DD174" s="414" t="s">
        <v>1411</v>
      </c>
      <c r="DE174" s="376" t="s">
        <v>1410</v>
      </c>
      <c r="DF174" s="376" t="s">
        <v>1402</v>
      </c>
      <c r="DG174" s="368"/>
      <c r="DH174" s="181" t="s">
        <v>477</v>
      </c>
      <c r="DI174" s="153">
        <v>45895</v>
      </c>
      <c r="DJ174" s="1000">
        <v>2</v>
      </c>
      <c r="DK174" s="181" t="s">
        <v>477</v>
      </c>
      <c r="DL174" s="182">
        <v>1795000</v>
      </c>
      <c r="DM174" s="181">
        <f t="shared" si="224"/>
        <v>3877200.0000000005</v>
      </c>
      <c r="DN174" s="446">
        <f t="shared" si="222"/>
        <v>8.0000000000000127E-2</v>
      </c>
      <c r="DO174" s="182">
        <f t="shared" si="223"/>
        <v>3590000</v>
      </c>
      <c r="DP174" s="275">
        <v>45938</v>
      </c>
      <c r="DQ174" s="152"/>
      <c r="DR174" s="152"/>
      <c r="DS174" s="151"/>
      <c r="DT174" s="275"/>
      <c r="DU174" s="370"/>
      <c r="DV174" s="208"/>
      <c r="DW174" s="208"/>
      <c r="DX174" s="171"/>
      <c r="DY174" s="171"/>
      <c r="DZ174" s="152"/>
      <c r="EA174" s="152"/>
      <c r="EB174" s="153"/>
      <c r="EC174" s="152"/>
      <c r="ED174" s="152"/>
      <c r="EE174" s="396"/>
      <c r="EF174" s="371"/>
      <c r="EG174" s="153"/>
      <c r="EH174" s="153"/>
      <c r="EI174" s="153"/>
      <c r="EJ174" s="153"/>
      <c r="EK174" s="153"/>
      <c r="EL174" s="153"/>
      <c r="EM174" s="153"/>
      <c r="EN174" s="153"/>
      <c r="EO174" s="152"/>
      <c r="EP174" s="151"/>
      <c r="EQ174" s="153"/>
      <c r="ER174" s="153"/>
      <c r="ES174" s="153"/>
      <c r="ET174" s="153"/>
      <c r="EU174" s="152"/>
      <c r="EV174" s="152"/>
      <c r="EW174" s="152"/>
      <c r="EX174" s="152"/>
      <c r="EY174" s="151"/>
      <c r="EZ174" s="152"/>
      <c r="FA174" s="372"/>
      <c r="FB174" s="373"/>
      <c r="FC174" s="367"/>
      <c r="FD174" s="374"/>
      <c r="FE174" s="183"/>
      <c r="FF174" s="184"/>
      <c r="FG174" s="185"/>
      <c r="FH174" s="185"/>
    </row>
    <row r="175" spans="1:164" s="157" customFormat="1" ht="14" hidden="1" customHeight="1">
      <c r="A175" s="208" t="str">
        <f t="shared" si="180"/>
        <v>ok</v>
      </c>
      <c r="B175" s="151"/>
      <c r="C175" s="409"/>
      <c r="D175" s="151"/>
      <c r="E175" s="400"/>
      <c r="F175" s="151"/>
      <c r="G175" s="151"/>
      <c r="H175" s="151"/>
      <c r="I175" s="171" t="s">
        <v>639</v>
      </c>
      <c r="J175" s="164" t="s">
        <v>640</v>
      </c>
      <c r="K175" s="247" t="s">
        <v>641</v>
      </c>
      <c r="L175" s="233" t="s">
        <v>642</v>
      </c>
      <c r="M175" s="412" t="s">
        <v>345</v>
      </c>
      <c r="N175" s="163"/>
      <c r="O175" s="178"/>
      <c r="P175" s="172"/>
      <c r="Q175" s="179"/>
      <c r="R175" s="180"/>
      <c r="S175" s="179"/>
      <c r="T175" s="180"/>
      <c r="U175" s="180"/>
      <c r="V175" s="180"/>
      <c r="W175" s="180"/>
      <c r="X175" s="180"/>
      <c r="Y175" s="180"/>
      <c r="Z175" s="180"/>
      <c r="AA175" s="180"/>
      <c r="AB175" s="180"/>
      <c r="AC175" s="180"/>
      <c r="AD175" s="180"/>
      <c r="AE175" s="180"/>
      <c r="AF175" s="180"/>
      <c r="AG175" s="180"/>
      <c r="AH175" s="180"/>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209"/>
      <c r="CT175" s="209"/>
      <c r="CU175" s="375"/>
      <c r="CV175" s="208"/>
      <c r="CW175" s="152"/>
      <c r="CX175" s="152"/>
      <c r="CY175" s="208"/>
      <c r="CZ175" s="208"/>
      <c r="DA175" s="152"/>
      <c r="DB175" s="152"/>
      <c r="DC175" s="153"/>
      <c r="DD175" s="414" t="s">
        <v>1411</v>
      </c>
      <c r="DE175" s="376" t="s">
        <v>1410</v>
      </c>
      <c r="DF175" s="376" t="s">
        <v>1403</v>
      </c>
      <c r="DG175" s="368"/>
      <c r="DH175" s="181" t="s">
        <v>477</v>
      </c>
      <c r="DI175" s="153">
        <v>45895</v>
      </c>
      <c r="DJ175" s="1000">
        <v>4</v>
      </c>
      <c r="DK175" s="181" t="s">
        <v>477</v>
      </c>
      <c r="DL175" s="182">
        <v>761000</v>
      </c>
      <c r="DM175" s="181">
        <f t="shared" si="224"/>
        <v>3287520</v>
      </c>
      <c r="DN175" s="446">
        <f t="shared" si="222"/>
        <v>0.08</v>
      </c>
      <c r="DO175" s="182">
        <f t="shared" si="223"/>
        <v>3044000</v>
      </c>
      <c r="DP175" s="275">
        <v>45938</v>
      </c>
      <c r="DQ175" s="152"/>
      <c r="DR175" s="152"/>
      <c r="DS175" s="151"/>
      <c r="DT175" s="275"/>
      <c r="DU175" s="370"/>
      <c r="DV175" s="208"/>
      <c r="DW175" s="208"/>
      <c r="DX175" s="171"/>
      <c r="DY175" s="171"/>
      <c r="DZ175" s="152"/>
      <c r="EA175" s="152"/>
      <c r="EB175" s="153"/>
      <c r="EC175" s="152"/>
      <c r="ED175" s="152"/>
      <c r="EE175" s="396"/>
      <c r="EF175" s="371"/>
      <c r="EG175" s="153"/>
      <c r="EH175" s="153"/>
      <c r="EI175" s="153"/>
      <c r="EJ175" s="153"/>
      <c r="EK175" s="153"/>
      <c r="EL175" s="153"/>
      <c r="EM175" s="153"/>
      <c r="EN175" s="153"/>
      <c r="EO175" s="152"/>
      <c r="EP175" s="151"/>
      <c r="EQ175" s="153"/>
      <c r="ER175" s="153"/>
      <c r="ES175" s="153"/>
      <c r="ET175" s="153"/>
      <c r="EU175" s="152"/>
      <c r="EV175" s="152"/>
      <c r="EW175" s="152"/>
      <c r="EX175" s="152"/>
      <c r="EY175" s="151"/>
      <c r="EZ175" s="152"/>
      <c r="FA175" s="372"/>
      <c r="FB175" s="373"/>
      <c r="FC175" s="367"/>
      <c r="FD175" s="374"/>
      <c r="FE175" s="183"/>
      <c r="FF175" s="184"/>
      <c r="FG175" s="185"/>
      <c r="FH175" s="185"/>
    </row>
    <row r="176" spans="1:164" s="157" customFormat="1" ht="14" hidden="1" customHeight="1">
      <c r="A176" s="208" t="str">
        <f t="shared" si="180"/>
        <v>ok</v>
      </c>
      <c r="B176" s="151"/>
      <c r="C176" s="409"/>
      <c r="D176" s="151"/>
      <c r="E176" s="400"/>
      <c r="F176" s="151"/>
      <c r="G176" s="151"/>
      <c r="H176" s="151"/>
      <c r="I176" s="171" t="s">
        <v>639</v>
      </c>
      <c r="J176" s="164" t="s">
        <v>640</v>
      </c>
      <c r="K176" s="247" t="s">
        <v>641</v>
      </c>
      <c r="L176" s="233" t="s">
        <v>642</v>
      </c>
      <c r="M176" s="412" t="s">
        <v>345</v>
      </c>
      <c r="N176" s="163"/>
      <c r="O176" s="178"/>
      <c r="P176" s="172"/>
      <c r="Q176" s="179"/>
      <c r="R176" s="180"/>
      <c r="S176" s="179"/>
      <c r="T176" s="180"/>
      <c r="U176" s="180"/>
      <c r="V176" s="180"/>
      <c r="W176" s="180"/>
      <c r="X176" s="180"/>
      <c r="Y176" s="180"/>
      <c r="Z176" s="180"/>
      <c r="AA176" s="180"/>
      <c r="AB176" s="180"/>
      <c r="AC176" s="180"/>
      <c r="AD176" s="180"/>
      <c r="AE176" s="180"/>
      <c r="AF176" s="180"/>
      <c r="AG176" s="180"/>
      <c r="AH176" s="180"/>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209"/>
      <c r="CT176" s="209"/>
      <c r="CU176" s="375"/>
      <c r="CV176" s="208"/>
      <c r="CW176" s="152"/>
      <c r="CX176" s="152"/>
      <c r="CY176" s="208"/>
      <c r="CZ176" s="208"/>
      <c r="DA176" s="152"/>
      <c r="DB176" s="152"/>
      <c r="DC176" s="153"/>
      <c r="DD176" s="414" t="s">
        <v>1411</v>
      </c>
      <c r="DE176" s="376" t="s">
        <v>1410</v>
      </c>
      <c r="DF176" s="376" t="s">
        <v>1404</v>
      </c>
      <c r="DG176" s="368"/>
      <c r="DH176" s="181" t="s">
        <v>477</v>
      </c>
      <c r="DI176" s="153">
        <v>45895</v>
      </c>
      <c r="DJ176" s="1000">
        <v>8</v>
      </c>
      <c r="DK176" s="181" t="s">
        <v>477</v>
      </c>
      <c r="DL176" s="182">
        <v>2245000</v>
      </c>
      <c r="DM176" s="181">
        <f t="shared" si="224"/>
        <v>19396800</v>
      </c>
      <c r="DN176" s="446">
        <f t="shared" si="222"/>
        <v>0.08</v>
      </c>
      <c r="DO176" s="182">
        <f t="shared" si="223"/>
        <v>17960000</v>
      </c>
      <c r="DP176" s="275">
        <v>45938</v>
      </c>
      <c r="DQ176" s="152"/>
      <c r="DR176" s="152"/>
      <c r="DS176" s="151"/>
      <c r="DT176" s="275"/>
      <c r="DU176" s="370"/>
      <c r="DV176" s="208"/>
      <c r="DW176" s="208"/>
      <c r="DX176" s="171"/>
      <c r="DY176" s="171"/>
      <c r="DZ176" s="152"/>
      <c r="EA176" s="152"/>
      <c r="EB176" s="153"/>
      <c r="EC176" s="152"/>
      <c r="ED176" s="152"/>
      <c r="EE176" s="396"/>
      <c r="EF176" s="371"/>
      <c r="EG176" s="153"/>
      <c r="EH176" s="153"/>
      <c r="EI176" s="153"/>
      <c r="EJ176" s="153"/>
      <c r="EK176" s="153"/>
      <c r="EL176" s="153"/>
      <c r="EM176" s="153"/>
      <c r="EN176" s="153"/>
      <c r="EO176" s="152"/>
      <c r="EP176" s="151"/>
      <c r="EQ176" s="153"/>
      <c r="ER176" s="153"/>
      <c r="ES176" s="153"/>
      <c r="ET176" s="153"/>
      <c r="EU176" s="152"/>
      <c r="EV176" s="152"/>
      <c r="EW176" s="152"/>
      <c r="EX176" s="152"/>
      <c r="EY176" s="151"/>
      <c r="EZ176" s="152"/>
      <c r="FA176" s="372"/>
      <c r="FB176" s="373"/>
      <c r="FC176" s="367"/>
      <c r="FD176" s="374"/>
      <c r="FE176" s="183"/>
      <c r="FF176" s="184"/>
      <c r="FG176" s="185"/>
      <c r="FH176" s="185"/>
    </row>
    <row r="177" spans="1:164" s="157" customFormat="1" ht="14" hidden="1" customHeight="1">
      <c r="A177" s="208" t="str">
        <f t="shared" si="180"/>
        <v>ok</v>
      </c>
      <c r="B177" s="151"/>
      <c r="C177" s="409"/>
      <c r="D177" s="151"/>
      <c r="E177" s="400"/>
      <c r="F177" s="151"/>
      <c r="G177" s="151"/>
      <c r="H177" s="151"/>
      <c r="I177" s="171" t="s">
        <v>639</v>
      </c>
      <c r="J177" s="164" t="s">
        <v>640</v>
      </c>
      <c r="K177" s="247" t="s">
        <v>641</v>
      </c>
      <c r="L177" s="233" t="s">
        <v>642</v>
      </c>
      <c r="M177" s="412" t="s">
        <v>345</v>
      </c>
      <c r="N177" s="163"/>
      <c r="O177" s="178"/>
      <c r="P177" s="172"/>
      <c r="Q177" s="179"/>
      <c r="R177" s="180"/>
      <c r="S177" s="179"/>
      <c r="T177" s="180"/>
      <c r="U177" s="180"/>
      <c r="V177" s="180"/>
      <c r="W177" s="180"/>
      <c r="X177" s="180"/>
      <c r="Y177" s="180"/>
      <c r="Z177" s="180"/>
      <c r="AA177" s="180"/>
      <c r="AB177" s="180"/>
      <c r="AC177" s="180"/>
      <c r="AD177" s="180"/>
      <c r="AE177" s="180"/>
      <c r="AF177" s="180"/>
      <c r="AG177" s="180"/>
      <c r="AH177" s="180"/>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209"/>
      <c r="CT177" s="209"/>
      <c r="CU177" s="375"/>
      <c r="CV177" s="208"/>
      <c r="CW177" s="152"/>
      <c r="CX177" s="152"/>
      <c r="CY177" s="208"/>
      <c r="CZ177" s="208"/>
      <c r="DA177" s="152"/>
      <c r="DB177" s="152"/>
      <c r="DC177" s="153"/>
      <c r="DD177" s="414" t="s">
        <v>1411</v>
      </c>
      <c r="DE177" s="376" t="s">
        <v>1410</v>
      </c>
      <c r="DF177" s="376" t="s">
        <v>1405</v>
      </c>
      <c r="DG177" s="368"/>
      <c r="DH177" s="181" t="s">
        <v>477</v>
      </c>
      <c r="DI177" s="153">
        <v>45895</v>
      </c>
      <c r="DJ177" s="1000">
        <v>2</v>
      </c>
      <c r="DK177" s="181" t="s">
        <v>477</v>
      </c>
      <c r="DL177" s="182">
        <v>580000</v>
      </c>
      <c r="DM177" s="181">
        <f t="shared" si="224"/>
        <v>1252800</v>
      </c>
      <c r="DN177" s="446">
        <f t="shared" si="222"/>
        <v>0.08</v>
      </c>
      <c r="DO177" s="182">
        <f t="shared" si="223"/>
        <v>1160000</v>
      </c>
      <c r="DP177" s="275">
        <v>45938</v>
      </c>
      <c r="DQ177" s="152"/>
      <c r="DR177" s="152"/>
      <c r="DS177" s="151"/>
      <c r="DT177" s="275"/>
      <c r="DU177" s="370"/>
      <c r="DV177" s="208"/>
      <c r="DW177" s="208"/>
      <c r="DX177" s="171"/>
      <c r="DY177" s="171"/>
      <c r="DZ177" s="152"/>
      <c r="EA177" s="152"/>
      <c r="EB177" s="153"/>
      <c r="EC177" s="152"/>
      <c r="ED177" s="152"/>
      <c r="EE177" s="396"/>
      <c r="EF177" s="371"/>
      <c r="EG177" s="153"/>
      <c r="EH177" s="153"/>
      <c r="EI177" s="153"/>
      <c r="EJ177" s="153"/>
      <c r="EK177" s="153"/>
      <c r="EL177" s="153"/>
      <c r="EM177" s="153"/>
      <c r="EN177" s="153"/>
      <c r="EO177" s="152"/>
      <c r="EP177" s="151"/>
      <c r="EQ177" s="153"/>
      <c r="ER177" s="153"/>
      <c r="ES177" s="153"/>
      <c r="ET177" s="153"/>
      <c r="EU177" s="152"/>
      <c r="EV177" s="152"/>
      <c r="EW177" s="152"/>
      <c r="EX177" s="152"/>
      <c r="EY177" s="151"/>
      <c r="EZ177" s="152"/>
      <c r="FA177" s="372"/>
      <c r="FB177" s="373"/>
      <c r="FC177" s="367"/>
      <c r="FD177" s="374"/>
      <c r="FE177" s="183"/>
      <c r="FF177" s="184"/>
      <c r="FG177" s="185"/>
      <c r="FH177" s="185"/>
    </row>
    <row r="178" spans="1:164" s="157" customFormat="1" ht="14" hidden="1" customHeight="1">
      <c r="A178" s="208" t="str">
        <f t="shared" si="180"/>
        <v>ok</v>
      </c>
      <c r="B178" s="151"/>
      <c r="C178" s="409"/>
      <c r="D178" s="151"/>
      <c r="E178" s="400"/>
      <c r="F178" s="151"/>
      <c r="G178" s="151"/>
      <c r="H178" s="151"/>
      <c r="I178" s="171" t="s">
        <v>639</v>
      </c>
      <c r="J178" s="164" t="s">
        <v>640</v>
      </c>
      <c r="K178" s="247" t="s">
        <v>641</v>
      </c>
      <c r="L178" s="233" t="s">
        <v>642</v>
      </c>
      <c r="M178" s="412" t="s">
        <v>345</v>
      </c>
      <c r="N178" s="163"/>
      <c r="O178" s="178"/>
      <c r="P178" s="172"/>
      <c r="Q178" s="179"/>
      <c r="R178" s="180"/>
      <c r="S178" s="179"/>
      <c r="T178" s="180"/>
      <c r="U178" s="180"/>
      <c r="V178" s="180"/>
      <c r="W178" s="180"/>
      <c r="X178" s="180"/>
      <c r="Y178" s="180"/>
      <c r="Z178" s="180"/>
      <c r="AA178" s="180"/>
      <c r="AB178" s="180"/>
      <c r="AC178" s="180"/>
      <c r="AD178" s="180"/>
      <c r="AE178" s="180"/>
      <c r="AF178" s="180"/>
      <c r="AG178" s="180"/>
      <c r="AH178" s="180"/>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209"/>
      <c r="CT178" s="209"/>
      <c r="CU178" s="375"/>
      <c r="CV178" s="208"/>
      <c r="CW178" s="152"/>
      <c r="CX178" s="152"/>
      <c r="CY178" s="208"/>
      <c r="CZ178" s="208"/>
      <c r="DA178" s="152"/>
      <c r="DB178" s="152"/>
      <c r="DC178" s="153"/>
      <c r="DD178" s="414" t="s">
        <v>1411</v>
      </c>
      <c r="DE178" s="376" t="s">
        <v>1410</v>
      </c>
      <c r="DF178" s="376" t="s">
        <v>1406</v>
      </c>
      <c r="DG178" s="368"/>
      <c r="DH178" s="181" t="s">
        <v>477</v>
      </c>
      <c r="DI178" s="153">
        <v>45895</v>
      </c>
      <c r="DJ178" s="1000">
        <v>2</v>
      </c>
      <c r="DK178" s="181" t="s">
        <v>477</v>
      </c>
      <c r="DL178" s="182">
        <v>987000</v>
      </c>
      <c r="DM178" s="181">
        <f t="shared" si="224"/>
        <v>2131920</v>
      </c>
      <c r="DN178" s="446">
        <f t="shared" si="222"/>
        <v>0.08</v>
      </c>
      <c r="DO178" s="182">
        <f t="shared" si="223"/>
        <v>1974000</v>
      </c>
      <c r="DP178" s="275">
        <v>45938</v>
      </c>
      <c r="DQ178" s="152"/>
      <c r="DR178" s="152"/>
      <c r="DS178" s="151"/>
      <c r="DT178" s="275"/>
      <c r="DU178" s="370"/>
      <c r="DV178" s="208"/>
      <c r="DW178" s="208"/>
      <c r="DX178" s="171"/>
      <c r="DY178" s="171"/>
      <c r="DZ178" s="152"/>
      <c r="EA178" s="152"/>
      <c r="EB178" s="153"/>
      <c r="EC178" s="152"/>
      <c r="ED178" s="152"/>
      <c r="EE178" s="396"/>
      <c r="EF178" s="371"/>
      <c r="EG178" s="153"/>
      <c r="EH178" s="153"/>
      <c r="EI178" s="153"/>
      <c r="EJ178" s="153"/>
      <c r="EK178" s="153"/>
      <c r="EL178" s="153"/>
      <c r="EM178" s="153"/>
      <c r="EN178" s="153"/>
      <c r="EO178" s="152"/>
      <c r="EP178" s="151"/>
      <c r="EQ178" s="153"/>
      <c r="ER178" s="153"/>
      <c r="ES178" s="153"/>
      <c r="ET178" s="153"/>
      <c r="EU178" s="152"/>
      <c r="EV178" s="152"/>
      <c r="EW178" s="152"/>
      <c r="EX178" s="152"/>
      <c r="EY178" s="151"/>
      <c r="EZ178" s="152"/>
      <c r="FA178" s="372"/>
      <c r="FB178" s="373"/>
      <c r="FC178" s="367"/>
      <c r="FD178" s="374"/>
      <c r="FE178" s="183"/>
      <c r="FF178" s="184"/>
      <c r="FG178" s="185"/>
      <c r="FH178" s="185"/>
    </row>
    <row r="179" spans="1:164" s="157" customFormat="1" ht="14" hidden="1" customHeight="1">
      <c r="A179" s="208" t="str">
        <f t="shared" si="180"/>
        <v>ok</v>
      </c>
      <c r="B179" s="151"/>
      <c r="C179" s="409"/>
      <c r="D179" s="151"/>
      <c r="E179" s="400"/>
      <c r="F179" s="151"/>
      <c r="G179" s="151"/>
      <c r="H179" s="151"/>
      <c r="I179" s="171" t="s">
        <v>639</v>
      </c>
      <c r="J179" s="164" t="s">
        <v>640</v>
      </c>
      <c r="K179" s="247" t="s">
        <v>641</v>
      </c>
      <c r="L179" s="233" t="s">
        <v>642</v>
      </c>
      <c r="M179" s="412" t="s">
        <v>345</v>
      </c>
      <c r="N179" s="163"/>
      <c r="O179" s="178"/>
      <c r="P179" s="172"/>
      <c r="Q179" s="179"/>
      <c r="R179" s="180"/>
      <c r="S179" s="179"/>
      <c r="T179" s="180"/>
      <c r="U179" s="180"/>
      <c r="V179" s="180"/>
      <c r="W179" s="180"/>
      <c r="X179" s="180"/>
      <c r="Y179" s="180"/>
      <c r="Z179" s="180"/>
      <c r="AA179" s="180"/>
      <c r="AB179" s="180"/>
      <c r="AC179" s="180"/>
      <c r="AD179" s="180"/>
      <c r="AE179" s="180"/>
      <c r="AF179" s="180"/>
      <c r="AG179" s="180"/>
      <c r="AH179" s="180"/>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209"/>
      <c r="CT179" s="209"/>
      <c r="CU179" s="375"/>
      <c r="CV179" s="208"/>
      <c r="CW179" s="152"/>
      <c r="CX179" s="152"/>
      <c r="CY179" s="208"/>
      <c r="CZ179" s="208"/>
      <c r="DA179" s="152"/>
      <c r="DB179" s="152"/>
      <c r="DC179" s="153"/>
      <c r="DD179" s="414" t="s">
        <v>1411</v>
      </c>
      <c r="DE179" s="376" t="s">
        <v>1410</v>
      </c>
      <c r="DF179" s="376" t="s">
        <v>1407</v>
      </c>
      <c r="DG179" s="368"/>
      <c r="DH179" s="181" t="s">
        <v>477</v>
      </c>
      <c r="DI179" s="153">
        <v>45895</v>
      </c>
      <c r="DJ179" s="1000">
        <v>2</v>
      </c>
      <c r="DK179" s="181" t="s">
        <v>477</v>
      </c>
      <c r="DL179" s="182">
        <v>500000</v>
      </c>
      <c r="DM179" s="181">
        <f t="shared" si="224"/>
        <v>1080000</v>
      </c>
      <c r="DN179" s="446">
        <f t="shared" si="222"/>
        <v>0.08</v>
      </c>
      <c r="DO179" s="182">
        <f t="shared" si="223"/>
        <v>1000000</v>
      </c>
      <c r="DP179" s="275">
        <v>45938</v>
      </c>
      <c r="DQ179" s="152"/>
      <c r="DR179" s="152"/>
      <c r="DS179" s="151"/>
      <c r="DT179" s="275"/>
      <c r="DU179" s="370"/>
      <c r="DV179" s="208"/>
      <c r="DW179" s="208"/>
      <c r="DX179" s="171"/>
      <c r="DY179" s="171"/>
      <c r="DZ179" s="152"/>
      <c r="EA179" s="152"/>
      <c r="EB179" s="153"/>
      <c r="EC179" s="152"/>
      <c r="ED179" s="152"/>
      <c r="EE179" s="396"/>
      <c r="EF179" s="371"/>
      <c r="EG179" s="153"/>
      <c r="EH179" s="153"/>
      <c r="EI179" s="153"/>
      <c r="EJ179" s="153"/>
      <c r="EK179" s="153"/>
      <c r="EL179" s="153"/>
      <c r="EM179" s="153"/>
      <c r="EN179" s="153"/>
      <c r="EO179" s="152"/>
      <c r="EP179" s="151"/>
      <c r="EQ179" s="153"/>
      <c r="ER179" s="153"/>
      <c r="ES179" s="153"/>
      <c r="ET179" s="153"/>
      <c r="EU179" s="152"/>
      <c r="EV179" s="152"/>
      <c r="EW179" s="152"/>
      <c r="EX179" s="152"/>
      <c r="EY179" s="151"/>
      <c r="EZ179" s="152"/>
      <c r="FA179" s="372"/>
      <c r="FB179" s="373"/>
      <c r="FC179" s="367"/>
      <c r="FD179" s="374"/>
      <c r="FE179" s="183"/>
      <c r="FF179" s="184"/>
      <c r="FG179" s="185"/>
      <c r="FH179" s="185"/>
    </row>
    <row r="180" spans="1:164" s="157" customFormat="1" ht="14" hidden="1" customHeight="1">
      <c r="A180" s="208" t="str">
        <f t="shared" si="180"/>
        <v>ok</v>
      </c>
      <c r="B180" s="151"/>
      <c r="C180" s="409"/>
      <c r="D180" s="151"/>
      <c r="E180" s="400"/>
      <c r="F180" s="151"/>
      <c r="G180" s="151"/>
      <c r="H180" s="151"/>
      <c r="I180" s="171" t="s">
        <v>639</v>
      </c>
      <c r="J180" s="164" t="s">
        <v>640</v>
      </c>
      <c r="K180" s="247" t="s">
        <v>641</v>
      </c>
      <c r="L180" s="233" t="s">
        <v>642</v>
      </c>
      <c r="M180" s="412" t="s">
        <v>345</v>
      </c>
      <c r="N180" s="163"/>
      <c r="O180" s="178"/>
      <c r="P180" s="172"/>
      <c r="Q180" s="179"/>
      <c r="R180" s="180"/>
      <c r="S180" s="179"/>
      <c r="T180" s="180"/>
      <c r="U180" s="180"/>
      <c r="V180" s="180"/>
      <c r="W180" s="180"/>
      <c r="X180" s="180"/>
      <c r="Y180" s="180"/>
      <c r="Z180" s="180"/>
      <c r="AA180" s="180"/>
      <c r="AB180" s="180"/>
      <c r="AC180" s="180"/>
      <c r="AD180" s="180"/>
      <c r="AE180" s="180"/>
      <c r="AF180" s="180"/>
      <c r="AG180" s="180"/>
      <c r="AH180" s="180"/>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209"/>
      <c r="CT180" s="209"/>
      <c r="CU180" s="375"/>
      <c r="CV180" s="208"/>
      <c r="CW180" s="152"/>
      <c r="CX180" s="152"/>
      <c r="CY180" s="208"/>
      <c r="CZ180" s="208"/>
      <c r="DA180" s="152"/>
      <c r="DB180" s="152"/>
      <c r="DC180" s="153"/>
      <c r="DD180" s="414" t="s">
        <v>1411</v>
      </c>
      <c r="DE180" s="376" t="s">
        <v>1410</v>
      </c>
      <c r="DF180" s="376" t="s">
        <v>1408</v>
      </c>
      <c r="DG180" s="368"/>
      <c r="DH180" s="181" t="s">
        <v>477</v>
      </c>
      <c r="DI180" s="153">
        <v>45895</v>
      </c>
      <c r="DJ180" s="1000">
        <v>4</v>
      </c>
      <c r="DK180" s="181" t="s">
        <v>477</v>
      </c>
      <c r="DL180" s="182">
        <v>1142000</v>
      </c>
      <c r="DM180" s="181">
        <f t="shared" si="224"/>
        <v>4933440</v>
      </c>
      <c r="DN180" s="446">
        <f t="shared" si="222"/>
        <v>0.08</v>
      </c>
      <c r="DO180" s="182">
        <f t="shared" si="223"/>
        <v>4568000</v>
      </c>
      <c r="DP180" s="275">
        <v>45938</v>
      </c>
      <c r="DQ180" s="152"/>
      <c r="DR180" s="152"/>
      <c r="DS180" s="151"/>
      <c r="DT180" s="275"/>
      <c r="DU180" s="370"/>
      <c r="DV180" s="208"/>
      <c r="DW180" s="208"/>
      <c r="DX180" s="171"/>
      <c r="DY180" s="171"/>
      <c r="DZ180" s="152"/>
      <c r="EA180" s="152"/>
      <c r="EB180" s="153"/>
      <c r="EC180" s="152"/>
      <c r="ED180" s="152"/>
      <c r="EE180" s="396"/>
      <c r="EF180" s="371"/>
      <c r="EG180" s="153"/>
      <c r="EH180" s="153"/>
      <c r="EI180" s="153"/>
      <c r="EJ180" s="153"/>
      <c r="EK180" s="153"/>
      <c r="EL180" s="153"/>
      <c r="EM180" s="153"/>
      <c r="EN180" s="153"/>
      <c r="EO180" s="152"/>
      <c r="EP180" s="151"/>
      <c r="EQ180" s="153"/>
      <c r="ER180" s="153"/>
      <c r="ES180" s="153"/>
      <c r="ET180" s="153"/>
      <c r="EU180" s="152"/>
      <c r="EV180" s="152"/>
      <c r="EW180" s="152"/>
      <c r="EX180" s="152"/>
      <c r="EY180" s="151"/>
      <c r="EZ180" s="152"/>
      <c r="FA180" s="372"/>
      <c r="FB180" s="373"/>
      <c r="FC180" s="367"/>
      <c r="FD180" s="374"/>
      <c r="FE180" s="183"/>
      <c r="FF180" s="184"/>
      <c r="FG180" s="185"/>
      <c r="FH180" s="185"/>
    </row>
    <row r="181" spans="1:164" s="157" customFormat="1" ht="14" hidden="1" customHeight="1">
      <c r="A181" s="208" t="str">
        <f t="shared" si="180"/>
        <v>ok</v>
      </c>
      <c r="B181" s="151"/>
      <c r="C181" s="409"/>
      <c r="D181" s="151"/>
      <c r="E181" s="400"/>
      <c r="F181" s="151"/>
      <c r="G181" s="151"/>
      <c r="H181" s="151"/>
      <c r="I181" s="171" t="s">
        <v>639</v>
      </c>
      <c r="J181" s="164" t="s">
        <v>640</v>
      </c>
      <c r="K181" s="247" t="s">
        <v>641</v>
      </c>
      <c r="L181" s="233" t="s">
        <v>642</v>
      </c>
      <c r="M181" s="412" t="s">
        <v>345</v>
      </c>
      <c r="N181" s="163"/>
      <c r="O181" s="178"/>
      <c r="P181" s="172"/>
      <c r="Q181" s="179"/>
      <c r="R181" s="180"/>
      <c r="S181" s="179"/>
      <c r="T181" s="180"/>
      <c r="U181" s="180"/>
      <c r="V181" s="180"/>
      <c r="W181" s="180"/>
      <c r="X181" s="180"/>
      <c r="Y181" s="180"/>
      <c r="Z181" s="180"/>
      <c r="AA181" s="180"/>
      <c r="AB181" s="180"/>
      <c r="AC181" s="180"/>
      <c r="AD181" s="180"/>
      <c r="AE181" s="180"/>
      <c r="AF181" s="180"/>
      <c r="AG181" s="180"/>
      <c r="AH181" s="180"/>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209"/>
      <c r="CT181" s="209"/>
      <c r="CU181" s="375"/>
      <c r="CV181" s="208"/>
      <c r="CW181" s="152"/>
      <c r="CX181" s="152"/>
      <c r="CY181" s="208"/>
      <c r="CZ181" s="208"/>
      <c r="DA181" s="152"/>
      <c r="DB181" s="152"/>
      <c r="DC181" s="153"/>
      <c r="DD181" s="414" t="s">
        <v>1411</v>
      </c>
      <c r="DE181" s="376" t="s">
        <v>1410</v>
      </c>
      <c r="DF181" s="376" t="s">
        <v>1409</v>
      </c>
      <c r="DG181" s="368"/>
      <c r="DH181" s="181" t="s">
        <v>477</v>
      </c>
      <c r="DI181" s="153">
        <v>45895</v>
      </c>
      <c r="DJ181" s="1000">
        <v>6</v>
      </c>
      <c r="DK181" s="181" t="s">
        <v>477</v>
      </c>
      <c r="DL181" s="182">
        <v>930000</v>
      </c>
      <c r="DM181" s="181">
        <f t="shared" si="224"/>
        <v>6026400</v>
      </c>
      <c r="DN181" s="446">
        <f t="shared" si="222"/>
        <v>0.08</v>
      </c>
      <c r="DO181" s="182">
        <f t="shared" si="223"/>
        <v>5580000</v>
      </c>
      <c r="DP181" s="275">
        <v>45938</v>
      </c>
      <c r="DQ181" s="152"/>
      <c r="DR181" s="152"/>
      <c r="DS181" s="151"/>
      <c r="DT181" s="275"/>
      <c r="DU181" s="370"/>
      <c r="DV181" s="208"/>
      <c r="DW181" s="208"/>
      <c r="DX181" s="171"/>
      <c r="DY181" s="171"/>
      <c r="DZ181" s="152"/>
      <c r="EA181" s="152"/>
      <c r="EB181" s="153"/>
      <c r="EC181" s="152"/>
      <c r="ED181" s="152"/>
      <c r="EE181" s="396"/>
      <c r="EF181" s="371"/>
      <c r="EG181" s="153"/>
      <c r="EH181" s="153"/>
      <c r="EI181" s="153"/>
      <c r="EJ181" s="153"/>
      <c r="EK181" s="153"/>
      <c r="EL181" s="153"/>
      <c r="EM181" s="153"/>
      <c r="EN181" s="153"/>
      <c r="EO181" s="152"/>
      <c r="EP181" s="151"/>
      <c r="EQ181" s="153"/>
      <c r="ER181" s="153"/>
      <c r="ES181" s="153"/>
      <c r="ET181" s="153"/>
      <c r="EU181" s="152"/>
      <c r="EV181" s="152"/>
      <c r="EW181" s="152"/>
      <c r="EX181" s="152"/>
      <c r="EY181" s="151"/>
      <c r="EZ181" s="152"/>
      <c r="FA181" s="372"/>
      <c r="FB181" s="373"/>
      <c r="FC181" s="367"/>
      <c r="FD181" s="374"/>
      <c r="FE181" s="183"/>
      <c r="FF181" s="184"/>
      <c r="FG181" s="185"/>
      <c r="FH181" s="185"/>
    </row>
    <row r="182" spans="1:164" s="157" customFormat="1" ht="14" hidden="1" customHeight="1">
      <c r="A182" s="208" t="str">
        <f t="shared" si="180"/>
        <v>Hiện</v>
      </c>
      <c r="B182" s="151"/>
      <c r="C182" s="409"/>
      <c r="D182" s="151"/>
      <c r="E182" s="400"/>
      <c r="F182" s="151"/>
      <c r="G182" s="151"/>
      <c r="H182" s="151"/>
      <c r="I182" s="171" t="s">
        <v>1502</v>
      </c>
      <c r="J182" s="164" t="s">
        <v>640</v>
      </c>
      <c r="K182" s="247" t="s">
        <v>641</v>
      </c>
      <c r="L182" s="233" t="s">
        <v>642</v>
      </c>
      <c r="M182" s="412" t="s">
        <v>345</v>
      </c>
      <c r="N182" s="163"/>
      <c r="O182" s="178"/>
      <c r="P182" s="172"/>
      <c r="Q182" s="179"/>
      <c r="R182" s="180"/>
      <c r="S182" s="179"/>
      <c r="T182" s="180"/>
      <c r="U182" s="180"/>
      <c r="V182" s="180"/>
      <c r="W182" s="180"/>
      <c r="X182" s="180"/>
      <c r="Y182" s="180"/>
      <c r="Z182" s="180"/>
      <c r="AA182" s="180"/>
      <c r="AB182" s="180"/>
      <c r="AC182" s="180"/>
      <c r="AD182" s="180"/>
      <c r="AE182" s="180"/>
      <c r="AF182" s="180"/>
      <c r="AG182" s="180"/>
      <c r="AH182" s="180"/>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209">
        <f>Q182+S182+U182+W182+Y182+AA182+AC182+AE182+AG182+AI182+AK182+AM182+AO182+AQ182+AS182+AU182+AW182+AY182+BA182+BC182+BE182+BG182+BI182+BK182+BM182+BO182+BQ182+BS182+BU182+BW182+BY182+CA182+CC182+CE182+CG182+CI182+CK182+CM182+CO182+CQ182</f>
        <v>0</v>
      </c>
      <c r="CT182" s="209">
        <f>R182+T182+V182+X182+Z182+AB182+AD182+AF182+AH182+AJ182+AL182+AN182+AP182+AR182+AT182+AV182+AX182+AZ182+BB182+BD182+BF182+BH182+BJ182+BL182+BN182+BP182+BR182+BT182+BV182+BX182+BZ182+CB182+CD182+CF182+CH182+CJ182+CL182+CN182+CP182+CR182</f>
        <v>0</v>
      </c>
      <c r="CU182" s="375"/>
      <c r="CV182" s="208"/>
      <c r="CW182" s="152"/>
      <c r="CX182" s="152"/>
      <c r="CY182" s="208"/>
      <c r="CZ182" s="208"/>
      <c r="DA182" s="152" t="str">
        <f t="shared" ref="DA182:DA191" si="225">IF(CS182&gt;CW182,CS182-CW182,"0")</f>
        <v>0</v>
      </c>
      <c r="DB182" s="152" t="str">
        <f t="shared" ref="DB182:DB191" si="226">IF(CT182&gt;CX182,CT182-CX182,"0")</f>
        <v>0</v>
      </c>
      <c r="DC182" s="153"/>
      <c r="DD182" s="414" t="s">
        <v>1464</v>
      </c>
      <c r="DE182" s="376" t="s">
        <v>435</v>
      </c>
      <c r="DF182" s="376" t="s">
        <v>1499</v>
      </c>
      <c r="DG182" s="368"/>
      <c r="DH182" s="181" t="s">
        <v>477</v>
      </c>
      <c r="DI182" s="275">
        <v>45881</v>
      </c>
      <c r="DJ182" s="1000">
        <v>1756</v>
      </c>
      <c r="DK182" s="181" t="s">
        <v>477</v>
      </c>
      <c r="DL182" s="182">
        <v>65000</v>
      </c>
      <c r="DM182" s="181">
        <f>DL182*DJ182*1.1</f>
        <v>125554000.00000001</v>
      </c>
      <c r="DN182" s="446">
        <f t="shared" si="222"/>
        <v>0.10000000000000013</v>
      </c>
      <c r="DO182" s="182">
        <f t="shared" si="223"/>
        <v>114140000</v>
      </c>
      <c r="DP182" s="275" t="s">
        <v>1500</v>
      </c>
      <c r="DQ182" s="152">
        <f>SUMIF($I:$I,I182,$DJ:$DJ)</f>
        <v>1756</v>
      </c>
      <c r="DR182" s="152">
        <f>SUMIF($I:$I,I182,$DK:$DK)</f>
        <v>0</v>
      </c>
      <c r="DS182" s="151"/>
      <c r="DT182" s="275"/>
      <c r="DU182" s="370"/>
      <c r="DV182" s="208"/>
      <c r="DW182" s="208"/>
      <c r="DX182" s="171"/>
      <c r="DY182" s="171"/>
      <c r="DZ182" s="152"/>
      <c r="EA182" s="152"/>
      <c r="EB182" s="153"/>
      <c r="EC182" s="152"/>
      <c r="ED182" s="152"/>
      <c r="EE182" s="396"/>
      <c r="EF182" s="371"/>
      <c r="EG182" s="153"/>
      <c r="EH182" s="153"/>
      <c r="EI182" s="153"/>
      <c r="EJ182" s="153"/>
      <c r="EK182" s="153"/>
      <c r="EL182" s="153"/>
      <c r="EM182" s="153"/>
      <c r="EN182" s="153"/>
      <c r="EO182" s="152">
        <f>SUMIF($I:$I,I182,$EC:$EC)</f>
        <v>0</v>
      </c>
      <c r="EP182" s="151">
        <f>SUMIF($I:$I,I182,$ED:$ED)</f>
        <v>0</v>
      </c>
      <c r="EQ182" s="153"/>
      <c r="ER182" s="153"/>
      <c r="ES182" s="153"/>
      <c r="ET182" s="153"/>
      <c r="EU182" s="152">
        <f t="shared" ref="EU182:EU191" si="227">DQ182+EO182</f>
        <v>1756</v>
      </c>
      <c r="EV182" s="152">
        <f t="shared" ref="EV182:EV191" si="228">DR182+EP182</f>
        <v>0</v>
      </c>
      <c r="EW182" s="152">
        <f t="shared" ref="EW182:EW191" si="229">DA182-EU182</f>
        <v>-1756</v>
      </c>
      <c r="EX182" s="152">
        <f t="shared" ref="EX182:EX191" si="230">DB182-EV182</f>
        <v>0</v>
      </c>
      <c r="EY182" s="151" t="str">
        <f t="shared" ref="EY182:EY191" si="231">IF(EW182&lt;0,"Thừa",IF(EW182=0,"Đủ","Thiếu"))</f>
        <v>Thừa</v>
      </c>
      <c r="EZ182" s="152"/>
      <c r="FA182" s="372"/>
      <c r="FB182" s="373"/>
      <c r="FC182" s="367"/>
      <c r="FD182" s="374"/>
      <c r="FE182" s="183"/>
      <c r="FF182" s="184"/>
      <c r="FG182" s="185"/>
      <c r="FH182" s="185"/>
    </row>
    <row r="183" spans="1:164" s="157" customFormat="1" ht="14" hidden="1" customHeight="1">
      <c r="A183" s="208" t="str">
        <f t="shared" si="180"/>
        <v>Hiện</v>
      </c>
      <c r="B183" s="151" t="str">
        <f t="shared" ref="B183:B190" si="232">EY183</f>
        <v>Đủ</v>
      </c>
      <c r="C183" s="152">
        <f t="shared" ref="C183:C190" si="233">EW183</f>
        <v>0</v>
      </c>
      <c r="D183" s="399"/>
      <c r="E183" s="400"/>
      <c r="F183" s="151"/>
      <c r="G183" s="151"/>
      <c r="H183" s="151" t="s">
        <v>711</v>
      </c>
      <c r="I183" s="171" t="s">
        <v>685</v>
      </c>
      <c r="J183" s="164" t="s">
        <v>235</v>
      </c>
      <c r="K183" s="247" t="s">
        <v>686</v>
      </c>
      <c r="L183" s="233" t="s">
        <v>289</v>
      </c>
      <c r="M183" s="412" t="s">
        <v>44</v>
      </c>
      <c r="N183" s="163">
        <v>31.4</v>
      </c>
      <c r="O183" s="178">
        <v>33.705732484076428</v>
      </c>
      <c r="P183" s="172">
        <v>1058.3599999999999</v>
      </c>
      <c r="Q183" s="161"/>
      <c r="R183" s="162"/>
      <c r="S183" s="161"/>
      <c r="T183" s="162"/>
      <c r="U183" s="162"/>
      <c r="V183" s="162"/>
      <c r="W183" s="162"/>
      <c r="X183" s="162"/>
      <c r="Y183" s="162"/>
      <c r="Z183" s="162"/>
      <c r="AA183" s="162"/>
      <c r="AB183" s="162"/>
      <c r="AC183" s="162"/>
      <c r="AD183" s="162"/>
      <c r="AE183" s="162"/>
      <c r="AF183" s="162"/>
      <c r="AG183" s="162">
        <v>45</v>
      </c>
      <c r="AH183" s="162">
        <v>1413</v>
      </c>
      <c r="AI183" s="162">
        <f>VLOOKUP(I183,'[119]MTO-rev09'!$A:$O,11,0)</f>
        <v>0</v>
      </c>
      <c r="AJ183" s="162">
        <f>VLOOKUP(I183,'[119]MTO-rev09'!$A:$O,12,0)</f>
        <v>0</v>
      </c>
      <c r="AK183" s="162">
        <v>0</v>
      </c>
      <c r="AL183" s="162">
        <v>0</v>
      </c>
      <c r="AM183" s="162"/>
      <c r="AN183" s="162"/>
      <c r="AO183" s="162">
        <v>0</v>
      </c>
      <c r="AP183" s="162">
        <v>0</v>
      </c>
      <c r="AQ183" s="162">
        <v>0</v>
      </c>
      <c r="AR183" s="162">
        <v>0</v>
      </c>
      <c r="AS183" s="162">
        <v>0</v>
      </c>
      <c r="AT183" s="162">
        <v>0</v>
      </c>
      <c r="AU183" s="162">
        <v>0</v>
      </c>
      <c r="AV183" s="162">
        <v>0</v>
      </c>
      <c r="AW183" s="162">
        <v>0</v>
      </c>
      <c r="AX183" s="162">
        <v>0</v>
      </c>
      <c r="AY183" s="162">
        <v>0</v>
      </c>
      <c r="AZ183" s="162">
        <v>0</v>
      </c>
      <c r="BA183" s="162"/>
      <c r="BB183" s="162"/>
      <c r="BC183" s="162">
        <v>0</v>
      </c>
      <c r="BD183" s="162">
        <v>0</v>
      </c>
      <c r="BE183" s="162">
        <v>0</v>
      </c>
      <c r="BF183" s="162">
        <v>0</v>
      </c>
      <c r="BG183" s="162">
        <v>0</v>
      </c>
      <c r="BH183" s="162">
        <v>0</v>
      </c>
      <c r="BI183" s="162">
        <v>0</v>
      </c>
      <c r="BJ183" s="162">
        <v>0</v>
      </c>
      <c r="BK183" s="162">
        <v>0</v>
      </c>
      <c r="BL183" s="162">
        <v>0</v>
      </c>
      <c r="BM183" s="162">
        <v>0</v>
      </c>
      <c r="BN183" s="162">
        <v>0</v>
      </c>
      <c r="BO183" s="162"/>
      <c r="BP183" s="162"/>
      <c r="BQ183" s="162">
        <v>0</v>
      </c>
      <c r="BR183" s="162">
        <v>0</v>
      </c>
      <c r="BS183" s="162">
        <v>0</v>
      </c>
      <c r="BT183" s="162">
        <v>0</v>
      </c>
      <c r="BU183" s="162">
        <v>0</v>
      </c>
      <c r="BV183" s="162">
        <v>0</v>
      </c>
      <c r="BW183" s="162"/>
      <c r="BX183" s="162"/>
      <c r="BY183" s="162">
        <v>0</v>
      </c>
      <c r="BZ183" s="162">
        <v>0</v>
      </c>
      <c r="CA183" s="162">
        <v>0</v>
      </c>
      <c r="CB183" s="162">
        <v>0</v>
      </c>
      <c r="CC183" s="162">
        <v>0</v>
      </c>
      <c r="CD183" s="162">
        <v>0</v>
      </c>
      <c r="CE183" s="162">
        <f>VLOOKUP(I183,[120]REV33!$A:$O,11,0)</f>
        <v>0</v>
      </c>
      <c r="CF183" s="162">
        <f>VLOOKUP(I183,[120]REV33!$A:$O,12,0)</f>
        <v>0</v>
      </c>
      <c r="CG183" s="162"/>
      <c r="CH183" s="162"/>
      <c r="CI183" s="162"/>
      <c r="CJ183" s="162"/>
      <c r="CK183" s="162"/>
      <c r="CL183" s="162"/>
      <c r="CM183" s="162"/>
      <c r="CN183" s="162"/>
      <c r="CO183" s="162">
        <v>0</v>
      </c>
      <c r="CP183" s="162">
        <v>0</v>
      </c>
      <c r="CQ183" s="162">
        <v>0</v>
      </c>
      <c r="CR183" s="162">
        <v>0</v>
      </c>
      <c r="CS183" s="209">
        <f>Q183+S183+U183+W183+Y183+AA183+AC183+AE183+AG183+AI183+AK183+AM183+AO183+AQ183+AS183+AU183+AW183+AY183+BA183+BC183+BE183+BG183+BI183+BK183+BM183+BO183+BQ183+BS183+BU183+BW183+BY183+CA183+CC183+CE183+CG183+CI183+CK183+CM183+CO183+CQ183</f>
        <v>45</v>
      </c>
      <c r="CT183" s="209">
        <f>R183+T183+V183+X183+Z183+AB183+AD183+AF183+AH183+AJ183+AL183+AN183+AP183+AR183+AT183+AV183+AX183+AZ183+BB183+BD183+BF183+BH183+BJ183+BL183+BN183+BP183+BR183+BT183+BV183+BX183+BZ183+CB183+CD183+CF183+CH183+CJ183+CL183+CN183+CP183+CR183</f>
        <v>1413</v>
      </c>
      <c r="CU183" s="375" t="s">
        <v>706</v>
      </c>
      <c r="CV183" s="208"/>
      <c r="CW183" s="152">
        <v>45</v>
      </c>
      <c r="CX183" s="152">
        <v>1413</v>
      </c>
      <c r="CY183" s="208"/>
      <c r="CZ183" s="208" t="s">
        <v>710</v>
      </c>
      <c r="DA183" s="152" t="str">
        <f t="shared" si="225"/>
        <v>0</v>
      </c>
      <c r="DB183" s="152" t="str">
        <f t="shared" si="226"/>
        <v>0</v>
      </c>
      <c r="DC183" s="153"/>
      <c r="DD183" s="153"/>
      <c r="DE183" s="153"/>
      <c r="DF183" s="376"/>
      <c r="DG183" s="368"/>
      <c r="DH183" s="181"/>
      <c r="DI183" s="153"/>
      <c r="DJ183" s="1000"/>
      <c r="DK183" s="181"/>
      <c r="DL183" s="182"/>
      <c r="DM183" s="182"/>
      <c r="DN183" s="182"/>
      <c r="DO183" s="182"/>
      <c r="DP183" s="275"/>
      <c r="DQ183" s="152">
        <f>SUMIF($I:$I,I183,$DJ:$DJ)</f>
        <v>0</v>
      </c>
      <c r="DR183" s="152">
        <f>SUMIF($I:$I,I183,$DK:$DK)</f>
        <v>0</v>
      </c>
      <c r="DS183" s="151"/>
      <c r="DT183" s="275"/>
      <c r="DU183" s="370"/>
      <c r="DV183" s="208"/>
      <c r="DW183" s="208"/>
      <c r="DX183" s="171"/>
      <c r="DY183" s="171"/>
      <c r="DZ183" s="152"/>
      <c r="EA183" s="152"/>
      <c r="EB183" s="153"/>
      <c r="EC183" s="152"/>
      <c r="ED183" s="152"/>
      <c r="EE183" s="396"/>
      <c r="EF183" s="371"/>
      <c r="EG183" s="153"/>
      <c r="EH183" s="153"/>
      <c r="EI183" s="153"/>
      <c r="EJ183" s="153"/>
      <c r="EK183" s="153"/>
      <c r="EL183" s="153"/>
      <c r="EM183" s="153"/>
      <c r="EN183" s="153"/>
      <c r="EO183" s="152">
        <f>SUMIF($I:$I,I183,$EC:$EC)</f>
        <v>0</v>
      </c>
      <c r="EP183" s="151">
        <f>SUMIF($I:$I,I183,$ED:$ED)</f>
        <v>0</v>
      </c>
      <c r="EQ183" s="153"/>
      <c r="ER183" s="153"/>
      <c r="ES183" s="153"/>
      <c r="ET183" s="153"/>
      <c r="EU183" s="152">
        <f t="shared" si="227"/>
        <v>0</v>
      </c>
      <c r="EV183" s="152">
        <f t="shared" si="228"/>
        <v>0</v>
      </c>
      <c r="EW183" s="152">
        <f t="shared" si="229"/>
        <v>0</v>
      </c>
      <c r="EX183" s="152">
        <f t="shared" si="230"/>
        <v>0</v>
      </c>
      <c r="EY183" s="151" t="str">
        <f t="shared" si="231"/>
        <v>Đủ</v>
      </c>
      <c r="EZ183" s="152"/>
      <c r="FA183" s="372"/>
      <c r="FB183" s="373"/>
      <c r="FC183" s="367"/>
      <c r="FD183" s="374"/>
      <c r="FE183" s="183"/>
      <c r="FF183" s="184"/>
      <c r="FG183" s="185"/>
      <c r="FH183" s="185"/>
    </row>
    <row r="184" spans="1:164" s="157" customFormat="1" ht="14" hidden="1" customHeight="1">
      <c r="A184" s="208" t="str">
        <f t="shared" si="180"/>
        <v>Hiện</v>
      </c>
      <c r="B184" s="151" t="str">
        <f t="shared" si="232"/>
        <v>Đủ</v>
      </c>
      <c r="C184" s="409">
        <f t="shared" si="233"/>
        <v>0</v>
      </c>
      <c r="D184" s="151"/>
      <c r="E184" s="400"/>
      <c r="F184" s="151"/>
      <c r="G184" s="151"/>
      <c r="H184" s="151"/>
      <c r="I184" s="171" t="s">
        <v>687</v>
      </c>
      <c r="J184" s="164" t="s">
        <v>412</v>
      </c>
      <c r="K184" s="247" t="s">
        <v>688</v>
      </c>
      <c r="L184" s="233" t="s">
        <v>1179</v>
      </c>
      <c r="M184" s="412" t="s">
        <v>61</v>
      </c>
      <c r="N184" s="163">
        <v>1.5802469135802468</v>
      </c>
      <c r="O184" s="178">
        <v>3.952</v>
      </c>
      <c r="P184" s="172">
        <v>12.48</v>
      </c>
      <c r="Q184" s="179"/>
      <c r="R184" s="180"/>
      <c r="S184" s="179"/>
      <c r="T184" s="180"/>
      <c r="U184" s="180"/>
      <c r="V184" s="180"/>
      <c r="W184" s="180"/>
      <c r="X184" s="180"/>
      <c r="Y184" s="180"/>
      <c r="Z184" s="180"/>
      <c r="AA184" s="180"/>
      <c r="AB184" s="180"/>
      <c r="AC184" s="180"/>
      <c r="AD184" s="180"/>
      <c r="AE184" s="180"/>
      <c r="AF184" s="180"/>
      <c r="AG184" s="180">
        <v>6</v>
      </c>
      <c r="AH184" s="180">
        <v>9.481481481481481</v>
      </c>
      <c r="AI184" s="162">
        <f>VLOOKUP(I184,'[119]MTO-rev09'!$A:$O,11,0)</f>
        <v>0</v>
      </c>
      <c r="AJ184" s="162">
        <f>VLOOKUP(I184,'[119]MTO-rev09'!$A:$O,12,0)</f>
        <v>0</v>
      </c>
      <c r="AK184" s="162">
        <v>0</v>
      </c>
      <c r="AL184" s="162">
        <v>0</v>
      </c>
      <c r="AM184" s="162"/>
      <c r="AN184" s="162"/>
      <c r="AO184" s="162">
        <v>0</v>
      </c>
      <c r="AP184" s="162">
        <v>0</v>
      </c>
      <c r="AQ184" s="162">
        <v>0</v>
      </c>
      <c r="AR184" s="162">
        <v>0</v>
      </c>
      <c r="AS184" s="162">
        <v>0</v>
      </c>
      <c r="AT184" s="162">
        <v>0</v>
      </c>
      <c r="AU184" s="162">
        <v>0</v>
      </c>
      <c r="AV184" s="162">
        <v>0</v>
      </c>
      <c r="AW184" s="162">
        <v>0</v>
      </c>
      <c r="AX184" s="162">
        <v>0</v>
      </c>
      <c r="AY184" s="162">
        <v>0</v>
      </c>
      <c r="AZ184" s="162">
        <v>0</v>
      </c>
      <c r="BA184" s="162"/>
      <c r="BB184" s="162"/>
      <c r="BC184" s="162">
        <v>0</v>
      </c>
      <c r="BD184" s="162">
        <v>0</v>
      </c>
      <c r="BE184" s="162">
        <v>0</v>
      </c>
      <c r="BF184" s="162">
        <v>0</v>
      </c>
      <c r="BG184" s="162">
        <v>0</v>
      </c>
      <c r="BH184" s="162">
        <v>0</v>
      </c>
      <c r="BI184" s="162">
        <v>0</v>
      </c>
      <c r="BJ184" s="162">
        <v>0</v>
      </c>
      <c r="BK184" s="162">
        <v>0</v>
      </c>
      <c r="BL184" s="162">
        <v>0</v>
      </c>
      <c r="BM184" s="162">
        <v>0</v>
      </c>
      <c r="BN184" s="162">
        <v>0</v>
      </c>
      <c r="BO184" s="162"/>
      <c r="BP184" s="162"/>
      <c r="BQ184" s="162">
        <v>0</v>
      </c>
      <c r="BR184" s="162">
        <v>0</v>
      </c>
      <c r="BS184" s="162">
        <v>0</v>
      </c>
      <c r="BT184" s="162">
        <v>0</v>
      </c>
      <c r="BU184" s="162">
        <v>0</v>
      </c>
      <c r="BV184" s="162">
        <v>0</v>
      </c>
      <c r="BW184" s="162"/>
      <c r="BX184" s="162"/>
      <c r="BY184" s="162">
        <v>0</v>
      </c>
      <c r="BZ184" s="162">
        <v>0</v>
      </c>
      <c r="CA184" s="162">
        <v>0</v>
      </c>
      <c r="CB184" s="162">
        <v>0</v>
      </c>
      <c r="CC184" s="162">
        <v>0</v>
      </c>
      <c r="CD184" s="162">
        <v>0</v>
      </c>
      <c r="CE184" s="162">
        <f>VLOOKUP(I184,[120]REV33!$A:$O,11,0)</f>
        <v>0</v>
      </c>
      <c r="CF184" s="162">
        <f>VLOOKUP(I184,[120]REV33!$A:$O,12,0)</f>
        <v>0</v>
      </c>
      <c r="CG184" s="162"/>
      <c r="CH184" s="162"/>
      <c r="CI184" s="162"/>
      <c r="CJ184" s="162"/>
      <c r="CK184" s="162"/>
      <c r="CL184" s="162"/>
      <c r="CM184" s="162"/>
      <c r="CN184" s="162"/>
      <c r="CO184" s="162">
        <v>0</v>
      </c>
      <c r="CP184" s="162">
        <v>0</v>
      </c>
      <c r="CQ184" s="162">
        <v>0</v>
      </c>
      <c r="CR184" s="162">
        <v>0</v>
      </c>
      <c r="CS184" s="209">
        <f>Q184+S184+U184+W184+Y184+AA184+AC184+AE184+AG184+AI184+AK184+AM184+AO184+AQ184+AS184+AU184+AW184+AY184+BA184+BC184+BE184+BG184+BI184+BK184+BM184+BO184+BQ184+BS184+BU184+BW184+BY184+CA184+CC184+CE184+CG184+CI184+CK184+CM184+CO184+CQ184</f>
        <v>6</v>
      </c>
      <c r="CT184" s="209">
        <f>R184+T184+V184+X184+Z184+AB184+AD184+AF184+AH184+AJ184+AL184+AN184+AP184+AR184+AT184+AV184+AX184+AZ184+BB184+BD184+BF184+BH184+BJ184+BL184+BN184+BP184+BR184+BT184+BV184+BX184+BZ184+CB184+CD184+CF184+CH184+CJ184+CL184+CN184+CP184+CR184</f>
        <v>9.481481481481481</v>
      </c>
      <c r="CU184" s="375" t="s">
        <v>707</v>
      </c>
      <c r="CV184" s="208"/>
      <c r="CW184" s="152"/>
      <c r="CX184" s="152"/>
      <c r="CY184" s="208"/>
      <c r="CZ184" s="208"/>
      <c r="DA184" s="152">
        <f t="shared" si="225"/>
        <v>6</v>
      </c>
      <c r="DB184" s="152">
        <f t="shared" si="226"/>
        <v>9.481481481481481</v>
      </c>
      <c r="DC184" s="153"/>
      <c r="DD184" s="153" t="s">
        <v>1020</v>
      </c>
      <c r="DE184" s="153" t="s">
        <v>435</v>
      </c>
      <c r="DF184" s="376" t="s">
        <v>1025</v>
      </c>
      <c r="DG184" s="368"/>
      <c r="DH184" s="181"/>
      <c r="DI184" s="153"/>
      <c r="DJ184" s="1000">
        <v>6</v>
      </c>
      <c r="DK184" s="181" t="s">
        <v>477</v>
      </c>
      <c r="DL184" s="182">
        <f>2850000/6</f>
        <v>475000</v>
      </c>
      <c r="DM184" s="181">
        <f>DL184*DJ184*1.1</f>
        <v>3135000.0000000005</v>
      </c>
      <c r="DN184" s="446">
        <f>(DM184-DO184)/DO184</f>
        <v>0.10000000000000016</v>
      </c>
      <c r="DO184" s="182">
        <f>DL184*DJ184</f>
        <v>2850000</v>
      </c>
      <c r="DP184" s="275">
        <v>45889</v>
      </c>
      <c r="DQ184" s="152">
        <f>SUMIF($I:$I,I184,$DJ:$DJ)</f>
        <v>6</v>
      </c>
      <c r="DR184" s="152">
        <f>SUMIF($I:$I,I184,$DK:$DK)</f>
        <v>0</v>
      </c>
      <c r="DS184" s="151"/>
      <c r="DT184" s="275"/>
      <c r="DU184" s="370"/>
      <c r="DV184" s="208"/>
      <c r="DW184" s="208"/>
      <c r="DX184" s="171"/>
      <c r="DY184" s="171"/>
      <c r="DZ184" s="152"/>
      <c r="EA184" s="152"/>
      <c r="EB184" s="153"/>
      <c r="EC184" s="152"/>
      <c r="ED184" s="152"/>
      <c r="EE184" s="396"/>
      <c r="EF184" s="371"/>
      <c r="EG184" s="153"/>
      <c r="EH184" s="153"/>
      <c r="EI184" s="153"/>
      <c r="EJ184" s="153"/>
      <c r="EK184" s="153"/>
      <c r="EL184" s="153"/>
      <c r="EM184" s="153"/>
      <c r="EN184" s="153"/>
      <c r="EO184" s="152">
        <f>SUMIF($I:$I,I184,$EC:$EC)</f>
        <v>0</v>
      </c>
      <c r="EP184" s="151">
        <f>SUMIF($I:$I,I184,$ED:$ED)</f>
        <v>0</v>
      </c>
      <c r="EQ184" s="153"/>
      <c r="ER184" s="153"/>
      <c r="ES184" s="153"/>
      <c r="ET184" s="153"/>
      <c r="EU184" s="152">
        <f t="shared" si="227"/>
        <v>6</v>
      </c>
      <c r="EV184" s="152">
        <f t="shared" si="228"/>
        <v>0</v>
      </c>
      <c r="EW184" s="152">
        <f t="shared" si="229"/>
        <v>0</v>
      </c>
      <c r="EX184" s="152">
        <f t="shared" si="230"/>
        <v>9.481481481481481</v>
      </c>
      <c r="EY184" s="151" t="str">
        <f t="shared" si="231"/>
        <v>Đủ</v>
      </c>
      <c r="EZ184" s="152"/>
      <c r="FA184" s="372"/>
      <c r="FB184" s="373"/>
      <c r="FC184" s="367"/>
      <c r="FD184" s="374"/>
      <c r="FE184" s="183"/>
      <c r="FF184" s="184"/>
      <c r="FG184" s="185"/>
      <c r="FH184" s="185"/>
    </row>
    <row r="185" spans="1:164" s="157" customFormat="1" ht="14" hidden="1" customHeight="1">
      <c r="A185" s="208" t="str">
        <f t="shared" si="180"/>
        <v>Hiện</v>
      </c>
      <c r="B185" s="151" t="str">
        <f t="shared" si="232"/>
        <v>Đủ</v>
      </c>
      <c r="C185" s="409">
        <f t="shared" si="233"/>
        <v>0</v>
      </c>
      <c r="D185" s="151"/>
      <c r="E185" s="400"/>
      <c r="F185" s="151"/>
      <c r="G185" s="151"/>
      <c r="H185" s="151"/>
      <c r="I185" s="171" t="s">
        <v>689</v>
      </c>
      <c r="J185" s="164" t="s">
        <v>412</v>
      </c>
      <c r="K185" s="247" t="s">
        <v>690</v>
      </c>
      <c r="L185" s="233" t="s">
        <v>691</v>
      </c>
      <c r="M185" s="412" t="s">
        <v>61</v>
      </c>
      <c r="N185" s="163">
        <v>0.15</v>
      </c>
      <c r="O185" s="178">
        <v>1</v>
      </c>
      <c r="P185" s="172">
        <v>0.2</v>
      </c>
      <c r="Q185" s="179"/>
      <c r="R185" s="180"/>
      <c r="S185" s="179"/>
      <c r="T185" s="180"/>
      <c r="U185" s="180"/>
      <c r="V185" s="180"/>
      <c r="W185" s="180"/>
      <c r="X185" s="180"/>
      <c r="Y185" s="180"/>
      <c r="Z185" s="180"/>
      <c r="AA185" s="180"/>
      <c r="AB185" s="180"/>
      <c r="AC185" s="180"/>
      <c r="AD185" s="180"/>
      <c r="AE185" s="180"/>
      <c r="AF185" s="180"/>
      <c r="AG185" s="180">
        <v>1.2</v>
      </c>
      <c r="AH185" s="180">
        <v>0.18</v>
      </c>
      <c r="AI185" s="162">
        <f>VLOOKUP(I185,'[119]MTO-rev09'!$A:$O,11,0)</f>
        <v>0</v>
      </c>
      <c r="AJ185" s="162">
        <f>VLOOKUP(I185,'[119]MTO-rev09'!$A:$O,12,0)</f>
        <v>0</v>
      </c>
      <c r="AK185" s="162">
        <v>0</v>
      </c>
      <c r="AL185" s="162">
        <v>0</v>
      </c>
      <c r="AM185" s="162"/>
      <c r="AN185" s="162"/>
      <c r="AO185" s="162">
        <v>0</v>
      </c>
      <c r="AP185" s="162">
        <v>0</v>
      </c>
      <c r="AQ185" s="162">
        <v>0</v>
      </c>
      <c r="AR185" s="162">
        <v>0</v>
      </c>
      <c r="AS185" s="162">
        <v>0</v>
      </c>
      <c r="AT185" s="162">
        <v>0</v>
      </c>
      <c r="AU185" s="162">
        <v>0</v>
      </c>
      <c r="AV185" s="162">
        <v>0</v>
      </c>
      <c r="AW185" s="162">
        <v>0</v>
      </c>
      <c r="AX185" s="162">
        <v>0</v>
      </c>
      <c r="AY185" s="162">
        <v>0</v>
      </c>
      <c r="AZ185" s="162">
        <v>0</v>
      </c>
      <c r="BA185" s="162"/>
      <c r="BB185" s="162"/>
      <c r="BC185" s="162">
        <v>0</v>
      </c>
      <c r="BD185" s="162">
        <v>0</v>
      </c>
      <c r="BE185" s="162">
        <v>0</v>
      </c>
      <c r="BF185" s="162">
        <v>0</v>
      </c>
      <c r="BG185" s="162">
        <v>0</v>
      </c>
      <c r="BH185" s="162">
        <v>0</v>
      </c>
      <c r="BI185" s="162">
        <v>0</v>
      </c>
      <c r="BJ185" s="162">
        <v>0</v>
      </c>
      <c r="BK185" s="162">
        <v>0</v>
      </c>
      <c r="BL185" s="162">
        <v>0</v>
      </c>
      <c r="BM185" s="162">
        <v>0</v>
      </c>
      <c r="BN185" s="162">
        <v>0</v>
      </c>
      <c r="BO185" s="162"/>
      <c r="BP185" s="162"/>
      <c r="BQ185" s="162">
        <v>0</v>
      </c>
      <c r="BR185" s="162">
        <v>0</v>
      </c>
      <c r="BS185" s="162">
        <v>0</v>
      </c>
      <c r="BT185" s="162">
        <v>0</v>
      </c>
      <c r="BU185" s="162">
        <v>0</v>
      </c>
      <c r="BV185" s="162">
        <v>0</v>
      </c>
      <c r="BW185" s="162"/>
      <c r="BX185" s="162"/>
      <c r="BY185" s="162">
        <v>0</v>
      </c>
      <c r="BZ185" s="162">
        <v>0</v>
      </c>
      <c r="CA185" s="162">
        <v>0</v>
      </c>
      <c r="CB185" s="162">
        <v>0</v>
      </c>
      <c r="CC185" s="162">
        <v>0</v>
      </c>
      <c r="CD185" s="162">
        <v>0</v>
      </c>
      <c r="CE185" s="162">
        <f>VLOOKUP(I185,[120]REV33!$A:$O,11,0)</f>
        <v>0</v>
      </c>
      <c r="CF185" s="162">
        <f>VLOOKUP(I185,[120]REV33!$A:$O,12,0)</f>
        <v>0</v>
      </c>
      <c r="CG185" s="162"/>
      <c r="CH185" s="162"/>
      <c r="CI185" s="162"/>
      <c r="CJ185" s="162"/>
      <c r="CK185" s="162"/>
      <c r="CL185" s="162"/>
      <c r="CM185" s="162"/>
      <c r="CN185" s="162"/>
      <c r="CO185" s="162">
        <v>0</v>
      </c>
      <c r="CP185" s="162">
        <v>0</v>
      </c>
      <c r="CQ185" s="162">
        <v>0</v>
      </c>
      <c r="CR185" s="162">
        <v>0</v>
      </c>
      <c r="CS185" s="209">
        <f>Q185+S185+U185+W185+Y185+AA185+AC185+AE185+AG185+AI185+AK185+AM185+AO185+AQ185+AS185+AU185+AW185+AY185+BA185+BC185+BE185+BG185+BI185+BK185+BM185+BO185+BQ185+BS185+BU185+BW185+BY185+CA185+CC185+CE185+CG185+CI185+CK185+CM185+CO185+CQ185</f>
        <v>1.2</v>
      </c>
      <c r="CT185" s="209">
        <f>R185+T185+V185+X185+Z185+AB185+AD185+AF185+AH185+AJ185+AL185+AN185+AP185+AR185+AT185+AV185+AX185+AZ185+BB185+BD185+BF185+BH185+BJ185+BL185+BN185+BP185+BR185+BT185+BV185+BX185+BZ185+CB185+CD185+CF185+CH185+CJ185+CL185+CN185+CP185+CR185</f>
        <v>0.18</v>
      </c>
      <c r="CU185" s="375" t="s">
        <v>707</v>
      </c>
      <c r="CV185" s="208"/>
      <c r="CW185" s="152"/>
      <c r="CX185" s="152"/>
      <c r="CY185" s="208"/>
      <c r="CZ185" s="208"/>
      <c r="DA185" s="152">
        <f t="shared" si="225"/>
        <v>1.2</v>
      </c>
      <c r="DB185" s="152">
        <f t="shared" si="226"/>
        <v>0.18</v>
      </c>
      <c r="DC185" s="153"/>
      <c r="DD185" s="153" t="s">
        <v>1020</v>
      </c>
      <c r="DE185" s="153" t="s">
        <v>435</v>
      </c>
      <c r="DF185" s="376" t="s">
        <v>1024</v>
      </c>
      <c r="DG185" s="368"/>
      <c r="DH185" s="181"/>
      <c r="DI185" s="153"/>
      <c r="DJ185" s="1000">
        <v>1.2</v>
      </c>
      <c r="DK185" s="181" t="s">
        <v>477</v>
      </c>
      <c r="DL185" s="182">
        <v>10000</v>
      </c>
      <c r="DM185" s="181">
        <f>DL185*DJ185*1.1</f>
        <v>13200.000000000002</v>
      </c>
      <c r="DN185" s="446">
        <f>(DM185-DO185)/DO185</f>
        <v>0.10000000000000016</v>
      </c>
      <c r="DO185" s="182">
        <f>DL185*DJ185</f>
        <v>12000</v>
      </c>
      <c r="DP185" s="275">
        <v>45889</v>
      </c>
      <c r="DQ185" s="152">
        <f>SUMIF($I:$I,I185,$DJ:$DJ)</f>
        <v>1.2</v>
      </c>
      <c r="DR185" s="152">
        <f>SUMIF($I:$I,I185,$DK:$DK)</f>
        <v>0</v>
      </c>
      <c r="DS185" s="151"/>
      <c r="DT185" s="275"/>
      <c r="DU185" s="370"/>
      <c r="DV185" s="208"/>
      <c r="DW185" s="208"/>
      <c r="DX185" s="171"/>
      <c r="DY185" s="171"/>
      <c r="DZ185" s="152"/>
      <c r="EA185" s="152"/>
      <c r="EB185" s="153"/>
      <c r="EC185" s="152"/>
      <c r="ED185" s="152"/>
      <c r="EE185" s="396"/>
      <c r="EF185" s="371"/>
      <c r="EG185" s="153"/>
      <c r="EH185" s="153"/>
      <c r="EI185" s="153"/>
      <c r="EJ185" s="153"/>
      <c r="EK185" s="153"/>
      <c r="EL185" s="153"/>
      <c r="EM185" s="153"/>
      <c r="EN185" s="153"/>
      <c r="EO185" s="152">
        <f>SUMIF($I:$I,I185,$EC:$EC)</f>
        <v>0</v>
      </c>
      <c r="EP185" s="151">
        <f>SUMIF($I:$I,I185,$ED:$ED)</f>
        <v>0</v>
      </c>
      <c r="EQ185" s="153"/>
      <c r="ER185" s="153"/>
      <c r="ES185" s="153"/>
      <c r="ET185" s="153"/>
      <c r="EU185" s="152">
        <f t="shared" si="227"/>
        <v>1.2</v>
      </c>
      <c r="EV185" s="152">
        <f t="shared" si="228"/>
        <v>0</v>
      </c>
      <c r="EW185" s="152">
        <f t="shared" si="229"/>
        <v>0</v>
      </c>
      <c r="EX185" s="152">
        <f t="shared" si="230"/>
        <v>0.18</v>
      </c>
      <c r="EY185" s="151" t="str">
        <f t="shared" si="231"/>
        <v>Đủ</v>
      </c>
      <c r="EZ185" s="152"/>
      <c r="FA185" s="372"/>
      <c r="FB185" s="373"/>
      <c r="FC185" s="367"/>
      <c r="FD185" s="374"/>
      <c r="FE185" s="183"/>
      <c r="FF185" s="184"/>
      <c r="FG185" s="185"/>
      <c r="FH185" s="185"/>
    </row>
    <row r="186" spans="1:164" s="157" customFormat="1" ht="14" hidden="1" customHeight="1">
      <c r="A186" s="208" t="str">
        <f t="shared" si="180"/>
        <v>Hiện</v>
      </c>
      <c r="B186" s="151" t="str">
        <f t="shared" si="232"/>
        <v>Đủ</v>
      </c>
      <c r="C186" s="409">
        <f t="shared" si="233"/>
        <v>0</v>
      </c>
      <c r="D186" s="151"/>
      <c r="E186" s="400"/>
      <c r="F186" s="151"/>
      <c r="G186" s="151"/>
      <c r="H186" s="215" t="s">
        <v>721</v>
      </c>
      <c r="I186" s="171" t="s">
        <v>692</v>
      </c>
      <c r="J186" s="164" t="s">
        <v>693</v>
      </c>
      <c r="K186" s="247" t="s">
        <v>694</v>
      </c>
      <c r="L186" s="233" t="s">
        <v>399</v>
      </c>
      <c r="M186" s="412" t="s">
        <v>61</v>
      </c>
      <c r="N186" s="163">
        <v>2.5</v>
      </c>
      <c r="O186" s="178">
        <v>74.474000000000004</v>
      </c>
      <c r="P186" s="172">
        <v>421.19999999999993</v>
      </c>
      <c r="Q186" s="179"/>
      <c r="R186" s="180"/>
      <c r="S186" s="179"/>
      <c r="T186" s="180"/>
      <c r="U186" s="180"/>
      <c r="V186" s="180"/>
      <c r="W186" s="180"/>
      <c r="X186" s="180"/>
      <c r="Y186" s="180"/>
      <c r="Z186" s="180"/>
      <c r="AA186" s="180"/>
      <c r="AB186" s="180"/>
      <c r="AC186" s="180"/>
      <c r="AD186" s="180"/>
      <c r="AE186" s="180"/>
      <c r="AF186" s="180"/>
      <c r="AG186" s="180">
        <v>84</v>
      </c>
      <c r="AH186" s="180">
        <v>210</v>
      </c>
      <c r="AI186" s="162">
        <f>VLOOKUP(I186,'[119]MTO-rev09'!$A:$O,11,0)</f>
        <v>0</v>
      </c>
      <c r="AJ186" s="162">
        <f>VLOOKUP(I186,'[119]MTO-rev09'!$A:$O,12,0)</f>
        <v>0</v>
      </c>
      <c r="AK186" s="162">
        <v>0</v>
      </c>
      <c r="AL186" s="162">
        <v>0</v>
      </c>
      <c r="AM186" s="162"/>
      <c r="AN186" s="162"/>
      <c r="AO186" s="162">
        <v>0</v>
      </c>
      <c r="AP186" s="162">
        <v>0</v>
      </c>
      <c r="AQ186" s="162">
        <v>0</v>
      </c>
      <c r="AR186" s="162">
        <v>0</v>
      </c>
      <c r="AS186" s="162">
        <v>0</v>
      </c>
      <c r="AT186" s="162">
        <v>0</v>
      </c>
      <c r="AU186" s="162">
        <v>0</v>
      </c>
      <c r="AV186" s="162">
        <v>0</v>
      </c>
      <c r="AW186" s="162">
        <v>0</v>
      </c>
      <c r="AX186" s="162">
        <v>0</v>
      </c>
      <c r="AY186" s="162">
        <v>0</v>
      </c>
      <c r="AZ186" s="162">
        <v>0</v>
      </c>
      <c r="BA186" s="162"/>
      <c r="BB186" s="162"/>
      <c r="BC186" s="162">
        <v>0</v>
      </c>
      <c r="BD186" s="162">
        <v>0</v>
      </c>
      <c r="BE186" s="162">
        <v>0</v>
      </c>
      <c r="BF186" s="162">
        <v>0</v>
      </c>
      <c r="BG186" s="162">
        <v>0</v>
      </c>
      <c r="BH186" s="162">
        <v>0</v>
      </c>
      <c r="BI186" s="162">
        <v>0</v>
      </c>
      <c r="BJ186" s="162">
        <v>0</v>
      </c>
      <c r="BK186" s="162">
        <v>0</v>
      </c>
      <c r="BL186" s="162">
        <v>0</v>
      </c>
      <c r="BM186" s="162">
        <v>0</v>
      </c>
      <c r="BN186" s="162">
        <v>0</v>
      </c>
      <c r="BO186" s="162"/>
      <c r="BP186" s="162"/>
      <c r="BQ186" s="162">
        <v>0</v>
      </c>
      <c r="BR186" s="162">
        <v>0</v>
      </c>
      <c r="BS186" s="162">
        <v>0</v>
      </c>
      <c r="BT186" s="162">
        <v>0</v>
      </c>
      <c r="BU186" s="162">
        <v>0</v>
      </c>
      <c r="BV186" s="162">
        <v>0</v>
      </c>
      <c r="BW186" s="162"/>
      <c r="BX186" s="162"/>
      <c r="BY186" s="162">
        <v>0</v>
      </c>
      <c r="BZ186" s="162">
        <v>0</v>
      </c>
      <c r="CA186" s="162">
        <v>0</v>
      </c>
      <c r="CB186" s="162">
        <v>0</v>
      </c>
      <c r="CC186" s="162">
        <v>0</v>
      </c>
      <c r="CD186" s="162">
        <v>0</v>
      </c>
      <c r="CE186" s="162">
        <f>VLOOKUP(I186,[120]REV33!$A:$O,11,0)</f>
        <v>0</v>
      </c>
      <c r="CF186" s="162">
        <f>VLOOKUP(I186,[120]REV33!$A:$O,12,0)</f>
        <v>0</v>
      </c>
      <c r="CG186" s="162"/>
      <c r="CH186" s="162"/>
      <c r="CI186" s="162"/>
      <c r="CJ186" s="162"/>
      <c r="CK186" s="162"/>
      <c r="CL186" s="162"/>
      <c r="CM186" s="162"/>
      <c r="CN186" s="162"/>
      <c r="CO186" s="162">
        <v>0</v>
      </c>
      <c r="CP186" s="162">
        <v>0</v>
      </c>
      <c r="CQ186" s="162">
        <v>0</v>
      </c>
      <c r="CR186" s="162">
        <v>0</v>
      </c>
      <c r="CS186" s="209">
        <f>Q186+S186+U186+W186+Y186+AA186+AC186+AE186+AG186+AI186+AK186+AM186+AO186+AQ186+AS186+AU186+AW186+AY186+BA186+BC186+BE186+BG186+BI186+BK186+BM186+BO186+BQ186+BS186+BU186+BW186+BY186+CA186+CC186+CE186+CG186+CI186+CK186+CM186+CO186+CQ186</f>
        <v>84</v>
      </c>
      <c r="CT186" s="209">
        <f>R186+T186+V186+X186+Z186+AB186+AD186+AF186+AH186+AJ186+AL186+AN186+AP186+AR186+AT186+AV186+AX186+AZ186+BB186+BD186+BF186+BH186+BJ186+BL186+BN186+BP186+BR186+BT186+BV186+BX186+BZ186+CB186+CD186+CF186+CH186+CJ186+CL186+CN186+CP186+CR186</f>
        <v>210</v>
      </c>
      <c r="CU186" s="375" t="s">
        <v>707</v>
      </c>
      <c r="CV186" s="208"/>
      <c r="CW186" s="152"/>
      <c r="CX186" s="152"/>
      <c r="CY186" s="208"/>
      <c r="CZ186" s="208"/>
      <c r="DA186" s="152">
        <f t="shared" si="225"/>
        <v>84</v>
      </c>
      <c r="DB186" s="152">
        <f t="shared" si="226"/>
        <v>210</v>
      </c>
      <c r="DC186" s="153"/>
      <c r="DD186" s="153" t="s">
        <v>1004</v>
      </c>
      <c r="DE186" s="153" t="s">
        <v>1003</v>
      </c>
      <c r="DF186" s="376" t="s">
        <v>1001</v>
      </c>
      <c r="DG186" s="368" t="s">
        <v>371</v>
      </c>
      <c r="DH186" s="181">
        <v>209</v>
      </c>
      <c r="DI186" s="153">
        <v>45866</v>
      </c>
      <c r="DJ186" s="1000">
        <f>14*6</f>
        <v>84</v>
      </c>
      <c r="DK186" s="181">
        <v>209</v>
      </c>
      <c r="DL186" s="181">
        <v>17727.27</v>
      </c>
      <c r="DM186" s="181">
        <f>DL186*1.1*DK186</f>
        <v>4075499.3730000006</v>
      </c>
      <c r="DN186" s="446">
        <f>(DM186-DO186)/DO186</f>
        <v>0.10000000000000012</v>
      </c>
      <c r="DO186" s="182">
        <f>DL186 *DK186</f>
        <v>3704999.43</v>
      </c>
      <c r="DP186" s="275">
        <v>45883</v>
      </c>
      <c r="DQ186" s="152">
        <f>SUMIF($I:$I,I186,$DJ:$DJ)</f>
        <v>84</v>
      </c>
      <c r="DR186" s="152">
        <f>SUMIF($I:$I,I186,$DK:$DK)</f>
        <v>209</v>
      </c>
      <c r="DS186" s="151"/>
      <c r="DT186" s="275"/>
      <c r="DU186" s="370"/>
      <c r="DV186" s="208"/>
      <c r="DW186" s="208"/>
      <c r="DX186" s="171"/>
      <c r="DY186" s="171"/>
      <c r="DZ186" s="152"/>
      <c r="EA186" s="152"/>
      <c r="EB186" s="153"/>
      <c r="EC186" s="152"/>
      <c r="ED186" s="152"/>
      <c r="EE186" s="396"/>
      <c r="EF186" s="371"/>
      <c r="EG186" s="153"/>
      <c r="EH186" s="153"/>
      <c r="EI186" s="153"/>
      <c r="EJ186" s="153"/>
      <c r="EK186" s="153"/>
      <c r="EL186" s="153"/>
      <c r="EM186" s="153"/>
      <c r="EN186" s="153"/>
      <c r="EO186" s="152">
        <f>SUMIF($I:$I,I186,$EC:$EC)</f>
        <v>0</v>
      </c>
      <c r="EP186" s="151">
        <f>SUMIF($I:$I,I186,$ED:$ED)</f>
        <v>0</v>
      </c>
      <c r="EQ186" s="153"/>
      <c r="ER186" s="153"/>
      <c r="ES186" s="153"/>
      <c r="ET186" s="153"/>
      <c r="EU186" s="152">
        <f t="shared" si="227"/>
        <v>84</v>
      </c>
      <c r="EV186" s="152">
        <f t="shared" si="228"/>
        <v>209</v>
      </c>
      <c r="EW186" s="152">
        <f t="shared" si="229"/>
        <v>0</v>
      </c>
      <c r="EX186" s="152">
        <f t="shared" si="230"/>
        <v>1</v>
      </c>
      <c r="EY186" s="151" t="str">
        <f t="shared" si="231"/>
        <v>Đủ</v>
      </c>
      <c r="EZ186" s="152"/>
      <c r="FA186" s="372"/>
      <c r="FB186" s="373"/>
      <c r="FC186" s="367"/>
      <c r="FD186" s="374"/>
      <c r="FE186" s="183"/>
      <c r="FF186" s="184"/>
      <c r="FG186" s="185"/>
      <c r="FH186" s="185"/>
    </row>
    <row r="187" spans="1:164" s="157" customFormat="1" ht="14" hidden="1" customHeight="1">
      <c r="A187" s="208" t="str">
        <f t="shared" si="180"/>
        <v>Hiện</v>
      </c>
      <c r="B187" s="151" t="str">
        <f t="shared" si="232"/>
        <v>Đủ</v>
      </c>
      <c r="C187" s="409">
        <f t="shared" si="233"/>
        <v>0</v>
      </c>
      <c r="D187" s="151"/>
      <c r="E187" s="400"/>
      <c r="F187" s="151"/>
      <c r="G187" s="151"/>
      <c r="H187" s="215" t="s">
        <v>722</v>
      </c>
      <c r="I187" s="171" t="s">
        <v>695</v>
      </c>
      <c r="J187" s="164" t="s">
        <v>397</v>
      </c>
      <c r="K187" s="247" t="s">
        <v>696</v>
      </c>
      <c r="L187" s="233" t="s">
        <v>691</v>
      </c>
      <c r="M187" s="412" t="s">
        <v>61</v>
      </c>
      <c r="N187" s="163">
        <v>34.340000000000003</v>
      </c>
      <c r="O187" s="178">
        <v>170.51</v>
      </c>
      <c r="P187" s="172">
        <v>5247.6799999999994</v>
      </c>
      <c r="Q187" s="179"/>
      <c r="R187" s="180"/>
      <c r="S187" s="179"/>
      <c r="T187" s="180"/>
      <c r="U187" s="180"/>
      <c r="V187" s="180"/>
      <c r="W187" s="180"/>
      <c r="X187" s="180"/>
      <c r="Y187" s="180"/>
      <c r="Z187" s="180"/>
      <c r="AA187" s="180"/>
      <c r="AB187" s="180"/>
      <c r="AC187" s="180"/>
      <c r="AD187" s="180"/>
      <c r="AE187" s="180"/>
      <c r="AF187" s="180"/>
      <c r="AG187" s="180">
        <v>168</v>
      </c>
      <c r="AH187" s="180">
        <v>5769.1200000000008</v>
      </c>
      <c r="AI187" s="162">
        <f>VLOOKUP(I187,'[119]MTO-rev09'!$A:$O,11,0)</f>
        <v>0</v>
      </c>
      <c r="AJ187" s="162">
        <f>VLOOKUP(I187,'[119]MTO-rev09'!$A:$O,12,0)</f>
        <v>0</v>
      </c>
      <c r="AK187" s="162">
        <v>0</v>
      </c>
      <c r="AL187" s="162">
        <v>0</v>
      </c>
      <c r="AM187" s="162"/>
      <c r="AN187" s="162"/>
      <c r="AO187" s="162">
        <v>0</v>
      </c>
      <c r="AP187" s="162">
        <v>0</v>
      </c>
      <c r="AQ187" s="162">
        <v>0</v>
      </c>
      <c r="AR187" s="162">
        <v>0</v>
      </c>
      <c r="AS187" s="162">
        <v>0</v>
      </c>
      <c r="AT187" s="162">
        <v>0</v>
      </c>
      <c r="AU187" s="162">
        <v>0</v>
      </c>
      <c r="AV187" s="162">
        <v>0</v>
      </c>
      <c r="AW187" s="162">
        <v>0</v>
      </c>
      <c r="AX187" s="162">
        <v>0</v>
      </c>
      <c r="AY187" s="162">
        <v>0</v>
      </c>
      <c r="AZ187" s="162">
        <v>0</v>
      </c>
      <c r="BA187" s="162"/>
      <c r="BB187" s="162"/>
      <c r="BC187" s="162">
        <v>0</v>
      </c>
      <c r="BD187" s="162">
        <v>0</v>
      </c>
      <c r="BE187" s="162">
        <v>0</v>
      </c>
      <c r="BF187" s="162">
        <v>0</v>
      </c>
      <c r="BG187" s="162">
        <v>0</v>
      </c>
      <c r="BH187" s="162">
        <v>0</v>
      </c>
      <c r="BI187" s="162">
        <v>0</v>
      </c>
      <c r="BJ187" s="162">
        <v>0</v>
      </c>
      <c r="BK187" s="162">
        <v>0</v>
      </c>
      <c r="BL187" s="162">
        <v>0</v>
      </c>
      <c r="BM187" s="162">
        <v>0</v>
      </c>
      <c r="BN187" s="162">
        <v>0</v>
      </c>
      <c r="BO187" s="162"/>
      <c r="BP187" s="162"/>
      <c r="BQ187" s="162">
        <v>0</v>
      </c>
      <c r="BR187" s="162">
        <v>0</v>
      </c>
      <c r="BS187" s="162">
        <v>0</v>
      </c>
      <c r="BT187" s="162">
        <v>0</v>
      </c>
      <c r="BU187" s="162">
        <v>0</v>
      </c>
      <c r="BV187" s="162">
        <v>0</v>
      </c>
      <c r="BW187" s="162"/>
      <c r="BX187" s="162"/>
      <c r="BY187" s="162">
        <v>0</v>
      </c>
      <c r="BZ187" s="162">
        <v>0</v>
      </c>
      <c r="CA187" s="162">
        <v>0</v>
      </c>
      <c r="CB187" s="162">
        <v>0</v>
      </c>
      <c r="CC187" s="162">
        <v>0</v>
      </c>
      <c r="CD187" s="162">
        <v>0</v>
      </c>
      <c r="CE187" s="162">
        <f>VLOOKUP(I187,[120]REV33!$A:$O,11,0)</f>
        <v>0</v>
      </c>
      <c r="CF187" s="162">
        <f>VLOOKUP(I187,[120]REV33!$A:$O,12,0)</f>
        <v>0</v>
      </c>
      <c r="CG187" s="162"/>
      <c r="CH187" s="162"/>
      <c r="CI187" s="162"/>
      <c r="CJ187" s="162"/>
      <c r="CK187" s="162"/>
      <c r="CL187" s="162"/>
      <c r="CM187" s="162"/>
      <c r="CN187" s="162"/>
      <c r="CO187" s="162">
        <v>0</v>
      </c>
      <c r="CP187" s="162">
        <v>0</v>
      </c>
      <c r="CQ187" s="162">
        <v>0</v>
      </c>
      <c r="CR187" s="162">
        <v>0</v>
      </c>
      <c r="CS187" s="209">
        <f>Q187+S187+U187+W187+Y187+AA187+AC187+AE187+AG187+AI187+AK187+AM187+AO187+AQ187+AS187+AU187+AW187+AY187+BA187+BC187+BE187+BG187+BI187+BK187+BM187+BO187+BQ187+BS187+BU187+BW187+BY187+CA187+CC187+CE187+CG187+CI187+CK187+CM187+CO187+CQ187</f>
        <v>168</v>
      </c>
      <c r="CT187" s="209">
        <f>R187+T187+V187+X187+Z187+AB187+AD187+AF187+AH187+AJ187+AL187+AN187+AP187+AR187+AT187+AV187+AX187+AZ187+BB187+BD187+BF187+BH187+BJ187+BL187+BN187+BP187+BR187+BT187+BV187+BX187+BZ187+CB187+CD187+CF187+CH187+CJ187+CL187+CN187+CP187+CR187</f>
        <v>5769.1200000000008</v>
      </c>
      <c r="CU187" s="375" t="s">
        <v>707</v>
      </c>
      <c r="CV187" s="208"/>
      <c r="CW187" s="152"/>
      <c r="CX187" s="152"/>
      <c r="CY187" s="208"/>
      <c r="CZ187" s="208"/>
      <c r="DA187" s="152">
        <f t="shared" si="225"/>
        <v>168</v>
      </c>
      <c r="DB187" s="152">
        <f t="shared" si="226"/>
        <v>5769.1200000000008</v>
      </c>
      <c r="DC187" s="153"/>
      <c r="DD187" s="153" t="s">
        <v>1004</v>
      </c>
      <c r="DE187" s="153" t="s">
        <v>1003</v>
      </c>
      <c r="DF187" s="376" t="s">
        <v>1002</v>
      </c>
      <c r="DG187" s="368" t="s">
        <v>371</v>
      </c>
      <c r="DH187" s="181">
        <v>7468</v>
      </c>
      <c r="DI187" s="153">
        <v>45866</v>
      </c>
      <c r="DJ187" s="1000">
        <f>28*6</f>
        <v>168</v>
      </c>
      <c r="DK187" s="181">
        <v>7468</v>
      </c>
      <c r="DL187" s="181">
        <v>18000</v>
      </c>
      <c r="DM187" s="181">
        <f>DL187*1.1*DK187</f>
        <v>147866400</v>
      </c>
      <c r="DN187" s="446">
        <f>(DM187-DO187)/DO187</f>
        <v>0.1</v>
      </c>
      <c r="DO187" s="182">
        <f>DL187 *DK187</f>
        <v>134424000</v>
      </c>
      <c r="DP187" s="275">
        <v>45883</v>
      </c>
      <c r="DQ187" s="152">
        <f>SUMIF($I:$I,I187,$DJ:$DJ)</f>
        <v>168</v>
      </c>
      <c r="DR187" s="152">
        <f>SUMIF($I:$I,I187,$DK:$DK)</f>
        <v>7468</v>
      </c>
      <c r="DS187" s="151"/>
      <c r="DT187" s="275"/>
      <c r="DU187" s="370"/>
      <c r="DV187" s="208"/>
      <c r="DW187" s="208"/>
      <c r="DX187" s="171"/>
      <c r="DY187" s="171"/>
      <c r="DZ187" s="152"/>
      <c r="EA187" s="152"/>
      <c r="EB187" s="153"/>
      <c r="EC187" s="152"/>
      <c r="ED187" s="152"/>
      <c r="EE187" s="396"/>
      <c r="EF187" s="371"/>
      <c r="EG187" s="153"/>
      <c r="EH187" s="153"/>
      <c r="EI187" s="153"/>
      <c r="EJ187" s="153"/>
      <c r="EK187" s="153"/>
      <c r="EL187" s="153"/>
      <c r="EM187" s="153"/>
      <c r="EN187" s="153"/>
      <c r="EO187" s="152">
        <f>SUMIF($I:$I,I187,$EC:$EC)</f>
        <v>0</v>
      </c>
      <c r="EP187" s="151">
        <f>SUMIF($I:$I,I187,$ED:$ED)</f>
        <v>0</v>
      </c>
      <c r="EQ187" s="153"/>
      <c r="ER187" s="153"/>
      <c r="ES187" s="153"/>
      <c r="ET187" s="153"/>
      <c r="EU187" s="152">
        <f t="shared" si="227"/>
        <v>168</v>
      </c>
      <c r="EV187" s="152">
        <f t="shared" si="228"/>
        <v>7468</v>
      </c>
      <c r="EW187" s="152">
        <f t="shared" si="229"/>
        <v>0</v>
      </c>
      <c r="EX187" s="152">
        <f t="shared" si="230"/>
        <v>-1698.8799999999992</v>
      </c>
      <c r="EY187" s="151" t="str">
        <f t="shared" si="231"/>
        <v>Đủ</v>
      </c>
      <c r="EZ187" s="152"/>
      <c r="FA187" s="372"/>
      <c r="FB187" s="373"/>
      <c r="FC187" s="367"/>
      <c r="FD187" s="374"/>
      <c r="FE187" s="183"/>
      <c r="FF187" s="184"/>
      <c r="FG187" s="185"/>
      <c r="FH187" s="185"/>
    </row>
    <row r="188" spans="1:164" s="157" customFormat="1" ht="14" hidden="1" customHeight="1">
      <c r="A188" s="208" t="str">
        <f t="shared" si="180"/>
        <v>Hiện</v>
      </c>
      <c r="B188" s="151" t="str">
        <f t="shared" si="232"/>
        <v>Thừa</v>
      </c>
      <c r="C188" s="409">
        <f t="shared" si="233"/>
        <v>-6</v>
      </c>
      <c r="D188" s="151"/>
      <c r="E188" s="400"/>
      <c r="F188" s="151"/>
      <c r="G188" s="151"/>
      <c r="H188" s="215"/>
      <c r="I188" s="171" t="s">
        <v>697</v>
      </c>
      <c r="J188" s="164" t="s">
        <v>277</v>
      </c>
      <c r="K188" s="247" t="s">
        <v>698</v>
      </c>
      <c r="L188" s="233" t="s">
        <v>691</v>
      </c>
      <c r="M188" s="412" t="s">
        <v>61</v>
      </c>
      <c r="N188" s="163">
        <v>13.3</v>
      </c>
      <c r="O188" s="178">
        <v>73.099999999999994</v>
      </c>
      <c r="P188" s="172">
        <v>1001.8000000000001</v>
      </c>
      <c r="Q188" s="179"/>
      <c r="R188" s="180"/>
      <c r="S188" s="179"/>
      <c r="T188" s="180"/>
      <c r="U188" s="180"/>
      <c r="V188" s="180"/>
      <c r="W188" s="180"/>
      <c r="X188" s="180"/>
      <c r="Y188" s="180"/>
      <c r="Z188" s="180"/>
      <c r="AA188" s="180"/>
      <c r="AB188" s="180"/>
      <c r="AC188" s="180"/>
      <c r="AD188" s="180"/>
      <c r="AE188" s="180"/>
      <c r="AF188" s="180"/>
      <c r="AG188" s="180">
        <v>78</v>
      </c>
      <c r="AH188" s="180">
        <v>1037.4000000000001</v>
      </c>
      <c r="AI188" s="162">
        <f>VLOOKUP(I188,'[119]MTO-rev09'!$A:$O,11,0)</f>
        <v>0</v>
      </c>
      <c r="AJ188" s="162">
        <f>VLOOKUP(I188,'[119]MTO-rev09'!$A:$O,12,0)</f>
        <v>0</v>
      </c>
      <c r="AK188" s="162">
        <v>0</v>
      </c>
      <c r="AL188" s="162">
        <v>0</v>
      </c>
      <c r="AM188" s="162"/>
      <c r="AN188" s="162"/>
      <c r="AO188" s="162">
        <v>0</v>
      </c>
      <c r="AP188" s="162">
        <v>0</v>
      </c>
      <c r="AQ188" s="162">
        <v>0</v>
      </c>
      <c r="AR188" s="162">
        <v>0</v>
      </c>
      <c r="AS188" s="162">
        <v>0</v>
      </c>
      <c r="AT188" s="162">
        <v>0</v>
      </c>
      <c r="AU188" s="162">
        <v>0</v>
      </c>
      <c r="AV188" s="162">
        <v>0</v>
      </c>
      <c r="AW188" s="162">
        <v>0</v>
      </c>
      <c r="AX188" s="162">
        <v>0</v>
      </c>
      <c r="AY188" s="162">
        <v>0</v>
      </c>
      <c r="AZ188" s="162">
        <v>0</v>
      </c>
      <c r="BA188" s="162"/>
      <c r="BB188" s="162"/>
      <c r="BC188" s="162">
        <v>0</v>
      </c>
      <c r="BD188" s="162">
        <v>0</v>
      </c>
      <c r="BE188" s="162">
        <v>0</v>
      </c>
      <c r="BF188" s="162">
        <v>0</v>
      </c>
      <c r="BG188" s="162">
        <v>0</v>
      </c>
      <c r="BH188" s="162">
        <v>0</v>
      </c>
      <c r="BI188" s="162">
        <v>0</v>
      </c>
      <c r="BJ188" s="162">
        <v>0</v>
      </c>
      <c r="BK188" s="162">
        <v>0</v>
      </c>
      <c r="BL188" s="162">
        <v>0</v>
      </c>
      <c r="BM188" s="162">
        <v>0</v>
      </c>
      <c r="BN188" s="162">
        <v>0</v>
      </c>
      <c r="BO188" s="162"/>
      <c r="BP188" s="162"/>
      <c r="BQ188" s="162">
        <v>0</v>
      </c>
      <c r="BR188" s="162">
        <v>0</v>
      </c>
      <c r="BS188" s="162">
        <v>0</v>
      </c>
      <c r="BT188" s="162">
        <v>0</v>
      </c>
      <c r="BU188" s="162">
        <v>0</v>
      </c>
      <c r="BV188" s="162">
        <v>0</v>
      </c>
      <c r="BW188" s="162"/>
      <c r="BX188" s="162"/>
      <c r="BY188" s="162">
        <v>0</v>
      </c>
      <c r="BZ188" s="162">
        <v>0</v>
      </c>
      <c r="CA188" s="162">
        <v>0</v>
      </c>
      <c r="CB188" s="162">
        <v>0</v>
      </c>
      <c r="CC188" s="162">
        <v>0</v>
      </c>
      <c r="CD188" s="162">
        <v>0</v>
      </c>
      <c r="CE188" s="162">
        <f>VLOOKUP(I188,[120]REV33!$A:$O,11,0)</f>
        <v>0</v>
      </c>
      <c r="CF188" s="162">
        <f>VLOOKUP(I188,[120]REV33!$A:$O,12,0)</f>
        <v>0</v>
      </c>
      <c r="CG188" s="162"/>
      <c r="CH188" s="162"/>
      <c r="CI188" s="162"/>
      <c r="CJ188" s="162"/>
      <c r="CK188" s="162"/>
      <c r="CL188" s="162"/>
      <c r="CM188" s="162"/>
      <c r="CN188" s="162"/>
      <c r="CO188" s="162">
        <v>0</v>
      </c>
      <c r="CP188" s="162">
        <v>0</v>
      </c>
      <c r="CQ188" s="162">
        <v>0</v>
      </c>
      <c r="CR188" s="162">
        <v>0</v>
      </c>
      <c r="CS188" s="209">
        <f>Q188+S188+U188+W188+Y188+AA188+AC188+AE188+AG188+AI188+AK188+AM188+AO188+AQ188+AS188+AU188+AW188+AY188+BA188+BC188+BE188+BG188+BI188+BK188+BM188+BO188+BQ188+BS188+BU188+BW188+BY188+CA188+CC188+CE188+CG188+CI188+CK188+CM188+CO188+CQ188</f>
        <v>78</v>
      </c>
      <c r="CT188" s="209">
        <f>R188+T188+V188+X188+Z188+AB188+AD188+AF188+AH188+AJ188+AL188+AN188+AP188+AR188+AT188+AV188+AX188+AZ188+BB188+BD188+BF188+BH188+BJ188+BL188+BN188+BP188+BR188+BT188+BV188+BX188+BZ188+CB188+CD188+CF188+CH188+CJ188+CL188+CN188+CP188+CR188</f>
        <v>1037.4000000000001</v>
      </c>
      <c r="CU188" s="375" t="s">
        <v>707</v>
      </c>
      <c r="CV188" s="208"/>
      <c r="CW188" s="152"/>
      <c r="CX188" s="152"/>
      <c r="CY188" s="208"/>
      <c r="CZ188" s="208"/>
      <c r="DA188" s="152">
        <f t="shared" si="225"/>
        <v>78</v>
      </c>
      <c r="DB188" s="152">
        <f t="shared" si="226"/>
        <v>1037.4000000000001</v>
      </c>
      <c r="DC188" s="153"/>
      <c r="DD188" s="153"/>
      <c r="DE188" s="153"/>
      <c r="DF188" s="376"/>
      <c r="DG188" s="368"/>
      <c r="DH188" s="181"/>
      <c r="DI188" s="153"/>
      <c r="DJ188" s="1000"/>
      <c r="DK188" s="181"/>
      <c r="DL188" s="182"/>
      <c r="DM188" s="182"/>
      <c r="DN188" s="182"/>
      <c r="DO188" s="182"/>
      <c r="DP188" s="275"/>
      <c r="DQ188" s="152">
        <f>SUMIF($I:$I,I188,$DJ:$DJ)</f>
        <v>0</v>
      </c>
      <c r="DR188" s="152">
        <f>SUMIF($I:$I,I188,$DK:$DK)</f>
        <v>0</v>
      </c>
      <c r="DS188" s="151"/>
      <c r="DT188" s="275"/>
      <c r="DU188" s="370"/>
      <c r="DV188" s="208"/>
      <c r="DW188" s="208" t="s">
        <v>1439</v>
      </c>
      <c r="DX188" s="171" t="s">
        <v>1438</v>
      </c>
      <c r="DY188" s="411" t="s">
        <v>1449</v>
      </c>
      <c r="DZ188" s="152" t="s">
        <v>371</v>
      </c>
      <c r="EA188" s="152">
        <v>1125.5999999999999</v>
      </c>
      <c r="EB188" s="153">
        <v>45863</v>
      </c>
      <c r="EC188" s="152">
        <v>84</v>
      </c>
      <c r="ED188" s="152">
        <v>1125.5999999999999</v>
      </c>
      <c r="EE188" s="396">
        <f>0.180163300015134+0.994</f>
        <v>1.1741633000151339</v>
      </c>
      <c r="EF188" s="371">
        <f>EE188*ED188</f>
        <v>1321.6382104970346</v>
      </c>
      <c r="EG188" s="153">
        <v>45894</v>
      </c>
      <c r="EH188" s="153"/>
      <c r="EI188" s="153">
        <v>45905</v>
      </c>
      <c r="EJ188" s="153"/>
      <c r="EK188" s="153">
        <v>45909</v>
      </c>
      <c r="EL188" s="153">
        <v>45910</v>
      </c>
      <c r="EM188" s="153">
        <v>45910</v>
      </c>
      <c r="EN188" s="153">
        <v>45910</v>
      </c>
      <c r="EO188" s="152">
        <f>SUMIF($I:$I,I188,$EC:$EC)</f>
        <v>84</v>
      </c>
      <c r="EP188" s="151">
        <f>SUMIF($I:$I,I188,$ED:$ED)</f>
        <v>1125.5999999999999</v>
      </c>
      <c r="EQ188" s="153"/>
      <c r="ER188" s="153"/>
      <c r="ES188" s="153"/>
      <c r="ET188" s="153"/>
      <c r="EU188" s="152">
        <f t="shared" si="227"/>
        <v>84</v>
      </c>
      <c r="EV188" s="152">
        <f t="shared" si="228"/>
        <v>1125.5999999999999</v>
      </c>
      <c r="EW188" s="152">
        <f t="shared" si="229"/>
        <v>-6</v>
      </c>
      <c r="EX188" s="152">
        <f t="shared" si="230"/>
        <v>-88.199999999999818</v>
      </c>
      <c r="EY188" s="151" t="str">
        <f t="shared" si="231"/>
        <v>Thừa</v>
      </c>
      <c r="EZ188" s="152"/>
      <c r="FA188" s="372"/>
      <c r="FB188" s="373"/>
      <c r="FC188" s="367"/>
      <c r="FD188" s="374"/>
      <c r="FE188" s="183"/>
      <c r="FF188" s="184"/>
      <c r="FG188" s="185"/>
      <c r="FH188" s="185"/>
    </row>
    <row r="189" spans="1:164" s="157" customFormat="1" ht="14" hidden="1" customHeight="1">
      <c r="A189" s="208" t="str">
        <f t="shared" si="180"/>
        <v>Hiện</v>
      </c>
      <c r="B189" s="151" t="str">
        <f t="shared" si="232"/>
        <v>Đủ</v>
      </c>
      <c r="C189" s="409">
        <f t="shared" si="233"/>
        <v>0</v>
      </c>
      <c r="D189" s="151"/>
      <c r="E189" s="400"/>
      <c r="F189" s="151"/>
      <c r="G189" s="151"/>
      <c r="H189" s="151"/>
      <c r="I189" s="171" t="s">
        <v>699</v>
      </c>
      <c r="J189" s="164" t="s">
        <v>700</v>
      </c>
      <c r="K189" s="247" t="s">
        <v>701</v>
      </c>
      <c r="L189" s="233" t="s">
        <v>74</v>
      </c>
      <c r="M189" s="412" t="s">
        <v>345</v>
      </c>
      <c r="N189" s="163"/>
      <c r="O189" s="178">
        <v>92</v>
      </c>
      <c r="P189" s="172"/>
      <c r="Q189" s="179"/>
      <c r="R189" s="180"/>
      <c r="S189" s="179"/>
      <c r="T189" s="180"/>
      <c r="U189" s="180"/>
      <c r="V189" s="180"/>
      <c r="W189" s="180"/>
      <c r="X189" s="180"/>
      <c r="Y189" s="180"/>
      <c r="Z189" s="180"/>
      <c r="AA189" s="180"/>
      <c r="AB189" s="180"/>
      <c r="AC189" s="180"/>
      <c r="AD189" s="180"/>
      <c r="AE189" s="180"/>
      <c r="AF189" s="180"/>
      <c r="AG189" s="180">
        <v>92</v>
      </c>
      <c r="AH189" s="180">
        <v>0</v>
      </c>
      <c r="AI189" s="162">
        <f>VLOOKUP(I189,'[119]MTO-rev09'!$A:$O,11,0)</f>
        <v>0</v>
      </c>
      <c r="AJ189" s="162">
        <f>VLOOKUP(I189,'[119]MTO-rev09'!$A:$O,12,0)</f>
        <v>0</v>
      </c>
      <c r="AK189" s="162">
        <v>0</v>
      </c>
      <c r="AL189" s="162">
        <v>0</v>
      </c>
      <c r="AM189" s="162"/>
      <c r="AN189" s="162"/>
      <c r="AO189" s="162">
        <v>0</v>
      </c>
      <c r="AP189" s="162">
        <v>0</v>
      </c>
      <c r="AQ189" s="162">
        <v>0</v>
      </c>
      <c r="AR189" s="162">
        <v>0</v>
      </c>
      <c r="AS189" s="162">
        <v>0</v>
      </c>
      <c r="AT189" s="162">
        <v>0</v>
      </c>
      <c r="AU189" s="162">
        <v>0</v>
      </c>
      <c r="AV189" s="162">
        <v>0</v>
      </c>
      <c r="AW189" s="162">
        <v>0</v>
      </c>
      <c r="AX189" s="162">
        <v>0</v>
      </c>
      <c r="AY189" s="162">
        <v>0</v>
      </c>
      <c r="AZ189" s="162">
        <v>0</v>
      </c>
      <c r="BA189" s="162"/>
      <c r="BB189" s="162"/>
      <c r="BC189" s="162">
        <v>0</v>
      </c>
      <c r="BD189" s="162">
        <v>0</v>
      </c>
      <c r="BE189" s="162">
        <v>0</v>
      </c>
      <c r="BF189" s="162">
        <v>0</v>
      </c>
      <c r="BG189" s="162">
        <v>0</v>
      </c>
      <c r="BH189" s="162">
        <v>0</v>
      </c>
      <c r="BI189" s="162">
        <v>0</v>
      </c>
      <c r="BJ189" s="162">
        <v>0</v>
      </c>
      <c r="BK189" s="162">
        <v>0</v>
      </c>
      <c r="BL189" s="162">
        <v>0</v>
      </c>
      <c r="BM189" s="162">
        <v>0</v>
      </c>
      <c r="BN189" s="162">
        <v>0</v>
      </c>
      <c r="BO189" s="162"/>
      <c r="BP189" s="162"/>
      <c r="BQ189" s="162">
        <v>0</v>
      </c>
      <c r="BR189" s="162">
        <v>0</v>
      </c>
      <c r="BS189" s="162">
        <v>0</v>
      </c>
      <c r="BT189" s="162">
        <v>0</v>
      </c>
      <c r="BU189" s="162">
        <v>0</v>
      </c>
      <c r="BV189" s="162">
        <v>0</v>
      </c>
      <c r="BW189" s="162"/>
      <c r="BX189" s="162"/>
      <c r="BY189" s="162">
        <v>0</v>
      </c>
      <c r="BZ189" s="162">
        <v>0</v>
      </c>
      <c r="CA189" s="162">
        <v>0</v>
      </c>
      <c r="CB189" s="162">
        <v>0</v>
      </c>
      <c r="CC189" s="162">
        <v>0</v>
      </c>
      <c r="CD189" s="162">
        <v>0</v>
      </c>
      <c r="CE189" s="162">
        <f>VLOOKUP(I189,[120]REV33!$A:$O,11,0)</f>
        <v>0</v>
      </c>
      <c r="CF189" s="162">
        <f>VLOOKUP(I189,[120]REV33!$A:$O,12,0)</f>
        <v>0</v>
      </c>
      <c r="CG189" s="162"/>
      <c r="CH189" s="162"/>
      <c r="CI189" s="162"/>
      <c r="CJ189" s="162"/>
      <c r="CK189" s="162"/>
      <c r="CL189" s="162"/>
      <c r="CM189" s="162"/>
      <c r="CN189" s="162"/>
      <c r="CO189" s="162">
        <v>0</v>
      </c>
      <c r="CP189" s="162">
        <v>0</v>
      </c>
      <c r="CQ189" s="162">
        <v>0</v>
      </c>
      <c r="CR189" s="162">
        <v>0</v>
      </c>
      <c r="CS189" s="209">
        <f>Q189+S189+U189+W189+Y189+AA189+AC189+AE189+AG189+AI189+AK189+AM189+AO189+AQ189+AS189+AU189+AW189+AY189+BA189+BC189+BE189+BG189+BI189+BK189+BM189+BO189+BQ189+BS189+BU189+BW189+BY189+CA189+CC189+CE189+CG189+CI189+CK189+CM189+CO189+CQ189</f>
        <v>92</v>
      </c>
      <c r="CT189" s="209">
        <f>R189+T189+V189+X189+Z189+AB189+AD189+AF189+AH189+AJ189+AL189+AN189+AP189+AR189+AT189+AV189+AX189+AZ189+BB189+BD189+BF189+BH189+BJ189+BL189+BN189+BP189+BR189+BT189+BV189+BX189+BZ189+CB189+CD189+CF189+CH189+CJ189+CL189+CN189+CP189+CR189</f>
        <v>0</v>
      </c>
      <c r="CU189" s="375" t="s">
        <v>708</v>
      </c>
      <c r="CV189" s="208"/>
      <c r="CW189" s="152"/>
      <c r="CX189" s="152"/>
      <c r="CY189" s="208"/>
      <c r="CZ189" s="208"/>
      <c r="DA189" s="152">
        <f t="shared" si="225"/>
        <v>92</v>
      </c>
      <c r="DB189" s="152" t="str">
        <f t="shared" si="226"/>
        <v>0</v>
      </c>
      <c r="DC189" s="153"/>
      <c r="DD189" s="153" t="s">
        <v>1020</v>
      </c>
      <c r="DE189" s="153" t="s">
        <v>435</v>
      </c>
      <c r="DF189" s="376" t="s">
        <v>1022</v>
      </c>
      <c r="DG189" s="368"/>
      <c r="DH189" s="181" t="s">
        <v>477</v>
      </c>
      <c r="DI189" s="182" t="s">
        <v>374</v>
      </c>
      <c r="DJ189" s="1000">
        <v>92</v>
      </c>
      <c r="DK189" s="181" t="s">
        <v>477</v>
      </c>
      <c r="DL189" s="182">
        <v>150000</v>
      </c>
      <c r="DM189" s="181">
        <f>DL189*DJ189*1.1</f>
        <v>15180000.000000002</v>
      </c>
      <c r="DN189" s="446">
        <f t="shared" ref="DN189:DN198" si="234">(DM189-DO189)/DO189</f>
        <v>0.10000000000000013</v>
      </c>
      <c r="DO189" s="182">
        <f>DL189*DJ189</f>
        <v>13800000</v>
      </c>
      <c r="DP189" s="275">
        <v>45909</v>
      </c>
      <c r="DQ189" s="152">
        <f>SUMIF($I:$I,I189,$DJ:$DJ)</f>
        <v>92</v>
      </c>
      <c r="DR189" s="152">
        <f>SUMIF($I:$I,I189,$DK:$DK)</f>
        <v>0</v>
      </c>
      <c r="DS189" s="151"/>
      <c r="DT189" s="275"/>
      <c r="DU189" s="370"/>
      <c r="DV189" s="208"/>
      <c r="DW189" s="208"/>
      <c r="DX189" s="208"/>
      <c r="DY189" s="171"/>
      <c r="DZ189" s="152"/>
      <c r="EA189" s="152"/>
      <c r="EB189" s="153"/>
      <c r="EC189" s="152"/>
      <c r="ED189" s="152"/>
      <c r="EE189" s="396"/>
      <c r="EF189" s="371"/>
      <c r="EG189" s="153"/>
      <c r="EH189" s="153"/>
      <c r="EI189" s="153"/>
      <c r="EJ189" s="153"/>
      <c r="EK189" s="153"/>
      <c r="EL189" s="153"/>
      <c r="EM189" s="153"/>
      <c r="EN189" s="153"/>
      <c r="EO189" s="152">
        <f>SUMIF($I:$I,I189,$EC:$EC)</f>
        <v>0</v>
      </c>
      <c r="EP189" s="151">
        <f>SUMIF($I:$I,I189,$ED:$ED)</f>
        <v>0</v>
      </c>
      <c r="EQ189" s="153"/>
      <c r="ER189" s="153"/>
      <c r="ES189" s="153"/>
      <c r="ET189" s="153"/>
      <c r="EU189" s="152">
        <f t="shared" si="227"/>
        <v>92</v>
      </c>
      <c r="EV189" s="152">
        <f t="shared" si="228"/>
        <v>0</v>
      </c>
      <c r="EW189" s="152">
        <f t="shared" si="229"/>
        <v>0</v>
      </c>
      <c r="EX189" s="152">
        <f t="shared" si="230"/>
        <v>0</v>
      </c>
      <c r="EY189" s="151" t="str">
        <f t="shared" si="231"/>
        <v>Đủ</v>
      </c>
      <c r="EZ189" s="152"/>
      <c r="FA189" s="372"/>
      <c r="FB189" s="373"/>
      <c r="FC189" s="367"/>
      <c r="FD189" s="374"/>
      <c r="FE189" s="183"/>
      <c r="FF189" s="184"/>
      <c r="FG189" s="185"/>
      <c r="FH189" s="185"/>
    </row>
    <row r="190" spans="1:164" s="157" customFormat="1" ht="14" hidden="1" customHeight="1">
      <c r="A190" s="208" t="str">
        <f t="shared" si="180"/>
        <v>Hiện</v>
      </c>
      <c r="B190" s="151" t="str">
        <f t="shared" si="232"/>
        <v>Đủ</v>
      </c>
      <c r="C190" s="409">
        <f t="shared" si="233"/>
        <v>0</v>
      </c>
      <c r="D190" s="151"/>
      <c r="E190" s="400"/>
      <c r="F190" s="151"/>
      <c r="G190" s="151"/>
      <c r="H190" s="151"/>
      <c r="I190" s="171" t="s">
        <v>702</v>
      </c>
      <c r="J190" s="164" t="s">
        <v>703</v>
      </c>
      <c r="K190" s="247" t="s">
        <v>704</v>
      </c>
      <c r="L190" s="233" t="s">
        <v>453</v>
      </c>
      <c r="M190" s="412" t="s">
        <v>345</v>
      </c>
      <c r="N190" s="163"/>
      <c r="O190" s="178">
        <v>40</v>
      </c>
      <c r="P190" s="172"/>
      <c r="Q190" s="179"/>
      <c r="R190" s="180"/>
      <c r="S190" s="179"/>
      <c r="T190" s="180"/>
      <c r="U190" s="180"/>
      <c r="V190" s="180"/>
      <c r="W190" s="180"/>
      <c r="X190" s="180"/>
      <c r="Y190" s="180"/>
      <c r="Z190" s="180"/>
      <c r="AA190" s="180"/>
      <c r="AB190" s="180"/>
      <c r="AC190" s="180"/>
      <c r="AD190" s="180"/>
      <c r="AE190" s="180"/>
      <c r="AF190" s="180"/>
      <c r="AG190" s="180">
        <v>40</v>
      </c>
      <c r="AH190" s="180">
        <v>0</v>
      </c>
      <c r="AI190" s="162">
        <f>VLOOKUP(I190,'[119]MTO-rev09'!$A:$O,11,0)</f>
        <v>0</v>
      </c>
      <c r="AJ190" s="162">
        <f>VLOOKUP(I190,'[119]MTO-rev09'!$A:$O,12,0)</f>
        <v>0</v>
      </c>
      <c r="AK190" s="162">
        <v>0</v>
      </c>
      <c r="AL190" s="162">
        <v>0</v>
      </c>
      <c r="AM190" s="162"/>
      <c r="AN190" s="162"/>
      <c r="AO190" s="162">
        <v>0</v>
      </c>
      <c r="AP190" s="162">
        <v>0</v>
      </c>
      <c r="AQ190" s="162">
        <v>0</v>
      </c>
      <c r="AR190" s="162">
        <v>0</v>
      </c>
      <c r="AS190" s="162">
        <v>0</v>
      </c>
      <c r="AT190" s="162">
        <v>0</v>
      </c>
      <c r="AU190" s="162">
        <v>0</v>
      </c>
      <c r="AV190" s="162">
        <v>0</v>
      </c>
      <c r="AW190" s="162">
        <v>0</v>
      </c>
      <c r="AX190" s="162">
        <v>0</v>
      </c>
      <c r="AY190" s="162">
        <v>0</v>
      </c>
      <c r="AZ190" s="162">
        <v>0</v>
      </c>
      <c r="BA190" s="162"/>
      <c r="BB190" s="162"/>
      <c r="BC190" s="162"/>
      <c r="BD190" s="162"/>
      <c r="BE190" s="162"/>
      <c r="BF190" s="162"/>
      <c r="BG190" s="162"/>
      <c r="BH190" s="162"/>
      <c r="BI190" s="162"/>
      <c r="BJ190" s="162"/>
      <c r="BK190" s="162"/>
      <c r="BL190" s="162"/>
      <c r="BM190" s="162"/>
      <c r="BN190" s="162"/>
      <c r="BO190" s="162"/>
      <c r="BP190" s="162"/>
      <c r="BQ190" s="162">
        <v>0</v>
      </c>
      <c r="BR190" s="162">
        <v>0</v>
      </c>
      <c r="BS190" s="162">
        <v>0</v>
      </c>
      <c r="BT190" s="162">
        <v>0</v>
      </c>
      <c r="BU190" s="162">
        <v>0</v>
      </c>
      <c r="BV190" s="162">
        <v>0</v>
      </c>
      <c r="BW190" s="162"/>
      <c r="BX190" s="162"/>
      <c r="BY190" s="162">
        <v>0</v>
      </c>
      <c r="BZ190" s="162">
        <v>0</v>
      </c>
      <c r="CA190" s="162">
        <v>0</v>
      </c>
      <c r="CB190" s="162">
        <v>0</v>
      </c>
      <c r="CC190" s="162">
        <v>0</v>
      </c>
      <c r="CD190" s="162">
        <v>0</v>
      </c>
      <c r="CE190" s="162">
        <f>VLOOKUP(I190,[120]REV33!$A:$O,11,0)</f>
        <v>0</v>
      </c>
      <c r="CF190" s="162">
        <f>VLOOKUP(I190,[120]REV33!$A:$O,12,0)</f>
        <v>0</v>
      </c>
      <c r="CG190" s="162"/>
      <c r="CH190" s="162"/>
      <c r="CI190" s="162"/>
      <c r="CJ190" s="162"/>
      <c r="CK190" s="162"/>
      <c r="CL190" s="162"/>
      <c r="CM190" s="162"/>
      <c r="CN190" s="162"/>
      <c r="CO190" s="162">
        <v>0</v>
      </c>
      <c r="CP190" s="162">
        <v>0</v>
      </c>
      <c r="CQ190" s="162">
        <v>0</v>
      </c>
      <c r="CR190" s="162">
        <v>0</v>
      </c>
      <c r="CS190" s="209">
        <f>Q190+S190+U190+W190+Y190+AA190+AC190+AE190+AG190+AI190+AK190+AM190+AO190+AQ190+AS190+AU190+AW190+AY190+BA190+BC190+BE190+BG190+BI190+BK190+BM190+BO190+BQ190+BS190+BU190+BW190+BY190+CA190+CC190+CE190+CG190+CI190+CK190+CM190+CO190+CQ190</f>
        <v>40</v>
      </c>
      <c r="CT190" s="209">
        <f>R190+T190+V190+X190+Z190+AB190+AD190+AF190+AH190+AJ190+AL190+AN190+AP190+AR190+AT190+AV190+AX190+AZ190+BB190+BD190+BF190+BH190+BJ190+BL190+BN190+BP190+BR190+BT190+BV190+BX190+BZ190+CB190+CD190+CF190+CH190+CJ190+CL190+CN190+CP190+CR190</f>
        <v>0</v>
      </c>
      <c r="CU190" s="375" t="s">
        <v>709</v>
      </c>
      <c r="CV190" s="208"/>
      <c r="CW190" s="152"/>
      <c r="CX190" s="152"/>
      <c r="CY190" s="208"/>
      <c r="CZ190" s="208"/>
      <c r="DA190" s="152">
        <f t="shared" si="225"/>
        <v>40</v>
      </c>
      <c r="DB190" s="152" t="str">
        <f t="shared" si="226"/>
        <v>0</v>
      </c>
      <c r="DC190" s="153"/>
      <c r="DD190" s="153" t="s">
        <v>1020</v>
      </c>
      <c r="DE190" s="153" t="s">
        <v>435</v>
      </c>
      <c r="DF190" s="376" t="s">
        <v>1023</v>
      </c>
      <c r="DG190" s="368"/>
      <c r="DH190" s="181" t="s">
        <v>477</v>
      </c>
      <c r="DI190" s="182" t="s">
        <v>374</v>
      </c>
      <c r="DJ190" s="1000">
        <v>40</v>
      </c>
      <c r="DK190" s="181" t="s">
        <v>477</v>
      </c>
      <c r="DL190" s="182">
        <v>1250000</v>
      </c>
      <c r="DM190" s="181">
        <f>DL190*DJ190*1.1</f>
        <v>55000000.000000007</v>
      </c>
      <c r="DN190" s="446">
        <f t="shared" si="234"/>
        <v>0.10000000000000014</v>
      </c>
      <c r="DO190" s="182">
        <f>DL190*DJ190</f>
        <v>50000000</v>
      </c>
      <c r="DP190" s="275">
        <v>45909</v>
      </c>
      <c r="DQ190" s="152">
        <f>SUMIF($I:$I,I190,$DJ:$DJ)</f>
        <v>40</v>
      </c>
      <c r="DR190" s="152">
        <f>SUMIF($I:$I,I190,$DK:$DK)</f>
        <v>0</v>
      </c>
      <c r="DS190" s="151"/>
      <c r="DT190" s="275"/>
      <c r="DU190" s="370"/>
      <c r="DV190" s="208"/>
      <c r="DW190" s="208"/>
      <c r="DX190" s="208"/>
      <c r="DY190" s="171"/>
      <c r="DZ190" s="152"/>
      <c r="EA190" s="152"/>
      <c r="EB190" s="153"/>
      <c r="EC190" s="152"/>
      <c r="ED190" s="152"/>
      <c r="EE190" s="396"/>
      <c r="EF190" s="371"/>
      <c r="EG190" s="153"/>
      <c r="EH190" s="153"/>
      <c r="EI190" s="153"/>
      <c r="EJ190" s="153"/>
      <c r="EK190" s="153"/>
      <c r="EL190" s="153"/>
      <c r="EM190" s="153"/>
      <c r="EN190" s="153"/>
      <c r="EO190" s="152">
        <f>SUMIF($I:$I,I190,$EC:$EC)</f>
        <v>0</v>
      </c>
      <c r="EP190" s="151">
        <f>SUMIF($I:$I,I190,$ED:$ED)</f>
        <v>0</v>
      </c>
      <c r="EQ190" s="153"/>
      <c r="ER190" s="153"/>
      <c r="ES190" s="153"/>
      <c r="ET190" s="153"/>
      <c r="EU190" s="152">
        <f t="shared" si="227"/>
        <v>40</v>
      </c>
      <c r="EV190" s="152">
        <f t="shared" si="228"/>
        <v>0</v>
      </c>
      <c r="EW190" s="152">
        <f t="shared" si="229"/>
        <v>0</v>
      </c>
      <c r="EX190" s="152">
        <f t="shared" si="230"/>
        <v>0</v>
      </c>
      <c r="EY190" s="151" t="str">
        <f t="shared" si="231"/>
        <v>Đủ</v>
      </c>
      <c r="EZ190" s="152"/>
      <c r="FA190" s="372"/>
      <c r="FB190" s="373"/>
      <c r="FC190" s="367"/>
      <c r="FD190" s="374"/>
      <c r="FE190" s="183"/>
      <c r="FF190" s="184"/>
      <c r="FG190" s="185"/>
      <c r="FH190" s="185"/>
    </row>
    <row r="191" spans="1:164" s="157" customFormat="1" ht="14" hidden="1" customHeight="1">
      <c r="A191" s="208" t="str">
        <f t="shared" si="180"/>
        <v>Hiện</v>
      </c>
      <c r="B191" s="151" t="str">
        <f t="shared" ref="B191:B193" si="235">EY191</f>
        <v>Đủ</v>
      </c>
      <c r="C191" s="409">
        <f t="shared" ref="C191:C376" si="236">EW191</f>
        <v>0</v>
      </c>
      <c r="D191" s="151"/>
      <c r="E191" s="151" t="s">
        <v>1679</v>
      </c>
      <c r="F191" s="151"/>
      <c r="G191" s="151"/>
      <c r="H191" s="151" t="s">
        <v>1670</v>
      </c>
      <c r="I191" s="164" t="s">
        <v>746</v>
      </c>
      <c r="J191" s="164" t="s">
        <v>397</v>
      </c>
      <c r="K191" s="247" t="s">
        <v>747</v>
      </c>
      <c r="L191" s="233" t="s">
        <v>402</v>
      </c>
      <c r="M191" s="163" t="s">
        <v>61</v>
      </c>
      <c r="N191" s="163">
        <v>5.44</v>
      </c>
      <c r="O191" s="415">
        <v>28.000000000000004</v>
      </c>
      <c r="P191" s="415">
        <v>152.32</v>
      </c>
      <c r="Q191" s="179"/>
      <c r="R191" s="180"/>
      <c r="S191" s="179"/>
      <c r="T191" s="180"/>
      <c r="U191" s="180"/>
      <c r="V191" s="180"/>
      <c r="W191" s="180"/>
      <c r="X191" s="180"/>
      <c r="Y191" s="180"/>
      <c r="Z191" s="180"/>
      <c r="AA191" s="180"/>
      <c r="AB191" s="180"/>
      <c r="AC191" s="180"/>
      <c r="AD191" s="180"/>
      <c r="AE191" s="180"/>
      <c r="AF191" s="180"/>
      <c r="AG191" s="180"/>
      <c r="AH191" s="180"/>
      <c r="AI191" s="162"/>
      <c r="AJ191" s="162"/>
      <c r="AK191" s="162">
        <v>30</v>
      </c>
      <c r="AL191" s="162">
        <v>163.20000000000002</v>
      </c>
      <c r="AM191" s="162"/>
      <c r="AN191" s="162"/>
      <c r="AO191" s="162">
        <v>0</v>
      </c>
      <c r="AP191" s="162">
        <v>0</v>
      </c>
      <c r="AQ191" s="162">
        <v>0</v>
      </c>
      <c r="AR191" s="162">
        <v>0</v>
      </c>
      <c r="AS191" s="162">
        <v>0</v>
      </c>
      <c r="AT191" s="162">
        <v>0</v>
      </c>
      <c r="AU191" s="162">
        <v>0</v>
      </c>
      <c r="AV191" s="162">
        <v>0</v>
      </c>
      <c r="AW191" s="162">
        <v>0</v>
      </c>
      <c r="AX191" s="162">
        <v>0</v>
      </c>
      <c r="AY191" s="162">
        <v>0</v>
      </c>
      <c r="AZ191" s="162">
        <v>0</v>
      </c>
      <c r="BA191" s="162"/>
      <c r="BB191" s="162"/>
      <c r="BC191" s="162">
        <v>0</v>
      </c>
      <c r="BD191" s="162">
        <v>0</v>
      </c>
      <c r="BE191" s="162">
        <v>0</v>
      </c>
      <c r="BF191" s="162">
        <v>0</v>
      </c>
      <c r="BG191" s="162">
        <v>0</v>
      </c>
      <c r="BH191" s="162">
        <v>0</v>
      </c>
      <c r="BI191" s="162">
        <v>0</v>
      </c>
      <c r="BJ191" s="162">
        <v>0</v>
      </c>
      <c r="BK191" s="162">
        <v>0</v>
      </c>
      <c r="BL191" s="162">
        <v>0</v>
      </c>
      <c r="BM191" s="162">
        <v>24</v>
      </c>
      <c r="BN191" s="162">
        <v>130.56</v>
      </c>
      <c r="BO191" s="162"/>
      <c r="BP191" s="162"/>
      <c r="BQ191" s="162">
        <v>0</v>
      </c>
      <c r="BR191" s="162">
        <v>0</v>
      </c>
      <c r="BS191" s="162">
        <v>0</v>
      </c>
      <c r="BT191" s="162">
        <v>0</v>
      </c>
      <c r="BU191" s="162">
        <v>0</v>
      </c>
      <c r="BV191" s="162">
        <v>0</v>
      </c>
      <c r="BW191" s="162"/>
      <c r="BX191" s="162"/>
      <c r="BY191" s="162">
        <v>0</v>
      </c>
      <c r="BZ191" s="162">
        <v>0</v>
      </c>
      <c r="CA191" s="162">
        <v>0</v>
      </c>
      <c r="CB191" s="162">
        <v>0</v>
      </c>
      <c r="CC191" s="162">
        <v>0</v>
      </c>
      <c r="CD191" s="162">
        <v>0</v>
      </c>
      <c r="CE191" s="162">
        <f>VLOOKUP(I191,[120]REV33!$A:$O,11,0)</f>
        <v>0</v>
      </c>
      <c r="CF191" s="162">
        <f>VLOOKUP(I191,[120]REV33!$A:$O,12,0)</f>
        <v>0</v>
      </c>
      <c r="CG191" s="162"/>
      <c r="CH191" s="162"/>
      <c r="CI191" s="162"/>
      <c r="CJ191" s="162"/>
      <c r="CK191" s="162"/>
      <c r="CL191" s="162"/>
      <c r="CM191" s="162"/>
      <c r="CN191" s="162"/>
      <c r="CO191" s="162">
        <v>0</v>
      </c>
      <c r="CP191" s="162">
        <v>0</v>
      </c>
      <c r="CQ191" s="162">
        <v>0</v>
      </c>
      <c r="CR191" s="162">
        <v>0</v>
      </c>
      <c r="CS191" s="209">
        <f>Q191+S191+U191+W191+Y191+AA191+AC191+AE191+AG191+AI191+AK191+AM191+AO191+AQ191+AS191+AU191+AW191+AY191+BA191+BC191+BE191+BG191+BI191+BK191+BM191+BO191+BQ191+BS191+BU191+BW191+BY191+CA191+CC191+CE191+CG191+CI191+CK191+CM191+CO191+CQ191</f>
        <v>54</v>
      </c>
      <c r="CT191" s="209">
        <f>R191+T191+V191+X191+Z191+AB191+AD191+AF191+AH191+AJ191+AL191+AN191+AP191+AR191+AT191+AV191+AX191+AZ191+BB191+BD191+BF191+BH191+BJ191+BL191+BN191+BP191+BR191+BT191+BV191+BX191+BZ191+CB191+CD191+CF191+CH191+CJ191+CL191+CN191+CP191+CR191</f>
        <v>293.76</v>
      </c>
      <c r="CU191" s="375" t="s">
        <v>1880</v>
      </c>
      <c r="CV191" s="208"/>
      <c r="CW191" s="152"/>
      <c r="CX191" s="152"/>
      <c r="CY191" s="208"/>
      <c r="CZ191" s="208"/>
      <c r="DA191" s="152">
        <f t="shared" si="225"/>
        <v>54</v>
      </c>
      <c r="DB191" s="152">
        <f t="shared" si="226"/>
        <v>293.76</v>
      </c>
      <c r="DC191" s="153"/>
      <c r="DD191" s="153" t="s">
        <v>1463</v>
      </c>
      <c r="DE191" s="153" t="s">
        <v>452</v>
      </c>
      <c r="DF191" s="247" t="s">
        <v>747</v>
      </c>
      <c r="DG191" s="368"/>
      <c r="DH191" s="181">
        <v>160</v>
      </c>
      <c r="DI191" s="153">
        <v>45910</v>
      </c>
      <c r="DJ191" s="1000">
        <v>30</v>
      </c>
      <c r="DK191" s="181">
        <v>160</v>
      </c>
      <c r="DL191" s="182">
        <f>21000/1.1</f>
        <v>19090.909090909088</v>
      </c>
      <c r="DM191" s="181">
        <f>DL191*DK191*1.1</f>
        <v>3360000</v>
      </c>
      <c r="DN191" s="446">
        <f t="shared" si="234"/>
        <v>0.10000000000000016</v>
      </c>
      <c r="DO191" s="182">
        <f>DL191*DK191</f>
        <v>3054545.4545454541</v>
      </c>
      <c r="DP191" s="153">
        <v>45910</v>
      </c>
      <c r="DQ191" s="152">
        <f>SUMIF($I:$I,I191,$DJ:$DJ)</f>
        <v>54</v>
      </c>
      <c r="DR191" s="152">
        <f>SUMIF($I:$I,I191,$DK:$DK)</f>
        <v>322</v>
      </c>
      <c r="DS191" s="151"/>
      <c r="DT191" s="275"/>
      <c r="DU191" s="370"/>
      <c r="DV191" s="208"/>
      <c r="DW191" s="208"/>
      <c r="DX191" s="208"/>
      <c r="DY191" s="171"/>
      <c r="DZ191" s="152"/>
      <c r="EA191" s="152"/>
      <c r="EB191" s="153"/>
      <c r="EC191" s="152"/>
      <c r="ED191" s="152"/>
      <c r="EE191" s="396"/>
      <c r="EF191" s="371"/>
      <c r="EG191" s="153"/>
      <c r="EH191" s="153"/>
      <c r="EI191" s="153"/>
      <c r="EJ191" s="153"/>
      <c r="EK191" s="153"/>
      <c r="EL191" s="153"/>
      <c r="EM191" s="153"/>
      <c r="EN191" s="153"/>
      <c r="EO191" s="152">
        <f>SUMIF($I:$I,I191,$EC:$EC)</f>
        <v>0</v>
      </c>
      <c r="EP191" s="151">
        <f>SUMIF($I:$I,I191,$ED:$ED)</f>
        <v>0</v>
      </c>
      <c r="EQ191" s="153"/>
      <c r="ER191" s="153"/>
      <c r="ES191" s="153"/>
      <c r="ET191" s="153"/>
      <c r="EU191" s="152">
        <f t="shared" si="227"/>
        <v>54</v>
      </c>
      <c r="EV191" s="152">
        <f t="shared" si="228"/>
        <v>322</v>
      </c>
      <c r="EW191" s="152">
        <f t="shared" si="229"/>
        <v>0</v>
      </c>
      <c r="EX191" s="152">
        <f t="shared" si="230"/>
        <v>-28.240000000000009</v>
      </c>
      <c r="EY191" s="151" t="str">
        <f t="shared" si="231"/>
        <v>Đủ</v>
      </c>
      <c r="EZ191" s="152"/>
      <c r="FA191" s="372"/>
      <c r="FB191" s="373"/>
      <c r="FC191" s="367"/>
      <c r="FD191" s="374"/>
      <c r="FE191" s="183"/>
      <c r="FF191" s="184"/>
      <c r="FG191" s="185"/>
      <c r="FH191" s="185"/>
    </row>
    <row r="192" spans="1:164" s="157" customFormat="1" ht="14" hidden="1" customHeight="1">
      <c r="A192" s="208" t="str">
        <f t="shared" si="180"/>
        <v>ok</v>
      </c>
      <c r="B192" s="151"/>
      <c r="C192" s="409"/>
      <c r="D192" s="151"/>
      <c r="E192" s="151"/>
      <c r="F192" s="151"/>
      <c r="G192" s="151"/>
      <c r="H192" s="151"/>
      <c r="I192" s="164" t="s">
        <v>746</v>
      </c>
      <c r="J192" s="164" t="s">
        <v>397</v>
      </c>
      <c r="K192" s="247" t="s">
        <v>747</v>
      </c>
      <c r="L192" s="233" t="s">
        <v>402</v>
      </c>
      <c r="M192" s="163" t="s">
        <v>61</v>
      </c>
      <c r="N192" s="163"/>
      <c r="O192" s="415"/>
      <c r="P192" s="415"/>
      <c r="Q192" s="179"/>
      <c r="R192" s="180"/>
      <c r="S192" s="179"/>
      <c r="T192" s="180"/>
      <c r="U192" s="180"/>
      <c r="V192" s="180"/>
      <c r="W192" s="180"/>
      <c r="X192" s="180"/>
      <c r="Y192" s="180"/>
      <c r="Z192" s="180"/>
      <c r="AA192" s="180"/>
      <c r="AB192" s="180"/>
      <c r="AC192" s="180"/>
      <c r="AD192" s="180"/>
      <c r="AE192" s="180"/>
      <c r="AF192" s="180"/>
      <c r="AG192" s="180"/>
      <c r="AH192" s="180"/>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209"/>
      <c r="CT192" s="209"/>
      <c r="CU192" s="375"/>
      <c r="CV192" s="208"/>
      <c r="CW192" s="152"/>
      <c r="CX192" s="152"/>
      <c r="CY192" s="208"/>
      <c r="CZ192" s="208"/>
      <c r="DA192" s="152"/>
      <c r="DB192" s="152"/>
      <c r="DC192" s="153"/>
      <c r="DD192" s="153" t="s">
        <v>1683</v>
      </c>
      <c r="DE192" s="153" t="s">
        <v>1670</v>
      </c>
      <c r="DF192" s="247" t="s">
        <v>1682</v>
      </c>
      <c r="DG192" s="368"/>
      <c r="DH192" s="181">
        <v>162</v>
      </c>
      <c r="DI192" s="153">
        <v>45955</v>
      </c>
      <c r="DJ192" s="1000">
        <v>24</v>
      </c>
      <c r="DK192" s="181">
        <v>162</v>
      </c>
      <c r="DL192" s="182">
        <f>18700/1.1</f>
        <v>17000</v>
      </c>
      <c r="DM192" s="181">
        <f>DL192*DK192*1.1</f>
        <v>3029400.0000000005</v>
      </c>
      <c r="DN192" s="446">
        <f t="shared" si="234"/>
        <v>0.10000000000000017</v>
      </c>
      <c r="DO192" s="182">
        <f>DL192*DK192</f>
        <v>2754000</v>
      </c>
      <c r="DP192" s="275">
        <v>45957</v>
      </c>
      <c r="DQ192" s="152"/>
      <c r="DR192" s="152"/>
      <c r="DS192" s="151"/>
      <c r="DT192" s="275"/>
      <c r="DU192" s="370"/>
      <c r="DV192" s="208"/>
      <c r="DW192" s="208"/>
      <c r="DX192" s="208"/>
      <c r="DY192" s="171"/>
      <c r="DZ192" s="152"/>
      <c r="EA192" s="152"/>
      <c r="EB192" s="153"/>
      <c r="EC192" s="152"/>
      <c r="ED192" s="152"/>
      <c r="EE192" s="396"/>
      <c r="EF192" s="371"/>
      <c r="EG192" s="153"/>
      <c r="EH192" s="153"/>
      <c r="EI192" s="153"/>
      <c r="EJ192" s="153"/>
      <c r="EK192" s="153"/>
      <c r="EL192" s="153"/>
      <c r="EM192" s="153"/>
      <c r="EN192" s="153"/>
      <c r="EO192" s="152"/>
      <c r="EP192" s="151"/>
      <c r="EQ192" s="153"/>
      <c r="ER192" s="153"/>
      <c r="ES192" s="153"/>
      <c r="ET192" s="153"/>
      <c r="EU192" s="152"/>
      <c r="EV192" s="152"/>
      <c r="EW192" s="152"/>
      <c r="EX192" s="152"/>
      <c r="EY192" s="151"/>
      <c r="EZ192" s="152"/>
      <c r="FA192" s="372"/>
      <c r="FB192" s="373"/>
      <c r="FC192" s="367"/>
      <c r="FD192" s="374"/>
      <c r="FE192" s="183"/>
      <c r="FF192" s="184"/>
      <c r="FG192" s="185"/>
      <c r="FH192" s="185"/>
    </row>
    <row r="193" spans="1:164" s="157" customFormat="1" ht="14" hidden="1" customHeight="1">
      <c r="A193" s="208" t="str">
        <f t="shared" si="180"/>
        <v>Hiện</v>
      </c>
      <c r="B193" s="151" t="str">
        <f t="shared" si="235"/>
        <v>Thừa</v>
      </c>
      <c r="C193" s="409">
        <f t="shared" si="236"/>
        <v>-1.4000000000000004</v>
      </c>
      <c r="D193" s="151"/>
      <c r="E193" s="151" t="s">
        <v>1679</v>
      </c>
      <c r="F193" s="151"/>
      <c r="G193" s="151"/>
      <c r="H193" s="151"/>
      <c r="I193" s="164" t="s">
        <v>748</v>
      </c>
      <c r="J193" s="164" t="s">
        <v>412</v>
      </c>
      <c r="K193" s="247" t="s">
        <v>749</v>
      </c>
      <c r="L193" s="233" t="s">
        <v>402</v>
      </c>
      <c r="M193" s="163" t="s">
        <v>61</v>
      </c>
      <c r="N193" s="172">
        <f>24*0.148148148148148</f>
        <v>3.5555555555555518</v>
      </c>
      <c r="O193" s="415">
        <v>4.3879999999999999</v>
      </c>
      <c r="P193" s="416">
        <v>15.6</v>
      </c>
      <c r="Q193" s="179"/>
      <c r="R193" s="180"/>
      <c r="S193" s="179"/>
      <c r="T193" s="180"/>
      <c r="U193" s="180"/>
      <c r="V193" s="180"/>
      <c r="W193" s="180"/>
      <c r="X193" s="180"/>
      <c r="Y193" s="180"/>
      <c r="Z193" s="180"/>
      <c r="AA193" s="180"/>
      <c r="AB193" s="180"/>
      <c r="AC193" s="180"/>
      <c r="AD193" s="180"/>
      <c r="AE193" s="180"/>
      <c r="AF193" s="180"/>
      <c r="AG193" s="180"/>
      <c r="AH193" s="180"/>
      <c r="AI193" s="162"/>
      <c r="AJ193" s="162"/>
      <c r="AK193" s="162">
        <v>4.5999999999999996</v>
      </c>
      <c r="AL193" s="162">
        <v>16.355555555555537</v>
      </c>
      <c r="AM193" s="162"/>
      <c r="AN193" s="162"/>
      <c r="AO193" s="162">
        <v>0</v>
      </c>
      <c r="AP193" s="162">
        <v>0</v>
      </c>
      <c r="AQ193" s="162">
        <v>0</v>
      </c>
      <c r="AR193" s="162">
        <v>0</v>
      </c>
      <c r="AS193" s="162">
        <v>0</v>
      </c>
      <c r="AT193" s="162">
        <v>0</v>
      </c>
      <c r="AU193" s="162">
        <v>0</v>
      </c>
      <c r="AV193" s="162">
        <v>0</v>
      </c>
      <c r="AW193" s="162">
        <v>0</v>
      </c>
      <c r="AX193" s="162">
        <v>0</v>
      </c>
      <c r="AY193" s="162">
        <v>0</v>
      </c>
      <c r="AZ193" s="162">
        <v>0</v>
      </c>
      <c r="BA193" s="162"/>
      <c r="BB193" s="162"/>
      <c r="BC193" s="162">
        <v>0</v>
      </c>
      <c r="BD193" s="162">
        <v>0</v>
      </c>
      <c r="BE193" s="162">
        <v>0</v>
      </c>
      <c r="BF193" s="162">
        <v>0</v>
      </c>
      <c r="BG193" s="162">
        <v>0</v>
      </c>
      <c r="BH193" s="162">
        <v>0</v>
      </c>
      <c r="BI193" s="162">
        <v>0</v>
      </c>
      <c r="BJ193" s="162">
        <v>0</v>
      </c>
      <c r="BK193" s="162">
        <v>0</v>
      </c>
      <c r="BL193" s="162">
        <v>0</v>
      </c>
      <c r="BM193" s="162">
        <v>6</v>
      </c>
      <c r="BN193" s="162">
        <v>21.333333333333311</v>
      </c>
      <c r="BO193" s="162"/>
      <c r="BP193" s="162"/>
      <c r="BQ193" s="162">
        <v>0</v>
      </c>
      <c r="BR193" s="162">
        <v>0</v>
      </c>
      <c r="BS193" s="162">
        <v>0</v>
      </c>
      <c r="BT193" s="162">
        <v>0</v>
      </c>
      <c r="BU193" s="162">
        <v>0</v>
      </c>
      <c r="BV193" s="162">
        <v>0</v>
      </c>
      <c r="BW193" s="162"/>
      <c r="BX193" s="162"/>
      <c r="BY193" s="162">
        <v>0</v>
      </c>
      <c r="BZ193" s="162">
        <v>0</v>
      </c>
      <c r="CA193" s="162">
        <v>0</v>
      </c>
      <c r="CB193" s="162">
        <v>0</v>
      </c>
      <c r="CC193" s="162">
        <v>0</v>
      </c>
      <c r="CD193" s="162">
        <v>0</v>
      </c>
      <c r="CE193" s="162">
        <f>VLOOKUP(I193,[120]REV33!$A:$O,11,0)</f>
        <v>0</v>
      </c>
      <c r="CF193" s="162">
        <f>VLOOKUP(I193,[120]REV33!$A:$O,12,0)</f>
        <v>0</v>
      </c>
      <c r="CG193" s="162"/>
      <c r="CH193" s="162"/>
      <c r="CI193" s="162"/>
      <c r="CJ193" s="162"/>
      <c r="CK193" s="162"/>
      <c r="CL193" s="162"/>
      <c r="CM193" s="162"/>
      <c r="CN193" s="162"/>
      <c r="CO193" s="162">
        <v>0</v>
      </c>
      <c r="CP193" s="162">
        <v>0</v>
      </c>
      <c r="CQ193" s="162">
        <v>0</v>
      </c>
      <c r="CR193" s="162">
        <v>0</v>
      </c>
      <c r="CS193" s="209">
        <f>Q193+S193+U193+W193+Y193+AA193+AC193+AE193+AG193+AI193+AK193+AM193+AO193+AQ193+AS193+AU193+AW193+AY193+BA193+BC193+BE193+BG193+BI193+BK193+BM193+BO193+BQ193+BS193+BU193+BW193+BY193+CA193+CC193+CE193+CG193+CI193+CK193+CM193+CO193+CQ193</f>
        <v>10.6</v>
      </c>
      <c r="CT193" s="209">
        <f>R193+T193+V193+X193+Z193+AB193+AD193+AF193+AH193+AJ193+AL193+AN193+AP193+AR193+AT193+AV193+AX193+AZ193+BB193+BD193+BF193+BH193+BJ193+BL193+BN193+BP193+BR193+BT193+BV193+BX193+BZ193+CB193+CD193+CF193+CH193+CJ193+CL193+CN193+CP193+CR193</f>
        <v>37.688888888888847</v>
      </c>
      <c r="CU193" s="375" t="s">
        <v>1880</v>
      </c>
      <c r="CV193" s="208"/>
      <c r="CW193" s="152"/>
      <c r="CX193" s="152"/>
      <c r="CY193" s="208"/>
      <c r="CZ193" s="208"/>
      <c r="DA193" s="152">
        <f>IF(CS193&gt;CW193,CS193-CW193,"0")</f>
        <v>10.6</v>
      </c>
      <c r="DB193" s="152">
        <f>IF(CT193&gt;CX193,CT193-CX193,"0")</f>
        <v>37.688888888888847</v>
      </c>
      <c r="DC193" s="153"/>
      <c r="DD193" s="153" t="s">
        <v>1691</v>
      </c>
      <c r="DE193" s="277" t="s">
        <v>45</v>
      </c>
      <c r="DF193" s="213" t="s">
        <v>1018</v>
      </c>
      <c r="DG193" s="213" t="s">
        <v>1016</v>
      </c>
      <c r="DH193" s="227">
        <v>21.31</v>
      </c>
      <c r="DI193" s="153">
        <v>45888</v>
      </c>
      <c r="DJ193" s="228">
        <v>6</v>
      </c>
      <c r="DK193" s="227">
        <v>21.31</v>
      </c>
      <c r="DL193" s="227">
        <v>15454.55</v>
      </c>
      <c r="DM193" s="181">
        <f>DL193*DK193*1.1</f>
        <v>362270.10655000003</v>
      </c>
      <c r="DN193" s="446">
        <f t="shared" si="234"/>
        <v>0.10000000000000013</v>
      </c>
      <c r="DO193" s="182">
        <f>DL193*DK193</f>
        <v>329336.46049999999</v>
      </c>
      <c r="DP193" s="275">
        <v>45891</v>
      </c>
      <c r="DQ193" s="152">
        <f>SUMIF($I:$I,I193,$DJ:$DJ)</f>
        <v>12</v>
      </c>
      <c r="DR193" s="152">
        <f>SUMIF($I:$I,I193,$DK:$DK)</f>
        <v>42.62</v>
      </c>
      <c r="DS193" s="151"/>
      <c r="DT193" s="275"/>
      <c r="DU193" s="370"/>
      <c r="DV193" s="208"/>
      <c r="DW193" s="208"/>
      <c r="DX193" s="208"/>
      <c r="DY193" s="171"/>
      <c r="DZ193" s="152"/>
      <c r="EA193" s="152"/>
      <c r="EB193" s="153"/>
      <c r="EC193" s="152"/>
      <c r="ED193" s="152"/>
      <c r="EE193" s="396"/>
      <c r="EF193" s="371"/>
      <c r="EG193" s="153"/>
      <c r="EH193" s="153"/>
      <c r="EI193" s="153"/>
      <c r="EJ193" s="153"/>
      <c r="EK193" s="153"/>
      <c r="EL193" s="153"/>
      <c r="EM193" s="153"/>
      <c r="EN193" s="153"/>
      <c r="EO193" s="152">
        <f>SUMIF($I:$I,I193,$EC:$EC)</f>
        <v>0</v>
      </c>
      <c r="EP193" s="151">
        <f>SUMIF($I:$I,I193,$ED:$ED)</f>
        <v>0</v>
      </c>
      <c r="EQ193" s="153"/>
      <c r="ER193" s="153"/>
      <c r="ES193" s="153"/>
      <c r="ET193" s="153"/>
      <c r="EU193" s="152">
        <f>DQ193+EO193</f>
        <v>12</v>
      </c>
      <c r="EV193" s="152">
        <f>DR193+EP193</f>
        <v>42.62</v>
      </c>
      <c r="EW193" s="152">
        <f t="shared" ref="EW193" si="237">DA193-EU193</f>
        <v>-1.4000000000000004</v>
      </c>
      <c r="EX193" s="152">
        <f t="shared" ref="EX193" si="238">DB193-EV193</f>
        <v>-4.9311111111111501</v>
      </c>
      <c r="EY193" s="151" t="str">
        <f>IF(EW193&lt;0,"Thừa",IF(EW193=0,"Đủ","Thiếu"))</f>
        <v>Thừa</v>
      </c>
      <c r="EZ193" s="152"/>
      <c r="FA193" s="372"/>
      <c r="FB193" s="373"/>
      <c r="FC193" s="367"/>
      <c r="FD193" s="374"/>
      <c r="FE193" s="183"/>
      <c r="FF193" s="184"/>
      <c r="FG193" s="185"/>
      <c r="FH193" s="185"/>
    </row>
    <row r="194" spans="1:164" s="157" customFormat="1" ht="14" hidden="1" customHeight="1">
      <c r="A194" s="208" t="str">
        <f t="shared" si="180"/>
        <v>ok</v>
      </c>
      <c r="B194" s="151"/>
      <c r="C194" s="409"/>
      <c r="D194" s="151"/>
      <c r="E194" s="151"/>
      <c r="F194" s="151"/>
      <c r="G194" s="151"/>
      <c r="H194" s="151"/>
      <c r="I194" s="164" t="s">
        <v>748</v>
      </c>
      <c r="J194" s="164" t="s">
        <v>412</v>
      </c>
      <c r="K194" s="247" t="s">
        <v>749</v>
      </c>
      <c r="L194" s="233" t="s">
        <v>402</v>
      </c>
      <c r="M194" s="163" t="s">
        <v>61</v>
      </c>
      <c r="N194" s="172"/>
      <c r="O194" s="415"/>
      <c r="P194" s="416"/>
      <c r="Q194" s="179"/>
      <c r="R194" s="180"/>
      <c r="S194" s="179"/>
      <c r="T194" s="180"/>
      <c r="U194" s="180"/>
      <c r="V194" s="180"/>
      <c r="W194" s="180"/>
      <c r="X194" s="180"/>
      <c r="Y194" s="180"/>
      <c r="Z194" s="180"/>
      <c r="AA194" s="180"/>
      <c r="AB194" s="180"/>
      <c r="AC194" s="180"/>
      <c r="AD194" s="180"/>
      <c r="AE194" s="180"/>
      <c r="AF194" s="180"/>
      <c r="AG194" s="180"/>
      <c r="AH194" s="180"/>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209"/>
      <c r="CT194" s="209"/>
      <c r="CU194" s="375"/>
      <c r="CV194" s="208"/>
      <c r="CW194" s="152"/>
      <c r="CX194" s="152"/>
      <c r="CY194" s="208"/>
      <c r="CZ194" s="208"/>
      <c r="DA194" s="152"/>
      <c r="DB194" s="152"/>
      <c r="DC194" s="153"/>
      <c r="DD194" s="153" t="s">
        <v>374</v>
      </c>
      <c r="DE194" s="153" t="s">
        <v>45</v>
      </c>
      <c r="DF194" s="383" t="s">
        <v>1681</v>
      </c>
      <c r="DG194" s="213"/>
      <c r="DH194" s="227">
        <v>21.31</v>
      </c>
      <c r="DI194" s="153" t="s">
        <v>374</v>
      </c>
      <c r="DJ194" s="228">
        <v>6</v>
      </c>
      <c r="DK194" s="227">
        <v>21.31</v>
      </c>
      <c r="DL194" s="227">
        <v>15000</v>
      </c>
      <c r="DM194" s="181">
        <f>DL194*DK194*1.1</f>
        <v>351615</v>
      </c>
      <c r="DN194" s="446">
        <f t="shared" si="234"/>
        <v>0.1</v>
      </c>
      <c r="DO194" s="182">
        <f>DL194*DK194</f>
        <v>319650</v>
      </c>
      <c r="DP194" s="275">
        <v>45957</v>
      </c>
      <c r="DQ194" s="152"/>
      <c r="DR194" s="152"/>
      <c r="DS194" s="151"/>
      <c r="DT194" s="275"/>
      <c r="DU194" s="370"/>
      <c r="DV194" s="208"/>
      <c r="DW194" s="208"/>
      <c r="DX194" s="208"/>
      <c r="DY194" s="171"/>
      <c r="DZ194" s="152"/>
      <c r="EA194" s="152"/>
      <c r="EB194" s="153"/>
      <c r="EC194" s="152"/>
      <c r="ED194" s="152"/>
      <c r="EE194" s="396"/>
      <c r="EF194" s="371"/>
      <c r="EG194" s="153"/>
      <c r="EH194" s="153"/>
      <c r="EI194" s="153"/>
      <c r="EJ194" s="153"/>
      <c r="EK194" s="153"/>
      <c r="EL194" s="153"/>
      <c r="EM194" s="153"/>
      <c r="EN194" s="153"/>
      <c r="EO194" s="152"/>
      <c r="EP194" s="151"/>
      <c r="EQ194" s="153"/>
      <c r="ER194" s="153"/>
      <c r="ES194" s="153"/>
      <c r="ET194" s="153"/>
      <c r="EU194" s="152"/>
      <c r="EV194" s="152"/>
      <c r="EW194" s="152"/>
      <c r="EX194" s="152"/>
      <c r="EY194" s="151"/>
      <c r="EZ194" s="152"/>
      <c r="FA194" s="372"/>
      <c r="FB194" s="373"/>
      <c r="FC194" s="367"/>
      <c r="FD194" s="374"/>
      <c r="FE194" s="183"/>
      <c r="FF194" s="184"/>
      <c r="FG194" s="185"/>
      <c r="FH194" s="185"/>
    </row>
    <row r="195" spans="1:164" s="157" customFormat="1" ht="14" hidden="1" customHeight="1">
      <c r="A195" s="208" t="str">
        <f t="shared" si="180"/>
        <v>Hiện</v>
      </c>
      <c r="B195" s="151" t="str">
        <f>CONCATENATE(EY195," Đã đủ cho gia công/ Thừa")</f>
        <v>Thiếu Đã đủ cho gia công/ Thừa</v>
      </c>
      <c r="C195" s="409">
        <f t="shared" si="236"/>
        <v>32</v>
      </c>
      <c r="D195" s="151"/>
      <c r="E195" s="400"/>
      <c r="F195" s="151"/>
      <c r="G195" s="151"/>
      <c r="H195" s="151"/>
      <c r="I195" s="171" t="s">
        <v>1159</v>
      </c>
      <c r="J195" s="164" t="s">
        <v>1160</v>
      </c>
      <c r="K195" s="247" t="s">
        <v>1161</v>
      </c>
      <c r="L195" s="417" t="s">
        <v>1162</v>
      </c>
      <c r="M195" s="163" t="s">
        <v>345</v>
      </c>
      <c r="N195" s="418">
        <v>3.84</v>
      </c>
      <c r="O195" s="419">
        <v>40</v>
      </c>
      <c r="P195" s="416">
        <f>+O195*N195</f>
        <v>153.6</v>
      </c>
      <c r="Q195" s="179"/>
      <c r="R195" s="180"/>
      <c r="S195" s="179"/>
      <c r="T195" s="180"/>
      <c r="U195" s="180"/>
      <c r="V195" s="180"/>
      <c r="W195" s="180"/>
      <c r="X195" s="180"/>
      <c r="Y195" s="180"/>
      <c r="Z195" s="180"/>
      <c r="AA195" s="180"/>
      <c r="AB195" s="180"/>
      <c r="AC195" s="180"/>
      <c r="AD195" s="180"/>
      <c r="AE195" s="180"/>
      <c r="AF195" s="180"/>
      <c r="AG195" s="180"/>
      <c r="AH195" s="180"/>
      <c r="AI195" s="162"/>
      <c r="AJ195" s="162"/>
      <c r="AK195" s="162"/>
      <c r="AL195" s="162"/>
      <c r="AM195" s="162"/>
      <c r="AN195" s="162"/>
      <c r="AO195" s="162"/>
      <c r="AP195" s="162"/>
      <c r="AQ195" s="162">
        <v>40</v>
      </c>
      <c r="AR195" s="162">
        <v>153.6</v>
      </c>
      <c r="AS195" s="162">
        <v>0</v>
      </c>
      <c r="AT195" s="162">
        <v>0</v>
      </c>
      <c r="AU195" s="162">
        <v>0</v>
      </c>
      <c r="AV195" s="162">
        <v>0</v>
      </c>
      <c r="AW195" s="162">
        <v>0</v>
      </c>
      <c r="AX195" s="162">
        <v>0</v>
      </c>
      <c r="AY195" s="162">
        <v>0</v>
      </c>
      <c r="AZ195" s="162">
        <v>0</v>
      </c>
      <c r="BA195" s="162"/>
      <c r="BB195" s="162"/>
      <c r="BC195" s="162">
        <v>0</v>
      </c>
      <c r="BD195" s="162">
        <v>0</v>
      </c>
      <c r="BE195" s="162">
        <v>0</v>
      </c>
      <c r="BF195" s="162">
        <v>0</v>
      </c>
      <c r="BG195" s="162">
        <v>0</v>
      </c>
      <c r="BH195" s="162">
        <v>0</v>
      </c>
      <c r="BI195" s="162">
        <v>0</v>
      </c>
      <c r="BJ195" s="162">
        <v>0</v>
      </c>
      <c r="BK195" s="162">
        <v>0</v>
      </c>
      <c r="BL195" s="162">
        <v>0</v>
      </c>
      <c r="BM195" s="162">
        <v>0</v>
      </c>
      <c r="BN195" s="162">
        <v>0</v>
      </c>
      <c r="BO195" s="162"/>
      <c r="BP195" s="162"/>
      <c r="BQ195" s="162">
        <v>0</v>
      </c>
      <c r="BR195" s="162">
        <v>0</v>
      </c>
      <c r="BS195" s="162">
        <v>0</v>
      </c>
      <c r="BT195" s="162">
        <v>0</v>
      </c>
      <c r="BU195" s="162">
        <v>0</v>
      </c>
      <c r="BV195" s="162">
        <v>0</v>
      </c>
      <c r="BW195" s="162"/>
      <c r="BX195" s="162"/>
      <c r="BY195" s="162">
        <v>0</v>
      </c>
      <c r="BZ195" s="162">
        <v>0</v>
      </c>
      <c r="CA195" s="162">
        <v>0</v>
      </c>
      <c r="CB195" s="162">
        <v>0</v>
      </c>
      <c r="CC195" s="162">
        <v>0</v>
      </c>
      <c r="CD195" s="162">
        <v>0</v>
      </c>
      <c r="CE195" s="162">
        <f>VLOOKUP(I195,[120]REV33!$A:$O,11,0)</f>
        <v>0</v>
      </c>
      <c r="CF195" s="162">
        <f>VLOOKUP(I195,[120]REV33!$A:$O,12,0)</f>
        <v>0</v>
      </c>
      <c r="CG195" s="162"/>
      <c r="CH195" s="162"/>
      <c r="CI195" s="162"/>
      <c r="CJ195" s="162"/>
      <c r="CK195" s="162"/>
      <c r="CL195" s="162"/>
      <c r="CM195" s="162"/>
      <c r="CN195" s="162"/>
      <c r="CO195" s="162">
        <v>0</v>
      </c>
      <c r="CP195" s="162">
        <v>0</v>
      </c>
      <c r="CQ195" s="162">
        <v>0</v>
      </c>
      <c r="CR195" s="162">
        <v>0</v>
      </c>
      <c r="CS195" s="209">
        <f>Q195+S195+U195+W195+Y195+AA195+AC195+AE195+AG195+AI195+AK195+AM195+AO195+AQ195+AS195+AU195+AW195+AY195+BA195+BC195+BE195+BG195+BI195+BK195+BM195+BO195+BQ195+BS195+BU195+BW195+BY195+CA195+CC195+CE195+CG195+CI195+CK195+CM195+CO195+CQ195</f>
        <v>40</v>
      </c>
      <c r="CT195" s="209">
        <f>R195+T195+V195+X195+Z195+AB195+AD195+AF195+AH195+AJ195+AL195+AN195+AP195+AR195+AT195+AV195+AX195+AZ195+BB195+BD195+BF195+BH195+BJ195+BL195+BN195+BP195+BR195+BT195+BV195+BX195+BZ195+CB195+CD195+CF195+CH195+CJ195+CL195+CN195+CP195+CR195</f>
        <v>153.6</v>
      </c>
      <c r="CU195" s="375" t="s">
        <v>1176</v>
      </c>
      <c r="CV195" s="208"/>
      <c r="CW195" s="152"/>
      <c r="CX195" s="152"/>
      <c r="CY195" s="208"/>
      <c r="CZ195" s="208"/>
      <c r="DA195" s="152">
        <f t="shared" ref="DA195:DA201" si="239">IF(CS195&gt;CW195,CS195-CW195,"0")</f>
        <v>40</v>
      </c>
      <c r="DB195" s="152">
        <f t="shared" ref="DB195:DB201" si="240">IF(CT195&gt;CX195,CT195-CX195,"0")</f>
        <v>153.6</v>
      </c>
      <c r="DC195" s="153"/>
      <c r="DD195" s="153" t="s">
        <v>1498</v>
      </c>
      <c r="DE195" s="277" t="s">
        <v>435</v>
      </c>
      <c r="DF195" s="213" t="s">
        <v>1494</v>
      </c>
      <c r="DG195" s="213"/>
      <c r="DH195" s="181" t="s">
        <v>477</v>
      </c>
      <c r="DI195" s="153" t="s">
        <v>374</v>
      </c>
      <c r="DJ195" s="228">
        <v>8</v>
      </c>
      <c r="DK195" s="181" t="s">
        <v>477</v>
      </c>
      <c r="DL195" s="227">
        <v>9073600</v>
      </c>
      <c r="DM195" s="181">
        <f>DL195*DJ195*1.1</f>
        <v>79847680</v>
      </c>
      <c r="DN195" s="446">
        <f t="shared" si="234"/>
        <v>0.1</v>
      </c>
      <c r="DO195" s="182">
        <f>DL195*DJ195</f>
        <v>72588800</v>
      </c>
      <c r="DP195" s="275">
        <v>45909</v>
      </c>
      <c r="DQ195" s="152">
        <f>SUMIF($I:$I,I195,$DJ:$DJ)</f>
        <v>8</v>
      </c>
      <c r="DR195" s="152">
        <f>SUMIF($I:$I,I195,$DK:$DK)</f>
        <v>0</v>
      </c>
      <c r="DS195" s="151"/>
      <c r="DT195" s="275"/>
      <c r="DU195" s="370"/>
      <c r="DV195" s="208"/>
      <c r="DW195" s="208"/>
      <c r="DX195" s="208"/>
      <c r="DY195" s="171"/>
      <c r="DZ195" s="152"/>
      <c r="EA195" s="152"/>
      <c r="EB195" s="153"/>
      <c r="EC195" s="152"/>
      <c r="ED195" s="152"/>
      <c r="EE195" s="396"/>
      <c r="EF195" s="371"/>
      <c r="EG195" s="153"/>
      <c r="EH195" s="153"/>
      <c r="EI195" s="153"/>
      <c r="EJ195" s="153"/>
      <c r="EK195" s="153"/>
      <c r="EL195" s="153"/>
      <c r="EM195" s="153"/>
      <c r="EN195" s="153"/>
      <c r="EO195" s="152">
        <f>SUMIF($I:$I,I195,$EC:$EC)</f>
        <v>0</v>
      </c>
      <c r="EP195" s="151">
        <f>SUMIF($I:$I,I195,$ED:$ED)</f>
        <v>0</v>
      </c>
      <c r="EQ195" s="153"/>
      <c r="ER195" s="153"/>
      <c r="ES195" s="153"/>
      <c r="ET195" s="153"/>
      <c r="EU195" s="152">
        <f t="shared" ref="EU195:EU201" si="241">DQ195+EO195</f>
        <v>8</v>
      </c>
      <c r="EV195" s="152">
        <f t="shared" ref="EV195:EV201" si="242">DR195+EP195</f>
        <v>0</v>
      </c>
      <c r="EW195" s="152">
        <f t="shared" ref="EW195:EW201" si="243">DA195-EU195</f>
        <v>32</v>
      </c>
      <c r="EX195" s="152">
        <f t="shared" ref="EX195:EX201" si="244">DB195-EV195</f>
        <v>153.6</v>
      </c>
      <c r="EY195" s="151" t="str">
        <f t="shared" ref="EY195:EY201" si="245">IF(EW195&lt;0,"Thừa",IF(EW195=0,"Đủ","Thiếu"))</f>
        <v>Thiếu</v>
      </c>
      <c r="EZ195" s="152"/>
      <c r="FA195" s="372"/>
      <c r="FB195" s="373"/>
      <c r="FC195" s="367"/>
      <c r="FD195" s="374"/>
      <c r="FE195" s="183"/>
      <c r="FF195" s="184"/>
      <c r="FG195" s="185"/>
      <c r="FH195" s="185"/>
    </row>
    <row r="196" spans="1:164" s="157" customFormat="1" ht="14" hidden="1" customHeight="1">
      <c r="A196" s="208" t="str">
        <f t="shared" si="180"/>
        <v>Hiện</v>
      </c>
      <c r="B196" s="151" t="str">
        <f t="shared" ref="B196:B198" si="246">EY196</f>
        <v>Đủ</v>
      </c>
      <c r="C196" s="409">
        <f t="shared" si="236"/>
        <v>0</v>
      </c>
      <c r="D196" s="151"/>
      <c r="E196" s="400"/>
      <c r="F196" s="151"/>
      <c r="G196" s="151"/>
      <c r="H196" s="151"/>
      <c r="I196" s="171" t="s">
        <v>1163</v>
      </c>
      <c r="J196" s="164" t="s">
        <v>412</v>
      </c>
      <c r="K196" s="247" t="s">
        <v>1164</v>
      </c>
      <c r="L196" s="233" t="s">
        <v>1165</v>
      </c>
      <c r="M196" s="163" t="s">
        <v>61</v>
      </c>
      <c r="N196" s="172">
        <f>90*0.555555555555556</f>
        <v>50.000000000000043</v>
      </c>
      <c r="O196" s="415">
        <v>4</v>
      </c>
      <c r="P196" s="416">
        <f>+O196*N196</f>
        <v>200.00000000000017</v>
      </c>
      <c r="Q196" s="179"/>
      <c r="R196" s="180"/>
      <c r="S196" s="179"/>
      <c r="T196" s="180"/>
      <c r="U196" s="180"/>
      <c r="V196" s="180"/>
      <c r="W196" s="180"/>
      <c r="X196" s="180"/>
      <c r="Y196" s="180"/>
      <c r="Z196" s="180"/>
      <c r="AA196" s="180"/>
      <c r="AB196" s="180"/>
      <c r="AC196" s="180"/>
      <c r="AD196" s="180"/>
      <c r="AE196" s="180"/>
      <c r="AF196" s="180"/>
      <c r="AG196" s="180"/>
      <c r="AH196" s="180"/>
      <c r="AI196" s="162"/>
      <c r="AJ196" s="162"/>
      <c r="AK196" s="162"/>
      <c r="AL196" s="162"/>
      <c r="AM196" s="162"/>
      <c r="AN196" s="162"/>
      <c r="AO196" s="162"/>
      <c r="AP196" s="162"/>
      <c r="AQ196" s="162">
        <v>4.5</v>
      </c>
      <c r="AR196" s="162">
        <v>225.0000000000002</v>
      </c>
      <c r="AS196" s="162">
        <v>0</v>
      </c>
      <c r="AT196" s="162">
        <v>0</v>
      </c>
      <c r="AU196" s="162">
        <v>0</v>
      </c>
      <c r="AV196" s="162">
        <v>0</v>
      </c>
      <c r="AW196" s="162">
        <v>0</v>
      </c>
      <c r="AX196" s="162">
        <v>0</v>
      </c>
      <c r="AY196" s="162">
        <v>0</v>
      </c>
      <c r="AZ196" s="162">
        <v>0</v>
      </c>
      <c r="BA196" s="162"/>
      <c r="BB196" s="162"/>
      <c r="BC196" s="162">
        <v>0</v>
      </c>
      <c r="BD196" s="162">
        <v>0</v>
      </c>
      <c r="BE196" s="162">
        <v>0</v>
      </c>
      <c r="BF196" s="162">
        <v>0</v>
      </c>
      <c r="BG196" s="162">
        <v>0</v>
      </c>
      <c r="BH196" s="162">
        <v>0</v>
      </c>
      <c r="BI196" s="162">
        <v>0</v>
      </c>
      <c r="BJ196" s="162">
        <v>0</v>
      </c>
      <c r="BK196" s="162">
        <v>0</v>
      </c>
      <c r="BL196" s="162">
        <v>0</v>
      </c>
      <c r="BM196" s="162">
        <v>0</v>
      </c>
      <c r="BN196" s="162">
        <v>0</v>
      </c>
      <c r="BO196" s="162"/>
      <c r="BP196" s="162"/>
      <c r="BQ196" s="162">
        <v>0</v>
      </c>
      <c r="BR196" s="162">
        <v>0</v>
      </c>
      <c r="BS196" s="162">
        <v>0</v>
      </c>
      <c r="BT196" s="162">
        <v>0</v>
      </c>
      <c r="BU196" s="162">
        <v>0</v>
      </c>
      <c r="BV196" s="162">
        <v>0</v>
      </c>
      <c r="BW196" s="162"/>
      <c r="BX196" s="162"/>
      <c r="BY196" s="162">
        <v>0</v>
      </c>
      <c r="BZ196" s="162">
        <v>0</v>
      </c>
      <c r="CA196" s="162">
        <v>0</v>
      </c>
      <c r="CB196" s="162">
        <v>0</v>
      </c>
      <c r="CC196" s="162">
        <v>0</v>
      </c>
      <c r="CD196" s="162">
        <v>0</v>
      </c>
      <c r="CE196" s="162">
        <f>VLOOKUP(I196,[120]REV33!$A:$O,11,0)</f>
        <v>0</v>
      </c>
      <c r="CF196" s="162">
        <f>VLOOKUP(I196,[120]REV33!$A:$O,12,0)</f>
        <v>0</v>
      </c>
      <c r="CG196" s="162"/>
      <c r="CH196" s="162"/>
      <c r="CI196" s="162"/>
      <c r="CJ196" s="162"/>
      <c r="CK196" s="162"/>
      <c r="CL196" s="162"/>
      <c r="CM196" s="162"/>
      <c r="CN196" s="162"/>
      <c r="CO196" s="162">
        <v>0</v>
      </c>
      <c r="CP196" s="162">
        <v>0</v>
      </c>
      <c r="CQ196" s="162">
        <v>0</v>
      </c>
      <c r="CR196" s="162">
        <v>0</v>
      </c>
      <c r="CS196" s="209">
        <f>Q196+S196+U196+W196+Y196+AA196+AC196+AE196+AG196+AI196+AK196+AM196+AO196+AQ196+AS196+AU196+AW196+AY196+BA196+BC196+BE196+BG196+BI196+BK196+BM196+BO196+BQ196+BS196+BU196+BW196+BY196+CA196+CC196+CE196+CG196+CI196+CK196+CM196+CO196+CQ196</f>
        <v>4.5</v>
      </c>
      <c r="CT196" s="209">
        <f>R196+T196+V196+X196+Z196+AB196+AD196+AF196+AH196+AJ196+AL196+AN196+AP196+AR196+AT196+AV196+AX196+AZ196+BB196+BD196+BF196+BH196+BJ196+BL196+BN196+BP196+BR196+BT196+BV196+BX196+BZ196+CB196+CD196+CF196+CH196+CJ196+CL196+CN196+CP196+CR196</f>
        <v>225.0000000000002</v>
      </c>
      <c r="CU196" s="375" t="s">
        <v>1177</v>
      </c>
      <c r="CV196" s="208"/>
      <c r="CW196" s="152"/>
      <c r="CX196" s="152"/>
      <c r="CY196" s="208"/>
      <c r="CZ196" s="208"/>
      <c r="DA196" s="152">
        <f t="shared" si="239"/>
        <v>4.5</v>
      </c>
      <c r="DB196" s="152">
        <f t="shared" si="240"/>
        <v>225.0000000000002</v>
      </c>
      <c r="DC196" s="153"/>
      <c r="DD196" s="153" t="s">
        <v>1180</v>
      </c>
      <c r="DE196" s="277" t="s">
        <v>452</v>
      </c>
      <c r="DF196" s="247" t="s">
        <v>1164</v>
      </c>
      <c r="DG196" s="213" t="s">
        <v>453</v>
      </c>
      <c r="DH196" s="227">
        <v>228</v>
      </c>
      <c r="DI196" s="153">
        <v>45895</v>
      </c>
      <c r="DJ196" s="227">
        <v>4.5</v>
      </c>
      <c r="DK196" s="227">
        <v>228</v>
      </c>
      <c r="DL196" s="227">
        <f>19000/1.1</f>
        <v>17272.727272727272</v>
      </c>
      <c r="DM196" s="181">
        <f>DL196*DK196*1.1</f>
        <v>4332000</v>
      </c>
      <c r="DN196" s="446">
        <f t="shared" si="234"/>
        <v>0.10000000000000009</v>
      </c>
      <c r="DO196" s="182">
        <f>DL196*DK196</f>
        <v>3938181.8181818179</v>
      </c>
      <c r="DP196" s="153">
        <v>45895</v>
      </c>
      <c r="DQ196" s="152">
        <f>SUMIF($I:$I,I196,$DJ:$DJ)</f>
        <v>4.5</v>
      </c>
      <c r="DR196" s="152">
        <f>SUMIF($I:$I,I196,$DK:$DK)</f>
        <v>228</v>
      </c>
      <c r="DS196" s="151"/>
      <c r="DT196" s="275"/>
      <c r="DU196" s="370"/>
      <c r="DV196" s="208"/>
      <c r="DW196" s="208"/>
      <c r="DX196" s="208"/>
      <c r="DY196" s="171"/>
      <c r="DZ196" s="152"/>
      <c r="EA196" s="152"/>
      <c r="EB196" s="153"/>
      <c r="EC196" s="152"/>
      <c r="ED196" s="152"/>
      <c r="EE196" s="396"/>
      <c r="EF196" s="371"/>
      <c r="EG196" s="153"/>
      <c r="EH196" s="153"/>
      <c r="EI196" s="153"/>
      <c r="EJ196" s="153"/>
      <c r="EK196" s="153"/>
      <c r="EL196" s="153"/>
      <c r="EM196" s="153"/>
      <c r="EN196" s="153"/>
      <c r="EO196" s="152">
        <f>SUMIF($I:$I,I196,$EC:$EC)</f>
        <v>0</v>
      </c>
      <c r="EP196" s="151">
        <f>SUMIF($I:$I,I196,$ED:$ED)</f>
        <v>0</v>
      </c>
      <c r="EQ196" s="153"/>
      <c r="ER196" s="153"/>
      <c r="ES196" s="153"/>
      <c r="ET196" s="153"/>
      <c r="EU196" s="152">
        <f t="shared" si="241"/>
        <v>4.5</v>
      </c>
      <c r="EV196" s="152">
        <f t="shared" si="242"/>
        <v>228</v>
      </c>
      <c r="EW196" s="152">
        <f t="shared" si="243"/>
        <v>0</v>
      </c>
      <c r="EX196" s="152">
        <f t="shared" si="244"/>
        <v>-2.999999999999801</v>
      </c>
      <c r="EY196" s="151" t="str">
        <f t="shared" si="245"/>
        <v>Đủ</v>
      </c>
      <c r="EZ196" s="152"/>
      <c r="FA196" s="372"/>
      <c r="FB196" s="373"/>
      <c r="FC196" s="367"/>
      <c r="FD196" s="374"/>
      <c r="FE196" s="183"/>
      <c r="FF196" s="184"/>
      <c r="FG196" s="185"/>
      <c r="FH196" s="185"/>
    </row>
    <row r="197" spans="1:164" s="157" customFormat="1" ht="14" hidden="1" customHeight="1">
      <c r="A197" s="208" t="str">
        <f t="shared" si="180"/>
        <v>Hiện</v>
      </c>
      <c r="B197" s="151" t="str">
        <f t="shared" si="246"/>
        <v>Đủ</v>
      </c>
      <c r="C197" s="409">
        <f t="shared" si="236"/>
        <v>0</v>
      </c>
      <c r="D197" s="151"/>
      <c r="E197" s="400"/>
      <c r="F197" s="151"/>
      <c r="G197" s="151"/>
      <c r="H197" s="151"/>
      <c r="I197" s="171" t="s">
        <v>1166</v>
      </c>
      <c r="J197" s="164" t="s">
        <v>412</v>
      </c>
      <c r="K197" s="247" t="s">
        <v>1167</v>
      </c>
      <c r="L197" s="233" t="s">
        <v>1168</v>
      </c>
      <c r="M197" s="163" t="s">
        <v>61</v>
      </c>
      <c r="N197" s="172">
        <f>55*0.339506172839506</f>
        <v>18.672839506172831</v>
      </c>
      <c r="O197" s="415">
        <v>1.92</v>
      </c>
      <c r="P197" s="416">
        <f>+O197*N197</f>
        <v>35.851851851851833</v>
      </c>
      <c r="Q197" s="179"/>
      <c r="R197" s="180"/>
      <c r="S197" s="179"/>
      <c r="T197" s="180"/>
      <c r="U197" s="180"/>
      <c r="V197" s="180"/>
      <c r="W197" s="180"/>
      <c r="X197" s="180"/>
      <c r="Y197" s="180"/>
      <c r="Z197" s="180"/>
      <c r="AA197" s="180"/>
      <c r="AB197" s="180"/>
      <c r="AC197" s="180"/>
      <c r="AD197" s="180"/>
      <c r="AE197" s="180"/>
      <c r="AF197" s="180"/>
      <c r="AG197" s="180"/>
      <c r="AH197" s="180"/>
      <c r="AI197" s="162"/>
      <c r="AJ197" s="162"/>
      <c r="AK197" s="162"/>
      <c r="AL197" s="162"/>
      <c r="AM197" s="162"/>
      <c r="AN197" s="162"/>
      <c r="AO197" s="162"/>
      <c r="AP197" s="162"/>
      <c r="AQ197" s="162">
        <v>2.2999999999999998</v>
      </c>
      <c r="AR197" s="162">
        <v>42.94753086419751</v>
      </c>
      <c r="AS197" s="162">
        <v>0</v>
      </c>
      <c r="AT197" s="162">
        <v>0</v>
      </c>
      <c r="AU197" s="162">
        <v>0</v>
      </c>
      <c r="AV197" s="162">
        <v>0</v>
      </c>
      <c r="AW197" s="162">
        <v>0</v>
      </c>
      <c r="AX197" s="162">
        <v>0</v>
      </c>
      <c r="AY197" s="162">
        <v>0</v>
      </c>
      <c r="AZ197" s="162">
        <v>0</v>
      </c>
      <c r="BA197" s="162"/>
      <c r="BB197" s="162"/>
      <c r="BC197" s="162">
        <v>0</v>
      </c>
      <c r="BD197" s="162">
        <v>0</v>
      </c>
      <c r="BE197" s="162">
        <v>0</v>
      </c>
      <c r="BF197" s="162">
        <v>0</v>
      </c>
      <c r="BG197" s="162">
        <v>0</v>
      </c>
      <c r="BH197" s="162">
        <v>0</v>
      </c>
      <c r="BI197" s="162">
        <v>0</v>
      </c>
      <c r="BJ197" s="162">
        <v>0</v>
      </c>
      <c r="BK197" s="162">
        <v>0</v>
      </c>
      <c r="BL197" s="162">
        <v>0</v>
      </c>
      <c r="BM197" s="162">
        <v>0</v>
      </c>
      <c r="BN197" s="162">
        <v>0</v>
      </c>
      <c r="BO197" s="162"/>
      <c r="BP197" s="162"/>
      <c r="BQ197" s="162">
        <v>0</v>
      </c>
      <c r="BR197" s="162">
        <v>0</v>
      </c>
      <c r="BS197" s="162">
        <v>0</v>
      </c>
      <c r="BT197" s="162">
        <v>0</v>
      </c>
      <c r="BU197" s="162">
        <v>0</v>
      </c>
      <c r="BV197" s="162">
        <v>0</v>
      </c>
      <c r="BW197" s="162"/>
      <c r="BX197" s="162"/>
      <c r="BY197" s="162">
        <v>0</v>
      </c>
      <c r="BZ197" s="162">
        <v>0</v>
      </c>
      <c r="CA197" s="162">
        <v>0</v>
      </c>
      <c r="CB197" s="162">
        <v>0</v>
      </c>
      <c r="CC197" s="162">
        <v>0</v>
      </c>
      <c r="CD197" s="162">
        <v>0</v>
      </c>
      <c r="CE197" s="162">
        <f>VLOOKUP(I197,[120]REV33!$A:$O,11,0)</f>
        <v>0</v>
      </c>
      <c r="CF197" s="162">
        <f>VLOOKUP(I197,[120]REV33!$A:$O,12,0)</f>
        <v>0</v>
      </c>
      <c r="CG197" s="162"/>
      <c r="CH197" s="162"/>
      <c r="CI197" s="162"/>
      <c r="CJ197" s="162"/>
      <c r="CK197" s="162"/>
      <c r="CL197" s="162"/>
      <c r="CM197" s="162"/>
      <c r="CN197" s="162"/>
      <c r="CO197" s="162">
        <v>0</v>
      </c>
      <c r="CP197" s="162">
        <v>0</v>
      </c>
      <c r="CQ197" s="162">
        <v>0</v>
      </c>
      <c r="CR197" s="162">
        <v>0</v>
      </c>
      <c r="CS197" s="209">
        <f>Q197+S197+U197+W197+Y197+AA197+AC197+AE197+AG197+AI197+AK197+AM197+AO197+AQ197+AS197+AU197+AW197+AY197+BA197+BC197+BE197+BG197+BI197+BK197+BM197+BO197+BQ197+BS197+BU197+BW197+BY197+CA197+CC197+CE197+CG197+CI197+CK197+CM197+CO197+CQ197</f>
        <v>2.2999999999999998</v>
      </c>
      <c r="CT197" s="209">
        <f>R197+T197+V197+X197+Z197+AB197+AD197+AF197+AH197+AJ197+AL197+AN197+AP197+AR197+AT197+AV197+AX197+AZ197+BB197+BD197+BF197+BH197+BJ197+BL197+BN197+BP197+BR197+BT197+BV197+BX197+BZ197+CB197+CD197+CF197+CH197+CJ197+CL197+CN197+CP197+CR197</f>
        <v>42.94753086419751</v>
      </c>
      <c r="CU197" s="375" t="s">
        <v>1177</v>
      </c>
      <c r="CV197" s="208"/>
      <c r="CW197" s="152"/>
      <c r="CX197" s="152"/>
      <c r="CY197" s="208"/>
      <c r="CZ197" s="208"/>
      <c r="DA197" s="152">
        <f t="shared" si="239"/>
        <v>2.2999999999999998</v>
      </c>
      <c r="DB197" s="152">
        <f t="shared" si="240"/>
        <v>42.94753086419751</v>
      </c>
      <c r="DC197" s="153"/>
      <c r="DD197" s="153" t="s">
        <v>1180</v>
      </c>
      <c r="DE197" s="277" t="s">
        <v>452</v>
      </c>
      <c r="DF197" s="247" t="s">
        <v>1167</v>
      </c>
      <c r="DG197" s="213" t="s">
        <v>453</v>
      </c>
      <c r="DH197" s="227">
        <v>43</v>
      </c>
      <c r="DI197" s="153">
        <v>45895</v>
      </c>
      <c r="DJ197" s="227">
        <v>2.2999999999999998</v>
      </c>
      <c r="DK197" s="227">
        <v>43</v>
      </c>
      <c r="DL197" s="227">
        <f t="shared" ref="DL197:DL198" si="247">19000/1.1</f>
        <v>17272.727272727272</v>
      </c>
      <c r="DM197" s="181">
        <f>DL197*DK197*1.1</f>
        <v>817000</v>
      </c>
      <c r="DN197" s="446">
        <f t="shared" si="234"/>
        <v>0.10000000000000003</v>
      </c>
      <c r="DO197" s="182">
        <f>DL197*DK197</f>
        <v>742727.27272727271</v>
      </c>
      <c r="DP197" s="153">
        <v>45895</v>
      </c>
      <c r="DQ197" s="152">
        <f>SUMIF($I:$I,I197,$DJ:$DJ)</f>
        <v>2.2999999999999998</v>
      </c>
      <c r="DR197" s="152">
        <f>SUMIF($I:$I,I197,$DK:$DK)</f>
        <v>43</v>
      </c>
      <c r="DS197" s="151"/>
      <c r="DT197" s="275"/>
      <c r="DU197" s="370"/>
      <c r="DV197" s="208"/>
      <c r="DW197" s="208"/>
      <c r="DX197" s="208"/>
      <c r="DY197" s="171"/>
      <c r="DZ197" s="152"/>
      <c r="EA197" s="152"/>
      <c r="EB197" s="153"/>
      <c r="EC197" s="152"/>
      <c r="ED197" s="152"/>
      <c r="EE197" s="396"/>
      <c r="EF197" s="371"/>
      <c r="EG197" s="153"/>
      <c r="EH197" s="153"/>
      <c r="EI197" s="153"/>
      <c r="EJ197" s="153"/>
      <c r="EK197" s="153"/>
      <c r="EL197" s="153"/>
      <c r="EM197" s="153"/>
      <c r="EN197" s="153"/>
      <c r="EO197" s="152">
        <f>SUMIF($I:$I,I197,$EC:$EC)</f>
        <v>0</v>
      </c>
      <c r="EP197" s="151">
        <f>SUMIF($I:$I,I197,$ED:$ED)</f>
        <v>0</v>
      </c>
      <c r="EQ197" s="153"/>
      <c r="ER197" s="153"/>
      <c r="ES197" s="153"/>
      <c r="ET197" s="153"/>
      <c r="EU197" s="152">
        <f t="shared" si="241"/>
        <v>2.2999999999999998</v>
      </c>
      <c r="EV197" s="152">
        <f t="shared" si="242"/>
        <v>43</v>
      </c>
      <c r="EW197" s="152">
        <f t="shared" si="243"/>
        <v>0</v>
      </c>
      <c r="EX197" s="152">
        <f t="shared" si="244"/>
        <v>-5.2469135802489575E-2</v>
      </c>
      <c r="EY197" s="151" t="str">
        <f t="shared" si="245"/>
        <v>Đủ</v>
      </c>
      <c r="EZ197" s="152"/>
      <c r="FA197" s="372"/>
      <c r="FB197" s="373"/>
      <c r="FC197" s="367"/>
      <c r="FD197" s="374"/>
      <c r="FE197" s="183"/>
      <c r="FF197" s="184"/>
      <c r="FG197" s="185"/>
      <c r="FH197" s="185"/>
    </row>
    <row r="198" spans="1:164" s="157" customFormat="1" ht="14" hidden="1" customHeight="1">
      <c r="A198" s="208" t="str">
        <f t="shared" si="180"/>
        <v>Hiện</v>
      </c>
      <c r="B198" s="151" t="str">
        <f t="shared" si="246"/>
        <v>Đủ</v>
      </c>
      <c r="C198" s="409">
        <f t="shared" si="236"/>
        <v>0</v>
      </c>
      <c r="D198" s="151"/>
      <c r="E198" s="400"/>
      <c r="F198" s="151"/>
      <c r="G198" s="151"/>
      <c r="H198" s="151"/>
      <c r="I198" s="171" t="s">
        <v>1169</v>
      </c>
      <c r="J198" s="164" t="s">
        <v>412</v>
      </c>
      <c r="K198" s="247" t="s">
        <v>527</v>
      </c>
      <c r="L198" s="233" t="s">
        <v>1168</v>
      </c>
      <c r="M198" s="163" t="s">
        <v>61</v>
      </c>
      <c r="N198" s="172">
        <f>20*0.123456790123457</f>
        <v>2.4691358024691401</v>
      </c>
      <c r="O198" s="415">
        <v>27.776</v>
      </c>
      <c r="P198" s="416">
        <f>+O198*N198</f>
        <v>68.582716049382839</v>
      </c>
      <c r="Q198" s="179"/>
      <c r="R198" s="180"/>
      <c r="S198" s="179"/>
      <c r="T198" s="180"/>
      <c r="U198" s="180"/>
      <c r="V198" s="180"/>
      <c r="W198" s="180"/>
      <c r="X198" s="180"/>
      <c r="Y198" s="180"/>
      <c r="Z198" s="180"/>
      <c r="AA198" s="180"/>
      <c r="AB198" s="180"/>
      <c r="AC198" s="180"/>
      <c r="AD198" s="180"/>
      <c r="AE198" s="180"/>
      <c r="AF198" s="180"/>
      <c r="AG198" s="180"/>
      <c r="AH198" s="180"/>
      <c r="AI198" s="162"/>
      <c r="AJ198" s="162"/>
      <c r="AK198" s="162"/>
      <c r="AL198" s="162"/>
      <c r="AM198" s="162"/>
      <c r="AN198" s="162"/>
      <c r="AO198" s="162"/>
      <c r="AP198" s="162"/>
      <c r="AQ198" s="162">
        <v>30</v>
      </c>
      <c r="AR198" s="162">
        <v>74.074074074074076</v>
      </c>
      <c r="AS198" s="162">
        <v>0</v>
      </c>
      <c r="AT198" s="162">
        <v>0</v>
      </c>
      <c r="AU198" s="162">
        <v>0</v>
      </c>
      <c r="AV198" s="162">
        <v>0</v>
      </c>
      <c r="AW198" s="162">
        <v>0</v>
      </c>
      <c r="AX198" s="162">
        <v>0</v>
      </c>
      <c r="AY198" s="162">
        <v>0</v>
      </c>
      <c r="AZ198" s="162">
        <v>0</v>
      </c>
      <c r="BA198" s="162"/>
      <c r="BB198" s="162"/>
      <c r="BC198" s="162">
        <v>0</v>
      </c>
      <c r="BD198" s="162">
        <v>0</v>
      </c>
      <c r="BE198" s="162">
        <v>0</v>
      </c>
      <c r="BF198" s="162">
        <v>0</v>
      </c>
      <c r="BG198" s="162">
        <v>0</v>
      </c>
      <c r="BH198" s="162">
        <v>0</v>
      </c>
      <c r="BI198" s="162">
        <v>0</v>
      </c>
      <c r="BJ198" s="162">
        <v>0</v>
      </c>
      <c r="BK198" s="162">
        <v>0</v>
      </c>
      <c r="BL198" s="162">
        <v>0</v>
      </c>
      <c r="BM198" s="162">
        <v>0</v>
      </c>
      <c r="BN198" s="162">
        <v>0</v>
      </c>
      <c r="BO198" s="162"/>
      <c r="BP198" s="162"/>
      <c r="BQ198" s="162">
        <v>0</v>
      </c>
      <c r="BR198" s="162">
        <v>0</v>
      </c>
      <c r="BS198" s="162">
        <v>0</v>
      </c>
      <c r="BT198" s="162">
        <v>0</v>
      </c>
      <c r="BU198" s="162">
        <v>0</v>
      </c>
      <c r="BV198" s="162">
        <v>0</v>
      </c>
      <c r="BW198" s="162"/>
      <c r="BX198" s="162"/>
      <c r="BY198" s="162">
        <v>0</v>
      </c>
      <c r="BZ198" s="162">
        <v>0</v>
      </c>
      <c r="CA198" s="162">
        <v>0</v>
      </c>
      <c r="CB198" s="162">
        <v>0</v>
      </c>
      <c r="CC198" s="162">
        <v>0</v>
      </c>
      <c r="CD198" s="162">
        <v>0</v>
      </c>
      <c r="CE198" s="162">
        <f>VLOOKUP(I198,[120]REV33!$A:$O,11,0)</f>
        <v>0</v>
      </c>
      <c r="CF198" s="162">
        <f>VLOOKUP(I198,[120]REV33!$A:$O,12,0)</f>
        <v>0</v>
      </c>
      <c r="CG198" s="162"/>
      <c r="CH198" s="162"/>
      <c r="CI198" s="162"/>
      <c r="CJ198" s="162"/>
      <c r="CK198" s="162"/>
      <c r="CL198" s="162"/>
      <c r="CM198" s="162"/>
      <c r="CN198" s="162"/>
      <c r="CO198" s="162">
        <v>0</v>
      </c>
      <c r="CP198" s="162">
        <v>0</v>
      </c>
      <c r="CQ198" s="162">
        <v>0</v>
      </c>
      <c r="CR198" s="162">
        <v>0</v>
      </c>
      <c r="CS198" s="209">
        <f>Q198+S198+U198+W198+Y198+AA198+AC198+AE198+AG198+AI198+AK198+AM198+AO198+AQ198+AS198+AU198+AW198+AY198+BA198+BC198+BE198+BG198+BI198+BK198+BM198+BO198+BQ198+BS198+BU198+BW198+BY198+CA198+CC198+CE198+CG198+CI198+CK198+CM198+CO198+CQ198</f>
        <v>30</v>
      </c>
      <c r="CT198" s="209">
        <f>R198+T198+V198+X198+Z198+AB198+AD198+AF198+AH198+AJ198+AL198+AN198+AP198+AR198+AT198+AV198+AX198+AZ198+BB198+BD198+BF198+BH198+BJ198+BL198+BN198+BP198+BR198+BT198+BV198+BX198+BZ198+CB198+CD198+CF198+CH198+CJ198+CL198+CN198+CP198+CR198</f>
        <v>74.074074074074076</v>
      </c>
      <c r="CU198" s="375" t="s">
        <v>1177</v>
      </c>
      <c r="CV198" s="208"/>
      <c r="CW198" s="152"/>
      <c r="CX198" s="152"/>
      <c r="CY198" s="208"/>
      <c r="CZ198" s="208"/>
      <c r="DA198" s="152">
        <f t="shared" si="239"/>
        <v>30</v>
      </c>
      <c r="DB198" s="152">
        <f t="shared" si="240"/>
        <v>74.074074074074076</v>
      </c>
      <c r="DC198" s="153"/>
      <c r="DD198" s="153" t="s">
        <v>1180</v>
      </c>
      <c r="DE198" s="277" t="s">
        <v>452</v>
      </c>
      <c r="DF198" s="247" t="s">
        <v>527</v>
      </c>
      <c r="DG198" s="213" t="s">
        <v>453</v>
      </c>
      <c r="DH198" s="227">
        <v>76</v>
      </c>
      <c r="DI198" s="153">
        <v>45895</v>
      </c>
      <c r="DJ198" s="227">
        <f>6*5</f>
        <v>30</v>
      </c>
      <c r="DK198" s="227">
        <v>76</v>
      </c>
      <c r="DL198" s="227">
        <f t="shared" si="247"/>
        <v>17272.727272727272</v>
      </c>
      <c r="DM198" s="181">
        <f>DL198*DK198*1.1</f>
        <v>1444000</v>
      </c>
      <c r="DN198" s="446">
        <f t="shared" si="234"/>
        <v>0.10000000000000002</v>
      </c>
      <c r="DO198" s="182">
        <f>DL198*DK198</f>
        <v>1312727.2727272727</v>
      </c>
      <c r="DP198" s="153">
        <v>45895</v>
      </c>
      <c r="DQ198" s="152">
        <f>SUMIF($I:$I,I198,$DJ:$DJ)</f>
        <v>30</v>
      </c>
      <c r="DR198" s="152">
        <f>SUMIF($I:$I,I198,$DK:$DK)</f>
        <v>76</v>
      </c>
      <c r="DS198" s="151"/>
      <c r="DT198" s="275"/>
      <c r="DU198" s="370"/>
      <c r="DV198" s="208"/>
      <c r="DW198" s="208"/>
      <c r="DX198" s="208"/>
      <c r="DY198" s="171"/>
      <c r="DZ198" s="152"/>
      <c r="EA198" s="152"/>
      <c r="EB198" s="153"/>
      <c r="EC198" s="152"/>
      <c r="ED198" s="152"/>
      <c r="EE198" s="396"/>
      <c r="EF198" s="371"/>
      <c r="EG198" s="153"/>
      <c r="EH198" s="153"/>
      <c r="EI198" s="153"/>
      <c r="EJ198" s="153"/>
      <c r="EK198" s="153"/>
      <c r="EL198" s="153"/>
      <c r="EM198" s="153"/>
      <c r="EN198" s="153"/>
      <c r="EO198" s="152">
        <f>SUMIF($I:$I,I198,$EC:$EC)</f>
        <v>0</v>
      </c>
      <c r="EP198" s="151">
        <f>SUMIF($I:$I,I198,$ED:$ED)</f>
        <v>0</v>
      </c>
      <c r="EQ198" s="153"/>
      <c r="ER198" s="153"/>
      <c r="ES198" s="153"/>
      <c r="ET198" s="153"/>
      <c r="EU198" s="152">
        <f t="shared" si="241"/>
        <v>30</v>
      </c>
      <c r="EV198" s="152">
        <f t="shared" si="242"/>
        <v>76</v>
      </c>
      <c r="EW198" s="152">
        <f t="shared" si="243"/>
        <v>0</v>
      </c>
      <c r="EX198" s="152">
        <f t="shared" si="244"/>
        <v>-1.9259259259259238</v>
      </c>
      <c r="EY198" s="151" t="str">
        <f t="shared" si="245"/>
        <v>Đủ</v>
      </c>
      <c r="EZ198" s="152"/>
      <c r="FA198" s="372"/>
      <c r="FB198" s="373"/>
      <c r="FC198" s="367"/>
      <c r="FD198" s="374"/>
      <c r="FE198" s="183"/>
      <c r="FF198" s="184"/>
      <c r="FG198" s="185"/>
      <c r="FH198" s="185"/>
    </row>
    <row r="199" spans="1:164" s="157" customFormat="1" ht="14" hidden="1" customHeight="1">
      <c r="A199" s="208" t="str">
        <f t="shared" si="180"/>
        <v>Hiện</v>
      </c>
      <c r="B199" s="151" t="str">
        <f>CONCATENATE(EY199," Không mua nữa ngày 18/9/2025")</f>
        <v>Thiếu Không mua nữa ngày 18/9/2025</v>
      </c>
      <c r="C199" s="409">
        <f t="shared" si="236"/>
        <v>40</v>
      </c>
      <c r="D199" s="151"/>
      <c r="E199" s="400"/>
      <c r="F199" s="151"/>
      <c r="G199" s="151"/>
      <c r="H199" s="151"/>
      <c r="I199" s="171" t="s">
        <v>1170</v>
      </c>
      <c r="J199" s="164" t="s">
        <v>1171</v>
      </c>
      <c r="K199" s="247" t="s">
        <v>1172</v>
      </c>
      <c r="L199" s="233"/>
      <c r="M199" s="163" t="s">
        <v>345</v>
      </c>
      <c r="N199" s="172"/>
      <c r="O199" s="419">
        <v>40</v>
      </c>
      <c r="P199" s="416"/>
      <c r="Q199" s="179"/>
      <c r="R199" s="180"/>
      <c r="S199" s="179"/>
      <c r="T199" s="180"/>
      <c r="U199" s="180"/>
      <c r="V199" s="180"/>
      <c r="W199" s="180"/>
      <c r="X199" s="180"/>
      <c r="Y199" s="180"/>
      <c r="Z199" s="180"/>
      <c r="AA199" s="180"/>
      <c r="AB199" s="180"/>
      <c r="AC199" s="180"/>
      <c r="AD199" s="180"/>
      <c r="AE199" s="180"/>
      <c r="AF199" s="180"/>
      <c r="AG199" s="180"/>
      <c r="AH199" s="180"/>
      <c r="AI199" s="162"/>
      <c r="AJ199" s="162"/>
      <c r="AK199" s="162"/>
      <c r="AL199" s="162"/>
      <c r="AM199" s="162"/>
      <c r="AN199" s="162"/>
      <c r="AO199" s="162"/>
      <c r="AP199" s="162"/>
      <c r="AQ199" s="162">
        <v>40</v>
      </c>
      <c r="AR199" s="162">
        <v>0</v>
      </c>
      <c r="AS199" s="162">
        <v>0</v>
      </c>
      <c r="AT199" s="162">
        <v>0</v>
      </c>
      <c r="AU199" s="162">
        <v>0</v>
      </c>
      <c r="AV199" s="162">
        <v>0</v>
      </c>
      <c r="AW199" s="162">
        <v>0</v>
      </c>
      <c r="AX199" s="162">
        <v>0</v>
      </c>
      <c r="AY199" s="162">
        <v>0</v>
      </c>
      <c r="AZ199" s="162">
        <v>0</v>
      </c>
      <c r="BA199" s="162"/>
      <c r="BB199" s="162"/>
      <c r="BC199" s="162">
        <v>0</v>
      </c>
      <c r="BD199" s="162">
        <v>0</v>
      </c>
      <c r="BE199" s="162">
        <v>0</v>
      </c>
      <c r="BF199" s="162">
        <v>0</v>
      </c>
      <c r="BG199" s="162">
        <v>0</v>
      </c>
      <c r="BH199" s="162">
        <v>0</v>
      </c>
      <c r="BI199" s="162">
        <v>0</v>
      </c>
      <c r="BJ199" s="162">
        <v>0</v>
      </c>
      <c r="BK199" s="162">
        <v>0</v>
      </c>
      <c r="BL199" s="162">
        <v>0</v>
      </c>
      <c r="BM199" s="162">
        <v>0</v>
      </c>
      <c r="BN199" s="162">
        <v>0</v>
      </c>
      <c r="BO199" s="162"/>
      <c r="BP199" s="162"/>
      <c r="BQ199" s="162">
        <v>0</v>
      </c>
      <c r="BR199" s="162">
        <v>0</v>
      </c>
      <c r="BS199" s="162">
        <v>0</v>
      </c>
      <c r="BT199" s="162">
        <v>0</v>
      </c>
      <c r="BU199" s="162">
        <v>0</v>
      </c>
      <c r="BV199" s="162">
        <v>0</v>
      </c>
      <c r="BW199" s="162"/>
      <c r="BX199" s="162"/>
      <c r="BY199" s="162">
        <v>0</v>
      </c>
      <c r="BZ199" s="162">
        <v>0</v>
      </c>
      <c r="CA199" s="162">
        <v>0</v>
      </c>
      <c r="CB199" s="162">
        <v>0</v>
      </c>
      <c r="CC199" s="162">
        <v>0</v>
      </c>
      <c r="CD199" s="162">
        <v>0</v>
      </c>
      <c r="CE199" s="162">
        <f>VLOOKUP(I199,[120]REV33!$A:$O,11,0)</f>
        <v>0</v>
      </c>
      <c r="CF199" s="162">
        <f>VLOOKUP(I199,[120]REV33!$A:$O,12,0)</f>
        <v>0</v>
      </c>
      <c r="CG199" s="162"/>
      <c r="CH199" s="162"/>
      <c r="CI199" s="162"/>
      <c r="CJ199" s="162"/>
      <c r="CK199" s="162"/>
      <c r="CL199" s="162"/>
      <c r="CM199" s="162"/>
      <c r="CN199" s="162"/>
      <c r="CO199" s="162">
        <v>0</v>
      </c>
      <c r="CP199" s="162">
        <v>0</v>
      </c>
      <c r="CQ199" s="162">
        <v>0</v>
      </c>
      <c r="CR199" s="162">
        <v>0</v>
      </c>
      <c r="CS199" s="209">
        <f>Q199+S199+U199+W199+Y199+AA199+AC199+AE199+AG199+AI199+AK199+AM199+AO199+AQ199+AS199+AU199+AW199+AY199+BA199+BC199+BE199+BG199+BI199+BK199+BM199+BO199+BQ199+BS199+BU199+BW199+BY199+CA199+CC199+CE199+CG199+CI199+CK199+CM199+CO199+CQ199</f>
        <v>40</v>
      </c>
      <c r="CT199" s="209">
        <f>R199+T199+V199+X199+Z199+AB199+AD199+AF199+AH199+AJ199+AL199+AN199+AP199+AR199+AT199+AV199+AX199+AZ199+BB199+BD199+BF199+BH199+BJ199+BL199+BN199+BP199+BR199+BT199+BV199+BX199+BZ199+CB199+CD199+CF199+CH199+CJ199+CL199+CN199+CP199+CR199</f>
        <v>0</v>
      </c>
      <c r="CU199" s="375" t="s">
        <v>1177</v>
      </c>
      <c r="CV199" s="208"/>
      <c r="CW199" s="152"/>
      <c r="CX199" s="152"/>
      <c r="CY199" s="208"/>
      <c r="CZ199" s="208"/>
      <c r="DA199" s="152">
        <f t="shared" si="239"/>
        <v>40</v>
      </c>
      <c r="DB199" s="152" t="str">
        <f t="shared" si="240"/>
        <v>0</v>
      </c>
      <c r="DC199" s="153"/>
      <c r="DD199" s="153"/>
      <c r="DE199" s="277"/>
      <c r="DF199" s="213"/>
      <c r="DG199" s="213"/>
      <c r="DH199" s="227"/>
      <c r="DI199" s="153"/>
      <c r="DJ199" s="228"/>
      <c r="DK199" s="227"/>
      <c r="DL199" s="227"/>
      <c r="DM199" s="227"/>
      <c r="DN199" s="227"/>
      <c r="DO199" s="182"/>
      <c r="DP199" s="275"/>
      <c r="DQ199" s="152">
        <f>SUMIF($I:$I,I199,$DJ:$DJ)</f>
        <v>0</v>
      </c>
      <c r="DR199" s="152">
        <f>SUMIF($I:$I,I199,$DK:$DK)</f>
        <v>0</v>
      </c>
      <c r="DS199" s="151"/>
      <c r="DT199" s="275"/>
      <c r="DU199" s="370"/>
      <c r="DV199" s="208"/>
      <c r="DW199" s="208"/>
      <c r="DX199" s="208"/>
      <c r="DY199" s="171"/>
      <c r="DZ199" s="152"/>
      <c r="EA199" s="152"/>
      <c r="EB199" s="153"/>
      <c r="EC199" s="152"/>
      <c r="ED199" s="152"/>
      <c r="EE199" s="396"/>
      <c r="EF199" s="371"/>
      <c r="EG199" s="153"/>
      <c r="EH199" s="153"/>
      <c r="EI199" s="153"/>
      <c r="EJ199" s="153"/>
      <c r="EK199" s="153"/>
      <c r="EL199" s="153"/>
      <c r="EM199" s="153"/>
      <c r="EN199" s="153"/>
      <c r="EO199" s="152">
        <f>SUMIF($I:$I,I199,$EC:$EC)</f>
        <v>0</v>
      </c>
      <c r="EP199" s="151">
        <f>SUMIF($I:$I,I199,$ED:$ED)</f>
        <v>0</v>
      </c>
      <c r="EQ199" s="153"/>
      <c r="ER199" s="153"/>
      <c r="ES199" s="153"/>
      <c r="ET199" s="153"/>
      <c r="EU199" s="152">
        <f t="shared" si="241"/>
        <v>0</v>
      </c>
      <c r="EV199" s="152">
        <f t="shared" si="242"/>
        <v>0</v>
      </c>
      <c r="EW199" s="152">
        <f t="shared" si="243"/>
        <v>40</v>
      </c>
      <c r="EX199" s="152">
        <f t="shared" si="244"/>
        <v>0</v>
      </c>
      <c r="EY199" s="151" t="str">
        <f t="shared" si="245"/>
        <v>Thiếu</v>
      </c>
      <c r="EZ199" s="152"/>
      <c r="FA199" s="372"/>
      <c r="FB199" s="373"/>
      <c r="FC199" s="367"/>
      <c r="FD199" s="374"/>
      <c r="FE199" s="183"/>
      <c r="FF199" s="184"/>
      <c r="FG199" s="185"/>
      <c r="FH199" s="185"/>
    </row>
    <row r="200" spans="1:164" s="157" customFormat="1" ht="14" hidden="1" customHeight="1">
      <c r="A200" s="208" t="str">
        <f t="shared" ref="A200:A263" si="248">IF(I200=I199,"ok","Hiện")</f>
        <v>Hiện</v>
      </c>
      <c r="B200" s="151" t="str">
        <f>CONCATENATE(EY200," Không mua nữa ngày 18/9/2025")</f>
        <v>Thiếu Không mua nữa ngày 18/9/2025</v>
      </c>
      <c r="C200" s="409">
        <f t="shared" si="236"/>
        <v>40</v>
      </c>
      <c r="D200" s="151"/>
      <c r="E200" s="400"/>
      <c r="F200" s="151"/>
      <c r="G200" s="151"/>
      <c r="H200" s="151"/>
      <c r="I200" s="171" t="s">
        <v>1173</v>
      </c>
      <c r="J200" s="164" t="s">
        <v>1174</v>
      </c>
      <c r="K200" s="247" t="s">
        <v>1175</v>
      </c>
      <c r="L200" s="233"/>
      <c r="M200" s="163" t="s">
        <v>345</v>
      </c>
      <c r="N200" s="163"/>
      <c r="O200" s="419">
        <v>40</v>
      </c>
      <c r="P200" s="172"/>
      <c r="Q200" s="179"/>
      <c r="R200" s="180"/>
      <c r="S200" s="179"/>
      <c r="T200" s="180"/>
      <c r="U200" s="180"/>
      <c r="V200" s="180"/>
      <c r="W200" s="180"/>
      <c r="X200" s="180"/>
      <c r="Y200" s="180"/>
      <c r="Z200" s="180"/>
      <c r="AA200" s="180"/>
      <c r="AB200" s="180"/>
      <c r="AC200" s="180"/>
      <c r="AD200" s="180"/>
      <c r="AE200" s="180"/>
      <c r="AF200" s="180"/>
      <c r="AG200" s="180"/>
      <c r="AH200" s="180"/>
      <c r="AI200" s="162"/>
      <c r="AJ200" s="162"/>
      <c r="AK200" s="162"/>
      <c r="AL200" s="162"/>
      <c r="AM200" s="162"/>
      <c r="AN200" s="162"/>
      <c r="AO200" s="162"/>
      <c r="AP200" s="162"/>
      <c r="AQ200" s="162">
        <v>40</v>
      </c>
      <c r="AR200" s="162">
        <v>0</v>
      </c>
      <c r="AS200" s="162">
        <v>0</v>
      </c>
      <c r="AT200" s="162">
        <v>0</v>
      </c>
      <c r="AU200" s="162">
        <v>0</v>
      </c>
      <c r="AV200" s="162">
        <v>0</v>
      </c>
      <c r="AW200" s="162">
        <v>0</v>
      </c>
      <c r="AX200" s="162">
        <v>0</v>
      </c>
      <c r="AY200" s="162">
        <v>0</v>
      </c>
      <c r="AZ200" s="162">
        <v>0</v>
      </c>
      <c r="BA200" s="162"/>
      <c r="BB200" s="162"/>
      <c r="BC200" s="162">
        <v>0</v>
      </c>
      <c r="BD200" s="162">
        <v>0</v>
      </c>
      <c r="BE200" s="162">
        <v>0</v>
      </c>
      <c r="BF200" s="162">
        <v>0</v>
      </c>
      <c r="BG200" s="162">
        <v>0</v>
      </c>
      <c r="BH200" s="162">
        <v>0</v>
      </c>
      <c r="BI200" s="162">
        <v>0</v>
      </c>
      <c r="BJ200" s="162">
        <v>0</v>
      </c>
      <c r="BK200" s="162">
        <v>0</v>
      </c>
      <c r="BL200" s="162">
        <v>0</v>
      </c>
      <c r="BM200" s="162">
        <v>0</v>
      </c>
      <c r="BN200" s="162">
        <v>0</v>
      </c>
      <c r="BO200" s="162"/>
      <c r="BP200" s="162"/>
      <c r="BQ200" s="162">
        <v>0</v>
      </c>
      <c r="BR200" s="162">
        <v>0</v>
      </c>
      <c r="BS200" s="162">
        <v>0</v>
      </c>
      <c r="BT200" s="162">
        <v>0</v>
      </c>
      <c r="BU200" s="162">
        <v>0</v>
      </c>
      <c r="BV200" s="162">
        <v>0</v>
      </c>
      <c r="BW200" s="162"/>
      <c r="BX200" s="162"/>
      <c r="BY200" s="162">
        <v>0</v>
      </c>
      <c r="BZ200" s="162">
        <v>0</v>
      </c>
      <c r="CA200" s="162">
        <v>0</v>
      </c>
      <c r="CB200" s="162">
        <v>0</v>
      </c>
      <c r="CC200" s="162">
        <v>0</v>
      </c>
      <c r="CD200" s="162">
        <v>0</v>
      </c>
      <c r="CE200" s="162">
        <f>VLOOKUP(I200,[120]REV33!$A:$O,11,0)</f>
        <v>0</v>
      </c>
      <c r="CF200" s="162">
        <f>VLOOKUP(I200,[120]REV33!$A:$O,12,0)</f>
        <v>0</v>
      </c>
      <c r="CG200" s="162"/>
      <c r="CH200" s="162"/>
      <c r="CI200" s="162"/>
      <c r="CJ200" s="162"/>
      <c r="CK200" s="162"/>
      <c r="CL200" s="162"/>
      <c r="CM200" s="162"/>
      <c r="CN200" s="162"/>
      <c r="CO200" s="162">
        <v>0</v>
      </c>
      <c r="CP200" s="162">
        <v>0</v>
      </c>
      <c r="CQ200" s="162">
        <v>0</v>
      </c>
      <c r="CR200" s="162">
        <v>0</v>
      </c>
      <c r="CS200" s="209">
        <f>Q200+S200+U200+W200+Y200+AA200+AC200+AE200+AG200+AI200+AK200+AM200+AO200+AQ200+AS200+AU200+AW200+AY200+BA200+BC200+BE200+BG200+BI200+BK200+BM200+BO200+BQ200+BS200+BU200+BW200+BY200+CA200+CC200+CE200+CG200+CI200+CK200+CM200+CO200+CQ200</f>
        <v>40</v>
      </c>
      <c r="CT200" s="209">
        <f>R200+T200+V200+X200+Z200+AB200+AD200+AF200+AH200+AJ200+AL200+AN200+AP200+AR200+AT200+AV200+AX200+AZ200+BB200+BD200+BF200+BH200+BJ200+BL200+BN200+BP200+BR200+BT200+BV200+BX200+BZ200+CB200+CD200+CF200+CH200+CJ200+CL200+CN200+CP200+CR200</f>
        <v>0</v>
      </c>
      <c r="CU200" s="375" t="s">
        <v>1177</v>
      </c>
      <c r="CV200" s="208"/>
      <c r="CW200" s="152"/>
      <c r="CX200" s="152"/>
      <c r="CY200" s="208"/>
      <c r="CZ200" s="208"/>
      <c r="DA200" s="152">
        <f t="shared" si="239"/>
        <v>40</v>
      </c>
      <c r="DB200" s="152" t="str">
        <f t="shared" si="240"/>
        <v>0</v>
      </c>
      <c r="DC200" s="153"/>
      <c r="DD200" s="153"/>
      <c r="DE200" s="277"/>
      <c r="DF200" s="213"/>
      <c r="DG200" s="213"/>
      <c r="DH200" s="227"/>
      <c r="DI200" s="153"/>
      <c r="DJ200" s="228"/>
      <c r="DK200" s="227"/>
      <c r="DL200" s="227"/>
      <c r="DM200" s="227"/>
      <c r="DN200" s="227"/>
      <c r="DO200" s="182"/>
      <c r="DP200" s="275"/>
      <c r="DQ200" s="152">
        <f>SUMIF($I:$I,I200,$DJ:$DJ)</f>
        <v>0</v>
      </c>
      <c r="DR200" s="152">
        <f>SUMIF($I:$I,I200,$DK:$DK)</f>
        <v>0</v>
      </c>
      <c r="DS200" s="151"/>
      <c r="DT200" s="275"/>
      <c r="DU200" s="370"/>
      <c r="DV200" s="208"/>
      <c r="DW200" s="208"/>
      <c r="DX200" s="208"/>
      <c r="DY200" s="171"/>
      <c r="DZ200" s="152"/>
      <c r="EA200" s="152"/>
      <c r="EB200" s="153"/>
      <c r="EC200" s="152"/>
      <c r="ED200" s="152"/>
      <c r="EE200" s="396"/>
      <c r="EF200" s="371"/>
      <c r="EG200" s="153"/>
      <c r="EH200" s="153"/>
      <c r="EI200" s="153"/>
      <c r="EJ200" s="153"/>
      <c r="EK200" s="153"/>
      <c r="EL200" s="153"/>
      <c r="EM200" s="153"/>
      <c r="EN200" s="153"/>
      <c r="EO200" s="152">
        <f>SUMIF($I:$I,I200,$EC:$EC)</f>
        <v>0</v>
      </c>
      <c r="EP200" s="151">
        <f>SUMIF($I:$I,I200,$ED:$ED)</f>
        <v>0</v>
      </c>
      <c r="EQ200" s="153"/>
      <c r="ER200" s="153"/>
      <c r="ES200" s="153"/>
      <c r="ET200" s="153"/>
      <c r="EU200" s="152">
        <f t="shared" si="241"/>
        <v>0</v>
      </c>
      <c r="EV200" s="152">
        <f t="shared" si="242"/>
        <v>0</v>
      </c>
      <c r="EW200" s="152">
        <f t="shared" si="243"/>
        <v>40</v>
      </c>
      <c r="EX200" s="152">
        <f t="shared" si="244"/>
        <v>0</v>
      </c>
      <c r="EY200" s="151" t="str">
        <f t="shared" si="245"/>
        <v>Thiếu</v>
      </c>
      <c r="EZ200" s="152"/>
      <c r="FA200" s="372"/>
      <c r="FB200" s="373"/>
      <c r="FC200" s="367"/>
      <c r="FD200" s="374"/>
      <c r="FE200" s="183"/>
      <c r="FF200" s="184"/>
      <c r="FG200" s="185"/>
      <c r="FH200" s="185"/>
    </row>
    <row r="201" spans="1:164" s="157" customFormat="1" ht="14" hidden="1" customHeight="1">
      <c r="A201" s="208" t="str">
        <f t="shared" si="248"/>
        <v>Hiện</v>
      </c>
      <c r="B201" s="151" t="str">
        <f>CONCATENATE(EY201," Thiếu ít")</f>
        <v>Thiếu Thiếu ít</v>
      </c>
      <c r="C201" s="409">
        <f t="shared" ref="C201" si="249">EW201</f>
        <v>0.60000000000000142</v>
      </c>
      <c r="D201" s="151"/>
      <c r="E201" s="400"/>
      <c r="F201" s="151"/>
      <c r="G201" s="151"/>
      <c r="H201" s="151"/>
      <c r="I201" s="164" t="s">
        <v>1299</v>
      </c>
      <c r="J201" s="164" t="s">
        <v>397</v>
      </c>
      <c r="K201" s="420" t="s">
        <v>1300</v>
      </c>
      <c r="L201" s="421" t="s">
        <v>1301</v>
      </c>
      <c r="M201" s="422" t="s">
        <v>61</v>
      </c>
      <c r="N201" s="177">
        <v>1.69</v>
      </c>
      <c r="O201" s="177">
        <v>12.2</v>
      </c>
      <c r="P201" s="177">
        <f>+O201*N201</f>
        <v>20.617999999999999</v>
      </c>
      <c r="Q201" s="179"/>
      <c r="R201" s="180"/>
      <c r="S201" s="179"/>
      <c r="T201" s="180"/>
      <c r="U201" s="180"/>
      <c r="V201" s="180"/>
      <c r="W201" s="180"/>
      <c r="X201" s="180"/>
      <c r="Y201" s="180"/>
      <c r="Z201" s="180"/>
      <c r="AA201" s="180"/>
      <c r="AB201" s="180"/>
      <c r="AC201" s="180"/>
      <c r="AD201" s="180"/>
      <c r="AE201" s="180"/>
      <c r="AF201" s="180"/>
      <c r="AG201" s="180"/>
      <c r="AH201" s="180"/>
      <c r="AI201" s="162"/>
      <c r="AJ201" s="162"/>
      <c r="AK201" s="162"/>
      <c r="AL201" s="162"/>
      <c r="AM201" s="162"/>
      <c r="AN201" s="162"/>
      <c r="AO201" s="162"/>
      <c r="AP201" s="162"/>
      <c r="AQ201" s="162"/>
      <c r="AR201" s="162">
        <v>0</v>
      </c>
      <c r="AS201" s="162">
        <v>12.6</v>
      </c>
      <c r="AT201" s="162">
        <v>21.294</v>
      </c>
      <c r="AU201" s="162">
        <v>0</v>
      </c>
      <c r="AV201" s="162">
        <v>0</v>
      </c>
      <c r="AW201" s="162">
        <v>0</v>
      </c>
      <c r="AX201" s="162">
        <v>0</v>
      </c>
      <c r="AY201" s="162">
        <v>0</v>
      </c>
      <c r="AZ201" s="162">
        <v>0</v>
      </c>
      <c r="BA201" s="162"/>
      <c r="BB201" s="162"/>
      <c r="BC201" s="162">
        <v>0</v>
      </c>
      <c r="BD201" s="162">
        <v>0</v>
      </c>
      <c r="BE201" s="162">
        <v>0</v>
      </c>
      <c r="BF201" s="162">
        <v>0</v>
      </c>
      <c r="BG201" s="162">
        <v>0</v>
      </c>
      <c r="BH201" s="162">
        <v>0</v>
      </c>
      <c r="BI201" s="162">
        <v>0</v>
      </c>
      <c r="BJ201" s="162">
        <v>0</v>
      </c>
      <c r="BK201" s="162">
        <v>0</v>
      </c>
      <c r="BL201" s="162">
        <v>0</v>
      </c>
      <c r="BM201" s="162">
        <v>18</v>
      </c>
      <c r="BN201" s="162">
        <v>30.419999999999998</v>
      </c>
      <c r="BO201" s="162"/>
      <c r="BP201" s="162"/>
      <c r="BQ201" s="162">
        <v>0</v>
      </c>
      <c r="BR201" s="162">
        <v>0</v>
      </c>
      <c r="BS201" s="162">
        <v>0</v>
      </c>
      <c r="BT201" s="162">
        <v>0</v>
      </c>
      <c r="BU201" s="162">
        <v>0</v>
      </c>
      <c r="BV201" s="162">
        <v>0</v>
      </c>
      <c r="BW201" s="162"/>
      <c r="BX201" s="162"/>
      <c r="BY201" s="162">
        <v>0</v>
      </c>
      <c r="BZ201" s="162">
        <v>0</v>
      </c>
      <c r="CA201" s="162">
        <v>0</v>
      </c>
      <c r="CB201" s="162">
        <v>0</v>
      </c>
      <c r="CC201" s="162">
        <v>0</v>
      </c>
      <c r="CD201" s="162">
        <v>0</v>
      </c>
      <c r="CE201" s="162">
        <f>VLOOKUP(I201,[120]REV33!$A:$O,11,0)</f>
        <v>0</v>
      </c>
      <c r="CF201" s="162">
        <f>VLOOKUP(I201,[120]REV33!$A:$O,12,0)</f>
        <v>0</v>
      </c>
      <c r="CG201" s="162"/>
      <c r="CH201" s="162"/>
      <c r="CI201" s="162"/>
      <c r="CJ201" s="162"/>
      <c r="CK201" s="162"/>
      <c r="CL201" s="162"/>
      <c r="CM201" s="162"/>
      <c r="CN201" s="162"/>
      <c r="CO201" s="162">
        <v>0</v>
      </c>
      <c r="CP201" s="162">
        <v>0</v>
      </c>
      <c r="CQ201" s="162">
        <v>0</v>
      </c>
      <c r="CR201" s="162">
        <v>0</v>
      </c>
      <c r="CS201" s="209">
        <f>Q201+S201+U201+W201+Y201+AA201+AC201+AE201+AG201+AI201+AK201+AM201+AO201+AQ201+AS201+AU201+AW201+AY201+BA201+BC201+BE201+BG201+BI201+BK201+BM201+BO201+BQ201+BS201+BU201+BW201+BY201+CA201+CC201+CE201+CG201+CI201+CK201+CM201+CO201+CQ201</f>
        <v>30.6</v>
      </c>
      <c r="CT201" s="209">
        <f>R201+T201+V201+X201+Z201+AB201+AD201+AF201+AH201+AJ201+AL201+AN201+AP201+AR201+AT201+AV201+AX201+AZ201+BB201+BD201+BF201+BH201+BJ201+BL201+BN201+BP201+BR201+BT201+BV201+BX201+BZ201+CB201+CD201+CF201+CH201+CJ201+CL201+CN201+CP201+CR201</f>
        <v>51.713999999999999</v>
      </c>
      <c r="CU201" s="375" t="s">
        <v>1881</v>
      </c>
      <c r="CV201" s="208"/>
      <c r="CW201" s="152"/>
      <c r="CX201" s="152"/>
      <c r="CY201" s="208"/>
      <c r="CZ201" s="208"/>
      <c r="DA201" s="152">
        <f t="shared" si="239"/>
        <v>30.6</v>
      </c>
      <c r="DB201" s="152">
        <f t="shared" si="240"/>
        <v>51.713999999999999</v>
      </c>
      <c r="DC201" s="153"/>
      <c r="DD201" s="153" t="s">
        <v>1689</v>
      </c>
      <c r="DE201" s="277" t="s">
        <v>1413</v>
      </c>
      <c r="DF201" s="420" t="s">
        <v>1457</v>
      </c>
      <c r="DG201" s="213"/>
      <c r="DH201" s="227">
        <v>30</v>
      </c>
      <c r="DI201" s="153">
        <v>45905</v>
      </c>
      <c r="DJ201" s="228">
        <v>18</v>
      </c>
      <c r="DK201" s="227">
        <v>30</v>
      </c>
      <c r="DL201" s="227">
        <v>127272</v>
      </c>
      <c r="DM201" s="181">
        <f>DL201*DK201*1.1</f>
        <v>4199976</v>
      </c>
      <c r="DN201" s="446">
        <f t="shared" ref="DN201:DN208" si="250">(DM201-DO201)/DO201</f>
        <v>0.1</v>
      </c>
      <c r="DO201" s="182">
        <f>DL201*DK201</f>
        <v>3818160</v>
      </c>
      <c r="DP201" s="275">
        <v>45907</v>
      </c>
      <c r="DQ201" s="152">
        <f>SUMIF($I:$I,I201,$DJ:$DJ)</f>
        <v>30</v>
      </c>
      <c r="DR201" s="152">
        <f>SUMIF($I:$I,I201,$DK:$DK)</f>
        <v>49.5</v>
      </c>
      <c r="DS201" s="151"/>
      <c r="DT201" s="275"/>
      <c r="DU201" s="370"/>
      <c r="DV201" s="208"/>
      <c r="DW201" s="208"/>
      <c r="DX201" s="208"/>
      <c r="DY201" s="171"/>
      <c r="DZ201" s="152"/>
      <c r="EA201" s="152"/>
      <c r="EB201" s="153"/>
      <c r="EC201" s="152"/>
      <c r="ED201" s="152"/>
      <c r="EE201" s="396"/>
      <c r="EF201" s="371"/>
      <c r="EG201" s="153"/>
      <c r="EH201" s="153"/>
      <c r="EI201" s="153"/>
      <c r="EJ201" s="153"/>
      <c r="EK201" s="153"/>
      <c r="EL201" s="153"/>
      <c r="EM201" s="153"/>
      <c r="EN201" s="153"/>
      <c r="EO201" s="152">
        <f>SUMIF($I:$I,I201,$EC:$EC)</f>
        <v>0</v>
      </c>
      <c r="EP201" s="151">
        <f>SUMIF($I:$I,I201,$ED:$ED)</f>
        <v>0</v>
      </c>
      <c r="EQ201" s="153"/>
      <c r="ER201" s="153"/>
      <c r="ES201" s="153"/>
      <c r="ET201" s="153"/>
      <c r="EU201" s="152">
        <f t="shared" si="241"/>
        <v>30</v>
      </c>
      <c r="EV201" s="152">
        <f t="shared" si="242"/>
        <v>49.5</v>
      </c>
      <c r="EW201" s="152">
        <f t="shared" si="243"/>
        <v>0.60000000000000142</v>
      </c>
      <c r="EX201" s="152">
        <f t="shared" si="244"/>
        <v>2.2139999999999986</v>
      </c>
      <c r="EY201" s="151" t="str">
        <f t="shared" si="245"/>
        <v>Thiếu</v>
      </c>
      <c r="EZ201" s="152"/>
      <c r="FA201" s="372"/>
      <c r="FB201" s="373"/>
      <c r="FC201" s="367"/>
      <c r="FD201" s="374"/>
      <c r="FE201" s="183"/>
      <c r="FF201" s="184"/>
      <c r="FG201" s="185"/>
      <c r="FH201" s="185"/>
    </row>
    <row r="202" spans="1:164" s="157" customFormat="1" ht="14" hidden="1" customHeight="1">
      <c r="A202" s="208" t="str">
        <f t="shared" si="248"/>
        <v>ok</v>
      </c>
      <c r="B202" s="151"/>
      <c r="C202" s="409"/>
      <c r="D202" s="151"/>
      <c r="E202" s="400"/>
      <c r="F202" s="151"/>
      <c r="G202" s="151"/>
      <c r="H202" s="151"/>
      <c r="I202" s="164" t="s">
        <v>1299</v>
      </c>
      <c r="J202" s="164" t="s">
        <v>397</v>
      </c>
      <c r="K202" s="420" t="s">
        <v>1300</v>
      </c>
      <c r="L202" s="421" t="s">
        <v>1301</v>
      </c>
      <c r="M202" s="422" t="s">
        <v>61</v>
      </c>
      <c r="N202" s="177"/>
      <c r="O202" s="177"/>
      <c r="P202" s="177"/>
      <c r="Q202" s="179"/>
      <c r="R202" s="180"/>
      <c r="S202" s="179"/>
      <c r="T202" s="180"/>
      <c r="U202" s="180"/>
      <c r="V202" s="180"/>
      <c r="W202" s="180"/>
      <c r="X202" s="180"/>
      <c r="Y202" s="180"/>
      <c r="Z202" s="180"/>
      <c r="AA202" s="180"/>
      <c r="AB202" s="180"/>
      <c r="AC202" s="180"/>
      <c r="AD202" s="180"/>
      <c r="AE202" s="180"/>
      <c r="AF202" s="180"/>
      <c r="AG202" s="180"/>
      <c r="AH202" s="180"/>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209"/>
      <c r="CT202" s="209"/>
      <c r="CU202" s="375"/>
      <c r="CV202" s="208"/>
      <c r="CW202" s="152"/>
      <c r="CX202" s="152"/>
      <c r="CY202" s="208"/>
      <c r="CZ202" s="208"/>
      <c r="DA202" s="152"/>
      <c r="DB202" s="152"/>
      <c r="DC202" s="153"/>
      <c r="DD202" s="153"/>
      <c r="DE202" s="277" t="s">
        <v>1413</v>
      </c>
      <c r="DF202" s="420" t="s">
        <v>1687</v>
      </c>
      <c r="DG202" s="213"/>
      <c r="DH202" s="227">
        <v>19.5</v>
      </c>
      <c r="DI202" s="153" t="s">
        <v>374</v>
      </c>
      <c r="DJ202" s="228">
        <v>12</v>
      </c>
      <c r="DK202" s="227">
        <v>19.5</v>
      </c>
      <c r="DL202" s="228">
        <f>145000/1.1</f>
        <v>131818.18181818179</v>
      </c>
      <c r="DM202" s="181">
        <f>DL202*DK202*1.1</f>
        <v>2827499.9999999995</v>
      </c>
      <c r="DN202" s="446">
        <f t="shared" si="250"/>
        <v>0.10000000000000003</v>
      </c>
      <c r="DO202" s="182">
        <f>DL202*DK202</f>
        <v>2570454.5454545449</v>
      </c>
      <c r="DP202" s="275">
        <v>45958</v>
      </c>
      <c r="DQ202" s="152"/>
      <c r="DR202" s="152"/>
      <c r="DS202" s="151"/>
      <c r="DT202" s="275"/>
      <c r="DU202" s="370"/>
      <c r="DV202" s="208"/>
      <c r="DW202" s="208"/>
      <c r="DX202" s="208"/>
      <c r="DY202" s="171"/>
      <c r="DZ202" s="152"/>
      <c r="EA202" s="152"/>
      <c r="EB202" s="153"/>
      <c r="EC202" s="152"/>
      <c r="ED202" s="152"/>
      <c r="EE202" s="396"/>
      <c r="EF202" s="371"/>
      <c r="EG202" s="153"/>
      <c r="EH202" s="153"/>
      <c r="EI202" s="153"/>
      <c r="EJ202" s="153"/>
      <c r="EK202" s="153"/>
      <c r="EL202" s="153"/>
      <c r="EM202" s="153"/>
      <c r="EN202" s="153"/>
      <c r="EO202" s="152"/>
      <c r="EP202" s="151"/>
      <c r="EQ202" s="153"/>
      <c r="ER202" s="153"/>
      <c r="ES202" s="153"/>
      <c r="ET202" s="153"/>
      <c r="EU202" s="152"/>
      <c r="EV202" s="152"/>
      <c r="EW202" s="152"/>
      <c r="EX202" s="152"/>
      <c r="EY202" s="151"/>
      <c r="EZ202" s="152"/>
      <c r="FA202" s="372"/>
      <c r="FB202" s="373"/>
      <c r="FC202" s="367"/>
      <c r="FD202" s="374"/>
      <c r="FE202" s="183"/>
      <c r="FF202" s="184"/>
      <c r="FG202" s="185"/>
      <c r="FH202" s="185"/>
    </row>
    <row r="203" spans="1:164" s="157" customFormat="1" ht="14" hidden="1" customHeight="1">
      <c r="A203" s="208" t="str">
        <f t="shared" si="248"/>
        <v>Hiện</v>
      </c>
      <c r="B203" s="151" t="str">
        <f t="shared" ref="B203:B207" si="251">EY203</f>
        <v>Thừa</v>
      </c>
      <c r="C203" s="409">
        <f t="shared" ref="C203:C207" si="252">EW203</f>
        <v>-0.5</v>
      </c>
      <c r="D203" s="151"/>
      <c r="E203" s="400"/>
      <c r="F203" s="151"/>
      <c r="G203" s="151"/>
      <c r="H203" s="151"/>
      <c r="I203" s="164" t="s">
        <v>1356</v>
      </c>
      <c r="J203" s="164" t="s">
        <v>397</v>
      </c>
      <c r="K203" s="423" t="s">
        <v>1357</v>
      </c>
      <c r="L203" s="424" t="s">
        <v>1358</v>
      </c>
      <c r="M203" s="422" t="s">
        <v>61</v>
      </c>
      <c r="N203" s="177">
        <v>16.177777777777777</v>
      </c>
      <c r="O203" s="177">
        <v>10.8</v>
      </c>
      <c r="P203" s="230">
        <v>174.72</v>
      </c>
      <c r="Q203" s="179"/>
      <c r="R203" s="180"/>
      <c r="S203" s="179"/>
      <c r="T203" s="180"/>
      <c r="U203" s="180"/>
      <c r="V203" s="180"/>
      <c r="W203" s="180"/>
      <c r="X203" s="180"/>
      <c r="Y203" s="180"/>
      <c r="Z203" s="180"/>
      <c r="AA203" s="180"/>
      <c r="AB203" s="180"/>
      <c r="AC203" s="180"/>
      <c r="AD203" s="180"/>
      <c r="AE203" s="180"/>
      <c r="AF203" s="180"/>
      <c r="AG203" s="180"/>
      <c r="AH203" s="180"/>
      <c r="AI203" s="162"/>
      <c r="AJ203" s="162"/>
      <c r="AK203" s="162"/>
      <c r="AL203" s="162"/>
      <c r="AM203" s="162"/>
      <c r="AN203" s="162"/>
      <c r="AO203" s="162"/>
      <c r="AP203" s="162"/>
      <c r="AQ203" s="162"/>
      <c r="AR203" s="162"/>
      <c r="AS203" s="162"/>
      <c r="AT203" s="162"/>
      <c r="AU203" s="162">
        <v>11.5</v>
      </c>
      <c r="AV203" s="162">
        <v>186.04444444444442</v>
      </c>
      <c r="AW203" s="162">
        <v>0</v>
      </c>
      <c r="AX203" s="162">
        <v>0</v>
      </c>
      <c r="AY203" s="162">
        <v>0</v>
      </c>
      <c r="AZ203" s="162">
        <v>0</v>
      </c>
      <c r="BA203" s="162"/>
      <c r="BB203" s="162"/>
      <c r="BC203" s="162">
        <v>0</v>
      </c>
      <c r="BD203" s="162">
        <v>0</v>
      </c>
      <c r="BE203" s="162">
        <v>0</v>
      </c>
      <c r="BF203" s="162">
        <v>0</v>
      </c>
      <c r="BG203" s="162">
        <v>0</v>
      </c>
      <c r="BH203" s="162">
        <v>0</v>
      </c>
      <c r="BI203" s="162">
        <v>0</v>
      </c>
      <c r="BJ203" s="162">
        <v>0</v>
      </c>
      <c r="BK203" s="162">
        <v>0</v>
      </c>
      <c r="BL203" s="162">
        <v>0</v>
      </c>
      <c r="BM203" s="162">
        <v>6</v>
      </c>
      <c r="BN203" s="162">
        <v>97.066666666666663</v>
      </c>
      <c r="BO203" s="162"/>
      <c r="BP203" s="162"/>
      <c r="BQ203" s="162">
        <v>0</v>
      </c>
      <c r="BR203" s="162">
        <v>0</v>
      </c>
      <c r="BS203" s="162">
        <v>0</v>
      </c>
      <c r="BT203" s="162">
        <v>0</v>
      </c>
      <c r="BU203" s="162">
        <v>0</v>
      </c>
      <c r="BV203" s="162">
        <v>0</v>
      </c>
      <c r="BW203" s="162"/>
      <c r="BX203" s="162"/>
      <c r="BY203" s="162">
        <v>0</v>
      </c>
      <c r="BZ203" s="162">
        <v>0</v>
      </c>
      <c r="CA203" s="162">
        <v>0</v>
      </c>
      <c r="CB203" s="162">
        <v>0</v>
      </c>
      <c r="CC203" s="162">
        <v>0</v>
      </c>
      <c r="CD203" s="162">
        <v>0</v>
      </c>
      <c r="CE203" s="162">
        <f>VLOOKUP(I203,[120]REV33!$A:$O,11,0)</f>
        <v>0</v>
      </c>
      <c r="CF203" s="162">
        <f>VLOOKUP(I203,[120]REV33!$A:$O,12,0)</f>
        <v>0</v>
      </c>
      <c r="CG203" s="162"/>
      <c r="CH203" s="162"/>
      <c r="CI203" s="162"/>
      <c r="CJ203" s="162"/>
      <c r="CK203" s="162"/>
      <c r="CL203" s="162"/>
      <c r="CM203" s="162"/>
      <c r="CN203" s="162"/>
      <c r="CO203" s="162">
        <v>0</v>
      </c>
      <c r="CP203" s="162">
        <v>0</v>
      </c>
      <c r="CQ203" s="162">
        <v>0</v>
      </c>
      <c r="CR203" s="162">
        <v>0</v>
      </c>
      <c r="CS203" s="209">
        <f>Q203+S203+U203+W203+Y203+AA203+AC203+AE203+AG203+AI203+AK203+AM203+AO203+AQ203+AS203+AU203+AW203+AY203+BA203+BC203+BE203+BG203+BI203+BK203+BM203+BO203+BQ203+BS203+BU203+BW203+BY203+CA203+CC203+CE203+CG203+CI203+CK203+CM203+CO203+CQ203</f>
        <v>17.5</v>
      </c>
      <c r="CT203" s="209">
        <f>R203+T203+V203+X203+Z203+AB203+AD203+AF203+AH203+AJ203+AL203+AN203+AP203+AR203+AT203+AV203+AX203+AZ203+BB203+BD203+BF203+BH203+BJ203+BL203+BN203+BP203+BR203+BT203+BV203+BX203+BZ203+CB203+CD203+CF203+CH203+CJ203+CL203+CN203+CP203+CR203</f>
        <v>283.11111111111109</v>
      </c>
      <c r="CU203" s="375" t="s">
        <v>1881</v>
      </c>
      <c r="CV203" s="208"/>
      <c r="CW203" s="152"/>
      <c r="CX203" s="152"/>
      <c r="CY203" s="208"/>
      <c r="CZ203" s="208"/>
      <c r="DA203" s="152">
        <f>IF(CS203&gt;CW203,CS203-CW203,"0")</f>
        <v>17.5</v>
      </c>
      <c r="DB203" s="152">
        <f>IF(CT203&gt;CX203,CT203-CX203,"0")</f>
        <v>283.11111111111109</v>
      </c>
      <c r="DC203" s="153"/>
      <c r="DD203" s="153" t="s">
        <v>1689</v>
      </c>
      <c r="DE203" s="277" t="s">
        <v>1413</v>
      </c>
      <c r="DF203" s="423" t="s">
        <v>1458</v>
      </c>
      <c r="DG203" s="213"/>
      <c r="DH203" s="227">
        <v>186.5</v>
      </c>
      <c r="DI203" s="153">
        <v>45905</v>
      </c>
      <c r="DJ203" s="228">
        <v>12</v>
      </c>
      <c r="DK203" s="227">
        <v>186.5</v>
      </c>
      <c r="DL203" s="227">
        <v>80000</v>
      </c>
      <c r="DM203" s="181">
        <f>DL203*DK203*1.1</f>
        <v>16412000.000000002</v>
      </c>
      <c r="DN203" s="446">
        <f t="shared" si="250"/>
        <v>0.10000000000000013</v>
      </c>
      <c r="DO203" s="182">
        <f>DL203*DK203</f>
        <v>14920000</v>
      </c>
      <c r="DP203" s="275">
        <v>45907</v>
      </c>
      <c r="DQ203" s="152">
        <f>SUMIF($I:$I,I203,$DJ:$DJ)</f>
        <v>18</v>
      </c>
      <c r="DR203" s="152">
        <f>SUMIF($I:$I,I203,$DK:$DK)</f>
        <v>287.5</v>
      </c>
      <c r="DS203" s="151"/>
      <c r="DT203" s="275"/>
      <c r="DU203" s="370"/>
      <c r="DV203" s="208"/>
      <c r="DW203" s="208"/>
      <c r="DX203" s="208"/>
      <c r="DY203" s="171"/>
      <c r="DZ203" s="152"/>
      <c r="EA203" s="152"/>
      <c r="EB203" s="153"/>
      <c r="EC203" s="152"/>
      <c r="ED203" s="152"/>
      <c r="EE203" s="396"/>
      <c r="EF203" s="371"/>
      <c r="EG203" s="153"/>
      <c r="EH203" s="153"/>
      <c r="EI203" s="153"/>
      <c r="EJ203" s="153"/>
      <c r="EK203" s="153"/>
      <c r="EL203" s="153"/>
      <c r="EM203" s="153"/>
      <c r="EN203" s="153"/>
      <c r="EO203" s="152">
        <f>SUMIF($I:$I,I203,$EC:$EC)</f>
        <v>0</v>
      </c>
      <c r="EP203" s="151">
        <f>SUMIF($I:$I,I203,$ED:$ED)</f>
        <v>0</v>
      </c>
      <c r="EQ203" s="153"/>
      <c r="ER203" s="153"/>
      <c r="ES203" s="153"/>
      <c r="ET203" s="153"/>
      <c r="EU203" s="152">
        <f>DQ203+EO203</f>
        <v>18</v>
      </c>
      <c r="EV203" s="152">
        <f>DR203+EP203</f>
        <v>287.5</v>
      </c>
      <c r="EW203" s="152">
        <f t="shared" ref="EW203" si="253">DA203-EU203</f>
        <v>-0.5</v>
      </c>
      <c r="EX203" s="152">
        <f t="shared" ref="EX203" si="254">DB203-EV203</f>
        <v>-4.3888888888889142</v>
      </c>
      <c r="EY203" s="151" t="str">
        <f>IF(EW203&lt;0,"Thừa",IF(EW203=0,"Đủ","Thiếu"))</f>
        <v>Thừa</v>
      </c>
      <c r="EZ203" s="152"/>
      <c r="FA203" s="372"/>
      <c r="FB203" s="373"/>
      <c r="FC203" s="367"/>
      <c r="FD203" s="374"/>
      <c r="FE203" s="183"/>
      <c r="FF203" s="184"/>
      <c r="FG203" s="185"/>
      <c r="FH203" s="185"/>
    </row>
    <row r="204" spans="1:164" s="157" customFormat="1" ht="14" hidden="1" customHeight="1">
      <c r="A204" s="208" t="str">
        <f t="shared" si="248"/>
        <v>ok</v>
      </c>
      <c r="B204" s="151"/>
      <c r="C204" s="409"/>
      <c r="D204" s="151"/>
      <c r="E204" s="400"/>
      <c r="F204" s="151"/>
      <c r="G204" s="151"/>
      <c r="H204" s="151"/>
      <c r="I204" s="164" t="s">
        <v>1356</v>
      </c>
      <c r="J204" s="164" t="s">
        <v>397</v>
      </c>
      <c r="K204" s="423" t="s">
        <v>1357</v>
      </c>
      <c r="L204" s="424" t="s">
        <v>1358</v>
      </c>
      <c r="M204" s="422" t="s">
        <v>61</v>
      </c>
      <c r="N204" s="177"/>
      <c r="O204" s="177"/>
      <c r="P204" s="230"/>
      <c r="Q204" s="179"/>
      <c r="R204" s="180"/>
      <c r="S204" s="179"/>
      <c r="T204" s="180"/>
      <c r="U204" s="180"/>
      <c r="V204" s="180"/>
      <c r="W204" s="180"/>
      <c r="X204" s="180"/>
      <c r="Y204" s="180"/>
      <c r="Z204" s="180"/>
      <c r="AA204" s="180"/>
      <c r="AB204" s="180"/>
      <c r="AC204" s="180"/>
      <c r="AD204" s="180"/>
      <c r="AE204" s="180"/>
      <c r="AF204" s="180"/>
      <c r="AG204" s="180"/>
      <c r="AH204" s="180"/>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209"/>
      <c r="CT204" s="209"/>
      <c r="CU204" s="375"/>
      <c r="CV204" s="208"/>
      <c r="CW204" s="152"/>
      <c r="CX204" s="152"/>
      <c r="CY204" s="208"/>
      <c r="CZ204" s="208"/>
      <c r="DA204" s="152"/>
      <c r="DB204" s="152"/>
      <c r="DC204" s="153"/>
      <c r="DD204" s="153"/>
      <c r="DE204" s="277" t="s">
        <v>1413</v>
      </c>
      <c r="DF204" s="423" t="s">
        <v>1688</v>
      </c>
      <c r="DG204" s="213"/>
      <c r="DH204" s="227">
        <v>101</v>
      </c>
      <c r="DI204" s="153" t="s">
        <v>374</v>
      </c>
      <c r="DJ204" s="228">
        <v>6</v>
      </c>
      <c r="DK204" s="227">
        <v>101</v>
      </c>
      <c r="DL204" s="227">
        <v>80000</v>
      </c>
      <c r="DM204" s="181">
        <f>DL204*DK204*1.1</f>
        <v>8888000</v>
      </c>
      <c r="DN204" s="446">
        <f t="shared" si="250"/>
        <v>0.1</v>
      </c>
      <c r="DO204" s="182">
        <f>DL204*DK204</f>
        <v>8080000</v>
      </c>
      <c r="DP204" s="275">
        <v>45958</v>
      </c>
      <c r="DQ204" s="152"/>
      <c r="DR204" s="152"/>
      <c r="DS204" s="151"/>
      <c r="DT204" s="275"/>
      <c r="DU204" s="370"/>
      <c r="DV204" s="208"/>
      <c r="DW204" s="208"/>
      <c r="DX204" s="208"/>
      <c r="DY204" s="171"/>
      <c r="DZ204" s="152"/>
      <c r="EA204" s="152"/>
      <c r="EB204" s="153"/>
      <c r="EC204" s="152"/>
      <c r="ED204" s="152"/>
      <c r="EE204" s="396"/>
      <c r="EF204" s="371"/>
      <c r="EG204" s="153"/>
      <c r="EH204" s="153"/>
      <c r="EI204" s="153"/>
      <c r="EJ204" s="153"/>
      <c r="EK204" s="153"/>
      <c r="EL204" s="153"/>
      <c r="EM204" s="153"/>
      <c r="EN204" s="153"/>
      <c r="EO204" s="152"/>
      <c r="EP204" s="151"/>
      <c r="EQ204" s="153"/>
      <c r="ER204" s="153"/>
      <c r="ES204" s="153"/>
      <c r="ET204" s="153"/>
      <c r="EU204" s="152"/>
      <c r="EV204" s="152"/>
      <c r="EW204" s="152"/>
      <c r="EX204" s="152"/>
      <c r="EY204" s="151"/>
      <c r="EZ204" s="152"/>
      <c r="FA204" s="372"/>
      <c r="FB204" s="373"/>
      <c r="FC204" s="367"/>
      <c r="FD204" s="374"/>
      <c r="FE204" s="183"/>
      <c r="FF204" s="184"/>
      <c r="FG204" s="185"/>
      <c r="FH204" s="185"/>
    </row>
    <row r="205" spans="1:164" s="157" customFormat="1" ht="14" hidden="1" customHeight="1">
      <c r="A205" s="208" t="str">
        <f t="shared" si="248"/>
        <v>Hiện</v>
      </c>
      <c r="B205" s="151" t="str">
        <f t="shared" si="251"/>
        <v>Đủ</v>
      </c>
      <c r="C205" s="409">
        <f t="shared" si="252"/>
        <v>0</v>
      </c>
      <c r="D205" s="151"/>
      <c r="E205" s="154"/>
      <c r="F205" s="154"/>
      <c r="G205" s="151"/>
      <c r="H205" s="151"/>
      <c r="I205" s="164" t="s">
        <v>1359</v>
      </c>
      <c r="J205" s="164" t="s">
        <v>1360</v>
      </c>
      <c r="K205" s="423" t="s">
        <v>1361</v>
      </c>
      <c r="L205" s="424" t="s">
        <v>1358</v>
      </c>
      <c r="M205" s="163" t="s">
        <v>345</v>
      </c>
      <c r="N205" s="177">
        <v>5.0999999999999996</v>
      </c>
      <c r="O205" s="229">
        <v>4</v>
      </c>
      <c r="P205" s="229">
        <f>+O205*N205</f>
        <v>20.399999999999999</v>
      </c>
      <c r="Q205" s="179"/>
      <c r="R205" s="180"/>
      <c r="S205" s="179"/>
      <c r="T205" s="180"/>
      <c r="U205" s="180"/>
      <c r="V205" s="180"/>
      <c r="W205" s="180"/>
      <c r="X205" s="180"/>
      <c r="Y205" s="180"/>
      <c r="Z205" s="180"/>
      <c r="AA205" s="180"/>
      <c r="AB205" s="180"/>
      <c r="AC205" s="180"/>
      <c r="AD205" s="180"/>
      <c r="AE205" s="180"/>
      <c r="AF205" s="180"/>
      <c r="AG205" s="180"/>
      <c r="AH205" s="180"/>
      <c r="AI205" s="162"/>
      <c r="AJ205" s="162"/>
      <c r="AK205" s="162"/>
      <c r="AL205" s="162"/>
      <c r="AM205" s="162"/>
      <c r="AN205" s="162"/>
      <c r="AO205" s="162"/>
      <c r="AP205" s="162"/>
      <c r="AQ205" s="162"/>
      <c r="AR205" s="162"/>
      <c r="AS205" s="162"/>
      <c r="AT205" s="162"/>
      <c r="AU205" s="162">
        <v>4</v>
      </c>
      <c r="AV205" s="162">
        <v>20.399999999999999</v>
      </c>
      <c r="AW205" s="162">
        <v>0</v>
      </c>
      <c r="AX205" s="162">
        <v>0</v>
      </c>
      <c r="AY205" s="162">
        <v>0</v>
      </c>
      <c r="AZ205" s="162">
        <v>0</v>
      </c>
      <c r="BA205" s="162"/>
      <c r="BB205" s="162"/>
      <c r="BC205" s="162">
        <v>0</v>
      </c>
      <c r="BD205" s="162">
        <v>0</v>
      </c>
      <c r="BE205" s="162">
        <v>0</v>
      </c>
      <c r="BF205" s="162">
        <v>0</v>
      </c>
      <c r="BG205" s="162">
        <v>0</v>
      </c>
      <c r="BH205" s="162">
        <v>0</v>
      </c>
      <c r="BI205" s="162">
        <v>0</v>
      </c>
      <c r="BJ205" s="162">
        <v>0</v>
      </c>
      <c r="BK205" s="162">
        <v>0</v>
      </c>
      <c r="BL205" s="162">
        <v>0</v>
      </c>
      <c r="BM205" s="162">
        <v>1</v>
      </c>
      <c r="BN205" s="162">
        <v>5.0999999999999996</v>
      </c>
      <c r="BO205" s="162"/>
      <c r="BP205" s="162"/>
      <c r="BQ205" s="162">
        <v>0</v>
      </c>
      <c r="BR205" s="162">
        <v>0</v>
      </c>
      <c r="BS205" s="162">
        <v>0</v>
      </c>
      <c r="BT205" s="162">
        <v>0</v>
      </c>
      <c r="BU205" s="162">
        <v>0</v>
      </c>
      <c r="BV205" s="162">
        <v>0</v>
      </c>
      <c r="BW205" s="162"/>
      <c r="BX205" s="162"/>
      <c r="BY205" s="162">
        <v>0</v>
      </c>
      <c r="BZ205" s="162">
        <v>0</v>
      </c>
      <c r="CA205" s="162">
        <v>0</v>
      </c>
      <c r="CB205" s="162">
        <v>0</v>
      </c>
      <c r="CC205" s="162">
        <v>0</v>
      </c>
      <c r="CD205" s="162">
        <v>0</v>
      </c>
      <c r="CE205" s="162">
        <f>VLOOKUP(I205,[120]REV33!$A:$O,11,0)</f>
        <v>0</v>
      </c>
      <c r="CF205" s="162">
        <f>VLOOKUP(I205,[120]REV33!$A:$O,12,0)</f>
        <v>0</v>
      </c>
      <c r="CG205" s="162"/>
      <c r="CH205" s="162"/>
      <c r="CI205" s="162"/>
      <c r="CJ205" s="162"/>
      <c r="CK205" s="162"/>
      <c r="CL205" s="162"/>
      <c r="CM205" s="162"/>
      <c r="CN205" s="162"/>
      <c r="CO205" s="162">
        <v>0</v>
      </c>
      <c r="CP205" s="162">
        <v>0</v>
      </c>
      <c r="CQ205" s="162">
        <v>0</v>
      </c>
      <c r="CR205" s="162">
        <v>0</v>
      </c>
      <c r="CS205" s="209">
        <f>Q205+S205+U205+W205+Y205+AA205+AC205+AE205+AG205+AI205+AK205+AM205+AO205+AQ205+AS205+AU205+AW205+AY205+BA205+BC205+BE205+BG205+BI205+BK205+BM205+BO205+BQ205+BS205+BU205+BW205+BY205+CA205+CC205+CE205+CG205+CI205+CK205+CM205+CO205+CQ205</f>
        <v>5</v>
      </c>
      <c r="CT205" s="209">
        <f>R205+T205+V205+X205+Z205+AB205+AD205+AF205+AH205+AJ205+AL205+AN205+AP205+AR205+AT205+AV205+AX205+AZ205+BB205+BD205+BF205+BH205+BJ205+BL205+BN205+BP205+BR205+BT205+BV205+BX205+BZ205+CB205+CD205+CF205+CH205+CJ205+CL205+CN205+CP205+CR205</f>
        <v>25.5</v>
      </c>
      <c r="CU205" s="375" t="s">
        <v>1881</v>
      </c>
      <c r="CV205" s="208"/>
      <c r="CW205" s="152"/>
      <c r="CX205" s="152"/>
      <c r="CY205" s="208"/>
      <c r="CZ205" s="208"/>
      <c r="DA205" s="152">
        <f>IF(CS205&gt;CW205,CS205-CW205,"0")</f>
        <v>5</v>
      </c>
      <c r="DB205" s="152">
        <f>IF(CT205&gt;CX205,CT205-CX205,"0")</f>
        <v>25.5</v>
      </c>
      <c r="DC205" s="153"/>
      <c r="DD205" s="153" t="s">
        <v>2222</v>
      </c>
      <c r="DE205" s="153" t="s">
        <v>1412</v>
      </c>
      <c r="DF205" s="213" t="s">
        <v>1492</v>
      </c>
      <c r="DG205" s="213"/>
      <c r="DH205" s="181" t="s">
        <v>477</v>
      </c>
      <c r="DI205" s="275">
        <v>45911</v>
      </c>
      <c r="DJ205" s="228">
        <v>4</v>
      </c>
      <c r="DK205" s="181" t="s">
        <v>477</v>
      </c>
      <c r="DL205" s="227">
        <v>785000</v>
      </c>
      <c r="DM205" s="181">
        <f>DL205*DJ205*1.1</f>
        <v>3454000.0000000005</v>
      </c>
      <c r="DN205" s="446">
        <f t="shared" si="250"/>
        <v>0.10000000000000014</v>
      </c>
      <c r="DO205" s="182">
        <f>DL205*DJ205</f>
        <v>3140000</v>
      </c>
      <c r="DP205" s="275">
        <v>45911</v>
      </c>
      <c r="DQ205" s="152">
        <f>SUMIF($I:$I,I205,$DJ:$DJ)</f>
        <v>5</v>
      </c>
      <c r="DR205" s="152">
        <f>SUMIF($I:$I,I205,$DK:$DK)</f>
        <v>0</v>
      </c>
      <c r="DS205" s="151"/>
      <c r="DT205" s="275"/>
      <c r="DU205" s="370"/>
      <c r="DV205" s="208"/>
      <c r="DW205" s="208"/>
      <c r="DX205" s="208"/>
      <c r="DY205" s="171"/>
      <c r="DZ205" s="152"/>
      <c r="EA205" s="152"/>
      <c r="EB205" s="153"/>
      <c r="EC205" s="152"/>
      <c r="ED205" s="152"/>
      <c r="EE205" s="396"/>
      <c r="EF205" s="371"/>
      <c r="EG205" s="153"/>
      <c r="EH205" s="153"/>
      <c r="EI205" s="153"/>
      <c r="EJ205" s="153"/>
      <c r="EK205" s="153"/>
      <c r="EL205" s="153"/>
      <c r="EM205" s="153"/>
      <c r="EN205" s="153"/>
      <c r="EO205" s="152">
        <f>SUMIF($I:$I,I205,$EC:$EC)</f>
        <v>0</v>
      </c>
      <c r="EP205" s="151">
        <f>SUMIF($I:$I,I205,$ED:$ED)</f>
        <v>0</v>
      </c>
      <c r="EQ205" s="153"/>
      <c r="ER205" s="153"/>
      <c r="ES205" s="153"/>
      <c r="ET205" s="153"/>
      <c r="EU205" s="152">
        <f>DQ205+EO205</f>
        <v>5</v>
      </c>
      <c r="EV205" s="152">
        <f>DR205+EP205</f>
        <v>0</v>
      </c>
      <c r="EW205" s="152">
        <f t="shared" ref="EW205" si="255">DA205-EU205</f>
        <v>0</v>
      </c>
      <c r="EX205" s="152">
        <f t="shared" ref="EX205" si="256">DB205-EV205</f>
        <v>25.5</v>
      </c>
      <c r="EY205" s="151" t="str">
        <f>IF(EW205&lt;0,"Thừa",IF(EW205=0,"Đủ","Thiếu"))</f>
        <v>Đủ</v>
      </c>
      <c r="EZ205" s="152"/>
      <c r="FA205" s="372"/>
      <c r="FB205" s="373"/>
      <c r="FC205" s="367"/>
      <c r="FD205" s="374"/>
      <c r="FE205" s="183"/>
      <c r="FF205" s="184"/>
      <c r="FG205" s="185"/>
      <c r="FH205" s="185"/>
    </row>
    <row r="206" spans="1:164" s="157" customFormat="1" ht="14" hidden="1" customHeight="1">
      <c r="A206" s="208" t="str">
        <f t="shared" si="248"/>
        <v>ok</v>
      </c>
      <c r="B206" s="151"/>
      <c r="C206" s="409"/>
      <c r="D206" s="151"/>
      <c r="E206" s="154"/>
      <c r="F206" s="154"/>
      <c r="G206" s="151"/>
      <c r="H206" s="151"/>
      <c r="I206" s="164" t="s">
        <v>1359</v>
      </c>
      <c r="J206" s="164" t="s">
        <v>1360</v>
      </c>
      <c r="K206" s="423" t="s">
        <v>1361</v>
      </c>
      <c r="L206" s="424" t="s">
        <v>1358</v>
      </c>
      <c r="M206" s="163" t="s">
        <v>345</v>
      </c>
      <c r="N206" s="177"/>
      <c r="O206" s="229"/>
      <c r="P206" s="229"/>
      <c r="Q206" s="179"/>
      <c r="R206" s="180"/>
      <c r="S206" s="179"/>
      <c r="T206" s="180"/>
      <c r="U206" s="180"/>
      <c r="V206" s="180"/>
      <c r="W206" s="180"/>
      <c r="X206" s="180"/>
      <c r="Y206" s="180"/>
      <c r="Z206" s="180"/>
      <c r="AA206" s="180"/>
      <c r="AB206" s="180"/>
      <c r="AC206" s="180"/>
      <c r="AD206" s="180"/>
      <c r="AE206" s="180"/>
      <c r="AF206" s="180"/>
      <c r="AG206" s="180"/>
      <c r="AH206" s="180"/>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209"/>
      <c r="CT206" s="209"/>
      <c r="CU206" s="375"/>
      <c r="CV206" s="208"/>
      <c r="CW206" s="152"/>
      <c r="CX206" s="152"/>
      <c r="CY206" s="208"/>
      <c r="CZ206" s="208"/>
      <c r="DA206" s="152"/>
      <c r="DB206" s="152"/>
      <c r="DC206" s="153"/>
      <c r="DD206" s="153" t="s">
        <v>2221</v>
      </c>
      <c r="DE206" s="153" t="s">
        <v>1412</v>
      </c>
      <c r="DF206" s="213" t="s">
        <v>1492</v>
      </c>
      <c r="DG206" s="213"/>
      <c r="DH206" s="181" t="s">
        <v>477</v>
      </c>
      <c r="DI206" s="275">
        <v>45967</v>
      </c>
      <c r="DJ206" s="228">
        <v>1</v>
      </c>
      <c r="DK206" s="181" t="s">
        <v>477</v>
      </c>
      <c r="DL206" s="227">
        <v>785000</v>
      </c>
      <c r="DM206" s="181">
        <f>DL206*DJ206*1.1</f>
        <v>863500.00000000012</v>
      </c>
      <c r="DN206" s="446">
        <f t="shared" ref="DN206" si="257">(DM206-DO206)/DO206</f>
        <v>0.10000000000000014</v>
      </c>
      <c r="DO206" s="182">
        <f>DL206*DJ206</f>
        <v>785000</v>
      </c>
      <c r="DP206" s="275">
        <v>45979</v>
      </c>
      <c r="DQ206" s="152"/>
      <c r="DR206" s="152"/>
      <c r="DS206" s="151"/>
      <c r="DT206" s="275"/>
      <c r="DU206" s="370"/>
      <c r="DV206" s="208"/>
      <c r="DW206" s="208"/>
      <c r="DX206" s="208"/>
      <c r="DY206" s="171"/>
      <c r="DZ206" s="152"/>
      <c r="EA206" s="152"/>
      <c r="EB206" s="153"/>
      <c r="EC206" s="152"/>
      <c r="ED206" s="152"/>
      <c r="EE206" s="396"/>
      <c r="EF206" s="371"/>
      <c r="EG206" s="153"/>
      <c r="EH206" s="153"/>
      <c r="EI206" s="153"/>
      <c r="EJ206" s="153"/>
      <c r="EK206" s="153"/>
      <c r="EL206" s="153"/>
      <c r="EM206" s="153"/>
      <c r="EN206" s="153"/>
      <c r="EO206" s="152"/>
      <c r="EP206" s="151"/>
      <c r="EQ206" s="153"/>
      <c r="ER206" s="153"/>
      <c r="ES206" s="153"/>
      <c r="ET206" s="153"/>
      <c r="EU206" s="152"/>
      <c r="EV206" s="152"/>
      <c r="EW206" s="152"/>
      <c r="EX206" s="152"/>
      <c r="EY206" s="151"/>
      <c r="EZ206" s="152"/>
      <c r="FA206" s="372"/>
      <c r="FB206" s="373"/>
      <c r="FC206" s="367"/>
      <c r="FD206" s="374"/>
      <c r="FE206" s="183"/>
      <c r="FF206" s="184"/>
      <c r="FG206" s="185"/>
      <c r="FH206" s="185"/>
    </row>
    <row r="207" spans="1:164" s="157" customFormat="1" ht="14" hidden="1" customHeight="1">
      <c r="A207" s="208" t="str">
        <f t="shared" si="248"/>
        <v>Hiện</v>
      </c>
      <c r="B207" s="151" t="str">
        <f t="shared" si="251"/>
        <v>Đủ</v>
      </c>
      <c r="C207" s="409">
        <f t="shared" si="252"/>
        <v>0</v>
      </c>
      <c r="D207" s="151"/>
      <c r="E207" s="400"/>
      <c r="F207" s="151"/>
      <c r="G207" s="151"/>
      <c r="H207" s="151"/>
      <c r="I207" s="164" t="s">
        <v>1362</v>
      </c>
      <c r="J207" s="164" t="s">
        <v>235</v>
      </c>
      <c r="K207" s="171" t="s">
        <v>1363</v>
      </c>
      <c r="L207" s="424" t="s">
        <v>1358</v>
      </c>
      <c r="M207" s="163" t="s">
        <v>44</v>
      </c>
      <c r="N207" s="177">
        <v>79.3</v>
      </c>
      <c r="O207" s="177">
        <f>+P207/N207</f>
        <v>0.35208070617906689</v>
      </c>
      <c r="P207" s="172">
        <v>27.92</v>
      </c>
      <c r="Q207" s="179"/>
      <c r="R207" s="180"/>
      <c r="S207" s="179"/>
      <c r="T207" s="180"/>
      <c r="U207" s="180"/>
      <c r="V207" s="180"/>
      <c r="W207" s="180"/>
      <c r="X207" s="180"/>
      <c r="Y207" s="180"/>
      <c r="Z207" s="180"/>
      <c r="AA207" s="180"/>
      <c r="AB207" s="180"/>
      <c r="AC207" s="180"/>
      <c r="AD207" s="180"/>
      <c r="AE207" s="180"/>
      <c r="AF207" s="180"/>
      <c r="AG207" s="180"/>
      <c r="AH207" s="180"/>
      <c r="AI207" s="162"/>
      <c r="AJ207" s="162"/>
      <c r="AK207" s="162"/>
      <c r="AL207" s="162"/>
      <c r="AM207" s="162"/>
      <c r="AN207" s="162"/>
      <c r="AO207" s="162"/>
      <c r="AP207" s="162"/>
      <c r="AQ207" s="162"/>
      <c r="AR207" s="162"/>
      <c r="AS207" s="162"/>
      <c r="AT207" s="162"/>
      <c r="AU207" s="162">
        <v>0.38250000000000001</v>
      </c>
      <c r="AV207" s="162">
        <v>30.332249999999998</v>
      </c>
      <c r="AW207" s="162">
        <v>0</v>
      </c>
      <c r="AX207" s="162">
        <v>0</v>
      </c>
      <c r="AY207" s="162">
        <v>0</v>
      </c>
      <c r="AZ207" s="162">
        <v>0</v>
      </c>
      <c r="BA207" s="162"/>
      <c r="BB207" s="162"/>
      <c r="BC207" s="162">
        <v>0</v>
      </c>
      <c r="BD207" s="162">
        <v>0</v>
      </c>
      <c r="BE207" s="162">
        <v>0</v>
      </c>
      <c r="BF207" s="162">
        <v>0</v>
      </c>
      <c r="BG207" s="162">
        <v>0</v>
      </c>
      <c r="BH207" s="162">
        <v>0</v>
      </c>
      <c r="BI207" s="162">
        <v>0</v>
      </c>
      <c r="BJ207" s="162">
        <v>0</v>
      </c>
      <c r="BK207" s="162">
        <v>0</v>
      </c>
      <c r="BL207" s="162">
        <v>0</v>
      </c>
      <c r="BM207" s="162">
        <v>0.38250000000000001</v>
      </c>
      <c r="BN207" s="162">
        <v>30.332249999999998</v>
      </c>
      <c r="BO207" s="162"/>
      <c r="BP207" s="162"/>
      <c r="BQ207" s="162">
        <v>0</v>
      </c>
      <c r="BR207" s="162">
        <v>0</v>
      </c>
      <c r="BS207" s="162">
        <v>0</v>
      </c>
      <c r="BT207" s="162">
        <v>0</v>
      </c>
      <c r="BU207" s="162">
        <v>0</v>
      </c>
      <c r="BV207" s="162">
        <v>0</v>
      </c>
      <c r="BW207" s="162"/>
      <c r="BX207" s="162"/>
      <c r="BY207" s="162">
        <v>0</v>
      </c>
      <c r="BZ207" s="162">
        <v>0</v>
      </c>
      <c r="CA207" s="162">
        <v>0</v>
      </c>
      <c r="CB207" s="162">
        <v>0</v>
      </c>
      <c r="CC207" s="162">
        <v>0</v>
      </c>
      <c r="CD207" s="162">
        <v>0</v>
      </c>
      <c r="CE207" s="162">
        <f>VLOOKUP(I207,[120]REV33!$A:$O,11,0)</f>
        <v>0</v>
      </c>
      <c r="CF207" s="162">
        <f>VLOOKUP(I207,[120]REV33!$A:$O,12,0)</f>
        <v>0</v>
      </c>
      <c r="CG207" s="162"/>
      <c r="CH207" s="162"/>
      <c r="CI207" s="162"/>
      <c r="CJ207" s="162"/>
      <c r="CK207" s="162"/>
      <c r="CL207" s="162"/>
      <c r="CM207" s="162"/>
      <c r="CN207" s="162"/>
      <c r="CO207" s="162">
        <v>0</v>
      </c>
      <c r="CP207" s="162">
        <v>0</v>
      </c>
      <c r="CQ207" s="162">
        <v>0</v>
      </c>
      <c r="CR207" s="162">
        <v>0</v>
      </c>
      <c r="CS207" s="209">
        <f>Q207+S207+U207+W207+Y207+AA207+AC207+AE207+AG207+AI207+AK207+AM207+AO207+AQ207+AS207+AU207+AW207+AY207+BA207+BC207+BE207+BG207+BI207+BK207+BM207+BO207+BQ207+BS207+BU207+BW207+BY207+CA207+CC207+CE207+CG207+CI207+CK207+CM207+CO207+CQ207</f>
        <v>0.76500000000000001</v>
      </c>
      <c r="CT207" s="209">
        <f>R207+T207+V207+X207+Z207+AB207+AD207+AF207+AH207+AJ207+AL207+AN207+AP207+AR207+AT207+AV207+AX207+AZ207+BB207+BD207+BF207+BH207+BJ207+BL207+BN207+BP207+BR207+BT207+BV207+BX207+BZ207+CB207+CD207+CF207+CH207+CJ207+CL207+CN207+CP207+CR207</f>
        <v>60.664499999999997</v>
      </c>
      <c r="CU207" s="375" t="s">
        <v>1882</v>
      </c>
      <c r="CV207" s="208"/>
      <c r="CW207" s="152">
        <v>0.38250000000000001</v>
      </c>
      <c r="CX207" s="152">
        <v>30.332249999999998</v>
      </c>
      <c r="CY207" s="208"/>
      <c r="CZ207" s="208" t="s">
        <v>383</v>
      </c>
      <c r="DA207" s="152">
        <f t="shared" ref="DA207:DA212" si="258">IF(CS207&gt;CW207,CS207-CW207,"0")</f>
        <v>0.38250000000000001</v>
      </c>
      <c r="DB207" s="152">
        <f t="shared" ref="DB207:DB212" si="259">IF(CT207&gt;CX207,CT207-CX207,"0")</f>
        <v>30.332249999999998</v>
      </c>
      <c r="DC207" s="153"/>
      <c r="DD207" s="153"/>
      <c r="DE207" s="277" t="s">
        <v>1413</v>
      </c>
      <c r="DF207" s="171" t="s">
        <v>1363</v>
      </c>
      <c r="DG207" s="213"/>
      <c r="DH207" s="227">
        <v>30.2</v>
      </c>
      <c r="DI207" s="153" t="s">
        <v>374</v>
      </c>
      <c r="DJ207" s="228">
        <f>0.45*0.85</f>
        <v>0.38250000000000001</v>
      </c>
      <c r="DK207" s="227">
        <v>30.2</v>
      </c>
      <c r="DL207" s="227">
        <f>65000/1.1</f>
        <v>59090.909090909088</v>
      </c>
      <c r="DM207" s="181">
        <f>DL207*DK207*1.1</f>
        <v>1963000</v>
      </c>
      <c r="DN207" s="446">
        <f t="shared" si="250"/>
        <v>0.10000000000000012</v>
      </c>
      <c r="DO207" s="182">
        <f>DL207*DK207</f>
        <v>1784545.4545454544</v>
      </c>
      <c r="DP207" s="275">
        <v>45958</v>
      </c>
      <c r="DQ207" s="152">
        <f>SUMIF($I:$I,I207,$DJ:$DJ)</f>
        <v>0.38250000000000001</v>
      </c>
      <c r="DR207" s="152">
        <f>SUMIF($I:$I,I207,$DK:$DK)</f>
        <v>30.2</v>
      </c>
      <c r="DS207" s="151"/>
      <c r="DT207" s="275"/>
      <c r="DU207" s="370"/>
      <c r="DV207" s="208"/>
      <c r="DW207" s="208"/>
      <c r="DX207" s="208"/>
      <c r="DY207" s="171"/>
      <c r="DZ207" s="152"/>
      <c r="EA207" s="152"/>
      <c r="EB207" s="153"/>
      <c r="EC207" s="152"/>
      <c r="ED207" s="152"/>
      <c r="EE207" s="396"/>
      <c r="EF207" s="371"/>
      <c r="EG207" s="153"/>
      <c r="EH207" s="153"/>
      <c r="EI207" s="153"/>
      <c r="EJ207" s="153"/>
      <c r="EK207" s="153"/>
      <c r="EL207" s="153"/>
      <c r="EM207" s="153"/>
      <c r="EN207" s="153"/>
      <c r="EO207" s="152">
        <f>SUMIF($I:$I,I207,$EC:$EC)</f>
        <v>0</v>
      </c>
      <c r="EP207" s="151">
        <f>SUMIF($I:$I,I207,$ED:$ED)</f>
        <v>0</v>
      </c>
      <c r="EQ207" s="153"/>
      <c r="ER207" s="153"/>
      <c r="ES207" s="153"/>
      <c r="ET207" s="153"/>
      <c r="EU207" s="152">
        <f t="shared" ref="EU207:EU212" si="260">DQ207+EO207</f>
        <v>0.38250000000000001</v>
      </c>
      <c r="EV207" s="152">
        <f t="shared" ref="EV207:EV212" si="261">DR207+EP207</f>
        <v>30.2</v>
      </c>
      <c r="EW207" s="152">
        <f t="shared" ref="EW207:EW212" si="262">DA207-EU207</f>
        <v>0</v>
      </c>
      <c r="EX207" s="152">
        <f t="shared" ref="EX207:EX212" si="263">DB207-EV207</f>
        <v>0.13224999999999909</v>
      </c>
      <c r="EY207" s="151" t="str">
        <f t="shared" ref="EY207:EY212" si="264">IF(EW207&lt;0,"Thừa",IF(EW207=0,"Đủ","Thiếu"))</f>
        <v>Đủ</v>
      </c>
      <c r="EZ207" s="152"/>
      <c r="FA207" s="372"/>
      <c r="FB207" s="373"/>
      <c r="FC207" s="367"/>
      <c r="FD207" s="374"/>
      <c r="FE207" s="183"/>
      <c r="FF207" s="184"/>
      <c r="FG207" s="185"/>
      <c r="FH207" s="185"/>
    </row>
    <row r="208" spans="1:164" s="157" customFormat="1" ht="93" hidden="1" customHeight="1">
      <c r="A208" s="208" t="str">
        <f t="shared" si="248"/>
        <v>Hiện</v>
      </c>
      <c r="B208" s="151" t="str">
        <f t="shared" ref="B208:B209" si="265">EY208</f>
        <v>Thừa</v>
      </c>
      <c r="C208" s="409">
        <f t="shared" ref="C208:C209" si="266">EW208</f>
        <v>-8.4701449999999454</v>
      </c>
      <c r="D208" s="151"/>
      <c r="E208" s="400"/>
      <c r="F208" s="151"/>
      <c r="G208" s="151"/>
      <c r="H208" s="151"/>
      <c r="I208" s="164" t="s">
        <v>1465</v>
      </c>
      <c r="J208" s="164" t="s">
        <v>235</v>
      </c>
      <c r="K208" s="171" t="s">
        <v>1466</v>
      </c>
      <c r="L208" s="424" t="s">
        <v>1358</v>
      </c>
      <c r="M208" s="163" t="s">
        <v>44</v>
      </c>
      <c r="N208" s="177">
        <f>79.3*0.2</f>
        <v>15.86</v>
      </c>
      <c r="O208" s="177">
        <f>+P208/N208</f>
        <v>327.52206809583862</v>
      </c>
      <c r="P208" s="172">
        <v>5194.5</v>
      </c>
      <c r="Q208" s="179"/>
      <c r="R208" s="180"/>
      <c r="S208" s="179"/>
      <c r="T208" s="180"/>
      <c r="U208" s="180"/>
      <c r="V208" s="180"/>
      <c r="W208" s="180"/>
      <c r="X208" s="180"/>
      <c r="Y208" s="180"/>
      <c r="Z208" s="180"/>
      <c r="AA208" s="180"/>
      <c r="AB208" s="180"/>
      <c r="AC208" s="180"/>
      <c r="AD208" s="180"/>
      <c r="AE208" s="180"/>
      <c r="AF208" s="180"/>
      <c r="AG208" s="180"/>
      <c r="AH208" s="180"/>
      <c r="AI208" s="162"/>
      <c r="AJ208" s="162"/>
      <c r="AK208" s="162"/>
      <c r="AL208" s="162"/>
      <c r="AM208" s="162"/>
      <c r="AN208" s="162"/>
      <c r="AO208" s="162"/>
      <c r="AP208" s="162"/>
      <c r="AQ208" s="162"/>
      <c r="AR208" s="162"/>
      <c r="AS208" s="162"/>
      <c r="AT208" s="162"/>
      <c r="AU208" s="162"/>
      <c r="AV208" s="162"/>
      <c r="AW208" s="162">
        <v>0</v>
      </c>
      <c r="AX208" s="162">
        <v>0</v>
      </c>
      <c r="AY208" s="162">
        <v>359.375</v>
      </c>
      <c r="AZ208" s="162">
        <v>5699.6875</v>
      </c>
      <c r="BA208" s="162"/>
      <c r="BB208" s="162"/>
      <c r="BC208" s="162">
        <v>0</v>
      </c>
      <c r="BD208" s="162">
        <v>0</v>
      </c>
      <c r="BE208" s="162">
        <v>0</v>
      </c>
      <c r="BF208" s="162">
        <v>0</v>
      </c>
      <c r="BG208" s="162">
        <v>0</v>
      </c>
      <c r="BH208" s="162">
        <v>0</v>
      </c>
      <c r="BI208" s="162">
        <v>0</v>
      </c>
      <c r="BJ208" s="162">
        <v>0</v>
      </c>
      <c r="BK208" s="162">
        <v>0</v>
      </c>
      <c r="BL208" s="162">
        <v>0</v>
      </c>
      <c r="BM208" s="162">
        <v>0</v>
      </c>
      <c r="BN208" s="162">
        <v>0</v>
      </c>
      <c r="BO208" s="162"/>
      <c r="BP208" s="162"/>
      <c r="BQ208" s="162">
        <v>0</v>
      </c>
      <c r="BR208" s="162">
        <v>0</v>
      </c>
      <c r="BS208" s="162">
        <v>0</v>
      </c>
      <c r="BT208" s="162">
        <v>0</v>
      </c>
      <c r="BU208" s="162">
        <v>0</v>
      </c>
      <c r="BV208" s="162">
        <v>0</v>
      </c>
      <c r="BW208" s="162"/>
      <c r="BX208" s="162"/>
      <c r="BY208" s="162">
        <v>0</v>
      </c>
      <c r="BZ208" s="162">
        <v>0</v>
      </c>
      <c r="CA208" s="162">
        <v>0</v>
      </c>
      <c r="CB208" s="162">
        <v>0</v>
      </c>
      <c r="CC208" s="162">
        <v>0</v>
      </c>
      <c r="CD208" s="162">
        <v>0</v>
      </c>
      <c r="CE208" s="162">
        <f>VLOOKUP(I208,[120]REV33!$A:$O,11,0)</f>
        <v>0</v>
      </c>
      <c r="CF208" s="162">
        <f>VLOOKUP(I208,[120]REV33!$A:$O,12,0)</f>
        <v>0</v>
      </c>
      <c r="CG208" s="162"/>
      <c r="CH208" s="162"/>
      <c r="CI208" s="162"/>
      <c r="CJ208" s="162"/>
      <c r="CK208" s="162"/>
      <c r="CL208" s="162"/>
      <c r="CM208" s="162"/>
      <c r="CN208" s="162"/>
      <c r="CO208" s="162">
        <v>0</v>
      </c>
      <c r="CP208" s="162">
        <v>0</v>
      </c>
      <c r="CQ208" s="162">
        <v>0</v>
      </c>
      <c r="CR208" s="162">
        <v>0</v>
      </c>
      <c r="CS208" s="209">
        <f>Q208+S208+U208+W208+Y208+AA208+AC208+AE208+AG208+AI208+AK208+AM208+AO208+AQ208+AS208+AU208+AW208+AY208+BA208+BC208+BE208+BG208+BI208+BK208+BM208+BO208+BQ208+BS208+BU208+BW208+BY208+CA208+CC208+CE208+CG208+CI208+CK208+CM208+CO208+CQ208</f>
        <v>359.375</v>
      </c>
      <c r="CT208" s="209">
        <f>R208+T208+V208+X208+Z208+AB208+AD208+AF208+AH208+AJ208+AL208+AN208+AP208+AR208+AT208+AV208+AX208+AZ208+BB208+BD208+BF208+BH208+BJ208+BL208+BN208+BP208+BR208+BT208+BV208+BX208+BZ208+CB208+CD208+CF208+CH208+CJ208+CL208+CN208+CP208+CR208</f>
        <v>5699.6875</v>
      </c>
      <c r="CU208" s="375" t="s">
        <v>1474</v>
      </c>
      <c r="CV208" s="208"/>
      <c r="CW208" s="152">
        <f>8*1.219*2.44+1.219*1.73+1.455*1.219</f>
        <v>27.677395000000004</v>
      </c>
      <c r="CX208" s="152">
        <f>CW208*N208</f>
        <v>438.96348470000004</v>
      </c>
      <c r="CY208" s="208"/>
      <c r="CZ208" s="208" t="s">
        <v>1484</v>
      </c>
      <c r="DA208" s="152">
        <f t="shared" si="258"/>
        <v>331.69760500000001</v>
      </c>
      <c r="DB208" s="152">
        <f t="shared" si="259"/>
        <v>5260.7240153000002</v>
      </c>
      <c r="DC208" s="153"/>
      <c r="DD208" s="153" t="s">
        <v>1482</v>
      </c>
      <c r="DE208" s="277" t="s">
        <v>1481</v>
      </c>
      <c r="DF208" s="213" t="s">
        <v>1483</v>
      </c>
      <c r="DG208" s="213" t="s">
        <v>1358</v>
      </c>
      <c r="DH208" s="227">
        <v>5292</v>
      </c>
      <c r="DI208" s="153">
        <v>45912</v>
      </c>
      <c r="DJ208" s="228">
        <f>107*1.255*2.5+1.255*3.55</f>
        <v>340.16774999999996</v>
      </c>
      <c r="DK208" s="227">
        <v>5292</v>
      </c>
      <c r="DL208" s="227">
        <v>52091</v>
      </c>
      <c r="DM208" s="181">
        <f>DL208*DK208*1.1</f>
        <v>303232129.20000005</v>
      </c>
      <c r="DN208" s="446">
        <f t="shared" si="250"/>
        <v>0.10000000000000017</v>
      </c>
      <c r="DO208" s="182">
        <f>DL208*DK208</f>
        <v>275665572</v>
      </c>
      <c r="DP208" s="275">
        <v>45913</v>
      </c>
      <c r="DQ208" s="152">
        <f>SUMIF($I:$I,I208,$DJ:$DJ)</f>
        <v>340.16774999999996</v>
      </c>
      <c r="DR208" s="152">
        <f>SUMIF($I:$I,I208,$DK:$DK)</f>
        <v>5292</v>
      </c>
      <c r="DS208" s="151"/>
      <c r="DT208" s="275"/>
      <c r="DU208" s="370"/>
      <c r="DV208" s="208"/>
      <c r="DW208" s="208"/>
      <c r="DX208" s="208"/>
      <c r="DY208" s="171"/>
      <c r="DZ208" s="152"/>
      <c r="EA208" s="152"/>
      <c r="EB208" s="153"/>
      <c r="EC208" s="152"/>
      <c r="ED208" s="152"/>
      <c r="EE208" s="396"/>
      <c r="EF208" s="371"/>
      <c r="EG208" s="153"/>
      <c r="EH208" s="153"/>
      <c r="EI208" s="153"/>
      <c r="EJ208" s="153"/>
      <c r="EK208" s="153"/>
      <c r="EL208" s="153"/>
      <c r="EM208" s="153"/>
      <c r="EN208" s="153"/>
      <c r="EO208" s="152">
        <f>SUMIF($I:$I,I208,$EC:$EC)</f>
        <v>0</v>
      </c>
      <c r="EP208" s="151">
        <f>SUMIF($I:$I,I208,$ED:$ED)</f>
        <v>0</v>
      </c>
      <c r="EQ208" s="153"/>
      <c r="ER208" s="153"/>
      <c r="ES208" s="153"/>
      <c r="ET208" s="153"/>
      <c r="EU208" s="152">
        <f t="shared" si="260"/>
        <v>340.16774999999996</v>
      </c>
      <c r="EV208" s="152">
        <f t="shared" si="261"/>
        <v>5292</v>
      </c>
      <c r="EW208" s="152">
        <f t="shared" si="262"/>
        <v>-8.4701449999999454</v>
      </c>
      <c r="EX208" s="152">
        <f t="shared" si="263"/>
        <v>-31.275984699999754</v>
      </c>
      <c r="EY208" s="151" t="str">
        <f t="shared" si="264"/>
        <v>Thừa</v>
      </c>
      <c r="EZ208" s="152"/>
      <c r="FA208" s="372"/>
      <c r="FB208" s="373"/>
      <c r="FC208" s="367"/>
      <c r="FD208" s="374"/>
      <c r="FE208" s="183"/>
      <c r="FF208" s="184"/>
      <c r="FG208" s="185"/>
      <c r="FH208" s="185"/>
    </row>
    <row r="209" spans="1:164" s="157" customFormat="1" ht="14" hidden="1" customHeight="1">
      <c r="A209" s="208" t="str">
        <f t="shared" si="248"/>
        <v>Hiện</v>
      </c>
      <c r="B209" s="151" t="str">
        <f t="shared" si="265"/>
        <v>Đủ</v>
      </c>
      <c r="C209" s="409">
        <f t="shared" si="266"/>
        <v>0</v>
      </c>
      <c r="D209" s="151"/>
      <c r="E209" s="400"/>
      <c r="F209" s="151"/>
      <c r="G209" s="151"/>
      <c r="H209" s="151"/>
      <c r="I209" s="164" t="s">
        <v>1467</v>
      </c>
      <c r="J209" s="164" t="s">
        <v>235</v>
      </c>
      <c r="K209" s="171" t="s">
        <v>1468</v>
      </c>
      <c r="L209" s="424" t="s">
        <v>1358</v>
      </c>
      <c r="M209" s="163" t="s">
        <v>44</v>
      </c>
      <c r="N209" s="177">
        <v>79.3</v>
      </c>
      <c r="O209" s="177">
        <f>+P209/N209</f>
        <v>0.31651954602774279</v>
      </c>
      <c r="P209" s="172">
        <v>25.1</v>
      </c>
      <c r="Q209" s="179"/>
      <c r="R209" s="180"/>
      <c r="S209" s="179"/>
      <c r="T209" s="180"/>
      <c r="U209" s="180"/>
      <c r="V209" s="180"/>
      <c r="W209" s="180"/>
      <c r="X209" s="180"/>
      <c r="Y209" s="180"/>
      <c r="Z209" s="180"/>
      <c r="AA209" s="180"/>
      <c r="AB209" s="180"/>
      <c r="AC209" s="180"/>
      <c r="AD209" s="180"/>
      <c r="AE209" s="180"/>
      <c r="AF209" s="180"/>
      <c r="AG209" s="180"/>
      <c r="AH209" s="180"/>
      <c r="AI209" s="162"/>
      <c r="AJ209" s="162"/>
      <c r="AK209" s="162"/>
      <c r="AL209" s="162"/>
      <c r="AM209" s="162"/>
      <c r="AN209" s="162"/>
      <c r="AO209" s="162"/>
      <c r="AP209" s="162"/>
      <c r="AQ209" s="162"/>
      <c r="AR209" s="162"/>
      <c r="AS209" s="162"/>
      <c r="AT209" s="162"/>
      <c r="AU209" s="162"/>
      <c r="AV209" s="162"/>
      <c r="AW209" s="162">
        <v>0</v>
      </c>
      <c r="AX209" s="162">
        <v>0</v>
      </c>
      <c r="AY209" s="162">
        <v>0.89999999999999991</v>
      </c>
      <c r="AZ209" s="162">
        <v>71.36999999999999</v>
      </c>
      <c r="BA209" s="162"/>
      <c r="BB209" s="162"/>
      <c r="BC209" s="162">
        <v>0</v>
      </c>
      <c r="BD209" s="162">
        <v>0</v>
      </c>
      <c r="BE209" s="162">
        <v>0</v>
      </c>
      <c r="BF209" s="162">
        <v>0</v>
      </c>
      <c r="BG209" s="162">
        <v>0</v>
      </c>
      <c r="BH209" s="162">
        <v>0</v>
      </c>
      <c r="BI209" s="162">
        <v>0</v>
      </c>
      <c r="BJ209" s="162">
        <v>0</v>
      </c>
      <c r="BK209" s="162">
        <v>0</v>
      </c>
      <c r="BL209" s="162">
        <v>0</v>
      </c>
      <c r="BM209" s="162">
        <v>0</v>
      </c>
      <c r="BN209" s="162">
        <v>0</v>
      </c>
      <c r="BO209" s="162"/>
      <c r="BP209" s="162"/>
      <c r="BQ209" s="162">
        <v>0</v>
      </c>
      <c r="BR209" s="162">
        <v>0</v>
      </c>
      <c r="BS209" s="162">
        <v>0</v>
      </c>
      <c r="BT209" s="162">
        <v>0</v>
      </c>
      <c r="BU209" s="162">
        <v>0</v>
      </c>
      <c r="BV209" s="162">
        <v>0</v>
      </c>
      <c r="BW209" s="162"/>
      <c r="BX209" s="162"/>
      <c r="BY209" s="162">
        <v>0</v>
      </c>
      <c r="BZ209" s="162">
        <v>0</v>
      </c>
      <c r="CA209" s="162">
        <v>0</v>
      </c>
      <c r="CB209" s="162">
        <v>0</v>
      </c>
      <c r="CC209" s="162">
        <v>0</v>
      </c>
      <c r="CD209" s="162">
        <v>0</v>
      </c>
      <c r="CE209" s="162">
        <f>VLOOKUP(I209,[120]REV33!$A:$O,11,0)</f>
        <v>0</v>
      </c>
      <c r="CF209" s="162">
        <f>VLOOKUP(I209,[120]REV33!$A:$O,12,0)</f>
        <v>0</v>
      </c>
      <c r="CG209" s="162"/>
      <c r="CH209" s="162"/>
      <c r="CI209" s="162"/>
      <c r="CJ209" s="162"/>
      <c r="CK209" s="162"/>
      <c r="CL209" s="162"/>
      <c r="CM209" s="162"/>
      <c r="CN209" s="162"/>
      <c r="CO209" s="162">
        <v>0</v>
      </c>
      <c r="CP209" s="162">
        <v>0</v>
      </c>
      <c r="CQ209" s="162">
        <v>0</v>
      </c>
      <c r="CR209" s="162">
        <v>0</v>
      </c>
      <c r="CS209" s="209">
        <f>Q209+S209+U209+W209+Y209+AA209+AC209+AE209+AG209+AI209+AK209+AM209+AO209+AQ209+AS209+AU209+AW209+AY209+BA209+BC209+BE209+BG209+BI209+BK209+BM209+BO209+BQ209+BS209+BU209+BW209+BY209+CA209+CC209+CE209+CG209+CI209+CK209+CM209+CO209+CQ209</f>
        <v>0.89999999999999991</v>
      </c>
      <c r="CT209" s="209">
        <f>R209+T209+V209+X209+Z209+AB209+AD209+AF209+AH209+AJ209+AL209+AN209+AP209+AR209+AT209+AV209+AX209+AZ209+BB209+BD209+BF209+BH209+BJ209+BL209+BN209+BP209+BR209+BT209+BV209+BX209+BZ209+CB209+CD209+CF209+CH209+CJ209+CL209+CN209+CP209+CR209</f>
        <v>71.36999999999999</v>
      </c>
      <c r="CU209" s="375" t="s">
        <v>1475</v>
      </c>
      <c r="CV209" s="208"/>
      <c r="CW209" s="152">
        <v>0.89999999999999991</v>
      </c>
      <c r="CX209" s="152">
        <v>71.36999999999999</v>
      </c>
      <c r="CY209" s="208"/>
      <c r="CZ209" s="208" t="s">
        <v>383</v>
      </c>
      <c r="DA209" s="152" t="str">
        <f t="shared" si="258"/>
        <v>0</v>
      </c>
      <c r="DB209" s="152" t="str">
        <f t="shared" si="259"/>
        <v>0</v>
      </c>
      <c r="DC209" s="153"/>
      <c r="DD209" s="153"/>
      <c r="DE209" s="277"/>
      <c r="DF209" s="213"/>
      <c r="DG209" s="213"/>
      <c r="DH209" s="227"/>
      <c r="DI209" s="153"/>
      <c r="DJ209" s="228"/>
      <c r="DK209" s="227"/>
      <c r="DL209" s="227"/>
      <c r="DM209" s="227"/>
      <c r="DN209" s="227"/>
      <c r="DO209" s="182"/>
      <c r="DP209" s="275"/>
      <c r="DQ209" s="152">
        <f>SUMIF($I:$I,I209,$DJ:$DJ)</f>
        <v>0</v>
      </c>
      <c r="DR209" s="152">
        <f>SUMIF($I:$I,I209,$DK:$DK)</f>
        <v>0</v>
      </c>
      <c r="DS209" s="151"/>
      <c r="DT209" s="275"/>
      <c r="DU209" s="370"/>
      <c r="DV209" s="208"/>
      <c r="DW209" s="208"/>
      <c r="DX209" s="208"/>
      <c r="DY209" s="171"/>
      <c r="DZ209" s="152"/>
      <c r="EA209" s="152"/>
      <c r="EB209" s="153"/>
      <c r="EC209" s="152"/>
      <c r="ED209" s="152"/>
      <c r="EE209" s="396"/>
      <c r="EF209" s="371"/>
      <c r="EG209" s="153"/>
      <c r="EH209" s="153"/>
      <c r="EI209" s="153"/>
      <c r="EJ209" s="153"/>
      <c r="EK209" s="153"/>
      <c r="EL209" s="153"/>
      <c r="EM209" s="153"/>
      <c r="EN209" s="153"/>
      <c r="EO209" s="152">
        <f>SUMIF($I:$I,I209,$EC:$EC)</f>
        <v>0</v>
      </c>
      <c r="EP209" s="151">
        <f>SUMIF($I:$I,I209,$ED:$ED)</f>
        <v>0</v>
      </c>
      <c r="EQ209" s="153"/>
      <c r="ER209" s="153"/>
      <c r="ES209" s="153"/>
      <c r="ET209" s="153"/>
      <c r="EU209" s="152">
        <f t="shared" si="260"/>
        <v>0</v>
      </c>
      <c r="EV209" s="152">
        <f t="shared" si="261"/>
        <v>0</v>
      </c>
      <c r="EW209" s="152">
        <f t="shared" si="262"/>
        <v>0</v>
      </c>
      <c r="EX209" s="152">
        <f t="shared" si="263"/>
        <v>0</v>
      </c>
      <c r="EY209" s="151" t="str">
        <f t="shared" si="264"/>
        <v>Đủ</v>
      </c>
      <c r="EZ209" s="152"/>
      <c r="FA209" s="372"/>
      <c r="FB209" s="373"/>
      <c r="FC209" s="367"/>
      <c r="FD209" s="374"/>
      <c r="FE209" s="183"/>
      <c r="FF209" s="184"/>
      <c r="FG209" s="185"/>
      <c r="FH209" s="185"/>
    </row>
    <row r="210" spans="1:164" s="157" customFormat="1" ht="14" hidden="1" customHeight="1">
      <c r="A210" s="208" t="str">
        <f t="shared" si="248"/>
        <v>Hiện</v>
      </c>
      <c r="B210" s="151" t="str">
        <f>EY210</f>
        <v>Đủ</v>
      </c>
      <c r="C210" s="409">
        <f t="shared" ref="C210:C214" si="267">EW210</f>
        <v>0</v>
      </c>
      <c r="D210" s="151"/>
      <c r="E210" s="400"/>
      <c r="F210" s="151"/>
      <c r="G210" s="151"/>
      <c r="H210" s="151"/>
      <c r="I210" s="164" t="s">
        <v>1520</v>
      </c>
      <c r="J210" s="164" t="s">
        <v>1521</v>
      </c>
      <c r="K210" s="171" t="s">
        <v>1522</v>
      </c>
      <c r="L210" s="424" t="s">
        <v>371</v>
      </c>
      <c r="M210" s="163" t="s">
        <v>44</v>
      </c>
      <c r="N210" s="177">
        <v>35</v>
      </c>
      <c r="O210" s="177">
        <f>+P210/N210</f>
        <v>1.0285714285714285</v>
      </c>
      <c r="P210" s="172">
        <v>36</v>
      </c>
      <c r="Q210" s="179"/>
      <c r="R210" s="180"/>
      <c r="S210" s="179"/>
      <c r="T210" s="180"/>
      <c r="U210" s="180"/>
      <c r="V210" s="180"/>
      <c r="W210" s="180"/>
      <c r="X210" s="180"/>
      <c r="Y210" s="180"/>
      <c r="Z210" s="180"/>
      <c r="AA210" s="180"/>
      <c r="AB210" s="180"/>
      <c r="AC210" s="180"/>
      <c r="AD210" s="180"/>
      <c r="AE210" s="180"/>
      <c r="AF210" s="180"/>
      <c r="AG210" s="180"/>
      <c r="AH210" s="180"/>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v>1.5</v>
      </c>
      <c r="BD210" s="162">
        <v>52.5</v>
      </c>
      <c r="BE210" s="162">
        <v>0</v>
      </c>
      <c r="BF210" s="162">
        <v>0</v>
      </c>
      <c r="BG210" s="162">
        <v>0</v>
      </c>
      <c r="BH210" s="162">
        <v>0</v>
      </c>
      <c r="BI210" s="162">
        <v>0</v>
      </c>
      <c r="BJ210" s="162">
        <v>0</v>
      </c>
      <c r="BK210" s="162">
        <v>0</v>
      </c>
      <c r="BL210" s="162">
        <v>0</v>
      </c>
      <c r="BM210" s="162">
        <v>0</v>
      </c>
      <c r="BN210" s="162">
        <v>0</v>
      </c>
      <c r="BO210" s="162"/>
      <c r="BP210" s="162"/>
      <c r="BQ210" s="162">
        <v>0</v>
      </c>
      <c r="BR210" s="162">
        <v>0</v>
      </c>
      <c r="BS210" s="162">
        <v>0</v>
      </c>
      <c r="BT210" s="162">
        <v>0</v>
      </c>
      <c r="BU210" s="162">
        <v>0</v>
      </c>
      <c r="BV210" s="162">
        <v>0</v>
      </c>
      <c r="BW210" s="162"/>
      <c r="BX210" s="162"/>
      <c r="BY210" s="162">
        <v>0</v>
      </c>
      <c r="BZ210" s="162">
        <v>0</v>
      </c>
      <c r="CA210" s="162">
        <v>0</v>
      </c>
      <c r="CB210" s="162">
        <v>0</v>
      </c>
      <c r="CC210" s="162">
        <v>0</v>
      </c>
      <c r="CD210" s="162">
        <v>0</v>
      </c>
      <c r="CE210" s="162">
        <f>VLOOKUP(I210,[120]REV33!$A:$O,11,0)</f>
        <v>0</v>
      </c>
      <c r="CF210" s="162">
        <f>VLOOKUP(I210,[120]REV33!$A:$O,12,0)</f>
        <v>0</v>
      </c>
      <c r="CG210" s="162"/>
      <c r="CH210" s="162"/>
      <c r="CI210" s="162"/>
      <c r="CJ210" s="162"/>
      <c r="CK210" s="162"/>
      <c r="CL210" s="162"/>
      <c r="CM210" s="162"/>
      <c r="CN210" s="162"/>
      <c r="CO210" s="162">
        <v>0</v>
      </c>
      <c r="CP210" s="162">
        <v>0</v>
      </c>
      <c r="CQ210" s="162">
        <v>0</v>
      </c>
      <c r="CR210" s="162">
        <v>0</v>
      </c>
      <c r="CS210" s="209">
        <f>Q210+S210+U210+W210+Y210+AA210+AC210+AE210+AG210+AI210+AK210+AM210+AO210+AQ210+AS210+AU210+AW210+AY210+BA210+BC210+BE210+BG210+BI210+BK210+BM210+BO210+BQ210+BS210+BU210+BW210+BY210+CA210+CC210+CE210+CG210+CI210+CK210+CM210+CO210+CQ210</f>
        <v>1.5</v>
      </c>
      <c r="CT210" s="209">
        <f>R210+T210+V210+X210+Z210+AB210+AD210+AF210+AH210+AJ210+AL210+AN210+AP210+AR210+AT210+AV210+AX210+AZ210+BB210+BD210+BF210+BH210+BJ210+BL210+BN210+BP210+BR210+BT210+BV210+BX210+BZ210+CB210+CD210+CF210+CH210+CJ210+CL210+CN210+CP210+CR210</f>
        <v>52.5</v>
      </c>
      <c r="CU210" s="375" t="s">
        <v>1557</v>
      </c>
      <c r="CV210" s="208"/>
      <c r="CW210" s="152">
        <v>1.5</v>
      </c>
      <c r="CX210" s="152">
        <v>52.5</v>
      </c>
      <c r="CY210" s="208"/>
      <c r="CZ210" s="208" t="s">
        <v>1582</v>
      </c>
      <c r="DA210" s="152" t="str">
        <f t="shared" si="258"/>
        <v>0</v>
      </c>
      <c r="DB210" s="152" t="str">
        <f t="shared" si="259"/>
        <v>0</v>
      </c>
      <c r="DC210" s="153"/>
      <c r="DD210" s="153"/>
      <c r="DE210" s="277"/>
      <c r="DF210" s="213"/>
      <c r="DG210" s="213"/>
      <c r="DH210" s="227"/>
      <c r="DI210" s="153"/>
      <c r="DJ210" s="228"/>
      <c r="DK210" s="227"/>
      <c r="DL210" s="227"/>
      <c r="DM210" s="227"/>
      <c r="DN210" s="227"/>
      <c r="DO210" s="182"/>
      <c r="DP210" s="275"/>
      <c r="DQ210" s="152">
        <f>SUMIF($I:$I,I210,$DJ:$DJ)</f>
        <v>0</v>
      </c>
      <c r="DR210" s="152">
        <f>SUMIF($I:$I,I210,$DK:$DK)</f>
        <v>0</v>
      </c>
      <c r="DS210" s="151"/>
      <c r="DT210" s="275"/>
      <c r="DU210" s="370"/>
      <c r="DV210" s="208"/>
      <c r="DW210" s="208"/>
      <c r="DX210" s="208"/>
      <c r="DY210" s="171"/>
      <c r="DZ210" s="152"/>
      <c r="EA210" s="152"/>
      <c r="EB210" s="153"/>
      <c r="EC210" s="152"/>
      <c r="ED210" s="152"/>
      <c r="EE210" s="396"/>
      <c r="EF210" s="371"/>
      <c r="EG210" s="153"/>
      <c r="EH210" s="153"/>
      <c r="EI210" s="153"/>
      <c r="EJ210" s="153"/>
      <c r="EK210" s="153"/>
      <c r="EL210" s="153"/>
      <c r="EM210" s="153"/>
      <c r="EN210" s="153"/>
      <c r="EO210" s="152">
        <f>SUMIF($I:$I,I210,$EC:$EC)</f>
        <v>0</v>
      </c>
      <c r="EP210" s="151">
        <f>SUMIF($I:$I,I210,$ED:$ED)</f>
        <v>0</v>
      </c>
      <c r="EQ210" s="153"/>
      <c r="ER210" s="153"/>
      <c r="ES210" s="153"/>
      <c r="ET210" s="153"/>
      <c r="EU210" s="152">
        <f t="shared" si="260"/>
        <v>0</v>
      </c>
      <c r="EV210" s="152">
        <f t="shared" si="261"/>
        <v>0</v>
      </c>
      <c r="EW210" s="152">
        <f t="shared" si="262"/>
        <v>0</v>
      </c>
      <c r="EX210" s="152">
        <f t="shared" si="263"/>
        <v>0</v>
      </c>
      <c r="EY210" s="151" t="str">
        <f t="shared" si="264"/>
        <v>Đủ</v>
      </c>
      <c r="EZ210" s="152"/>
      <c r="FA210" s="372"/>
      <c r="FB210" s="373"/>
      <c r="FC210" s="367"/>
      <c r="FD210" s="374"/>
      <c r="FE210" s="183"/>
      <c r="FF210" s="184"/>
      <c r="FG210" s="185"/>
      <c r="FH210" s="185"/>
    </row>
    <row r="211" spans="1:164" s="157" customFormat="1" ht="14" hidden="1" customHeight="1">
      <c r="A211" s="208" t="str">
        <f t="shared" si="248"/>
        <v>Hiện</v>
      </c>
      <c r="B211" s="151" t="str">
        <f>EY211</f>
        <v>Thừa</v>
      </c>
      <c r="C211" s="409">
        <f t="shared" si="267"/>
        <v>-2</v>
      </c>
      <c r="D211" s="151" t="s">
        <v>2060</v>
      </c>
      <c r="E211" s="154" t="s">
        <v>2220</v>
      </c>
      <c r="F211" s="151"/>
      <c r="G211" s="151"/>
      <c r="H211" s="151"/>
      <c r="I211" s="164" t="s">
        <v>1523</v>
      </c>
      <c r="J211" s="164" t="s">
        <v>277</v>
      </c>
      <c r="K211" s="171" t="s">
        <v>1524</v>
      </c>
      <c r="L211" s="424" t="s">
        <v>838</v>
      </c>
      <c r="M211" s="163" t="s">
        <v>61</v>
      </c>
      <c r="N211" s="177">
        <v>2.1</v>
      </c>
      <c r="O211" s="177">
        <v>810</v>
      </c>
      <c r="P211" s="172">
        <f>+O211*N211</f>
        <v>1701</v>
      </c>
      <c r="Q211" s="179"/>
      <c r="R211" s="180"/>
      <c r="S211" s="179"/>
      <c r="T211" s="180"/>
      <c r="U211" s="180"/>
      <c r="V211" s="180"/>
      <c r="W211" s="180"/>
      <c r="X211" s="180"/>
      <c r="Y211" s="180"/>
      <c r="Z211" s="180"/>
      <c r="AA211" s="180"/>
      <c r="AB211" s="180"/>
      <c r="AC211" s="180"/>
      <c r="AD211" s="180"/>
      <c r="AE211" s="180"/>
      <c r="AF211" s="180"/>
      <c r="AG211" s="180"/>
      <c r="AH211" s="180"/>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v>850</v>
      </c>
      <c r="BD211" s="162">
        <v>1785</v>
      </c>
      <c r="BE211" s="162">
        <v>0</v>
      </c>
      <c r="BF211" s="162">
        <v>0</v>
      </c>
      <c r="BG211" s="162">
        <v>0</v>
      </c>
      <c r="BH211" s="162">
        <v>0</v>
      </c>
      <c r="BI211" s="162">
        <v>0</v>
      </c>
      <c r="BJ211" s="162">
        <v>0</v>
      </c>
      <c r="BK211" s="162">
        <v>18</v>
      </c>
      <c r="BL211" s="162">
        <v>37.800000000000004</v>
      </c>
      <c r="BM211" s="162">
        <v>0</v>
      </c>
      <c r="BN211" s="162">
        <v>0</v>
      </c>
      <c r="BO211" s="162"/>
      <c r="BP211" s="162"/>
      <c r="BQ211" s="162">
        <v>0</v>
      </c>
      <c r="BR211" s="162">
        <v>0</v>
      </c>
      <c r="BS211" s="162">
        <v>1520</v>
      </c>
      <c r="BT211" s="162">
        <v>3192</v>
      </c>
      <c r="BU211" s="162">
        <v>-1520</v>
      </c>
      <c r="BV211" s="162">
        <v>-3192</v>
      </c>
      <c r="BW211" s="162"/>
      <c r="BX211" s="162"/>
      <c r="BY211" s="162">
        <v>0</v>
      </c>
      <c r="BZ211" s="162">
        <v>0</v>
      </c>
      <c r="CA211" s="162">
        <v>0</v>
      </c>
      <c r="CB211" s="162">
        <v>0</v>
      </c>
      <c r="CC211" s="162">
        <v>0</v>
      </c>
      <c r="CD211" s="162">
        <v>0</v>
      </c>
      <c r="CE211" s="162">
        <f>VLOOKUP(I211,[120]REV33!$A:$O,11,0)</f>
        <v>0</v>
      </c>
      <c r="CF211" s="162">
        <f>VLOOKUP(I211,[120]REV33!$A:$O,12,0)</f>
        <v>0</v>
      </c>
      <c r="CG211" s="162"/>
      <c r="CH211" s="162"/>
      <c r="CI211" s="162"/>
      <c r="CJ211" s="162"/>
      <c r="CK211" s="162"/>
      <c r="CL211" s="162"/>
      <c r="CM211" s="162"/>
      <c r="CN211" s="162"/>
      <c r="CO211" s="162">
        <v>0</v>
      </c>
      <c r="CP211" s="162">
        <v>0</v>
      </c>
      <c r="CQ211" s="162">
        <v>0</v>
      </c>
      <c r="CR211" s="162">
        <v>0</v>
      </c>
      <c r="CS211" s="209">
        <f>Q211+S211+U211+W211+Y211+AA211+AC211+AE211+AG211+AI211+AK211+AM211+AO211+AQ211+AS211+AU211+AW211+AY211+BA211+BC211+BE211+BG211+BI211+BK211+BM211+BO211+BQ211+BS211+BU211+BW211+BY211+CA211+CC211+CE211+CG211+CI211+CK211+CM211+CO211+CQ211</f>
        <v>868</v>
      </c>
      <c r="CT211" s="209">
        <f>R211+T211+V211+X211+Z211+AB211+AD211+AF211+AH211+AJ211+AL211+AN211+AP211+AR211+AT211+AV211+AX211+AZ211+BB211+BD211+BF211+BH211+BJ211+BL211+BN211+BP211+BR211+BT211+BV211+BX211+BZ211+CB211+CD211+CF211+CH211+CJ211+CL211+CN211+CP211+CR211</f>
        <v>1822.8000000000002</v>
      </c>
      <c r="CU211" s="375" t="s">
        <v>2237</v>
      </c>
      <c r="CV211" s="208"/>
      <c r="CW211" s="152"/>
      <c r="CX211" s="152"/>
      <c r="CY211" s="208"/>
      <c r="CZ211" s="208"/>
      <c r="DA211" s="152">
        <f t="shared" si="258"/>
        <v>868</v>
      </c>
      <c r="DB211" s="152">
        <f t="shared" si="259"/>
        <v>1822.8000000000002</v>
      </c>
      <c r="DC211" s="153"/>
      <c r="DD211" s="153" t="s">
        <v>1685</v>
      </c>
      <c r="DE211" s="277" t="s">
        <v>1684</v>
      </c>
      <c r="DF211" s="213" t="s">
        <v>1686</v>
      </c>
      <c r="DG211" s="213"/>
      <c r="DH211" s="227" t="s">
        <v>477</v>
      </c>
      <c r="DI211" s="153">
        <v>45934</v>
      </c>
      <c r="DJ211" s="228">
        <f>145*6</f>
        <v>870</v>
      </c>
      <c r="DK211" s="227" t="s">
        <v>477</v>
      </c>
      <c r="DL211" s="227">
        <v>423057</v>
      </c>
      <c r="DM211" s="181">
        <f>DL211*DJ211/6000*1.1</f>
        <v>67477.59150000001</v>
      </c>
      <c r="DN211" s="446">
        <f>(DM211-DO211)/DO211</f>
        <v>0.10000000000000017</v>
      </c>
      <c r="DO211" s="182">
        <f>DL211*DJ211/6000</f>
        <v>61343.264999999999</v>
      </c>
      <c r="DP211" s="275">
        <v>45957</v>
      </c>
      <c r="DQ211" s="152">
        <f>SUMIF($I:$I,I211,$DJ:$DJ)</f>
        <v>870</v>
      </c>
      <c r="DR211" s="152">
        <f>SUMIF($I:$I,I211,$DK:$DK)</f>
        <v>0</v>
      </c>
      <c r="DS211" s="151"/>
      <c r="DT211" s="275"/>
      <c r="DU211" s="370"/>
      <c r="DV211" s="208"/>
      <c r="DW211" s="208"/>
      <c r="DX211" s="208"/>
      <c r="DY211" s="171"/>
      <c r="DZ211" s="152"/>
      <c r="EA211" s="152"/>
      <c r="EB211" s="153"/>
      <c r="EC211" s="152"/>
      <c r="ED211" s="152"/>
      <c r="EE211" s="396"/>
      <c r="EF211" s="371"/>
      <c r="EG211" s="153"/>
      <c r="EH211" s="153"/>
      <c r="EI211" s="153"/>
      <c r="EJ211" s="153"/>
      <c r="EK211" s="153"/>
      <c r="EL211" s="153"/>
      <c r="EM211" s="153"/>
      <c r="EN211" s="153"/>
      <c r="EO211" s="152">
        <f>SUMIF($I:$I,I211,$EC:$EC)</f>
        <v>0</v>
      </c>
      <c r="EP211" s="151">
        <f>SUMIF($I:$I,I211,$ED:$ED)</f>
        <v>0</v>
      </c>
      <c r="EQ211" s="153"/>
      <c r="ER211" s="153"/>
      <c r="ES211" s="153"/>
      <c r="ET211" s="153"/>
      <c r="EU211" s="152">
        <f t="shared" si="260"/>
        <v>870</v>
      </c>
      <c r="EV211" s="152">
        <f t="shared" si="261"/>
        <v>0</v>
      </c>
      <c r="EW211" s="152">
        <f t="shared" si="262"/>
        <v>-2</v>
      </c>
      <c r="EX211" s="152">
        <f t="shared" si="263"/>
        <v>1822.8000000000002</v>
      </c>
      <c r="EY211" s="151" t="str">
        <f t="shared" si="264"/>
        <v>Thừa</v>
      </c>
      <c r="EZ211" s="152"/>
      <c r="FA211" s="372"/>
      <c r="FB211" s="373"/>
      <c r="FC211" s="367"/>
      <c r="FD211" s="374"/>
      <c r="FE211" s="183"/>
      <c r="FF211" s="184"/>
      <c r="FG211" s="185"/>
      <c r="FH211" s="185"/>
    </row>
    <row r="212" spans="1:164" s="157" customFormat="1" ht="14" hidden="1" customHeight="1">
      <c r="A212" s="208" t="str">
        <f t="shared" si="248"/>
        <v>Hiện</v>
      </c>
      <c r="B212" s="151" t="str">
        <f>EY212</f>
        <v>Thừa</v>
      </c>
      <c r="C212" s="409">
        <f t="shared" si="267"/>
        <v>-5</v>
      </c>
      <c r="D212" s="151" t="s">
        <v>1496</v>
      </c>
      <c r="E212" s="171" t="s">
        <v>2062</v>
      </c>
      <c r="F212" s="151"/>
      <c r="G212" s="151"/>
      <c r="H212" s="151"/>
      <c r="I212" s="164" t="s">
        <v>1525</v>
      </c>
      <c r="J212" s="164" t="s">
        <v>267</v>
      </c>
      <c r="K212" s="171" t="s">
        <v>1526</v>
      </c>
      <c r="L212" s="424" t="s">
        <v>1527</v>
      </c>
      <c r="M212" s="163" t="s">
        <v>61</v>
      </c>
      <c r="N212" s="177">
        <v>61.3</v>
      </c>
      <c r="O212" s="177">
        <v>65.86</v>
      </c>
      <c r="P212" s="172">
        <v>3925.4399999999996</v>
      </c>
      <c r="Q212" s="179"/>
      <c r="R212" s="180"/>
      <c r="S212" s="179"/>
      <c r="T212" s="180"/>
      <c r="U212" s="180"/>
      <c r="V212" s="180"/>
      <c r="W212" s="180"/>
      <c r="X212" s="180"/>
      <c r="Y212" s="180"/>
      <c r="Z212" s="180"/>
      <c r="AA212" s="180"/>
      <c r="AB212" s="180"/>
      <c r="AC212" s="180"/>
      <c r="AD212" s="180"/>
      <c r="AE212" s="180"/>
      <c r="AF212" s="180"/>
      <c r="AG212" s="180"/>
      <c r="AH212" s="180"/>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v>72</v>
      </c>
      <c r="BD212" s="162">
        <v>4413.5999999999995</v>
      </c>
      <c r="BE212" s="162">
        <v>0</v>
      </c>
      <c r="BF212" s="162">
        <v>0</v>
      </c>
      <c r="BG212" s="162">
        <v>0</v>
      </c>
      <c r="BH212" s="162">
        <v>0</v>
      </c>
      <c r="BI212" s="162">
        <v>0</v>
      </c>
      <c r="BJ212" s="162">
        <v>0</v>
      </c>
      <c r="BK212" s="162">
        <v>0</v>
      </c>
      <c r="BL212" s="162">
        <v>0</v>
      </c>
      <c r="BM212" s="162">
        <v>0</v>
      </c>
      <c r="BN212" s="162">
        <v>0</v>
      </c>
      <c r="BO212" s="162"/>
      <c r="BP212" s="162"/>
      <c r="BQ212" s="162">
        <v>0</v>
      </c>
      <c r="BR212" s="162">
        <v>0</v>
      </c>
      <c r="BS212" s="162">
        <v>115</v>
      </c>
      <c r="BT212" s="162">
        <v>7049.5</v>
      </c>
      <c r="BU212" s="162">
        <v>0</v>
      </c>
      <c r="BV212" s="162">
        <v>0</v>
      </c>
      <c r="BW212" s="162"/>
      <c r="BX212" s="162"/>
      <c r="BY212" s="162">
        <v>0</v>
      </c>
      <c r="BZ212" s="162">
        <v>0</v>
      </c>
      <c r="CA212" s="162">
        <v>0</v>
      </c>
      <c r="CB212" s="162">
        <v>0</v>
      </c>
      <c r="CC212" s="162">
        <v>0</v>
      </c>
      <c r="CD212" s="162">
        <v>0</v>
      </c>
      <c r="CE212" s="162">
        <f>VLOOKUP(I212,[120]REV33!$A:$O,11,0)</f>
        <v>0</v>
      </c>
      <c r="CF212" s="162">
        <f>VLOOKUP(I212,[120]REV33!$A:$O,12,0)</f>
        <v>0</v>
      </c>
      <c r="CG212" s="162"/>
      <c r="CH212" s="162"/>
      <c r="CI212" s="162"/>
      <c r="CJ212" s="162"/>
      <c r="CK212" s="162"/>
      <c r="CL212" s="162"/>
      <c r="CM212" s="162"/>
      <c r="CN212" s="162"/>
      <c r="CO212" s="162">
        <v>0</v>
      </c>
      <c r="CP212" s="162">
        <v>0</v>
      </c>
      <c r="CQ212" s="162">
        <v>0</v>
      </c>
      <c r="CR212" s="162">
        <v>0</v>
      </c>
      <c r="CS212" s="209">
        <f>Q212+S212+U212+W212+Y212+AA212+AC212+AE212+AG212+AI212+AK212+AM212+AO212+AQ212+AS212+AU212+AW212+AY212+BA212+BC212+BE212+BG212+BI212+BK212+BM212+BO212+BQ212+BS212+BU212+BW212+BY212+CA212+CC212+CE212+CG212+CI212+CK212+CM212+CO212+CQ212</f>
        <v>187</v>
      </c>
      <c r="CT212" s="209">
        <f>R212+T212+V212+X212+Z212+AB212+AD212+AF212+AH212+AJ212+AL212+AN212+AP212+AR212+AT212+AV212+AX212+AZ212+BB212+BD212+BF212+BH212+BJ212+BL212+BN212+BP212+BR212+BT212+BV212+BX212+BZ212+CB212+CD212+CF212+CH212+CJ212+CL212+CN212+CP212+CR212</f>
        <v>11463.099999999999</v>
      </c>
      <c r="CU212" s="375" t="s">
        <v>2053</v>
      </c>
      <c r="CV212" s="208"/>
      <c r="CW212" s="152"/>
      <c r="CX212" s="152"/>
      <c r="CY212" s="208"/>
      <c r="CZ212" s="208"/>
      <c r="DA212" s="152">
        <f t="shared" si="258"/>
        <v>187</v>
      </c>
      <c r="DB212" s="152">
        <f t="shared" si="259"/>
        <v>11463.099999999999</v>
      </c>
      <c r="DC212" s="153"/>
      <c r="DD212" s="187" t="s">
        <v>1560</v>
      </c>
      <c r="DE212" s="156" t="s">
        <v>45</v>
      </c>
      <c r="DF212" s="702" t="s">
        <v>1589</v>
      </c>
      <c r="DG212" s="213" t="s">
        <v>87</v>
      </c>
      <c r="DH212" s="227">
        <v>3592.8</v>
      </c>
      <c r="DI212" s="153">
        <v>45933</v>
      </c>
      <c r="DJ212" s="228">
        <v>72</v>
      </c>
      <c r="DK212" s="227">
        <v>3592.8</v>
      </c>
      <c r="DL212" s="227">
        <v>17727.27</v>
      </c>
      <c r="DM212" s="181">
        <f>DL212*DK212*1.1</f>
        <v>70059589.221600011</v>
      </c>
      <c r="DN212" s="446">
        <f>(DM212-DO212)/DO212</f>
        <v>0.10000000000000012</v>
      </c>
      <c r="DO212" s="156">
        <f>DL212*DK212</f>
        <v>63690535.656000003</v>
      </c>
      <c r="DP212" s="275">
        <v>45939</v>
      </c>
      <c r="DQ212" s="152">
        <f>SUMIF($I:$I,I212,$DJ:$DJ)</f>
        <v>192</v>
      </c>
      <c r="DR212" s="152">
        <f>SUMIF($I:$I,I212,$DK:$DK)</f>
        <v>9580.7999999999993</v>
      </c>
      <c r="DS212" s="151"/>
      <c r="DT212" s="275"/>
      <c r="DU212" s="370"/>
      <c r="DV212" s="208"/>
      <c r="DW212" s="208"/>
      <c r="DX212" s="208"/>
      <c r="DY212" s="171"/>
      <c r="DZ212" s="152"/>
      <c r="EA212" s="152"/>
      <c r="EB212" s="153"/>
      <c r="EC212" s="152"/>
      <c r="ED212" s="152"/>
      <c r="EE212" s="396"/>
      <c r="EF212" s="371"/>
      <c r="EG212" s="153"/>
      <c r="EH212" s="153"/>
      <c r="EI212" s="153"/>
      <c r="EJ212" s="153"/>
      <c r="EK212" s="153"/>
      <c r="EL212" s="153"/>
      <c r="EM212" s="153"/>
      <c r="EN212" s="153"/>
      <c r="EO212" s="152">
        <f>SUMIF($I:$I,I212,$EC:$EC)</f>
        <v>0</v>
      </c>
      <c r="EP212" s="151">
        <f>SUMIF($I:$I,I212,$ED:$ED)</f>
        <v>0</v>
      </c>
      <c r="EQ212" s="153"/>
      <c r="ER212" s="153"/>
      <c r="ES212" s="153"/>
      <c r="ET212" s="153"/>
      <c r="EU212" s="152">
        <f t="shared" si="260"/>
        <v>192</v>
      </c>
      <c r="EV212" s="152">
        <f t="shared" si="261"/>
        <v>9580.7999999999993</v>
      </c>
      <c r="EW212" s="152">
        <f t="shared" si="262"/>
        <v>-5</v>
      </c>
      <c r="EX212" s="152">
        <f t="shared" si="263"/>
        <v>1882.2999999999993</v>
      </c>
      <c r="EY212" s="151" t="str">
        <f t="shared" si="264"/>
        <v>Thừa</v>
      </c>
      <c r="EZ212" s="152"/>
      <c r="FA212" s="372"/>
      <c r="FB212" s="373"/>
      <c r="FC212" s="367"/>
      <c r="FD212" s="374"/>
      <c r="FE212" s="183"/>
      <c r="FF212" s="184"/>
      <c r="FG212" s="185"/>
      <c r="FH212" s="185"/>
    </row>
    <row r="213" spans="1:164" s="157" customFormat="1" ht="14" hidden="1" customHeight="1">
      <c r="A213" s="208" t="str">
        <f t="shared" si="248"/>
        <v>ok</v>
      </c>
      <c r="B213" s="151"/>
      <c r="C213" s="409"/>
      <c r="D213" s="151"/>
      <c r="E213" s="171"/>
      <c r="F213" s="151"/>
      <c r="G213" s="151"/>
      <c r="H213" s="151"/>
      <c r="I213" s="164" t="s">
        <v>1525</v>
      </c>
      <c r="J213" s="164" t="s">
        <v>267</v>
      </c>
      <c r="K213" s="171" t="s">
        <v>1526</v>
      </c>
      <c r="L213" s="424" t="s">
        <v>1527</v>
      </c>
      <c r="M213" s="163" t="s">
        <v>61</v>
      </c>
      <c r="N213" s="177"/>
      <c r="O213" s="177"/>
      <c r="P213" s="172"/>
      <c r="Q213" s="179"/>
      <c r="R213" s="180"/>
      <c r="S213" s="179"/>
      <c r="T213" s="180"/>
      <c r="U213" s="180"/>
      <c r="V213" s="180"/>
      <c r="W213" s="180"/>
      <c r="X213" s="180"/>
      <c r="Y213" s="180"/>
      <c r="Z213" s="180"/>
      <c r="AA213" s="180"/>
      <c r="AB213" s="180"/>
      <c r="AC213" s="180"/>
      <c r="AD213" s="180"/>
      <c r="AE213" s="180"/>
      <c r="AF213" s="180"/>
      <c r="AG213" s="180"/>
      <c r="AH213" s="180"/>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209"/>
      <c r="CT213" s="209"/>
      <c r="CU213" s="375"/>
      <c r="CV213" s="208"/>
      <c r="CW213" s="152"/>
      <c r="CX213" s="152"/>
      <c r="CY213" s="208"/>
      <c r="CZ213" s="208"/>
      <c r="DA213" s="152"/>
      <c r="DB213" s="152"/>
      <c r="DC213" s="153"/>
      <c r="DD213" s="377" t="s">
        <v>2175</v>
      </c>
      <c r="DE213" s="153" t="s">
        <v>1496</v>
      </c>
      <c r="DF213" s="702" t="s">
        <v>2177</v>
      </c>
      <c r="DG213" s="405" t="s">
        <v>2181</v>
      </c>
      <c r="DH213" s="227"/>
      <c r="DI213" s="153">
        <v>45972</v>
      </c>
      <c r="DJ213" s="228">
        <v>120</v>
      </c>
      <c r="DK213" s="227">
        <v>5988</v>
      </c>
      <c r="DL213" s="227">
        <v>17454.55</v>
      </c>
      <c r="DM213" s="181">
        <f>DL213*DK213*(1+DN213)</f>
        <v>114969629.94</v>
      </c>
      <c r="DN213" s="446">
        <v>0.1</v>
      </c>
      <c r="DO213" s="182">
        <f>DK213*DL213</f>
        <v>104517845.39999999</v>
      </c>
      <c r="DP213" s="275">
        <v>45976</v>
      </c>
      <c r="DQ213" s="152"/>
      <c r="DR213" s="152"/>
      <c r="DS213" s="151"/>
      <c r="DT213" s="275"/>
      <c r="DU213" s="370"/>
      <c r="DV213" s="208"/>
      <c r="DW213" s="208"/>
      <c r="DX213" s="208"/>
      <c r="DY213" s="171"/>
      <c r="DZ213" s="152"/>
      <c r="EA213" s="152"/>
      <c r="EB213" s="153"/>
      <c r="EC213" s="152"/>
      <c r="ED213" s="152"/>
      <c r="EE213" s="396"/>
      <c r="EF213" s="371"/>
      <c r="EG213" s="153"/>
      <c r="EH213" s="153"/>
      <c r="EI213" s="153"/>
      <c r="EJ213" s="153"/>
      <c r="EK213" s="153"/>
      <c r="EL213" s="153"/>
      <c r="EM213" s="153"/>
      <c r="EN213" s="153"/>
      <c r="EO213" s="152"/>
      <c r="EP213" s="151"/>
      <c r="EQ213" s="153"/>
      <c r="ER213" s="153"/>
      <c r="ES213" s="153"/>
      <c r="ET213" s="153"/>
      <c r="EU213" s="152"/>
      <c r="EV213" s="152"/>
      <c r="EW213" s="152"/>
      <c r="EX213" s="152"/>
      <c r="EY213" s="151"/>
      <c r="EZ213" s="152"/>
      <c r="FA213" s="372"/>
      <c r="FB213" s="373"/>
      <c r="FC213" s="367"/>
      <c r="FD213" s="374"/>
      <c r="FE213" s="183"/>
      <c r="FF213" s="184"/>
      <c r="FG213" s="185"/>
      <c r="FH213" s="185"/>
    </row>
    <row r="214" spans="1:164" s="157" customFormat="1" ht="14" hidden="1" customHeight="1">
      <c r="A214" s="208" t="str">
        <f t="shared" si="248"/>
        <v>Hiện</v>
      </c>
      <c r="B214" s="151" t="str">
        <f>EY214</f>
        <v>Đủ</v>
      </c>
      <c r="C214" s="409">
        <f t="shared" si="267"/>
        <v>0</v>
      </c>
      <c r="D214" s="151" t="s">
        <v>1496</v>
      </c>
      <c r="E214" s="171" t="s">
        <v>2063</v>
      </c>
      <c r="F214" s="151"/>
      <c r="G214" s="151"/>
      <c r="H214" s="151"/>
      <c r="I214" s="164" t="s">
        <v>1528</v>
      </c>
      <c r="J214" s="164" t="s">
        <v>277</v>
      </c>
      <c r="K214" s="171" t="s">
        <v>1529</v>
      </c>
      <c r="L214" s="424" t="s">
        <v>1527</v>
      </c>
      <c r="M214" s="163" t="s">
        <v>61</v>
      </c>
      <c r="N214" s="177">
        <v>13.3</v>
      </c>
      <c r="O214" s="177">
        <v>19.82</v>
      </c>
      <c r="P214" s="172">
        <v>263.92</v>
      </c>
      <c r="Q214" s="179"/>
      <c r="R214" s="180"/>
      <c r="S214" s="179"/>
      <c r="T214" s="180"/>
      <c r="U214" s="180"/>
      <c r="V214" s="180"/>
      <c r="W214" s="180"/>
      <c r="X214" s="180"/>
      <c r="Y214" s="180"/>
      <c r="Z214" s="180"/>
      <c r="AA214" s="180"/>
      <c r="AB214" s="180"/>
      <c r="AC214" s="180"/>
      <c r="AD214" s="180"/>
      <c r="AE214" s="180"/>
      <c r="AF214" s="180"/>
      <c r="AG214" s="180"/>
      <c r="AH214" s="180"/>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v>24</v>
      </c>
      <c r="BD214" s="162">
        <v>319.20000000000005</v>
      </c>
      <c r="BE214" s="162">
        <v>0</v>
      </c>
      <c r="BF214" s="162">
        <v>0</v>
      </c>
      <c r="BG214" s="162">
        <v>0</v>
      </c>
      <c r="BH214" s="162">
        <v>0</v>
      </c>
      <c r="BI214" s="162">
        <v>0</v>
      </c>
      <c r="BJ214" s="162">
        <v>0</v>
      </c>
      <c r="BK214" s="162">
        <v>0</v>
      </c>
      <c r="BL214" s="162">
        <v>0</v>
      </c>
      <c r="BM214" s="162">
        <v>0</v>
      </c>
      <c r="BN214" s="162">
        <v>0</v>
      </c>
      <c r="BO214" s="162"/>
      <c r="BP214" s="162"/>
      <c r="BQ214" s="162">
        <v>0</v>
      </c>
      <c r="BR214" s="162">
        <v>0</v>
      </c>
      <c r="BS214" s="162">
        <v>36</v>
      </c>
      <c r="BT214" s="162">
        <v>478.8</v>
      </c>
      <c r="BU214" s="162">
        <v>0</v>
      </c>
      <c r="BV214" s="162">
        <v>0</v>
      </c>
      <c r="BW214" s="162"/>
      <c r="BX214" s="162"/>
      <c r="BY214" s="162">
        <v>0</v>
      </c>
      <c r="BZ214" s="162">
        <v>0</v>
      </c>
      <c r="CA214" s="162">
        <v>0</v>
      </c>
      <c r="CB214" s="162">
        <v>0</v>
      </c>
      <c r="CC214" s="162">
        <v>0</v>
      </c>
      <c r="CD214" s="162">
        <v>0</v>
      </c>
      <c r="CE214" s="162">
        <f>VLOOKUP(I214,[120]REV33!$A:$O,11,0)</f>
        <v>0</v>
      </c>
      <c r="CF214" s="162">
        <f>VLOOKUP(I214,[120]REV33!$A:$O,12,0)</f>
        <v>0</v>
      </c>
      <c r="CG214" s="162"/>
      <c r="CH214" s="162"/>
      <c r="CI214" s="162"/>
      <c r="CJ214" s="162"/>
      <c r="CK214" s="162"/>
      <c r="CL214" s="162"/>
      <c r="CM214" s="162"/>
      <c r="CN214" s="162"/>
      <c r="CO214" s="162">
        <v>0</v>
      </c>
      <c r="CP214" s="162">
        <v>0</v>
      </c>
      <c r="CQ214" s="162">
        <v>0</v>
      </c>
      <c r="CR214" s="162">
        <v>0</v>
      </c>
      <c r="CS214" s="209">
        <f>Q214+S214+U214+W214+Y214+AA214+AC214+AE214+AG214+AI214+AK214+AM214+AO214+AQ214+AS214+AU214+AW214+AY214+BA214+BC214+BE214+BG214+BI214+BK214+BM214+BO214+BQ214+BS214+BU214+BW214+BY214+CA214+CC214+CE214+CG214+CI214+CK214+CM214+CO214+CQ214</f>
        <v>60</v>
      </c>
      <c r="CT214" s="209">
        <f>R214+T214+V214+X214+Z214+AB214+AD214+AF214+AH214+AJ214+AL214+AN214+AP214+AR214+AT214+AV214+AX214+AZ214+BB214+BD214+BF214+BH214+BJ214+BL214+BN214+BP214+BR214+BT214+BV214+BX214+BZ214+CB214+CD214+CF214+CH214+CJ214+CL214+CN214+CP214+CR214</f>
        <v>798</v>
      </c>
      <c r="CU214" s="375" t="s">
        <v>2053</v>
      </c>
      <c r="CV214" s="208"/>
      <c r="CW214" s="152"/>
      <c r="CX214" s="152"/>
      <c r="CY214" s="208"/>
      <c r="CZ214" s="208"/>
      <c r="DA214" s="152">
        <f>IF(CS214&gt;CW214,CS214-CW214,"0")</f>
        <v>60</v>
      </c>
      <c r="DB214" s="152">
        <f>IF(CT214&gt;CX214,CT214-CX214,"0")</f>
        <v>798</v>
      </c>
      <c r="DC214" s="153"/>
      <c r="DD214" s="377" t="s">
        <v>1674</v>
      </c>
      <c r="DE214" s="277" t="s">
        <v>1511</v>
      </c>
      <c r="DF214" s="704" t="s">
        <v>1673</v>
      </c>
      <c r="DG214" s="213"/>
      <c r="DH214" s="227">
        <v>322</v>
      </c>
      <c r="DI214" s="153">
        <v>45945</v>
      </c>
      <c r="DJ214" s="228">
        <v>24</v>
      </c>
      <c r="DK214" s="227">
        <v>322</v>
      </c>
      <c r="DL214" s="227">
        <v>17545.45</v>
      </c>
      <c r="DM214" s="181">
        <f>DL214*DJ214*1.1</f>
        <v>463199.88000000006</v>
      </c>
      <c r="DN214" s="446">
        <f>(DM214-DO214)/DO214</f>
        <v>0.10000000000000003</v>
      </c>
      <c r="DO214" s="182">
        <f>DL214*DJ214</f>
        <v>421090.80000000005</v>
      </c>
      <c r="DP214" s="275">
        <v>45954</v>
      </c>
      <c r="DQ214" s="152">
        <f>SUMIF($I:$I,I214,$DJ:$DJ)</f>
        <v>60</v>
      </c>
      <c r="DR214" s="152">
        <f>SUMIF($I:$I,I214,$DK:$DK)</f>
        <v>804.40000000000009</v>
      </c>
      <c r="DS214" s="151"/>
      <c r="DT214" s="275"/>
      <c r="DU214" s="370"/>
      <c r="DV214" s="208"/>
      <c r="DW214" s="208"/>
      <c r="DX214" s="208"/>
      <c r="DY214" s="171"/>
      <c r="DZ214" s="152"/>
      <c r="EA214" s="152"/>
      <c r="EB214" s="153"/>
      <c r="EC214" s="152"/>
      <c r="ED214" s="152"/>
      <c r="EE214" s="396"/>
      <c r="EF214" s="371"/>
      <c r="EG214" s="153"/>
      <c r="EH214" s="153"/>
      <c r="EI214" s="153"/>
      <c r="EJ214" s="153"/>
      <c r="EK214" s="153"/>
      <c r="EL214" s="153"/>
      <c r="EM214" s="153"/>
      <c r="EN214" s="153"/>
      <c r="EO214" s="152">
        <f>SUMIF($I:$I,I214,$EC:$EC)</f>
        <v>0</v>
      </c>
      <c r="EP214" s="151">
        <f>SUMIF($I:$I,I214,$ED:$ED)</f>
        <v>0</v>
      </c>
      <c r="EQ214" s="153"/>
      <c r="ER214" s="153"/>
      <c r="ES214" s="153"/>
      <c r="ET214" s="153"/>
      <c r="EU214" s="152">
        <f>DQ214+EO214</f>
        <v>60</v>
      </c>
      <c r="EV214" s="152">
        <f>DR214+EP214</f>
        <v>804.40000000000009</v>
      </c>
      <c r="EW214" s="152">
        <f t="shared" ref="EW214" si="268">DA214-EU214</f>
        <v>0</v>
      </c>
      <c r="EX214" s="152">
        <f t="shared" ref="EX214" si="269">DB214-EV214</f>
        <v>-6.4000000000000909</v>
      </c>
      <c r="EY214" s="151" t="str">
        <f>IF(EW214&lt;0,"Thừa",IF(EW214=0,"Đủ","Thiếu"))</f>
        <v>Đủ</v>
      </c>
      <c r="EZ214" s="152"/>
      <c r="FA214" s="372"/>
      <c r="FB214" s="373"/>
      <c r="FC214" s="367"/>
      <c r="FD214" s="374"/>
      <c r="FE214" s="183"/>
      <c r="FF214" s="184"/>
      <c r="FG214" s="185"/>
      <c r="FH214" s="185"/>
    </row>
    <row r="215" spans="1:164" s="157" customFormat="1" ht="14" hidden="1" customHeight="1">
      <c r="A215" s="208" t="str">
        <f t="shared" si="248"/>
        <v>ok</v>
      </c>
      <c r="B215" s="151"/>
      <c r="C215" s="409"/>
      <c r="D215" s="151"/>
      <c r="E215" s="171"/>
      <c r="F215" s="151"/>
      <c r="G215" s="151"/>
      <c r="H215" s="151"/>
      <c r="I215" s="164" t="s">
        <v>1528</v>
      </c>
      <c r="J215" s="164" t="s">
        <v>277</v>
      </c>
      <c r="K215" s="171" t="s">
        <v>1529</v>
      </c>
      <c r="L215" s="424" t="s">
        <v>1527</v>
      </c>
      <c r="M215" s="163" t="s">
        <v>61</v>
      </c>
      <c r="N215" s="177"/>
      <c r="O215" s="177"/>
      <c r="P215" s="172"/>
      <c r="Q215" s="179"/>
      <c r="R215" s="180"/>
      <c r="S215" s="179"/>
      <c r="T215" s="180"/>
      <c r="U215" s="180"/>
      <c r="V215" s="180"/>
      <c r="W215" s="180"/>
      <c r="X215" s="180"/>
      <c r="Y215" s="180"/>
      <c r="Z215" s="180"/>
      <c r="AA215" s="180"/>
      <c r="AB215" s="180"/>
      <c r="AC215" s="180"/>
      <c r="AD215" s="180"/>
      <c r="AE215" s="180"/>
      <c r="AF215" s="180"/>
      <c r="AG215" s="180"/>
      <c r="AH215" s="180"/>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209"/>
      <c r="CT215" s="209"/>
      <c r="CU215" s="375"/>
      <c r="CV215" s="208"/>
      <c r="CW215" s="152"/>
      <c r="CX215" s="152"/>
      <c r="CY215" s="208"/>
      <c r="CZ215" s="208"/>
      <c r="DA215" s="152"/>
      <c r="DB215" s="152"/>
      <c r="DC215" s="153"/>
      <c r="DD215" s="377" t="s">
        <v>2175</v>
      </c>
      <c r="DE215" s="153" t="s">
        <v>1496</v>
      </c>
      <c r="DF215" s="702" t="s">
        <v>2178</v>
      </c>
      <c r="DG215" s="405" t="s">
        <v>2181</v>
      </c>
      <c r="DH215" s="227"/>
      <c r="DI215" s="153">
        <v>45972</v>
      </c>
      <c r="DJ215" s="228">
        <v>36</v>
      </c>
      <c r="DK215" s="227">
        <v>482.40000000000003</v>
      </c>
      <c r="DL215" s="227">
        <v>17545.45</v>
      </c>
      <c r="DM215" s="181">
        <f>DL215*DK215*(1+DN215)</f>
        <v>9310317.5880000014</v>
      </c>
      <c r="DN215" s="446">
        <v>0.1</v>
      </c>
      <c r="DO215" s="182">
        <f>DK215*DL215</f>
        <v>8463925.0800000001</v>
      </c>
      <c r="DP215" s="275">
        <v>45976</v>
      </c>
      <c r="DQ215" s="152"/>
      <c r="DR215" s="152"/>
      <c r="DS215" s="151"/>
      <c r="DT215" s="275"/>
      <c r="DU215" s="370"/>
      <c r="DV215" s="208"/>
      <c r="DW215" s="208"/>
      <c r="DX215" s="208"/>
      <c r="DY215" s="171"/>
      <c r="DZ215" s="152"/>
      <c r="EA215" s="152"/>
      <c r="EB215" s="153"/>
      <c r="EC215" s="152"/>
      <c r="ED215" s="152"/>
      <c r="EE215" s="396"/>
      <c r="EF215" s="371"/>
      <c r="EG215" s="153"/>
      <c r="EH215" s="153"/>
      <c r="EI215" s="153"/>
      <c r="EJ215" s="153"/>
      <c r="EK215" s="153"/>
      <c r="EL215" s="153"/>
      <c r="EM215" s="153"/>
      <c r="EN215" s="153"/>
      <c r="EO215" s="152"/>
      <c r="EP215" s="151"/>
      <c r="EQ215" s="153"/>
      <c r="ER215" s="153"/>
      <c r="ES215" s="153"/>
      <c r="ET215" s="153"/>
      <c r="EU215" s="152"/>
      <c r="EV215" s="152"/>
      <c r="EW215" s="152"/>
      <c r="EX215" s="152"/>
      <c r="EY215" s="151"/>
      <c r="EZ215" s="152"/>
      <c r="FA215" s="372"/>
      <c r="FB215" s="373"/>
      <c r="FC215" s="367"/>
      <c r="FD215" s="374"/>
      <c r="FE215" s="183"/>
      <c r="FF215" s="184"/>
      <c r="FG215" s="185"/>
      <c r="FH215" s="185"/>
    </row>
    <row r="216" spans="1:164" s="157" customFormat="1" ht="14" hidden="1" customHeight="1">
      <c r="A216" s="208" t="str">
        <f t="shared" si="248"/>
        <v>Hiện</v>
      </c>
      <c r="B216" s="151" t="str">
        <f t="shared" ref="B216:B223" si="270">EY216</f>
        <v>Đủ</v>
      </c>
      <c r="C216" s="409">
        <f t="shared" ref="C216:C223" si="271">EW216</f>
        <v>0</v>
      </c>
      <c r="D216" s="151"/>
      <c r="E216" s="400"/>
      <c r="F216" s="151"/>
      <c r="G216" s="151"/>
      <c r="H216" s="151"/>
      <c r="I216" s="164" t="s">
        <v>1562</v>
      </c>
      <c r="J216" s="164" t="s">
        <v>397</v>
      </c>
      <c r="K216" s="247" t="s">
        <v>1563</v>
      </c>
      <c r="L216" s="426" t="s">
        <v>74</v>
      </c>
      <c r="M216" s="163" t="s">
        <v>61</v>
      </c>
      <c r="N216" s="177">
        <v>1.5600000000000005</v>
      </c>
      <c r="O216" s="172">
        <v>2.95</v>
      </c>
      <c r="P216" s="172">
        <v>4.55</v>
      </c>
      <c r="Q216" s="179"/>
      <c r="R216" s="180"/>
      <c r="S216" s="179"/>
      <c r="T216" s="180"/>
      <c r="U216" s="180"/>
      <c r="V216" s="180"/>
      <c r="W216" s="180"/>
      <c r="X216" s="180"/>
      <c r="Y216" s="180"/>
      <c r="Z216" s="180"/>
      <c r="AA216" s="180"/>
      <c r="AB216" s="180"/>
      <c r="AC216" s="180"/>
      <c r="AD216" s="180"/>
      <c r="AE216" s="180"/>
      <c r="AF216" s="180"/>
      <c r="AG216" s="180"/>
      <c r="AH216" s="180"/>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v>3.1</v>
      </c>
      <c r="BF216" s="162">
        <v>4.8360000000000021</v>
      </c>
      <c r="BG216" s="162">
        <v>0</v>
      </c>
      <c r="BH216" s="162">
        <v>0</v>
      </c>
      <c r="BI216" s="162">
        <v>0</v>
      </c>
      <c r="BJ216" s="162">
        <v>0</v>
      </c>
      <c r="BK216" s="162">
        <v>0</v>
      </c>
      <c r="BL216" s="162">
        <v>0</v>
      </c>
      <c r="BM216" s="162">
        <v>0</v>
      </c>
      <c r="BN216" s="162">
        <v>0</v>
      </c>
      <c r="BO216" s="162"/>
      <c r="BP216" s="162"/>
      <c r="BQ216" s="162">
        <v>0</v>
      </c>
      <c r="BR216" s="162">
        <v>0</v>
      </c>
      <c r="BS216" s="162">
        <v>0</v>
      </c>
      <c r="BT216" s="162">
        <v>0</v>
      </c>
      <c r="BU216" s="162">
        <v>0</v>
      </c>
      <c r="BV216" s="162">
        <v>0</v>
      </c>
      <c r="BW216" s="162"/>
      <c r="BX216" s="162"/>
      <c r="BY216" s="162">
        <v>0</v>
      </c>
      <c r="BZ216" s="162">
        <v>0</v>
      </c>
      <c r="CA216" s="162">
        <v>0</v>
      </c>
      <c r="CB216" s="162">
        <v>0</v>
      </c>
      <c r="CC216" s="162">
        <v>0</v>
      </c>
      <c r="CD216" s="162">
        <v>0</v>
      </c>
      <c r="CE216" s="162">
        <f>VLOOKUP(I216,[120]REV33!$A:$O,11,0)</f>
        <v>0</v>
      </c>
      <c r="CF216" s="162">
        <f>VLOOKUP(I216,[120]REV33!$A:$O,12,0)</f>
        <v>0</v>
      </c>
      <c r="CG216" s="162"/>
      <c r="CH216" s="162"/>
      <c r="CI216" s="162"/>
      <c r="CJ216" s="162"/>
      <c r="CK216" s="162"/>
      <c r="CL216" s="162"/>
      <c r="CM216" s="162"/>
      <c r="CN216" s="162"/>
      <c r="CO216" s="162">
        <v>0</v>
      </c>
      <c r="CP216" s="162">
        <v>0</v>
      </c>
      <c r="CQ216" s="162">
        <v>0</v>
      </c>
      <c r="CR216" s="162">
        <v>0</v>
      </c>
      <c r="CS216" s="209">
        <f>Q216+S216+U216+W216+Y216+AA216+AC216+AE216+AG216+AI216+AK216+AM216+AO216+AQ216+AS216+AU216+AW216+AY216+BA216+BC216+BE216+BG216+BI216+BK216+BM216+BO216+BQ216+BS216+BU216+BW216+BY216+CA216+CC216+CE216+CG216+CI216+CK216+CM216+CO216+CQ216</f>
        <v>3.1</v>
      </c>
      <c r="CT216" s="209">
        <f>R216+T216+V216+X216+Z216+AB216+AD216+AF216+AH216+AJ216+AL216+AN216+AP216+AR216+AT216+AV216+AX216+AZ216+BB216+BD216+BF216+BH216+BJ216+BL216+BN216+BP216+BR216+BT216+BV216+BX216+BZ216+CB216+CD216+CF216+CH216+CJ216+CL216+CN216+CP216+CR216</f>
        <v>4.8360000000000021</v>
      </c>
      <c r="CU216" s="375" t="s">
        <v>1579</v>
      </c>
      <c r="CV216" s="208"/>
      <c r="CW216" s="152">
        <v>3.1</v>
      </c>
      <c r="CX216" s="152">
        <v>4.8360000000000021</v>
      </c>
      <c r="CY216" s="208"/>
      <c r="CZ216" s="208" t="s">
        <v>1581</v>
      </c>
      <c r="DA216" s="152" t="str">
        <f t="shared" ref="DA216:DA228" si="272">IF(CS216&gt;CW216,CS216-CW216,"0")</f>
        <v>0</v>
      </c>
      <c r="DB216" s="152" t="str">
        <f t="shared" ref="DB216:DB228" si="273">IF(CT216&gt;CX216,CT216-CX216,"0")</f>
        <v>0</v>
      </c>
      <c r="DC216" s="153"/>
      <c r="DD216" s="153"/>
      <c r="DE216" s="277"/>
      <c r="DF216" s="213"/>
      <c r="DG216" s="213"/>
      <c r="DH216" s="227"/>
      <c r="DI216" s="153"/>
      <c r="DJ216" s="228"/>
      <c r="DK216" s="227"/>
      <c r="DL216" s="227"/>
      <c r="DM216" s="227"/>
      <c r="DN216" s="227"/>
      <c r="DO216" s="182"/>
      <c r="DP216" s="275"/>
      <c r="DQ216" s="152">
        <f>SUMIF($I:$I,I216,$DJ:$DJ)</f>
        <v>0</v>
      </c>
      <c r="DR216" s="152">
        <f>SUMIF($I:$I,I216,$DK:$DK)</f>
        <v>0</v>
      </c>
      <c r="DS216" s="151"/>
      <c r="DT216" s="275"/>
      <c r="DU216" s="370"/>
      <c r="DV216" s="208"/>
      <c r="DW216" s="208"/>
      <c r="DX216" s="208"/>
      <c r="DY216" s="171"/>
      <c r="DZ216" s="152"/>
      <c r="EA216" s="152"/>
      <c r="EB216" s="153"/>
      <c r="EC216" s="152"/>
      <c r="ED216" s="152"/>
      <c r="EE216" s="396"/>
      <c r="EF216" s="371"/>
      <c r="EG216" s="153"/>
      <c r="EH216" s="153"/>
      <c r="EI216" s="153"/>
      <c r="EJ216" s="153"/>
      <c r="EK216" s="153"/>
      <c r="EL216" s="153"/>
      <c r="EM216" s="153"/>
      <c r="EN216" s="153"/>
      <c r="EO216" s="152">
        <f>SUMIF($I:$I,I216,$EC:$EC)</f>
        <v>0</v>
      </c>
      <c r="EP216" s="151">
        <f>SUMIF($I:$I,I216,$ED:$ED)</f>
        <v>0</v>
      </c>
      <c r="EQ216" s="153"/>
      <c r="ER216" s="153"/>
      <c r="ES216" s="153"/>
      <c r="ET216" s="153"/>
      <c r="EU216" s="152">
        <f t="shared" ref="EU216:EU228" si="274">DQ216+EO216</f>
        <v>0</v>
      </c>
      <c r="EV216" s="152">
        <f t="shared" ref="EV216:EV228" si="275">DR216+EP216</f>
        <v>0</v>
      </c>
      <c r="EW216" s="152">
        <f t="shared" ref="EW216:EW228" si="276">DA216-EU216</f>
        <v>0</v>
      </c>
      <c r="EX216" s="152">
        <f t="shared" ref="EX216:EX228" si="277">DB216-EV216</f>
        <v>0</v>
      </c>
      <c r="EY216" s="151" t="str">
        <f t="shared" ref="EY216:EY228" si="278">IF(EW216&lt;0,"Thừa",IF(EW216=0,"Đủ","Thiếu"))</f>
        <v>Đủ</v>
      </c>
      <c r="EZ216" s="152"/>
      <c r="FA216" s="372"/>
      <c r="FB216" s="373"/>
      <c r="FC216" s="367"/>
      <c r="FD216" s="374"/>
      <c r="FE216" s="183"/>
      <c r="FF216" s="184"/>
      <c r="FG216" s="185"/>
      <c r="FH216" s="185"/>
    </row>
    <row r="217" spans="1:164" s="157" customFormat="1" ht="14" hidden="1" customHeight="1">
      <c r="A217" s="208" t="str">
        <f t="shared" si="248"/>
        <v>Hiện</v>
      </c>
      <c r="B217" s="151" t="str">
        <f t="shared" si="270"/>
        <v>Thừa</v>
      </c>
      <c r="C217" s="409">
        <f t="shared" si="271"/>
        <v>-0.29749999999999999</v>
      </c>
      <c r="D217" s="151"/>
      <c r="E217" s="400"/>
      <c r="F217" s="151"/>
      <c r="G217" s="151"/>
      <c r="H217" s="151"/>
      <c r="I217" s="164" t="s">
        <v>1564</v>
      </c>
      <c r="J217" s="164" t="s">
        <v>235</v>
      </c>
      <c r="K217" s="171" t="s">
        <v>1565</v>
      </c>
      <c r="L217" s="426" t="s">
        <v>74</v>
      </c>
      <c r="M217" s="163" t="s">
        <v>44</v>
      </c>
      <c r="N217" s="172">
        <f>7.93*1</f>
        <v>7.93</v>
      </c>
      <c r="O217" s="177">
        <f t="shared" ref="O217:O219" si="279">+P217/N217</f>
        <v>5.1702395964691054E-2</v>
      </c>
      <c r="P217" s="172">
        <v>0.41000000000000003</v>
      </c>
      <c r="Q217" s="179"/>
      <c r="R217" s="180"/>
      <c r="S217" s="179"/>
      <c r="T217" s="180"/>
      <c r="U217" s="180"/>
      <c r="V217" s="180"/>
      <c r="W217" s="180"/>
      <c r="X217" s="180"/>
      <c r="Y217" s="180"/>
      <c r="Z217" s="180"/>
      <c r="AA217" s="180"/>
      <c r="AB217" s="180"/>
      <c r="AC217" s="180"/>
      <c r="AD217" s="180"/>
      <c r="AE217" s="180"/>
      <c r="AF217" s="180"/>
      <c r="AG217" s="180"/>
      <c r="AH217" s="180"/>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v>0.13999999999999999</v>
      </c>
      <c r="BF217" s="162">
        <v>1.1101999999999999</v>
      </c>
      <c r="BG217" s="162">
        <v>0</v>
      </c>
      <c r="BH217" s="162">
        <v>0</v>
      </c>
      <c r="BI217" s="162">
        <v>0</v>
      </c>
      <c r="BJ217" s="162">
        <v>0</v>
      </c>
      <c r="BK217" s="162">
        <v>0</v>
      </c>
      <c r="BL217" s="162">
        <v>0</v>
      </c>
      <c r="BM217" s="162">
        <v>0</v>
      </c>
      <c r="BN217" s="162">
        <v>0</v>
      </c>
      <c r="BO217" s="162"/>
      <c r="BP217" s="162"/>
      <c r="BQ217" s="162">
        <v>0</v>
      </c>
      <c r="BR217" s="162">
        <v>0</v>
      </c>
      <c r="BS217" s="162">
        <v>0</v>
      </c>
      <c r="BT217" s="162">
        <v>0</v>
      </c>
      <c r="BU217" s="162">
        <v>0</v>
      </c>
      <c r="BV217" s="162">
        <v>0</v>
      </c>
      <c r="BW217" s="162"/>
      <c r="BX217" s="162"/>
      <c r="BY217" s="162">
        <v>0</v>
      </c>
      <c r="BZ217" s="162">
        <v>0</v>
      </c>
      <c r="CA217" s="162">
        <v>0</v>
      </c>
      <c r="CB217" s="162">
        <v>0</v>
      </c>
      <c r="CC217" s="162">
        <v>0</v>
      </c>
      <c r="CD217" s="162">
        <v>0</v>
      </c>
      <c r="CE217" s="162">
        <f>VLOOKUP(I217,[120]REV33!$A:$O,11,0)</f>
        <v>0</v>
      </c>
      <c r="CF217" s="162">
        <f>VLOOKUP(I217,[120]REV33!$A:$O,12,0)</f>
        <v>0</v>
      </c>
      <c r="CG217" s="162"/>
      <c r="CH217" s="162"/>
      <c r="CI217" s="162"/>
      <c r="CJ217" s="162"/>
      <c r="CK217" s="162"/>
      <c r="CL217" s="162"/>
      <c r="CM217" s="162"/>
      <c r="CN217" s="162"/>
      <c r="CO217" s="162">
        <v>0</v>
      </c>
      <c r="CP217" s="162">
        <v>0</v>
      </c>
      <c r="CQ217" s="162">
        <v>0</v>
      </c>
      <c r="CR217" s="162">
        <v>0</v>
      </c>
      <c r="CS217" s="209">
        <f>Q217+S217+U217+W217+Y217+AA217+AC217+AE217+AG217+AI217+AK217+AM217+AO217+AQ217+AS217+AU217+AW217+AY217+BA217+BC217+BE217+BG217+BI217+BK217+BM217+BO217+BQ217+BS217+BU217+BW217+BY217+CA217+CC217+CE217+CG217+CI217+CK217+CM217+CO217+CQ217</f>
        <v>0.13999999999999999</v>
      </c>
      <c r="CT217" s="209">
        <f>R217+T217+V217+X217+Z217+AB217+AD217+AF217+AH217+AJ217+AL217+AN217+AP217+AR217+AT217+AV217+AX217+AZ217+BB217+BD217+BF217+BH217+BJ217+BL217+BN217+BP217+BR217+BT217+BV217+BX217+BZ217+CB217+CD217+CF217+CH217+CJ217+CL217+CN217+CP217+CR217</f>
        <v>1.1101999999999999</v>
      </c>
      <c r="CU217" s="375" t="s">
        <v>1579</v>
      </c>
      <c r="CV217" s="208"/>
      <c r="CW217" s="152"/>
      <c r="CX217" s="152"/>
      <c r="CY217" s="208"/>
      <c r="CZ217" s="208"/>
      <c r="DA217" s="152">
        <f t="shared" si="272"/>
        <v>0.13999999999999999</v>
      </c>
      <c r="DB217" s="152">
        <f t="shared" si="273"/>
        <v>1.1101999999999999</v>
      </c>
      <c r="DC217" s="153"/>
      <c r="DD217" s="153" t="s">
        <v>1690</v>
      </c>
      <c r="DE217" s="277" t="s">
        <v>1413</v>
      </c>
      <c r="DF217" s="213" t="s">
        <v>1652</v>
      </c>
      <c r="DG217" s="213"/>
      <c r="DH217" s="227">
        <v>3.5</v>
      </c>
      <c r="DI217" s="153">
        <v>45945</v>
      </c>
      <c r="DJ217" s="228">
        <f>1.25*0.35</f>
        <v>0.4375</v>
      </c>
      <c r="DK217" s="227">
        <v>3.5</v>
      </c>
      <c r="DL217" s="227">
        <f>65000/1.1</f>
        <v>59090.909090909088</v>
      </c>
      <c r="DM217" s="181">
        <f>DL217*DK217*1.1</f>
        <v>227500.00000000003</v>
      </c>
      <c r="DN217" s="446">
        <f>(DM217-DO217)/DO217</f>
        <v>0.10000000000000012</v>
      </c>
      <c r="DO217" s="182">
        <f>DL217*DK217</f>
        <v>206818.18181818182</v>
      </c>
      <c r="DP217" s="275">
        <v>45950</v>
      </c>
      <c r="DQ217" s="152">
        <f>SUMIF($I:$I,I217,$DJ:$DJ)</f>
        <v>0.4375</v>
      </c>
      <c r="DR217" s="152">
        <f>SUMIF($I:$I,I217,$DK:$DK)</f>
        <v>3.5</v>
      </c>
      <c r="DS217" s="151"/>
      <c r="DT217" s="275"/>
      <c r="DU217" s="370"/>
      <c r="DV217" s="208"/>
      <c r="DW217" s="208"/>
      <c r="DX217" s="208"/>
      <c r="DY217" s="171"/>
      <c r="DZ217" s="152"/>
      <c r="EA217" s="152"/>
      <c r="EB217" s="153"/>
      <c r="EC217" s="152"/>
      <c r="ED217" s="152"/>
      <c r="EE217" s="396"/>
      <c r="EF217" s="371"/>
      <c r="EG217" s="153"/>
      <c r="EH217" s="153"/>
      <c r="EI217" s="153"/>
      <c r="EJ217" s="153"/>
      <c r="EK217" s="153"/>
      <c r="EL217" s="153"/>
      <c r="EM217" s="153"/>
      <c r="EN217" s="153"/>
      <c r="EO217" s="152">
        <f>SUMIF($I:$I,I217,$EC:$EC)</f>
        <v>0</v>
      </c>
      <c r="EP217" s="151">
        <f>SUMIF($I:$I,I217,$ED:$ED)</f>
        <v>0</v>
      </c>
      <c r="EQ217" s="153"/>
      <c r="ER217" s="153"/>
      <c r="ES217" s="153"/>
      <c r="ET217" s="153"/>
      <c r="EU217" s="152">
        <f t="shared" si="274"/>
        <v>0.4375</v>
      </c>
      <c r="EV217" s="152">
        <f t="shared" si="275"/>
        <v>3.5</v>
      </c>
      <c r="EW217" s="152">
        <f t="shared" si="276"/>
        <v>-0.29749999999999999</v>
      </c>
      <c r="EX217" s="152">
        <f t="shared" si="277"/>
        <v>-2.3898000000000001</v>
      </c>
      <c r="EY217" s="151" t="str">
        <f t="shared" si="278"/>
        <v>Thừa</v>
      </c>
      <c r="EZ217" s="152"/>
      <c r="FA217" s="372"/>
      <c r="FB217" s="373"/>
      <c r="FC217" s="367"/>
      <c r="FD217" s="374"/>
      <c r="FE217" s="183"/>
      <c r="FF217" s="184"/>
      <c r="FG217" s="185"/>
      <c r="FH217" s="185"/>
    </row>
    <row r="218" spans="1:164" s="157" customFormat="1" ht="14" hidden="1" customHeight="1">
      <c r="A218" s="208" t="str">
        <f t="shared" si="248"/>
        <v>Hiện</v>
      </c>
      <c r="B218" s="151" t="str">
        <f t="shared" si="270"/>
        <v>Đủ</v>
      </c>
      <c r="C218" s="409">
        <f t="shared" si="271"/>
        <v>0</v>
      </c>
      <c r="D218" s="151"/>
      <c r="E218" s="400"/>
      <c r="F218" s="151"/>
      <c r="G218" s="151"/>
      <c r="H218" s="151"/>
      <c r="I218" s="164" t="s">
        <v>1566</v>
      </c>
      <c r="J218" s="164" t="s">
        <v>235</v>
      </c>
      <c r="K218" s="171" t="s">
        <v>1567</v>
      </c>
      <c r="L218" s="426" t="s">
        <v>74</v>
      </c>
      <c r="M218" s="163" t="s">
        <v>44</v>
      </c>
      <c r="N218" s="172">
        <f>7.93*5</f>
        <v>39.65</v>
      </c>
      <c r="O218" s="177">
        <f t="shared" si="279"/>
        <v>0.34804539722572514</v>
      </c>
      <c r="P218" s="172">
        <v>13.8</v>
      </c>
      <c r="Q218" s="179"/>
      <c r="R218" s="180"/>
      <c r="S218" s="179"/>
      <c r="T218" s="180"/>
      <c r="U218" s="180"/>
      <c r="V218" s="180"/>
      <c r="W218" s="180"/>
      <c r="X218" s="180"/>
      <c r="Y218" s="180"/>
      <c r="Z218" s="180"/>
      <c r="AA218" s="180"/>
      <c r="AB218" s="180"/>
      <c r="AC218" s="180"/>
      <c r="AD218" s="180"/>
      <c r="AE218" s="180"/>
      <c r="AF218" s="180"/>
      <c r="AG218" s="180"/>
      <c r="AH218" s="180"/>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v>0.47499999999999998</v>
      </c>
      <c r="BF218" s="162">
        <v>18.833749999999998</v>
      </c>
      <c r="BG218" s="162">
        <v>0</v>
      </c>
      <c r="BH218" s="162">
        <v>0</v>
      </c>
      <c r="BI218" s="162">
        <v>0</v>
      </c>
      <c r="BJ218" s="162">
        <v>0</v>
      </c>
      <c r="BK218" s="162">
        <v>0</v>
      </c>
      <c r="BL218" s="162">
        <v>0</v>
      </c>
      <c r="BM218" s="162">
        <v>0</v>
      </c>
      <c r="BN218" s="162">
        <v>0</v>
      </c>
      <c r="BO218" s="162"/>
      <c r="BP218" s="162"/>
      <c r="BQ218" s="162">
        <v>0</v>
      </c>
      <c r="BR218" s="162">
        <v>0</v>
      </c>
      <c r="BS218" s="162">
        <v>0</v>
      </c>
      <c r="BT218" s="162">
        <v>0</v>
      </c>
      <c r="BU218" s="162">
        <v>0</v>
      </c>
      <c r="BV218" s="162">
        <v>0</v>
      </c>
      <c r="BW218" s="162"/>
      <c r="BX218" s="162"/>
      <c r="BY218" s="162">
        <v>0</v>
      </c>
      <c r="BZ218" s="162">
        <v>0</v>
      </c>
      <c r="CA218" s="162">
        <v>0</v>
      </c>
      <c r="CB218" s="162">
        <v>0</v>
      </c>
      <c r="CC218" s="162">
        <v>0</v>
      </c>
      <c r="CD218" s="162">
        <v>0</v>
      </c>
      <c r="CE218" s="162">
        <f>VLOOKUP(I218,[120]REV33!$A:$O,11,0)</f>
        <v>0</v>
      </c>
      <c r="CF218" s="162">
        <f>VLOOKUP(I218,[120]REV33!$A:$O,12,0)</f>
        <v>0</v>
      </c>
      <c r="CG218" s="162"/>
      <c r="CH218" s="162"/>
      <c r="CI218" s="162"/>
      <c r="CJ218" s="162"/>
      <c r="CK218" s="162"/>
      <c r="CL218" s="162"/>
      <c r="CM218" s="162"/>
      <c r="CN218" s="162"/>
      <c r="CO218" s="162">
        <v>0</v>
      </c>
      <c r="CP218" s="162">
        <v>0</v>
      </c>
      <c r="CQ218" s="162">
        <v>0</v>
      </c>
      <c r="CR218" s="162">
        <v>0</v>
      </c>
      <c r="CS218" s="209">
        <f>Q218+S218+U218+W218+Y218+AA218+AC218+AE218+AG218+AI218+AK218+AM218+AO218+AQ218+AS218+AU218+AW218+AY218+BA218+BC218+BE218+BG218+BI218+BK218+BM218+BO218+BQ218+BS218+BU218+BW218+BY218+CA218+CC218+CE218+CG218+CI218+CK218+CM218+CO218+CQ218</f>
        <v>0.47499999999999998</v>
      </c>
      <c r="CT218" s="209">
        <f>R218+T218+V218+X218+Z218+AB218+AD218+AF218+AH218+AJ218+AL218+AN218+AP218+AR218+AT218+AV218+AX218+AZ218+BB218+BD218+BF218+BH218+BJ218+BL218+BN218+BP218+BR218+BT218+BV218+BX218+BZ218+CB218+CD218+CF218+CH218+CJ218+CL218+CN218+CP218+CR218</f>
        <v>18.833749999999998</v>
      </c>
      <c r="CU218" s="375" t="s">
        <v>1579</v>
      </c>
      <c r="CV218" s="208"/>
      <c r="CW218" s="152">
        <v>0.47499999999999998</v>
      </c>
      <c r="CX218" s="152">
        <v>18.833749999999998</v>
      </c>
      <c r="CY218" s="208"/>
      <c r="CZ218" s="208" t="s">
        <v>1581</v>
      </c>
      <c r="DA218" s="152" t="str">
        <f t="shared" si="272"/>
        <v>0</v>
      </c>
      <c r="DB218" s="152" t="str">
        <f t="shared" si="273"/>
        <v>0</v>
      </c>
      <c r="DC218" s="153"/>
      <c r="DD218" s="153"/>
      <c r="DE218" s="277"/>
      <c r="DF218" s="213"/>
      <c r="DG218" s="213"/>
      <c r="DH218" s="227"/>
      <c r="DI218" s="153"/>
      <c r="DJ218" s="228"/>
      <c r="DK218" s="227"/>
      <c r="DL218" s="227"/>
      <c r="DM218" s="227"/>
      <c r="DN218" s="227"/>
      <c r="DO218" s="182"/>
      <c r="DP218" s="275"/>
      <c r="DQ218" s="152">
        <f>SUMIF($I:$I,I218,$DJ:$DJ)</f>
        <v>0</v>
      </c>
      <c r="DR218" s="152">
        <f>SUMIF($I:$I,I218,$DK:$DK)</f>
        <v>0</v>
      </c>
      <c r="DS218" s="151"/>
      <c r="DT218" s="275"/>
      <c r="DU218" s="370"/>
      <c r="DV218" s="208"/>
      <c r="DW218" s="208"/>
      <c r="DX218" s="208"/>
      <c r="DY218" s="171"/>
      <c r="DZ218" s="152"/>
      <c r="EA218" s="152"/>
      <c r="EB218" s="153"/>
      <c r="EC218" s="152"/>
      <c r="ED218" s="152"/>
      <c r="EE218" s="396"/>
      <c r="EF218" s="371"/>
      <c r="EG218" s="153"/>
      <c r="EH218" s="153"/>
      <c r="EI218" s="153"/>
      <c r="EJ218" s="153"/>
      <c r="EK218" s="153"/>
      <c r="EL218" s="153"/>
      <c r="EM218" s="153"/>
      <c r="EN218" s="153"/>
      <c r="EO218" s="152">
        <f>SUMIF($I:$I,I218,$EC:$EC)</f>
        <v>0</v>
      </c>
      <c r="EP218" s="151">
        <f>SUMIF($I:$I,I218,$ED:$ED)</f>
        <v>0</v>
      </c>
      <c r="EQ218" s="153"/>
      <c r="ER218" s="153"/>
      <c r="ES218" s="153"/>
      <c r="ET218" s="153"/>
      <c r="EU218" s="152">
        <f t="shared" si="274"/>
        <v>0</v>
      </c>
      <c r="EV218" s="152">
        <f t="shared" si="275"/>
        <v>0</v>
      </c>
      <c r="EW218" s="152">
        <f t="shared" si="276"/>
        <v>0</v>
      </c>
      <c r="EX218" s="152">
        <f t="shared" si="277"/>
        <v>0</v>
      </c>
      <c r="EY218" s="151" t="str">
        <f t="shared" si="278"/>
        <v>Đủ</v>
      </c>
      <c r="EZ218" s="152"/>
      <c r="FA218" s="372"/>
      <c r="FB218" s="373"/>
      <c r="FC218" s="367"/>
      <c r="FD218" s="374"/>
      <c r="FE218" s="183"/>
      <c r="FF218" s="184"/>
      <c r="FG218" s="185"/>
      <c r="FH218" s="185"/>
    </row>
    <row r="219" spans="1:164" s="157" customFormat="1" ht="14" hidden="1" customHeight="1">
      <c r="A219" s="208" t="str">
        <f t="shared" si="248"/>
        <v>Hiện</v>
      </c>
      <c r="B219" s="151" t="str">
        <f t="shared" si="270"/>
        <v>Thừa</v>
      </c>
      <c r="C219" s="409">
        <f t="shared" si="271"/>
        <v>-0.52499999999999991</v>
      </c>
      <c r="D219" s="151"/>
      <c r="E219" s="400"/>
      <c r="F219" s="151"/>
      <c r="G219" s="151"/>
      <c r="H219" s="151"/>
      <c r="I219" s="164" t="s">
        <v>1568</v>
      </c>
      <c r="J219" s="164" t="s">
        <v>235</v>
      </c>
      <c r="K219" s="171" t="s">
        <v>1569</v>
      </c>
      <c r="L219" s="426" t="s">
        <v>74</v>
      </c>
      <c r="M219" s="163" t="s">
        <v>44</v>
      </c>
      <c r="N219" s="172">
        <f>7.93*40</f>
        <v>317.2</v>
      </c>
      <c r="O219" s="177">
        <f t="shared" si="279"/>
        <v>0.11737074401008829</v>
      </c>
      <c r="P219" s="172">
        <v>37.230000000000004</v>
      </c>
      <c r="Q219" s="179"/>
      <c r="R219" s="180"/>
      <c r="S219" s="179"/>
      <c r="T219" s="180"/>
      <c r="U219" s="180"/>
      <c r="V219" s="180"/>
      <c r="W219" s="180"/>
      <c r="X219" s="180"/>
      <c r="Y219" s="180"/>
      <c r="Z219" s="180"/>
      <c r="AA219" s="180"/>
      <c r="AB219" s="180"/>
      <c r="AC219" s="180"/>
      <c r="AD219" s="180"/>
      <c r="AE219" s="180"/>
      <c r="AF219" s="180"/>
      <c r="AG219" s="180"/>
      <c r="AH219" s="180"/>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v>0.60000000000000009</v>
      </c>
      <c r="BF219" s="162">
        <v>190.32000000000002</v>
      </c>
      <c r="BG219" s="162">
        <v>0</v>
      </c>
      <c r="BH219" s="162">
        <v>0</v>
      </c>
      <c r="BI219" s="162">
        <v>0</v>
      </c>
      <c r="BJ219" s="162">
        <v>0</v>
      </c>
      <c r="BK219" s="162">
        <v>0</v>
      </c>
      <c r="BL219" s="162">
        <v>0</v>
      </c>
      <c r="BM219" s="162">
        <v>0</v>
      </c>
      <c r="BN219" s="162">
        <v>0</v>
      </c>
      <c r="BO219" s="162"/>
      <c r="BP219" s="162"/>
      <c r="BQ219" s="162">
        <v>0</v>
      </c>
      <c r="BR219" s="162">
        <v>0</v>
      </c>
      <c r="BS219" s="162">
        <v>0</v>
      </c>
      <c r="BT219" s="162">
        <v>0</v>
      </c>
      <c r="BU219" s="162">
        <v>0</v>
      </c>
      <c r="BV219" s="162">
        <v>0</v>
      </c>
      <c r="BW219" s="162"/>
      <c r="BX219" s="162"/>
      <c r="BY219" s="162">
        <v>0</v>
      </c>
      <c r="BZ219" s="162">
        <v>0</v>
      </c>
      <c r="CA219" s="162">
        <v>0</v>
      </c>
      <c r="CB219" s="162">
        <v>0</v>
      </c>
      <c r="CC219" s="162">
        <v>0</v>
      </c>
      <c r="CD219" s="162">
        <v>0</v>
      </c>
      <c r="CE219" s="162">
        <f>VLOOKUP(I219,[120]REV33!$A:$O,11,0)</f>
        <v>0</v>
      </c>
      <c r="CF219" s="162">
        <f>VLOOKUP(I219,[120]REV33!$A:$O,12,0)</f>
        <v>0</v>
      </c>
      <c r="CG219" s="162"/>
      <c r="CH219" s="162"/>
      <c r="CI219" s="162"/>
      <c r="CJ219" s="162"/>
      <c r="CK219" s="162"/>
      <c r="CL219" s="162"/>
      <c r="CM219" s="162"/>
      <c r="CN219" s="162"/>
      <c r="CO219" s="162">
        <v>0</v>
      </c>
      <c r="CP219" s="162">
        <v>0</v>
      </c>
      <c r="CQ219" s="162">
        <v>0</v>
      </c>
      <c r="CR219" s="162">
        <v>0</v>
      </c>
      <c r="CS219" s="209">
        <f>Q219+S219+U219+W219+Y219+AA219+AC219+AE219+AG219+AI219+AK219+AM219+AO219+AQ219+AS219+AU219+AW219+AY219+BA219+BC219+BE219+BG219+BI219+BK219+BM219+BO219+BQ219+BS219+BU219+BW219+BY219+CA219+CC219+CE219+CG219+CI219+CK219+CM219+CO219+CQ219</f>
        <v>0.60000000000000009</v>
      </c>
      <c r="CT219" s="209">
        <f>R219+T219+V219+X219+Z219+AB219+AD219+AF219+AH219+AJ219+AL219+AN219+AP219+AR219+AT219+AV219+AX219+AZ219+BB219+BD219+BF219+BH219+BJ219+BL219+BN219+BP219+BR219+BT219+BV219+BX219+BZ219+CB219+CD219+CF219+CH219+CJ219+CL219+CN219+CP219+CR219</f>
        <v>190.32000000000002</v>
      </c>
      <c r="CU219" s="375" t="s">
        <v>1579</v>
      </c>
      <c r="CV219" s="208"/>
      <c r="CW219" s="152"/>
      <c r="CX219" s="152"/>
      <c r="CY219" s="208"/>
      <c r="CZ219" s="208"/>
      <c r="DA219" s="152">
        <f t="shared" si="272"/>
        <v>0.60000000000000009</v>
      </c>
      <c r="DB219" s="152">
        <f t="shared" si="273"/>
        <v>190.32000000000002</v>
      </c>
      <c r="DC219" s="153"/>
      <c r="DD219" s="153" t="s">
        <v>1690</v>
      </c>
      <c r="DE219" s="277" t="s">
        <v>1413</v>
      </c>
      <c r="DF219" s="213" t="s">
        <v>1653</v>
      </c>
      <c r="DG219" s="213"/>
      <c r="DH219" s="227">
        <v>357</v>
      </c>
      <c r="DI219" s="153">
        <v>45945</v>
      </c>
      <c r="DJ219" s="228">
        <f>1.5*0.75</f>
        <v>1.125</v>
      </c>
      <c r="DK219" s="227">
        <v>357</v>
      </c>
      <c r="DL219" s="227">
        <f>78000/1.1</f>
        <v>70909.090909090897</v>
      </c>
      <c r="DM219" s="181">
        <f>DL219*DK219*1.1</f>
        <v>27845999.999999996</v>
      </c>
      <c r="DN219" s="446">
        <f>(DM219-DO219)/DO219</f>
        <v>0.10000000000000007</v>
      </c>
      <c r="DO219" s="182">
        <f>DL219*DK219</f>
        <v>25314545.454545449</v>
      </c>
      <c r="DP219" s="275">
        <v>45950</v>
      </c>
      <c r="DQ219" s="152">
        <f>SUMIF($I:$I,I219,$DJ:$DJ)</f>
        <v>1.125</v>
      </c>
      <c r="DR219" s="152">
        <f>SUMIF($I:$I,I219,$DK:$DK)</f>
        <v>357</v>
      </c>
      <c r="DS219" s="151"/>
      <c r="DT219" s="275"/>
      <c r="DU219" s="370"/>
      <c r="DV219" s="208"/>
      <c r="DW219" s="208"/>
      <c r="DX219" s="208"/>
      <c r="DY219" s="171"/>
      <c r="DZ219" s="152"/>
      <c r="EA219" s="152"/>
      <c r="EB219" s="153"/>
      <c r="EC219" s="152"/>
      <c r="ED219" s="152"/>
      <c r="EE219" s="396"/>
      <c r="EF219" s="371"/>
      <c r="EG219" s="153"/>
      <c r="EH219" s="153"/>
      <c r="EI219" s="153"/>
      <c r="EJ219" s="153"/>
      <c r="EK219" s="153"/>
      <c r="EL219" s="153"/>
      <c r="EM219" s="153"/>
      <c r="EN219" s="153"/>
      <c r="EO219" s="152">
        <f>SUMIF($I:$I,I219,$EC:$EC)</f>
        <v>0</v>
      </c>
      <c r="EP219" s="151">
        <f>SUMIF($I:$I,I219,$ED:$ED)</f>
        <v>0</v>
      </c>
      <c r="EQ219" s="153"/>
      <c r="ER219" s="153"/>
      <c r="ES219" s="153"/>
      <c r="ET219" s="153"/>
      <c r="EU219" s="152">
        <f t="shared" si="274"/>
        <v>1.125</v>
      </c>
      <c r="EV219" s="152">
        <f t="shared" si="275"/>
        <v>357</v>
      </c>
      <c r="EW219" s="152">
        <f t="shared" si="276"/>
        <v>-0.52499999999999991</v>
      </c>
      <c r="EX219" s="152">
        <f t="shared" si="277"/>
        <v>-166.67999999999998</v>
      </c>
      <c r="EY219" s="151" t="str">
        <f t="shared" si="278"/>
        <v>Thừa</v>
      </c>
      <c r="EZ219" s="152"/>
      <c r="FA219" s="372"/>
      <c r="FB219" s="373"/>
      <c r="FC219" s="367"/>
      <c r="FD219" s="374"/>
      <c r="FE219" s="183"/>
      <c r="FF219" s="184"/>
      <c r="FG219" s="185"/>
      <c r="FH219" s="185"/>
    </row>
    <row r="220" spans="1:164" s="157" customFormat="1" ht="14" hidden="1" customHeight="1">
      <c r="A220" s="208" t="str">
        <f t="shared" si="248"/>
        <v>Hiện</v>
      </c>
      <c r="B220" s="151" t="str">
        <f t="shared" si="270"/>
        <v>Đủ</v>
      </c>
      <c r="C220" s="409">
        <f t="shared" si="271"/>
        <v>0</v>
      </c>
      <c r="D220" s="151"/>
      <c r="E220" s="400"/>
      <c r="F220" s="151"/>
      <c r="G220" s="151"/>
      <c r="H220" s="151"/>
      <c r="I220" s="164" t="s">
        <v>1570</v>
      </c>
      <c r="J220" s="164" t="s">
        <v>412</v>
      </c>
      <c r="K220" s="247" t="s">
        <v>1571</v>
      </c>
      <c r="L220" s="426" t="s">
        <v>74</v>
      </c>
      <c r="M220" s="163" t="s">
        <v>61</v>
      </c>
      <c r="N220" s="172">
        <f>10*0.0617283950617284</f>
        <v>0.61728395061728403</v>
      </c>
      <c r="O220" s="248">
        <v>0.66</v>
      </c>
      <c r="P220" s="248">
        <f>+O220*N220</f>
        <v>0.4074074074074075</v>
      </c>
      <c r="Q220" s="179"/>
      <c r="R220" s="180"/>
      <c r="S220" s="179"/>
      <c r="T220" s="180"/>
      <c r="U220" s="180"/>
      <c r="V220" s="180"/>
      <c r="W220" s="180"/>
      <c r="X220" s="180"/>
      <c r="Y220" s="180"/>
      <c r="Z220" s="180"/>
      <c r="AA220" s="180"/>
      <c r="AB220" s="180"/>
      <c r="AC220" s="180"/>
      <c r="AD220" s="180"/>
      <c r="AE220" s="180"/>
      <c r="AF220" s="180"/>
      <c r="AG220" s="180"/>
      <c r="AH220" s="180"/>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v>0.8</v>
      </c>
      <c r="BF220" s="162">
        <v>0.49382716049382724</v>
      </c>
      <c r="BG220" s="162">
        <v>0</v>
      </c>
      <c r="BH220" s="162">
        <v>0</v>
      </c>
      <c r="BI220" s="162">
        <v>0</v>
      </c>
      <c r="BJ220" s="162">
        <v>0</v>
      </c>
      <c r="BK220" s="162">
        <v>0</v>
      </c>
      <c r="BL220" s="162">
        <v>0</v>
      </c>
      <c r="BM220" s="162">
        <v>0</v>
      </c>
      <c r="BN220" s="162">
        <v>0</v>
      </c>
      <c r="BO220" s="162"/>
      <c r="BP220" s="162"/>
      <c r="BQ220" s="162">
        <v>0</v>
      </c>
      <c r="BR220" s="162">
        <v>0</v>
      </c>
      <c r="BS220" s="162">
        <v>0</v>
      </c>
      <c r="BT220" s="162">
        <v>0</v>
      </c>
      <c r="BU220" s="162">
        <v>0</v>
      </c>
      <c r="BV220" s="162">
        <v>0</v>
      </c>
      <c r="BW220" s="162"/>
      <c r="BX220" s="162"/>
      <c r="BY220" s="162">
        <v>0</v>
      </c>
      <c r="BZ220" s="162">
        <v>0</v>
      </c>
      <c r="CA220" s="162">
        <v>0</v>
      </c>
      <c r="CB220" s="162">
        <v>0</v>
      </c>
      <c r="CC220" s="162">
        <v>0</v>
      </c>
      <c r="CD220" s="162">
        <v>0</v>
      </c>
      <c r="CE220" s="162">
        <f>VLOOKUP(I220,[120]REV33!$A:$O,11,0)</f>
        <v>0</v>
      </c>
      <c r="CF220" s="162">
        <f>VLOOKUP(I220,[120]REV33!$A:$O,12,0)</f>
        <v>0</v>
      </c>
      <c r="CG220" s="162"/>
      <c r="CH220" s="162"/>
      <c r="CI220" s="162"/>
      <c r="CJ220" s="162"/>
      <c r="CK220" s="162"/>
      <c r="CL220" s="162"/>
      <c r="CM220" s="162"/>
      <c r="CN220" s="162"/>
      <c r="CO220" s="162">
        <v>0</v>
      </c>
      <c r="CP220" s="162">
        <v>0</v>
      </c>
      <c r="CQ220" s="162">
        <v>0</v>
      </c>
      <c r="CR220" s="162">
        <v>0</v>
      </c>
      <c r="CS220" s="209">
        <f>Q220+S220+U220+W220+Y220+AA220+AC220+AE220+AG220+AI220+AK220+AM220+AO220+AQ220+AS220+AU220+AW220+AY220+BA220+BC220+BE220+BG220+BI220+BK220+BM220+BO220+BQ220+BS220+BU220+BW220+BY220+CA220+CC220+CE220+CG220+CI220+CK220+CM220+CO220+CQ220</f>
        <v>0.8</v>
      </c>
      <c r="CT220" s="209">
        <f>R220+T220+V220+X220+Z220+AB220+AD220+AF220+AH220+AJ220+AL220+AN220+AP220+AR220+AT220+AV220+AX220+AZ220+BB220+BD220+BF220+BH220+BJ220+BL220+BN220+BP220+BR220+BT220+BV220+BX220+BZ220+CB220+CD220+CF220+CH220+CJ220+CL220+CN220+CP220+CR220</f>
        <v>0.49382716049382724</v>
      </c>
      <c r="CU220" s="375" t="s">
        <v>1579</v>
      </c>
      <c r="CV220" s="208"/>
      <c r="CW220" s="152">
        <v>0.8</v>
      </c>
      <c r="CX220" s="152">
        <v>0.49382716049382724</v>
      </c>
      <c r="CY220" s="208"/>
      <c r="CZ220" s="208" t="s">
        <v>1581</v>
      </c>
      <c r="DA220" s="152" t="str">
        <f t="shared" si="272"/>
        <v>0</v>
      </c>
      <c r="DB220" s="152" t="str">
        <f t="shared" si="273"/>
        <v>0</v>
      </c>
      <c r="DC220" s="153"/>
      <c r="DD220" s="153"/>
      <c r="DE220" s="277"/>
      <c r="DF220" s="213"/>
      <c r="DG220" s="213"/>
      <c r="DH220" s="227"/>
      <c r="DI220" s="153"/>
      <c r="DJ220" s="228"/>
      <c r="DK220" s="227"/>
      <c r="DL220" s="227"/>
      <c r="DM220" s="227"/>
      <c r="DN220" s="227"/>
      <c r="DO220" s="182"/>
      <c r="DP220" s="275"/>
      <c r="DQ220" s="152">
        <f>SUMIF($I:$I,I220,$DJ:$DJ)</f>
        <v>0</v>
      </c>
      <c r="DR220" s="152">
        <f>SUMIF($I:$I,I220,$DK:$DK)</f>
        <v>0</v>
      </c>
      <c r="DS220" s="151"/>
      <c r="DT220" s="275"/>
      <c r="DU220" s="370"/>
      <c r="DV220" s="208"/>
      <c r="DW220" s="208"/>
      <c r="DX220" s="208"/>
      <c r="DY220" s="171"/>
      <c r="DZ220" s="152"/>
      <c r="EA220" s="152"/>
      <c r="EB220" s="153"/>
      <c r="EC220" s="152"/>
      <c r="ED220" s="152"/>
      <c r="EE220" s="396"/>
      <c r="EF220" s="371"/>
      <c r="EG220" s="153"/>
      <c r="EH220" s="153"/>
      <c r="EI220" s="153"/>
      <c r="EJ220" s="153"/>
      <c r="EK220" s="153"/>
      <c r="EL220" s="153"/>
      <c r="EM220" s="153"/>
      <c r="EN220" s="153"/>
      <c r="EO220" s="152">
        <f>SUMIF($I:$I,I220,$EC:$EC)</f>
        <v>0</v>
      </c>
      <c r="EP220" s="151">
        <f>SUMIF($I:$I,I220,$ED:$ED)</f>
        <v>0</v>
      </c>
      <c r="EQ220" s="153"/>
      <c r="ER220" s="153"/>
      <c r="ES220" s="153"/>
      <c r="ET220" s="153"/>
      <c r="EU220" s="152">
        <f t="shared" si="274"/>
        <v>0</v>
      </c>
      <c r="EV220" s="152">
        <f t="shared" si="275"/>
        <v>0</v>
      </c>
      <c r="EW220" s="152">
        <f t="shared" si="276"/>
        <v>0</v>
      </c>
      <c r="EX220" s="152">
        <f t="shared" si="277"/>
        <v>0</v>
      </c>
      <c r="EY220" s="151" t="str">
        <f t="shared" si="278"/>
        <v>Đủ</v>
      </c>
      <c r="EZ220" s="152"/>
      <c r="FA220" s="372"/>
      <c r="FB220" s="373"/>
      <c r="FC220" s="367"/>
      <c r="FD220" s="374"/>
      <c r="FE220" s="183"/>
      <c r="FF220" s="184"/>
      <c r="FG220" s="185"/>
      <c r="FH220" s="185"/>
    </row>
    <row r="221" spans="1:164" s="157" customFormat="1" ht="14" hidden="1" customHeight="1">
      <c r="A221" s="208" t="str">
        <f t="shared" si="248"/>
        <v>Hiện</v>
      </c>
      <c r="B221" s="151" t="str">
        <f t="shared" si="270"/>
        <v>Đủ</v>
      </c>
      <c r="C221" s="409">
        <f t="shared" si="271"/>
        <v>0</v>
      </c>
      <c r="D221" s="151"/>
      <c r="E221" s="400"/>
      <c r="F221" s="151"/>
      <c r="G221" s="151"/>
      <c r="H221" s="151"/>
      <c r="I221" s="164" t="s">
        <v>1572</v>
      </c>
      <c r="J221" s="164" t="s">
        <v>412</v>
      </c>
      <c r="K221" s="247" t="s">
        <v>1573</v>
      </c>
      <c r="L221" s="426" t="s">
        <v>74</v>
      </c>
      <c r="M221" s="163" t="s">
        <v>61</v>
      </c>
      <c r="N221" s="172">
        <f>12*0.0740740740740741</f>
        <v>0.88888888888888917</v>
      </c>
      <c r="O221" s="248">
        <v>3.6</v>
      </c>
      <c r="P221" s="248">
        <f>+O221*N221</f>
        <v>3.2000000000000011</v>
      </c>
      <c r="Q221" s="179"/>
      <c r="R221" s="180"/>
      <c r="S221" s="179"/>
      <c r="T221" s="180"/>
      <c r="U221" s="180"/>
      <c r="V221" s="180"/>
      <c r="W221" s="180"/>
      <c r="X221" s="180"/>
      <c r="Y221" s="180"/>
      <c r="Z221" s="180"/>
      <c r="AA221" s="180"/>
      <c r="AB221" s="180"/>
      <c r="AC221" s="180"/>
      <c r="AD221" s="180"/>
      <c r="AE221" s="180"/>
      <c r="AF221" s="180"/>
      <c r="AG221" s="180"/>
      <c r="AH221" s="180"/>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v>4</v>
      </c>
      <c r="BF221" s="162">
        <v>3.5555555555555567</v>
      </c>
      <c r="BG221" s="162">
        <v>0</v>
      </c>
      <c r="BH221" s="162">
        <v>0</v>
      </c>
      <c r="BI221" s="162">
        <v>0</v>
      </c>
      <c r="BJ221" s="162">
        <v>0</v>
      </c>
      <c r="BK221" s="162">
        <v>0</v>
      </c>
      <c r="BL221" s="162">
        <v>0</v>
      </c>
      <c r="BM221" s="162">
        <v>0</v>
      </c>
      <c r="BN221" s="162">
        <v>0</v>
      </c>
      <c r="BO221" s="162"/>
      <c r="BP221" s="162"/>
      <c r="BQ221" s="162">
        <v>0</v>
      </c>
      <c r="BR221" s="162">
        <v>0</v>
      </c>
      <c r="BS221" s="162">
        <v>0</v>
      </c>
      <c r="BT221" s="162">
        <v>0</v>
      </c>
      <c r="BU221" s="162">
        <v>0</v>
      </c>
      <c r="BV221" s="162">
        <v>0</v>
      </c>
      <c r="BW221" s="162"/>
      <c r="BX221" s="162"/>
      <c r="BY221" s="162">
        <v>0</v>
      </c>
      <c r="BZ221" s="162">
        <v>0</v>
      </c>
      <c r="CA221" s="162">
        <v>0</v>
      </c>
      <c r="CB221" s="162">
        <v>0</v>
      </c>
      <c r="CC221" s="162">
        <v>0</v>
      </c>
      <c r="CD221" s="162">
        <v>0</v>
      </c>
      <c r="CE221" s="162">
        <f>VLOOKUP(I221,[120]REV33!$A:$O,11,0)</f>
        <v>0</v>
      </c>
      <c r="CF221" s="162">
        <f>VLOOKUP(I221,[120]REV33!$A:$O,12,0)</f>
        <v>0</v>
      </c>
      <c r="CG221" s="162"/>
      <c r="CH221" s="162"/>
      <c r="CI221" s="162"/>
      <c r="CJ221" s="162"/>
      <c r="CK221" s="162"/>
      <c r="CL221" s="162"/>
      <c r="CM221" s="162"/>
      <c r="CN221" s="162"/>
      <c r="CO221" s="162">
        <v>0</v>
      </c>
      <c r="CP221" s="162">
        <v>0</v>
      </c>
      <c r="CQ221" s="162">
        <v>0</v>
      </c>
      <c r="CR221" s="162">
        <v>0</v>
      </c>
      <c r="CS221" s="209">
        <f>Q221+S221+U221+W221+Y221+AA221+AC221+AE221+AG221+AI221+AK221+AM221+AO221+AQ221+AS221+AU221+AW221+AY221+BA221+BC221+BE221+BG221+BI221+BK221+BM221+BO221+BQ221+BS221+BU221+BW221+BY221+CA221+CC221+CE221+CG221+CI221+CK221+CM221+CO221+CQ221</f>
        <v>4</v>
      </c>
      <c r="CT221" s="209">
        <f>R221+T221+V221+X221+Z221+AB221+AD221+AF221+AH221+AJ221+AL221+AN221+AP221+AR221+AT221+AV221+AX221+AZ221+BB221+BD221+BF221+BH221+BJ221+BL221+BN221+BP221+BR221+BT221+BV221+BX221+BZ221+CB221+CD221+CF221+CH221+CJ221+CL221+CN221+CP221+CR221</f>
        <v>3.5555555555555567</v>
      </c>
      <c r="CU221" s="375" t="s">
        <v>1579</v>
      </c>
      <c r="CV221" s="208"/>
      <c r="CW221" s="152"/>
      <c r="CX221" s="152"/>
      <c r="CY221" s="208"/>
      <c r="CZ221" s="208"/>
      <c r="DA221" s="152">
        <f t="shared" si="272"/>
        <v>4</v>
      </c>
      <c r="DB221" s="152">
        <f t="shared" si="273"/>
        <v>3.5555555555555567</v>
      </c>
      <c r="DC221" s="153"/>
      <c r="DD221" s="153" t="s">
        <v>1690</v>
      </c>
      <c r="DE221" s="277" t="s">
        <v>1413</v>
      </c>
      <c r="DF221" s="213" t="s">
        <v>1654</v>
      </c>
      <c r="DG221" s="213"/>
      <c r="DH221" s="227">
        <v>3.6</v>
      </c>
      <c r="DI221" s="153">
        <v>45945</v>
      </c>
      <c r="DJ221" s="228">
        <v>4</v>
      </c>
      <c r="DK221" s="227">
        <v>3.6</v>
      </c>
      <c r="DL221" s="227">
        <f>75000/1.1</f>
        <v>68181.818181818177</v>
      </c>
      <c r="DM221" s="181">
        <f>DL221*DK221*1.1</f>
        <v>270000</v>
      </c>
      <c r="DN221" s="446">
        <f>(DM221-DO221)/DO221</f>
        <v>0.10000000000000006</v>
      </c>
      <c r="DO221" s="182">
        <f>DL221*DK221</f>
        <v>245454.54545454544</v>
      </c>
      <c r="DP221" s="275">
        <v>45950</v>
      </c>
      <c r="DQ221" s="152">
        <f>SUMIF($I:$I,I221,$DJ:$DJ)</f>
        <v>4</v>
      </c>
      <c r="DR221" s="152">
        <f>SUMIF($I:$I,I221,$DK:$DK)</f>
        <v>3.6</v>
      </c>
      <c r="DS221" s="151"/>
      <c r="DT221" s="275"/>
      <c r="DU221" s="370"/>
      <c r="DV221" s="208"/>
      <c r="DW221" s="208"/>
      <c r="DX221" s="208"/>
      <c r="DY221" s="171"/>
      <c r="DZ221" s="152"/>
      <c r="EA221" s="152"/>
      <c r="EB221" s="153"/>
      <c r="EC221" s="152"/>
      <c r="ED221" s="152"/>
      <c r="EE221" s="396"/>
      <c r="EF221" s="371"/>
      <c r="EG221" s="153"/>
      <c r="EH221" s="153"/>
      <c r="EI221" s="153"/>
      <c r="EJ221" s="153"/>
      <c r="EK221" s="153"/>
      <c r="EL221" s="153"/>
      <c r="EM221" s="153"/>
      <c r="EN221" s="153"/>
      <c r="EO221" s="152">
        <f>SUMIF($I:$I,I221,$EC:$EC)</f>
        <v>0</v>
      </c>
      <c r="EP221" s="151">
        <f>SUMIF($I:$I,I221,$ED:$ED)</f>
        <v>0</v>
      </c>
      <c r="EQ221" s="153"/>
      <c r="ER221" s="153"/>
      <c r="ES221" s="153"/>
      <c r="ET221" s="153"/>
      <c r="EU221" s="152">
        <f t="shared" si="274"/>
        <v>4</v>
      </c>
      <c r="EV221" s="152">
        <f t="shared" si="275"/>
        <v>3.6</v>
      </c>
      <c r="EW221" s="152">
        <f t="shared" si="276"/>
        <v>0</v>
      </c>
      <c r="EX221" s="152">
        <f t="shared" si="277"/>
        <v>-4.4444444444443398E-2</v>
      </c>
      <c r="EY221" s="151" t="str">
        <f t="shared" si="278"/>
        <v>Đủ</v>
      </c>
      <c r="EZ221" s="152"/>
      <c r="FA221" s="372"/>
      <c r="FB221" s="373"/>
      <c r="FC221" s="367"/>
      <c r="FD221" s="374"/>
      <c r="FE221" s="183"/>
      <c r="FF221" s="184"/>
      <c r="FG221" s="185"/>
      <c r="FH221" s="185"/>
    </row>
    <row r="222" spans="1:164" s="157" customFormat="1" ht="14" hidden="1" customHeight="1">
      <c r="A222" s="208" t="str">
        <f t="shared" si="248"/>
        <v>Hiện</v>
      </c>
      <c r="B222" s="151" t="str">
        <f t="shared" si="270"/>
        <v>Đủ</v>
      </c>
      <c r="C222" s="409">
        <f t="shared" si="271"/>
        <v>0</v>
      </c>
      <c r="D222" s="151"/>
      <c r="E222" s="400"/>
      <c r="F222" s="151"/>
      <c r="G222" s="151"/>
      <c r="H222" s="151"/>
      <c r="I222" s="164" t="s">
        <v>1574</v>
      </c>
      <c r="J222" s="164" t="s">
        <v>412</v>
      </c>
      <c r="K222" s="247" t="s">
        <v>1575</v>
      </c>
      <c r="L222" s="426" t="s">
        <v>74</v>
      </c>
      <c r="M222" s="163" t="s">
        <v>61</v>
      </c>
      <c r="N222" s="172">
        <f>15*0.0925925925925926</f>
        <v>1.3888888888888891</v>
      </c>
      <c r="O222" s="248">
        <v>4.01</v>
      </c>
      <c r="P222" s="248">
        <v>5.5</v>
      </c>
      <c r="Q222" s="179"/>
      <c r="R222" s="180"/>
      <c r="S222" s="179"/>
      <c r="T222" s="180"/>
      <c r="U222" s="180"/>
      <c r="V222" s="180"/>
      <c r="W222" s="180"/>
      <c r="X222" s="180"/>
      <c r="Y222" s="180"/>
      <c r="Z222" s="180"/>
      <c r="AA222" s="180"/>
      <c r="AB222" s="180"/>
      <c r="AC222" s="180"/>
      <c r="AD222" s="180"/>
      <c r="AE222" s="180"/>
      <c r="AF222" s="180"/>
      <c r="AG222" s="180"/>
      <c r="AH222" s="180"/>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v>4.0999999999999996</v>
      </c>
      <c r="BF222" s="162">
        <v>5.6944444444444446</v>
      </c>
      <c r="BG222" s="162">
        <v>0</v>
      </c>
      <c r="BH222" s="162">
        <v>0</v>
      </c>
      <c r="BI222" s="162">
        <v>0</v>
      </c>
      <c r="BJ222" s="162">
        <v>0</v>
      </c>
      <c r="BK222" s="162">
        <v>0</v>
      </c>
      <c r="BL222" s="162">
        <v>0</v>
      </c>
      <c r="BM222" s="162">
        <v>0</v>
      </c>
      <c r="BN222" s="162">
        <v>0</v>
      </c>
      <c r="BO222" s="162"/>
      <c r="BP222" s="162"/>
      <c r="BQ222" s="162">
        <v>0</v>
      </c>
      <c r="BR222" s="162">
        <v>0</v>
      </c>
      <c r="BS222" s="162">
        <v>0</v>
      </c>
      <c r="BT222" s="162">
        <v>0</v>
      </c>
      <c r="BU222" s="162">
        <v>0</v>
      </c>
      <c r="BV222" s="162">
        <v>0</v>
      </c>
      <c r="BW222" s="162"/>
      <c r="BX222" s="162"/>
      <c r="BY222" s="162">
        <v>0</v>
      </c>
      <c r="BZ222" s="162">
        <v>0</v>
      </c>
      <c r="CA222" s="162">
        <v>0</v>
      </c>
      <c r="CB222" s="162">
        <v>0</v>
      </c>
      <c r="CC222" s="162">
        <v>0</v>
      </c>
      <c r="CD222" s="162">
        <v>0</v>
      </c>
      <c r="CE222" s="162">
        <f>VLOOKUP(I222,[120]REV33!$A:$O,11,0)</f>
        <v>0</v>
      </c>
      <c r="CF222" s="162">
        <f>VLOOKUP(I222,[120]REV33!$A:$O,12,0)</f>
        <v>0</v>
      </c>
      <c r="CG222" s="162"/>
      <c r="CH222" s="162"/>
      <c r="CI222" s="162"/>
      <c r="CJ222" s="162"/>
      <c r="CK222" s="162"/>
      <c r="CL222" s="162"/>
      <c r="CM222" s="162"/>
      <c r="CN222" s="162"/>
      <c r="CO222" s="162">
        <v>0</v>
      </c>
      <c r="CP222" s="162">
        <v>0</v>
      </c>
      <c r="CQ222" s="162">
        <v>0</v>
      </c>
      <c r="CR222" s="162">
        <v>0</v>
      </c>
      <c r="CS222" s="209">
        <f>Q222+S222+U222+W222+Y222+AA222+AC222+AE222+AG222+AI222+AK222+AM222+AO222+AQ222+AS222+AU222+AW222+AY222+BA222+BC222+BE222+BG222+BI222+BK222+BM222+BO222+BQ222+BS222+BU222+BW222+BY222+CA222+CC222+CE222+CG222+CI222+CK222+CM222+CO222+CQ222</f>
        <v>4.0999999999999996</v>
      </c>
      <c r="CT222" s="209">
        <f>R222+T222+V222+X222+Z222+AB222+AD222+AF222+AH222+AJ222+AL222+AN222+AP222+AR222+AT222+AV222+AX222+AZ222+BB222+BD222+BF222+BH222+BJ222+BL222+BN222+BP222+BR222+BT222+BV222+BX222+BZ222+CB222+CD222+CF222+CH222+CJ222+CL222+CN222+CP222+CR222</f>
        <v>5.6944444444444446</v>
      </c>
      <c r="CU222" s="375" t="s">
        <v>1579</v>
      </c>
      <c r="CV222" s="208"/>
      <c r="CW222" s="152">
        <v>4.0999999999999996</v>
      </c>
      <c r="CX222" s="152">
        <v>5.6944444444444446</v>
      </c>
      <c r="CY222" s="208"/>
      <c r="CZ222" s="208" t="s">
        <v>1581</v>
      </c>
      <c r="DA222" s="152" t="str">
        <f t="shared" si="272"/>
        <v>0</v>
      </c>
      <c r="DB222" s="152" t="str">
        <f t="shared" si="273"/>
        <v>0</v>
      </c>
      <c r="DC222" s="153"/>
      <c r="DD222" s="153"/>
      <c r="DE222" s="277"/>
      <c r="DF222" s="213"/>
      <c r="DG222" s="213"/>
      <c r="DH222" s="227"/>
      <c r="DI222" s="153"/>
      <c r="DJ222" s="228"/>
      <c r="DK222" s="227"/>
      <c r="DL222" s="227"/>
      <c r="DM222" s="227"/>
      <c r="DN222" s="227"/>
      <c r="DO222" s="182"/>
      <c r="DP222" s="275"/>
      <c r="DQ222" s="152">
        <f>SUMIF($I:$I,I222,$DJ:$DJ)</f>
        <v>0</v>
      </c>
      <c r="DR222" s="152">
        <f>SUMIF($I:$I,I222,$DK:$DK)</f>
        <v>0</v>
      </c>
      <c r="DS222" s="151"/>
      <c r="DT222" s="275"/>
      <c r="DU222" s="370"/>
      <c r="DV222" s="208"/>
      <c r="DW222" s="208"/>
      <c r="DX222" s="208"/>
      <c r="DY222" s="171"/>
      <c r="DZ222" s="152"/>
      <c r="EA222" s="152"/>
      <c r="EB222" s="153"/>
      <c r="EC222" s="152"/>
      <c r="ED222" s="152"/>
      <c r="EE222" s="396"/>
      <c r="EF222" s="371"/>
      <c r="EG222" s="153"/>
      <c r="EH222" s="153"/>
      <c r="EI222" s="153"/>
      <c r="EJ222" s="153"/>
      <c r="EK222" s="153"/>
      <c r="EL222" s="153"/>
      <c r="EM222" s="153"/>
      <c r="EN222" s="153"/>
      <c r="EO222" s="152">
        <f>SUMIF($I:$I,I222,$EC:$EC)</f>
        <v>0</v>
      </c>
      <c r="EP222" s="151">
        <f>SUMIF($I:$I,I222,$ED:$ED)</f>
        <v>0</v>
      </c>
      <c r="EQ222" s="153"/>
      <c r="ER222" s="153"/>
      <c r="ES222" s="153"/>
      <c r="ET222" s="153"/>
      <c r="EU222" s="152">
        <f t="shared" si="274"/>
        <v>0</v>
      </c>
      <c r="EV222" s="152">
        <f t="shared" si="275"/>
        <v>0</v>
      </c>
      <c r="EW222" s="152">
        <f t="shared" si="276"/>
        <v>0</v>
      </c>
      <c r="EX222" s="152">
        <f t="shared" si="277"/>
        <v>0</v>
      </c>
      <c r="EY222" s="151" t="str">
        <f t="shared" si="278"/>
        <v>Đủ</v>
      </c>
      <c r="EZ222" s="152"/>
      <c r="FA222" s="372"/>
      <c r="FB222" s="373"/>
      <c r="FC222" s="367"/>
      <c r="FD222" s="374"/>
      <c r="FE222" s="183"/>
      <c r="FF222" s="184"/>
      <c r="FG222" s="185"/>
      <c r="FH222" s="185"/>
    </row>
    <row r="223" spans="1:164" s="157" customFormat="1" ht="14" hidden="1" customHeight="1">
      <c r="A223" s="208" t="str">
        <f t="shared" si="248"/>
        <v>Hiện</v>
      </c>
      <c r="B223" s="151" t="str">
        <f t="shared" si="270"/>
        <v>Đủ</v>
      </c>
      <c r="C223" s="409">
        <f t="shared" si="271"/>
        <v>0</v>
      </c>
      <c r="D223" s="151"/>
      <c r="E223" s="400"/>
      <c r="F223" s="151"/>
      <c r="G223" s="151"/>
      <c r="H223" s="151"/>
      <c r="I223" s="164" t="s">
        <v>1576</v>
      </c>
      <c r="J223" s="164" t="s">
        <v>412</v>
      </c>
      <c r="K223" s="247" t="s">
        <v>1577</v>
      </c>
      <c r="L223" s="426" t="s">
        <v>74</v>
      </c>
      <c r="M223" s="163" t="s">
        <v>61</v>
      </c>
      <c r="N223" s="172">
        <f>20*0.123456790123457</f>
        <v>2.4691358024691401</v>
      </c>
      <c r="O223" s="235">
        <v>0.40500000000000003</v>
      </c>
      <c r="P223" s="248">
        <v>0.9</v>
      </c>
      <c r="Q223" s="179"/>
      <c r="R223" s="180"/>
      <c r="S223" s="179"/>
      <c r="T223" s="180"/>
      <c r="U223" s="180"/>
      <c r="V223" s="180"/>
      <c r="W223" s="180"/>
      <c r="X223" s="180"/>
      <c r="Y223" s="180"/>
      <c r="Z223" s="180"/>
      <c r="AA223" s="180"/>
      <c r="AB223" s="180"/>
      <c r="AC223" s="180"/>
      <c r="AD223" s="180"/>
      <c r="AE223" s="180"/>
      <c r="AF223" s="180"/>
      <c r="AG223" s="180"/>
      <c r="AH223" s="180"/>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v>0.5</v>
      </c>
      <c r="BF223" s="162">
        <v>1.2345679012345701</v>
      </c>
      <c r="BG223" s="162">
        <v>0</v>
      </c>
      <c r="BH223" s="162">
        <v>0</v>
      </c>
      <c r="BI223" s="162">
        <v>0</v>
      </c>
      <c r="BJ223" s="162">
        <v>0</v>
      </c>
      <c r="BK223" s="162">
        <v>0</v>
      </c>
      <c r="BL223" s="162">
        <v>0</v>
      </c>
      <c r="BM223" s="162">
        <v>0</v>
      </c>
      <c r="BN223" s="162">
        <v>0</v>
      </c>
      <c r="BO223" s="162"/>
      <c r="BP223" s="162"/>
      <c r="BQ223" s="162">
        <v>0</v>
      </c>
      <c r="BR223" s="162">
        <v>0</v>
      </c>
      <c r="BS223" s="162">
        <v>0</v>
      </c>
      <c r="BT223" s="162">
        <v>0</v>
      </c>
      <c r="BU223" s="162">
        <v>0</v>
      </c>
      <c r="BV223" s="162">
        <v>0</v>
      </c>
      <c r="BW223" s="162"/>
      <c r="BX223" s="162"/>
      <c r="BY223" s="162">
        <v>0</v>
      </c>
      <c r="BZ223" s="162">
        <v>0</v>
      </c>
      <c r="CA223" s="162">
        <v>0</v>
      </c>
      <c r="CB223" s="162">
        <v>0</v>
      </c>
      <c r="CC223" s="162">
        <v>0</v>
      </c>
      <c r="CD223" s="162">
        <v>0</v>
      </c>
      <c r="CE223" s="162">
        <f>VLOOKUP(I223,[120]REV33!$A:$O,11,0)</f>
        <v>0</v>
      </c>
      <c r="CF223" s="162">
        <f>VLOOKUP(I223,[120]REV33!$A:$O,12,0)</f>
        <v>0</v>
      </c>
      <c r="CG223" s="162"/>
      <c r="CH223" s="162"/>
      <c r="CI223" s="162"/>
      <c r="CJ223" s="162"/>
      <c r="CK223" s="162"/>
      <c r="CL223" s="162"/>
      <c r="CM223" s="162"/>
      <c r="CN223" s="162"/>
      <c r="CO223" s="162">
        <v>0</v>
      </c>
      <c r="CP223" s="162">
        <v>0</v>
      </c>
      <c r="CQ223" s="162">
        <v>0</v>
      </c>
      <c r="CR223" s="162">
        <v>0</v>
      </c>
      <c r="CS223" s="209">
        <f>Q223+S223+U223+W223+Y223+AA223+AC223+AE223+AG223+AI223+AK223+AM223+AO223+AQ223+AS223+AU223+AW223+AY223+BA223+BC223+BE223+BG223+BI223+BK223+BM223+BO223+BQ223+BS223+BU223+BW223+BY223+CA223+CC223+CE223+CG223+CI223+CK223+CM223+CO223+CQ223</f>
        <v>0.5</v>
      </c>
      <c r="CT223" s="209">
        <f>R223+T223+V223+X223+Z223+AB223+AD223+AF223+AH223+AJ223+AL223+AN223+AP223+AR223+AT223+AV223+AX223+AZ223+BB223+BD223+BF223+BH223+BJ223+BL223+BN223+BP223+BR223+BT223+BV223+BX223+BZ223+CB223+CD223+CF223+CH223+CJ223+CL223+CN223+CP223+CR223</f>
        <v>1.2345679012345701</v>
      </c>
      <c r="CU223" s="375" t="s">
        <v>1579</v>
      </c>
      <c r="CV223" s="208"/>
      <c r="CW223" s="152">
        <v>0.5</v>
      </c>
      <c r="CX223" s="152">
        <v>1.2345679012345701</v>
      </c>
      <c r="CY223" s="208"/>
      <c r="CZ223" s="208" t="s">
        <v>1581</v>
      </c>
      <c r="DA223" s="152" t="str">
        <f t="shared" si="272"/>
        <v>0</v>
      </c>
      <c r="DB223" s="152" t="str">
        <f t="shared" si="273"/>
        <v>0</v>
      </c>
      <c r="DC223" s="153"/>
      <c r="DD223" s="153"/>
      <c r="DE223" s="277"/>
      <c r="DF223" s="213"/>
      <c r="DG223" s="213"/>
      <c r="DH223" s="227"/>
      <c r="DI223" s="153"/>
      <c r="DJ223" s="228"/>
      <c r="DK223" s="227"/>
      <c r="DL223" s="227"/>
      <c r="DM223" s="227"/>
      <c r="DN223" s="227"/>
      <c r="DO223" s="182"/>
      <c r="DP223" s="275"/>
      <c r="DQ223" s="152">
        <f>SUMIF($I:$I,I223,$DJ:$DJ)</f>
        <v>0</v>
      </c>
      <c r="DR223" s="152">
        <f>SUMIF($I:$I,I223,$DK:$DK)</f>
        <v>0</v>
      </c>
      <c r="DS223" s="151"/>
      <c r="DT223" s="275"/>
      <c r="DU223" s="370"/>
      <c r="DV223" s="208"/>
      <c r="DW223" s="208"/>
      <c r="DX223" s="208"/>
      <c r="DY223" s="171"/>
      <c r="DZ223" s="152"/>
      <c r="EA223" s="152"/>
      <c r="EB223" s="153"/>
      <c r="EC223" s="152"/>
      <c r="ED223" s="152"/>
      <c r="EE223" s="396"/>
      <c r="EF223" s="371"/>
      <c r="EG223" s="153"/>
      <c r="EH223" s="153"/>
      <c r="EI223" s="153"/>
      <c r="EJ223" s="153"/>
      <c r="EK223" s="153"/>
      <c r="EL223" s="153"/>
      <c r="EM223" s="153"/>
      <c r="EN223" s="153"/>
      <c r="EO223" s="152">
        <f>SUMIF($I:$I,I223,$EC:$EC)</f>
        <v>0</v>
      </c>
      <c r="EP223" s="151">
        <f>SUMIF($I:$I,I223,$ED:$ED)</f>
        <v>0</v>
      </c>
      <c r="EQ223" s="153"/>
      <c r="ER223" s="153"/>
      <c r="ES223" s="153"/>
      <c r="ET223" s="153"/>
      <c r="EU223" s="152">
        <f t="shared" si="274"/>
        <v>0</v>
      </c>
      <c r="EV223" s="152">
        <f t="shared" si="275"/>
        <v>0</v>
      </c>
      <c r="EW223" s="152">
        <f t="shared" si="276"/>
        <v>0</v>
      </c>
      <c r="EX223" s="152">
        <f t="shared" si="277"/>
        <v>0</v>
      </c>
      <c r="EY223" s="151" t="str">
        <f t="shared" si="278"/>
        <v>Đủ</v>
      </c>
      <c r="EZ223" s="152"/>
      <c r="FA223" s="372"/>
      <c r="FB223" s="373"/>
      <c r="FC223" s="367"/>
      <c r="FD223" s="374"/>
      <c r="FE223" s="183"/>
      <c r="FF223" s="184"/>
      <c r="FG223" s="185"/>
      <c r="FH223" s="185"/>
    </row>
    <row r="224" spans="1:164" s="155" customFormat="1" ht="14" hidden="1" customHeight="1">
      <c r="A224" s="208" t="str">
        <f t="shared" si="248"/>
        <v>Hiện</v>
      </c>
      <c r="B224" s="151" t="str">
        <f t="shared" ref="B224" si="280">EY224</f>
        <v>Đủ</v>
      </c>
      <c r="C224" s="409">
        <f t="shared" ref="C224" si="281">EW224</f>
        <v>0</v>
      </c>
      <c r="D224" s="151"/>
      <c r="E224" s="154"/>
      <c r="F224" s="154"/>
      <c r="G224" s="151"/>
      <c r="H224" s="364"/>
      <c r="I224" s="164" t="s">
        <v>1595</v>
      </c>
      <c r="J224" s="164" t="s">
        <v>1596</v>
      </c>
      <c r="K224" s="247" t="s">
        <v>1597</v>
      </c>
      <c r="L224" s="427">
        <v>2.0320999999999998</v>
      </c>
      <c r="M224" s="163" t="s">
        <v>345</v>
      </c>
      <c r="N224" s="418">
        <f>19.4*0.08</f>
        <v>1.5519999999999998</v>
      </c>
      <c r="O224" s="428">
        <f>0.6*0.3</f>
        <v>0.18</v>
      </c>
      <c r="P224" s="416">
        <f>+O224*N224</f>
        <v>0.27935999999999994</v>
      </c>
      <c r="S224" s="161"/>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v>0.18</v>
      </c>
      <c r="BH224" s="162">
        <v>0.27935999999999994</v>
      </c>
      <c r="BI224" s="162">
        <v>0</v>
      </c>
      <c r="BJ224" s="162">
        <v>0</v>
      </c>
      <c r="BK224" s="162">
        <v>0</v>
      </c>
      <c r="BL224" s="162">
        <v>0</v>
      </c>
      <c r="BM224" s="162">
        <v>0</v>
      </c>
      <c r="BN224" s="162">
        <v>0</v>
      </c>
      <c r="BO224" s="162"/>
      <c r="BP224" s="162"/>
      <c r="BQ224" s="162">
        <v>0</v>
      </c>
      <c r="BR224" s="162">
        <v>0</v>
      </c>
      <c r="BS224" s="162">
        <v>0</v>
      </c>
      <c r="BT224" s="162">
        <v>0</v>
      </c>
      <c r="BU224" s="162">
        <v>0</v>
      </c>
      <c r="BV224" s="162">
        <v>0</v>
      </c>
      <c r="BW224" s="162"/>
      <c r="BX224" s="162"/>
      <c r="BY224" s="162">
        <v>0</v>
      </c>
      <c r="BZ224" s="162">
        <v>0</v>
      </c>
      <c r="CA224" s="162">
        <v>0</v>
      </c>
      <c r="CB224" s="162">
        <v>0</v>
      </c>
      <c r="CC224" s="162">
        <v>0</v>
      </c>
      <c r="CD224" s="162">
        <v>0</v>
      </c>
      <c r="CE224" s="162">
        <f>VLOOKUP(I224,[120]REV33!$A:$O,11,0)</f>
        <v>0</v>
      </c>
      <c r="CF224" s="162">
        <f>VLOOKUP(I224,[120]REV33!$A:$O,12,0)</f>
        <v>0</v>
      </c>
      <c r="CG224" s="162"/>
      <c r="CH224" s="162"/>
      <c r="CI224" s="162"/>
      <c r="CJ224" s="162"/>
      <c r="CK224" s="162"/>
      <c r="CL224" s="162"/>
      <c r="CM224" s="162"/>
      <c r="CN224" s="162"/>
      <c r="CO224" s="162">
        <v>0</v>
      </c>
      <c r="CP224" s="162">
        <v>0</v>
      </c>
      <c r="CQ224" s="162">
        <v>0</v>
      </c>
      <c r="CR224" s="162">
        <v>0</v>
      </c>
      <c r="CS224" s="209">
        <f>Q224+S224+U224+W224+Y224+AA224+AC224+AE224+AG224+AI224+AK224+AM224+AO224+AQ224+AS224+AU224+AW224+AY224+BA224+BC224+BE224+BG224+BI224+BK224+BM224+BO224+BQ224+BS224+BU224+BW224+BY224+CA224+CC224+CE224+CG224+CI224+CK224+CM224+CO224+CQ224</f>
        <v>0.18</v>
      </c>
      <c r="CT224" s="209">
        <f>R224+T224+V224+X224+Z224+AB224+AD224+AF224+AH224+AJ224+AL224+AN224+AP224+AR224+AT224+AV224+AX224+AZ224+BB224+BD224+BF224+BH224+BJ224+BL224+BN224+BP224+BR224+BT224+BV224+BX224+BZ224+CB224+CD224+CF224+CH224+CJ224+CL224+CN224+CP224+CR224</f>
        <v>0.27935999999999994</v>
      </c>
      <c r="CU224" s="206" t="s">
        <v>1644</v>
      </c>
      <c r="CV224" s="156"/>
      <c r="CZ224" s="157"/>
      <c r="DA224" s="152">
        <f t="shared" si="272"/>
        <v>0.18</v>
      </c>
      <c r="DB224" s="152">
        <f t="shared" si="273"/>
        <v>0.27935999999999994</v>
      </c>
      <c r="DC224" s="153"/>
      <c r="DD224" s="158" t="s">
        <v>1699</v>
      </c>
      <c r="DE224" s="158" t="s">
        <v>1672</v>
      </c>
      <c r="DF224" s="247" t="s">
        <v>1597</v>
      </c>
      <c r="DG224" s="175"/>
      <c r="DH224" s="240" t="s">
        <v>477</v>
      </c>
      <c r="DI224" s="159">
        <v>45947</v>
      </c>
      <c r="DJ224" s="429">
        <f>0.3*0.6</f>
        <v>0.18</v>
      </c>
      <c r="DK224" s="240">
        <v>1</v>
      </c>
      <c r="DL224" s="189">
        <v>600000</v>
      </c>
      <c r="DM224" s="181">
        <f t="shared" ref="DM224:DM230" si="282">DL224*DK224*1.1</f>
        <v>660000</v>
      </c>
      <c r="DN224" s="446">
        <f t="shared" ref="DN224:DN230" si="283">(DM224-DO224)/DO224</f>
        <v>0.1</v>
      </c>
      <c r="DO224" s="281">
        <f t="shared" ref="DO224:DO230" si="284">DL224*DK224</f>
        <v>600000</v>
      </c>
      <c r="DP224" s="159">
        <v>45947</v>
      </c>
      <c r="DQ224" s="152">
        <f>SUMIF($I:$I,I224,$DJ:$DJ)</f>
        <v>0.18</v>
      </c>
      <c r="DR224" s="152">
        <f>SUMIF($I:$I,I224,$DK:$DK)</f>
        <v>1</v>
      </c>
      <c r="EO224" s="152">
        <f>SUMIF($I:$I,I224,$EC:$EC)</f>
        <v>0</v>
      </c>
      <c r="EP224" s="151">
        <f>SUMIF($I:$I,I224,$ED:$ED)</f>
        <v>0</v>
      </c>
      <c r="EQ224" s="153"/>
      <c r="ER224" s="153"/>
      <c r="ES224" s="153"/>
      <c r="ET224" s="153"/>
      <c r="EU224" s="152">
        <f t="shared" si="274"/>
        <v>0.18</v>
      </c>
      <c r="EV224" s="152">
        <f t="shared" si="275"/>
        <v>1</v>
      </c>
      <c r="EW224" s="152">
        <f t="shared" si="276"/>
        <v>0</v>
      </c>
      <c r="EX224" s="152">
        <f t="shared" si="277"/>
        <v>-0.72064000000000006</v>
      </c>
      <c r="EY224" s="151" t="str">
        <f t="shared" si="278"/>
        <v>Đủ</v>
      </c>
    </row>
    <row r="225" spans="1:164" s="155" customFormat="1" ht="14" hidden="1" customHeight="1">
      <c r="A225" s="208" t="str">
        <f t="shared" si="248"/>
        <v>Hiện</v>
      </c>
      <c r="B225" s="151" t="str">
        <f t="shared" ref="B225:B227" si="285">EY225</f>
        <v>Thừa</v>
      </c>
      <c r="C225" s="409">
        <f t="shared" ref="C225:C227" si="286">EW225</f>
        <v>-4.0548000000000002</v>
      </c>
      <c r="D225" s="151"/>
      <c r="E225" s="154"/>
      <c r="F225" s="154"/>
      <c r="G225" s="151"/>
      <c r="H225" s="364"/>
      <c r="I225" s="164" t="s">
        <v>1632</v>
      </c>
      <c r="J225" s="164" t="s">
        <v>1633</v>
      </c>
      <c r="K225" s="247" t="s">
        <v>1634</v>
      </c>
      <c r="L225" s="427" t="s">
        <v>87</v>
      </c>
      <c r="M225" s="163" t="s">
        <v>61</v>
      </c>
      <c r="N225" s="418">
        <v>3.6166666666666667</v>
      </c>
      <c r="O225" s="428">
        <v>90.69</v>
      </c>
      <c r="P225" s="416">
        <v>327.99550000000011</v>
      </c>
      <c r="S225" s="161"/>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v>97.9452</v>
      </c>
      <c r="BJ225" s="162">
        <v>354.23514</v>
      </c>
      <c r="BK225" s="162">
        <v>0</v>
      </c>
      <c r="BL225" s="162">
        <v>0</v>
      </c>
      <c r="BM225" s="162">
        <v>0</v>
      </c>
      <c r="BN225" s="162">
        <v>0</v>
      </c>
      <c r="BO225" s="162"/>
      <c r="BP225" s="162"/>
      <c r="BQ225" s="162">
        <v>0</v>
      </c>
      <c r="BR225" s="162">
        <v>0</v>
      </c>
      <c r="BS225" s="162">
        <v>0</v>
      </c>
      <c r="BT225" s="162">
        <v>0</v>
      </c>
      <c r="BU225" s="162">
        <v>0</v>
      </c>
      <c r="BV225" s="162">
        <v>0</v>
      </c>
      <c r="BW225" s="162"/>
      <c r="BX225" s="162"/>
      <c r="BY225" s="162">
        <v>0</v>
      </c>
      <c r="BZ225" s="162">
        <v>0</v>
      </c>
      <c r="CA225" s="162">
        <v>0</v>
      </c>
      <c r="CB225" s="162">
        <v>0</v>
      </c>
      <c r="CC225" s="162">
        <v>0</v>
      </c>
      <c r="CD225" s="162">
        <v>0</v>
      </c>
      <c r="CE225" s="162">
        <f>VLOOKUP(I225,[120]REV33!$A:$O,11,0)</f>
        <v>0</v>
      </c>
      <c r="CF225" s="162">
        <f>VLOOKUP(I225,[120]REV33!$A:$O,12,0)</f>
        <v>0</v>
      </c>
      <c r="CG225" s="162"/>
      <c r="CH225" s="162"/>
      <c r="CI225" s="162"/>
      <c r="CJ225" s="162"/>
      <c r="CK225" s="162"/>
      <c r="CL225" s="162"/>
      <c r="CM225" s="162"/>
      <c r="CN225" s="162"/>
      <c r="CO225" s="162">
        <v>0</v>
      </c>
      <c r="CP225" s="162">
        <v>0</v>
      </c>
      <c r="CQ225" s="162">
        <v>0</v>
      </c>
      <c r="CR225" s="162">
        <v>0</v>
      </c>
      <c r="CS225" s="209">
        <f>Q225+S225+U225+W225+Y225+AA225+AC225+AE225+AG225+AI225+AK225+AM225+AO225+AQ225+AS225+AU225+AW225+AY225+BA225+BC225+BE225+BG225+BI225+BK225+BM225+BO225+BQ225+BS225+BU225+BW225+BY225+CA225+CC225+CE225+CG225+CI225+CK225+CM225+CO225+CQ225</f>
        <v>97.9452</v>
      </c>
      <c r="CT225" s="209">
        <f>R225+T225+V225+X225+Z225+AB225+AD225+AF225+AH225+AJ225+AL225+AN225+AP225+AR225+AT225+AV225+AX225+AZ225+BB225+BD225+BF225+BH225+BJ225+BL225+BN225+BP225+BR225+BT225+BV225+BX225+BZ225+CB225+CD225+CF225+CH225+CJ225+CL225+CN225+CP225+CR225</f>
        <v>354.23514</v>
      </c>
      <c r="CU225" s="206" t="s">
        <v>1645</v>
      </c>
      <c r="CV225" s="156"/>
      <c r="CZ225" s="157"/>
      <c r="DA225" s="152">
        <f t="shared" si="272"/>
        <v>97.9452</v>
      </c>
      <c r="DB225" s="152">
        <f t="shared" si="273"/>
        <v>354.23514</v>
      </c>
      <c r="DC225" s="153"/>
      <c r="DD225" s="158" t="s">
        <v>1696</v>
      </c>
      <c r="DE225" s="156" t="s">
        <v>1003</v>
      </c>
      <c r="DF225" s="247" t="s">
        <v>1655</v>
      </c>
      <c r="DG225" s="175"/>
      <c r="DH225" s="240">
        <v>369</v>
      </c>
      <c r="DI225" s="158">
        <v>45947</v>
      </c>
      <c r="DJ225" s="429">
        <f>17*6</f>
        <v>102</v>
      </c>
      <c r="DK225" s="240">
        <v>369</v>
      </c>
      <c r="DL225" s="189">
        <v>17727.27</v>
      </c>
      <c r="DM225" s="181">
        <f t="shared" si="282"/>
        <v>7195498.8930000002</v>
      </c>
      <c r="DN225" s="446">
        <f t="shared" si="283"/>
        <v>0.10000000000000005</v>
      </c>
      <c r="DO225" s="160">
        <f t="shared" si="284"/>
        <v>6541362.6299999999</v>
      </c>
      <c r="DP225" s="159">
        <v>45948</v>
      </c>
      <c r="DQ225" s="152">
        <f>SUMIF($I:$I,I225,$DJ:$DJ)</f>
        <v>102</v>
      </c>
      <c r="DR225" s="152">
        <f>SUMIF($I:$I,I225,$DK:$DK)</f>
        <v>369</v>
      </c>
      <c r="EO225" s="152">
        <f>SUMIF($I:$I,I225,$EC:$EC)</f>
        <v>0</v>
      </c>
      <c r="EP225" s="151">
        <f>SUMIF($I:$I,I225,$ED:$ED)</f>
        <v>0</v>
      </c>
      <c r="EQ225" s="153"/>
      <c r="ER225" s="153"/>
      <c r="ES225" s="153"/>
      <c r="ET225" s="153"/>
      <c r="EU225" s="152">
        <f t="shared" si="274"/>
        <v>102</v>
      </c>
      <c r="EV225" s="152">
        <f t="shared" si="275"/>
        <v>369</v>
      </c>
      <c r="EW225" s="152">
        <f t="shared" si="276"/>
        <v>-4.0548000000000002</v>
      </c>
      <c r="EX225" s="152">
        <f t="shared" si="277"/>
        <v>-14.764859999999999</v>
      </c>
      <c r="EY225" s="151" t="str">
        <f t="shared" si="278"/>
        <v>Thừa</v>
      </c>
    </row>
    <row r="226" spans="1:164" s="155" customFormat="1" ht="14" hidden="1" customHeight="1">
      <c r="A226" s="208" t="str">
        <f t="shared" si="248"/>
        <v>Hiện</v>
      </c>
      <c r="B226" s="151" t="str">
        <f t="shared" si="285"/>
        <v>Thừa</v>
      </c>
      <c r="C226" s="409">
        <f t="shared" si="286"/>
        <v>-5.2199999999999989</v>
      </c>
      <c r="D226" s="151"/>
      <c r="E226" s="154"/>
      <c r="F226" s="154"/>
      <c r="G226" s="151"/>
      <c r="H226" s="364"/>
      <c r="I226" s="164" t="s">
        <v>1635</v>
      </c>
      <c r="J226" s="164" t="s">
        <v>1633</v>
      </c>
      <c r="K226" s="247" t="s">
        <v>1636</v>
      </c>
      <c r="L226" s="427" t="s">
        <v>87</v>
      </c>
      <c r="M226" s="163" t="s">
        <v>61</v>
      </c>
      <c r="N226" s="418">
        <v>2.99</v>
      </c>
      <c r="O226" s="428">
        <v>28.5</v>
      </c>
      <c r="P226" s="416">
        <v>85.215000000000003</v>
      </c>
      <c r="S226" s="161"/>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v>30.78</v>
      </c>
      <c r="BJ226" s="162">
        <v>92.032200000000003</v>
      </c>
      <c r="BK226" s="162">
        <v>0</v>
      </c>
      <c r="BL226" s="162">
        <v>0</v>
      </c>
      <c r="BM226" s="162">
        <v>0</v>
      </c>
      <c r="BN226" s="162">
        <v>0</v>
      </c>
      <c r="BO226" s="162"/>
      <c r="BP226" s="162"/>
      <c r="BQ226" s="162">
        <v>0</v>
      </c>
      <c r="BR226" s="162">
        <v>0</v>
      </c>
      <c r="BS226" s="162">
        <v>0</v>
      </c>
      <c r="BT226" s="162">
        <v>0</v>
      </c>
      <c r="BU226" s="162">
        <v>0</v>
      </c>
      <c r="BV226" s="162">
        <v>0</v>
      </c>
      <c r="BW226" s="162"/>
      <c r="BX226" s="162"/>
      <c r="BY226" s="162">
        <v>0</v>
      </c>
      <c r="BZ226" s="162">
        <v>0</v>
      </c>
      <c r="CA226" s="162">
        <v>0</v>
      </c>
      <c r="CB226" s="162">
        <v>0</v>
      </c>
      <c r="CC226" s="162">
        <v>0</v>
      </c>
      <c r="CD226" s="162">
        <v>0</v>
      </c>
      <c r="CE226" s="162">
        <f>VLOOKUP(I226,[120]REV33!$A:$O,11,0)</f>
        <v>0</v>
      </c>
      <c r="CF226" s="162">
        <f>VLOOKUP(I226,[120]REV33!$A:$O,12,0)</f>
        <v>0</v>
      </c>
      <c r="CG226" s="162"/>
      <c r="CH226" s="162"/>
      <c r="CI226" s="162"/>
      <c r="CJ226" s="162"/>
      <c r="CK226" s="162"/>
      <c r="CL226" s="162"/>
      <c r="CM226" s="162"/>
      <c r="CN226" s="162"/>
      <c r="CO226" s="162">
        <v>0</v>
      </c>
      <c r="CP226" s="162">
        <v>0</v>
      </c>
      <c r="CQ226" s="162">
        <v>0</v>
      </c>
      <c r="CR226" s="162">
        <v>0</v>
      </c>
      <c r="CS226" s="209">
        <f>Q226+S226+U226+W226+Y226+AA226+AC226+AE226+AG226+AI226+AK226+AM226+AO226+AQ226+AS226+AU226+AW226+AY226+BA226+BC226+BE226+BG226+BI226+BK226+BM226+BO226+BQ226+BS226+BU226+BW226+BY226+CA226+CC226+CE226+CG226+CI226+CK226+CM226+CO226+CQ226</f>
        <v>30.78</v>
      </c>
      <c r="CT226" s="209">
        <f>R226+T226+V226+X226+Z226+AB226+AD226+AF226+AH226+AJ226+AL226+AN226+AP226+AR226+AT226+AV226+AX226+AZ226+BB226+BD226+BF226+BH226+BJ226+BL226+BN226+BP226+BR226+BT226+BV226+BX226+BZ226+CB226+CD226+CF226+CH226+CJ226+CL226+CN226+CP226+CR226</f>
        <v>92.032200000000003</v>
      </c>
      <c r="CU226" s="206" t="s">
        <v>1645</v>
      </c>
      <c r="CV226" s="156"/>
      <c r="CZ226" s="157"/>
      <c r="DA226" s="152">
        <f t="shared" si="272"/>
        <v>30.78</v>
      </c>
      <c r="DB226" s="152">
        <f t="shared" si="273"/>
        <v>92.032200000000003</v>
      </c>
      <c r="DC226" s="153"/>
      <c r="DD226" s="158" t="s">
        <v>1696</v>
      </c>
      <c r="DE226" s="156" t="s">
        <v>1003</v>
      </c>
      <c r="DF226" s="247" t="s">
        <v>1656</v>
      </c>
      <c r="DG226" s="175"/>
      <c r="DH226" s="240">
        <v>108</v>
      </c>
      <c r="DI226" s="158">
        <v>45947</v>
      </c>
      <c r="DJ226" s="429">
        <f>6*6</f>
        <v>36</v>
      </c>
      <c r="DK226" s="240">
        <v>108</v>
      </c>
      <c r="DL226" s="189">
        <v>17727.27</v>
      </c>
      <c r="DM226" s="181">
        <f t="shared" si="282"/>
        <v>2105999.6760000004</v>
      </c>
      <c r="DN226" s="446">
        <f t="shared" si="283"/>
        <v>0.10000000000000014</v>
      </c>
      <c r="DO226" s="160">
        <f t="shared" si="284"/>
        <v>1914545.1600000001</v>
      </c>
      <c r="DP226" s="159">
        <v>45948</v>
      </c>
      <c r="DQ226" s="152">
        <f>SUMIF($I:$I,I226,$DJ:$DJ)</f>
        <v>36</v>
      </c>
      <c r="DR226" s="152">
        <f>SUMIF($I:$I,I226,$DK:$DK)</f>
        <v>108</v>
      </c>
      <c r="EO226" s="152">
        <f>SUMIF($I:$I,I226,$EC:$EC)</f>
        <v>0</v>
      </c>
      <c r="EP226" s="151">
        <f>SUMIF($I:$I,I226,$ED:$ED)</f>
        <v>0</v>
      </c>
      <c r="EQ226" s="153"/>
      <c r="ER226" s="153"/>
      <c r="ES226" s="153"/>
      <c r="ET226" s="153"/>
      <c r="EU226" s="152">
        <f t="shared" si="274"/>
        <v>36</v>
      </c>
      <c r="EV226" s="152">
        <f t="shared" si="275"/>
        <v>108</v>
      </c>
      <c r="EW226" s="152">
        <f t="shared" si="276"/>
        <v>-5.2199999999999989</v>
      </c>
      <c r="EX226" s="152">
        <f t="shared" si="277"/>
        <v>-15.967799999999997</v>
      </c>
      <c r="EY226" s="151" t="str">
        <f t="shared" si="278"/>
        <v>Thừa</v>
      </c>
    </row>
    <row r="227" spans="1:164" s="155" customFormat="1" ht="14" hidden="1" customHeight="1">
      <c r="A227" s="208" t="str">
        <f t="shared" si="248"/>
        <v>Hiện</v>
      </c>
      <c r="B227" s="151" t="str">
        <f t="shared" si="285"/>
        <v>Thừa</v>
      </c>
      <c r="C227" s="409">
        <f t="shared" si="286"/>
        <v>-5.2199999999999989</v>
      </c>
      <c r="D227" s="151"/>
      <c r="E227" s="154"/>
      <c r="F227" s="154"/>
      <c r="G227" s="151"/>
      <c r="H227" s="364"/>
      <c r="I227" s="164" t="s">
        <v>1637</v>
      </c>
      <c r="J227" s="164" t="s">
        <v>1633</v>
      </c>
      <c r="K227" s="247" t="s">
        <v>1638</v>
      </c>
      <c r="L227" s="427" t="s">
        <v>87</v>
      </c>
      <c r="M227" s="163" t="s">
        <v>61</v>
      </c>
      <c r="N227" s="418">
        <v>5.501666666666666</v>
      </c>
      <c r="O227" s="428">
        <v>28.5</v>
      </c>
      <c r="P227" s="416">
        <v>156.79749999999999</v>
      </c>
      <c r="S227" s="161"/>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v>30.78</v>
      </c>
      <c r="BJ227" s="162">
        <v>169.34129999999999</v>
      </c>
      <c r="BK227" s="162">
        <v>0</v>
      </c>
      <c r="BL227" s="162">
        <v>0</v>
      </c>
      <c r="BM227" s="162">
        <v>0</v>
      </c>
      <c r="BN227" s="162">
        <v>0</v>
      </c>
      <c r="BO227" s="162"/>
      <c r="BP227" s="162"/>
      <c r="BQ227" s="162">
        <v>0</v>
      </c>
      <c r="BR227" s="162">
        <v>0</v>
      </c>
      <c r="BS227" s="162">
        <v>0</v>
      </c>
      <c r="BT227" s="162">
        <v>0</v>
      </c>
      <c r="BU227" s="162">
        <v>0</v>
      </c>
      <c r="BV227" s="162">
        <v>0</v>
      </c>
      <c r="BW227" s="162"/>
      <c r="BX227" s="162"/>
      <c r="BY227" s="162">
        <v>0</v>
      </c>
      <c r="BZ227" s="162">
        <v>0</v>
      </c>
      <c r="CA227" s="162">
        <v>0</v>
      </c>
      <c r="CB227" s="162">
        <v>0</v>
      </c>
      <c r="CC227" s="162">
        <v>0</v>
      </c>
      <c r="CD227" s="162">
        <v>0</v>
      </c>
      <c r="CE227" s="162">
        <f>VLOOKUP(I227,[120]REV33!$A:$O,11,0)</f>
        <v>0</v>
      </c>
      <c r="CF227" s="162">
        <f>VLOOKUP(I227,[120]REV33!$A:$O,12,0)</f>
        <v>0</v>
      </c>
      <c r="CG227" s="162"/>
      <c r="CH227" s="162"/>
      <c r="CI227" s="162"/>
      <c r="CJ227" s="162"/>
      <c r="CK227" s="162"/>
      <c r="CL227" s="162"/>
      <c r="CM227" s="162"/>
      <c r="CN227" s="162"/>
      <c r="CO227" s="162">
        <v>0</v>
      </c>
      <c r="CP227" s="162">
        <v>0</v>
      </c>
      <c r="CQ227" s="162">
        <v>0</v>
      </c>
      <c r="CR227" s="162">
        <v>0</v>
      </c>
      <c r="CS227" s="209">
        <f>Q227+S227+U227+W227+Y227+AA227+AC227+AE227+AG227+AI227+AK227+AM227+AO227+AQ227+AS227+AU227+AW227+AY227+BA227+BC227+BE227+BG227+BI227+BK227+BM227+BO227+BQ227+BS227+BU227+BW227+BY227+CA227+CC227+CE227+CG227+CI227+CK227+CM227+CO227+CQ227</f>
        <v>30.78</v>
      </c>
      <c r="CT227" s="209">
        <f>R227+T227+V227+X227+Z227+AB227+AD227+AF227+AH227+AJ227+AL227+AN227+AP227+AR227+AT227+AV227+AX227+AZ227+BB227+BD227+BF227+BH227+BJ227+BL227+BN227+BP227+BR227+BT227+BV227+BX227+BZ227+CB227+CD227+CF227+CH227+CJ227+CL227+CN227+CP227+CR227</f>
        <v>169.34129999999999</v>
      </c>
      <c r="CU227" s="206" t="s">
        <v>1645</v>
      </c>
      <c r="CV227" s="156"/>
      <c r="CZ227" s="157"/>
      <c r="DA227" s="152">
        <f t="shared" si="272"/>
        <v>30.78</v>
      </c>
      <c r="DB227" s="152">
        <f t="shared" si="273"/>
        <v>169.34129999999999</v>
      </c>
      <c r="DC227" s="153"/>
      <c r="DD227" s="158" t="s">
        <v>1696</v>
      </c>
      <c r="DE227" s="156" t="s">
        <v>1003</v>
      </c>
      <c r="DF227" s="247" t="s">
        <v>1657</v>
      </c>
      <c r="DG227" s="175"/>
      <c r="DH227" s="240">
        <v>198</v>
      </c>
      <c r="DI227" s="158">
        <v>45947</v>
      </c>
      <c r="DJ227" s="429">
        <f>6*6</f>
        <v>36</v>
      </c>
      <c r="DK227" s="240">
        <v>198</v>
      </c>
      <c r="DL227" s="189">
        <v>17727.27</v>
      </c>
      <c r="DM227" s="181">
        <f t="shared" si="282"/>
        <v>3860999.4060000004</v>
      </c>
      <c r="DN227" s="446">
        <f t="shared" si="283"/>
        <v>0.10000000000000013</v>
      </c>
      <c r="DO227" s="160">
        <f t="shared" si="284"/>
        <v>3509999.46</v>
      </c>
      <c r="DP227" s="159">
        <v>45948</v>
      </c>
      <c r="DQ227" s="152">
        <f>SUMIF($I:$I,I227,$DJ:$DJ)</f>
        <v>36</v>
      </c>
      <c r="DR227" s="152">
        <f>SUMIF($I:$I,I227,$DK:$DK)</f>
        <v>198</v>
      </c>
      <c r="EO227" s="152">
        <f>SUMIF($I:$I,I227,$EC:$EC)</f>
        <v>0</v>
      </c>
      <c r="EP227" s="151">
        <f>SUMIF($I:$I,I227,$ED:$ED)</f>
        <v>0</v>
      </c>
      <c r="EQ227" s="153"/>
      <c r="ER227" s="153"/>
      <c r="ES227" s="153"/>
      <c r="ET227" s="153"/>
      <c r="EU227" s="152">
        <f t="shared" si="274"/>
        <v>36</v>
      </c>
      <c r="EV227" s="152">
        <f t="shared" si="275"/>
        <v>198</v>
      </c>
      <c r="EW227" s="152">
        <f t="shared" si="276"/>
        <v>-5.2199999999999989</v>
      </c>
      <c r="EX227" s="152">
        <f t="shared" si="277"/>
        <v>-28.65870000000001</v>
      </c>
      <c r="EY227" s="151" t="str">
        <f t="shared" si="278"/>
        <v>Thừa</v>
      </c>
    </row>
    <row r="228" spans="1:164" s="155" customFormat="1" ht="14" hidden="1" customHeight="1">
      <c r="A228" s="208" t="str">
        <f t="shared" si="248"/>
        <v>Hiện</v>
      </c>
      <c r="B228" s="151" t="str">
        <f t="shared" ref="B228:B231" si="287">EY228</f>
        <v>Thừa</v>
      </c>
      <c r="C228" s="409">
        <f t="shared" ref="C228" si="288">EW228</f>
        <v>-6</v>
      </c>
      <c r="D228" s="151"/>
      <c r="E228" s="154" t="s">
        <v>2566</v>
      </c>
      <c r="F228" s="154"/>
      <c r="G228" s="151"/>
      <c r="H228" s="364"/>
      <c r="I228" s="164" t="s">
        <v>1649</v>
      </c>
      <c r="J228" s="164" t="s">
        <v>1633</v>
      </c>
      <c r="K228" s="247" t="s">
        <v>1650</v>
      </c>
      <c r="L228" s="427" t="s">
        <v>87</v>
      </c>
      <c r="M228" s="163" t="s">
        <v>61</v>
      </c>
      <c r="N228" s="418">
        <v>3.49</v>
      </c>
      <c r="O228" s="428">
        <f>1325*3</f>
        <v>3975</v>
      </c>
      <c r="P228" s="416">
        <f>+O228*N228</f>
        <v>13872.75</v>
      </c>
      <c r="S228" s="161"/>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v>3975</v>
      </c>
      <c r="BL228" s="162">
        <v>13872.75</v>
      </c>
      <c r="BM228" s="162">
        <v>0</v>
      </c>
      <c r="BN228" s="162">
        <v>0</v>
      </c>
      <c r="BO228" s="162"/>
      <c r="BP228" s="162"/>
      <c r="BQ228" s="162">
        <v>0</v>
      </c>
      <c r="BR228" s="162">
        <v>0</v>
      </c>
      <c r="BS228" s="162">
        <v>0</v>
      </c>
      <c r="BT228" s="162">
        <v>0</v>
      </c>
      <c r="BU228" s="162">
        <v>0</v>
      </c>
      <c r="BV228" s="162">
        <v>0</v>
      </c>
      <c r="BW228" s="162"/>
      <c r="BX228" s="162"/>
      <c r="BY228" s="162">
        <v>0</v>
      </c>
      <c r="BZ228" s="162">
        <v>0</v>
      </c>
      <c r="CA228" s="162">
        <v>0</v>
      </c>
      <c r="CB228" s="162">
        <v>0</v>
      </c>
      <c r="CC228" s="162">
        <v>0</v>
      </c>
      <c r="CD228" s="162">
        <v>0</v>
      </c>
      <c r="CE228" s="162">
        <f>VLOOKUP(I228,[120]REV33!$A:$O,11,0)</f>
        <v>0</v>
      </c>
      <c r="CF228" s="162">
        <f>VLOOKUP(I228,[120]REV33!$A:$O,12,0)</f>
        <v>0</v>
      </c>
      <c r="CG228" s="162"/>
      <c r="CH228" s="162"/>
      <c r="CI228" s="162">
        <v>585</v>
      </c>
      <c r="CJ228" s="162">
        <v>2041.65</v>
      </c>
      <c r="CK228" s="162"/>
      <c r="CL228" s="162"/>
      <c r="CM228" s="162"/>
      <c r="CN228" s="162"/>
      <c r="CO228" s="162">
        <v>0</v>
      </c>
      <c r="CP228" s="162">
        <v>0</v>
      </c>
      <c r="CQ228" s="162">
        <v>0</v>
      </c>
      <c r="CR228" s="162">
        <v>0</v>
      </c>
      <c r="CS228" s="209">
        <f>Q228+S228+U228+W228+Y228+AA228+AC228+AE228+AG228+AI228+AK228+AM228+AO228+AQ228+AS228+AU228+AW228+AY228+BA228+BC228+BE228+BG228+BI228+BK228+BM228+BO228+BQ228+BS228+BU228+BW228+BY228+CA228+CC228+CE228+CG228+CI228+CK228+CM228+CO228+CQ228</f>
        <v>4560</v>
      </c>
      <c r="CT228" s="209">
        <f>R228+T228+V228+X228+Z228+AB228+AD228+AF228+AH228+AJ228+AL228+AN228+AP228+AR228+AT228+AV228+AX228+AZ228+BB228+BD228+BF228+BH228+BJ228+BL228+BN228+BP228+BR228+BT228+BV228+BX228+BZ228+CB228+CD228+CF228+CH228+CJ228+CL228+CN228+CP228+CR228</f>
        <v>15914.4</v>
      </c>
      <c r="CU228" s="206" t="s">
        <v>2565</v>
      </c>
      <c r="CV228" s="156"/>
      <c r="CZ228" s="157"/>
      <c r="DA228" s="152">
        <f t="shared" si="272"/>
        <v>4560</v>
      </c>
      <c r="DB228" s="152">
        <f t="shared" si="273"/>
        <v>15914.4</v>
      </c>
      <c r="DC228" s="153"/>
      <c r="DD228" s="158" t="s">
        <v>1696</v>
      </c>
      <c r="DE228" s="156" t="s">
        <v>1003</v>
      </c>
      <c r="DF228" s="247" t="s">
        <v>1658</v>
      </c>
      <c r="DG228" s="175"/>
      <c r="DH228" s="240">
        <v>3495</v>
      </c>
      <c r="DI228" s="158">
        <v>45947</v>
      </c>
      <c r="DJ228" s="429">
        <f>170*6</f>
        <v>1020</v>
      </c>
      <c r="DK228" s="240">
        <v>3495</v>
      </c>
      <c r="DL228" s="189">
        <v>16493.95</v>
      </c>
      <c r="DM228" s="181">
        <f t="shared" si="282"/>
        <v>63410990.775000006</v>
      </c>
      <c r="DN228" s="446">
        <f t="shared" si="283"/>
        <v>0.1000000000000001</v>
      </c>
      <c r="DO228" s="160">
        <f t="shared" si="284"/>
        <v>57646355.25</v>
      </c>
      <c r="DP228" s="159">
        <v>45948</v>
      </c>
      <c r="DQ228" s="152">
        <f>SUMIF($I:$I,I228,$DJ:$DJ)</f>
        <v>4566</v>
      </c>
      <c r="DR228" s="152">
        <f>SUMIF($I:$I,I228,$DK:$DK)</f>
        <v>15647.7</v>
      </c>
      <c r="EO228" s="152">
        <f>SUMIF($I:$I,I228,$EC:$EC)</f>
        <v>0</v>
      </c>
      <c r="EP228" s="151">
        <f>SUMIF($I:$I,I228,$ED:$ED)</f>
        <v>0</v>
      </c>
      <c r="EQ228" s="153"/>
      <c r="ER228" s="153"/>
      <c r="ES228" s="153"/>
      <c r="ET228" s="153"/>
      <c r="EU228" s="152">
        <f t="shared" si="274"/>
        <v>4566</v>
      </c>
      <c r="EV228" s="152">
        <f t="shared" si="275"/>
        <v>15647.7</v>
      </c>
      <c r="EW228" s="152">
        <f t="shared" si="276"/>
        <v>-6</v>
      </c>
      <c r="EX228" s="152">
        <f t="shared" si="277"/>
        <v>266.69999999999891</v>
      </c>
      <c r="EY228" s="151" t="str">
        <f t="shared" si="278"/>
        <v>Thừa</v>
      </c>
    </row>
    <row r="229" spans="1:164" s="202" customFormat="1" ht="14" hidden="1" customHeight="1">
      <c r="A229" s="208" t="str">
        <f t="shared" si="248"/>
        <v>ok</v>
      </c>
      <c r="B229" s="151"/>
      <c r="C229" s="409"/>
      <c r="D229" s="151"/>
      <c r="E229" s="154"/>
      <c r="F229" s="154"/>
      <c r="G229" s="151"/>
      <c r="H229" s="364"/>
      <c r="I229" s="164" t="s">
        <v>1649</v>
      </c>
      <c r="J229" s="164" t="s">
        <v>1633</v>
      </c>
      <c r="K229" s="247" t="s">
        <v>1650</v>
      </c>
      <c r="L229" s="427" t="s">
        <v>87</v>
      </c>
      <c r="M229" s="163" t="s">
        <v>61</v>
      </c>
      <c r="N229" s="418"/>
      <c r="O229" s="428"/>
      <c r="P229" s="416"/>
      <c r="Q229" s="155"/>
      <c r="R229" s="155"/>
      <c r="S229" s="161"/>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209"/>
      <c r="CT229" s="209"/>
      <c r="CU229" s="206"/>
      <c r="CV229" s="156"/>
      <c r="CW229" s="155"/>
      <c r="CX229" s="155"/>
      <c r="CY229" s="155"/>
      <c r="CZ229" s="157"/>
      <c r="DA229" s="152"/>
      <c r="DB229" s="152"/>
      <c r="DC229" s="153"/>
      <c r="DD229" s="158" t="s">
        <v>2580</v>
      </c>
      <c r="DE229" s="156" t="s">
        <v>2566</v>
      </c>
      <c r="DF229" s="247" t="s">
        <v>2581</v>
      </c>
      <c r="DG229" s="175"/>
      <c r="DH229" s="240">
        <v>2015</v>
      </c>
      <c r="DI229" s="158">
        <v>46014</v>
      </c>
      <c r="DJ229" s="429">
        <f>98*6</f>
        <v>588</v>
      </c>
      <c r="DK229" s="240">
        <v>2015</v>
      </c>
      <c r="DL229" s="189">
        <v>15727.27</v>
      </c>
      <c r="DM229" s="181">
        <f t="shared" si="282"/>
        <v>34859493.955000006</v>
      </c>
      <c r="DN229" s="446">
        <f t="shared" si="283"/>
        <v>0.10000000000000016</v>
      </c>
      <c r="DO229" s="160">
        <f t="shared" si="284"/>
        <v>31690449.050000001</v>
      </c>
      <c r="DP229" s="159">
        <v>46018</v>
      </c>
      <c r="DQ229" s="152"/>
      <c r="DR229" s="152"/>
      <c r="DS229" s="155"/>
      <c r="DT229" s="155"/>
      <c r="DU229" s="155"/>
      <c r="DV229" s="155"/>
      <c r="DW229" s="155"/>
      <c r="DX229" s="155"/>
      <c r="DY229" s="155"/>
      <c r="DZ229" s="155"/>
      <c r="EA229" s="155"/>
      <c r="EB229" s="155"/>
      <c r="EC229" s="155"/>
      <c r="ED229" s="155"/>
      <c r="EE229" s="155"/>
      <c r="EF229" s="155"/>
      <c r="EG229" s="155"/>
      <c r="EH229" s="155"/>
      <c r="EI229" s="155"/>
      <c r="EJ229" s="155"/>
      <c r="EK229" s="155"/>
      <c r="EL229" s="155"/>
      <c r="EM229" s="155"/>
      <c r="EN229" s="155"/>
      <c r="EO229" s="152"/>
      <c r="EP229" s="151"/>
      <c r="EQ229" s="153"/>
      <c r="ER229" s="153"/>
      <c r="ES229" s="153"/>
      <c r="ET229" s="153"/>
      <c r="EU229" s="152"/>
      <c r="EV229" s="152"/>
      <c r="EW229" s="152"/>
      <c r="EX229" s="152"/>
      <c r="EY229" s="151"/>
      <c r="EZ229" s="155"/>
      <c r="FA229" s="155"/>
      <c r="FB229" s="155"/>
      <c r="FC229" s="204"/>
      <c r="FD229" s="204"/>
      <c r="FE229" s="204"/>
      <c r="FF229" s="204"/>
      <c r="FG229" s="204"/>
      <c r="FH229" s="204"/>
    </row>
    <row r="230" spans="1:164" s="202" customFormat="1" ht="14" hidden="1" customHeight="1">
      <c r="A230" s="208" t="str">
        <f t="shared" si="248"/>
        <v>ok</v>
      </c>
      <c r="B230" s="151"/>
      <c r="C230" s="409"/>
      <c r="D230" s="151"/>
      <c r="E230" s="154"/>
      <c r="F230" s="154"/>
      <c r="G230" s="151"/>
      <c r="H230" s="364"/>
      <c r="I230" s="164" t="s">
        <v>1649</v>
      </c>
      <c r="J230" s="164" t="s">
        <v>1633</v>
      </c>
      <c r="K230" s="247" t="s">
        <v>1650</v>
      </c>
      <c r="L230" s="427" t="s">
        <v>87</v>
      </c>
      <c r="M230" s="163" t="s">
        <v>61</v>
      </c>
      <c r="N230" s="418"/>
      <c r="O230" s="428"/>
      <c r="P230" s="416"/>
      <c r="Q230" s="155"/>
      <c r="R230" s="155"/>
      <c r="S230" s="161"/>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209"/>
      <c r="CT230" s="209"/>
      <c r="CU230" s="206"/>
      <c r="CV230" s="156"/>
      <c r="CW230" s="155"/>
      <c r="CX230" s="155"/>
      <c r="CY230" s="155"/>
      <c r="CZ230" s="157"/>
      <c r="DA230" s="152"/>
      <c r="DB230" s="152"/>
      <c r="DC230" s="153"/>
      <c r="DD230" s="158" t="s">
        <v>374</v>
      </c>
      <c r="DE230" s="156" t="s">
        <v>45</v>
      </c>
      <c r="DF230" s="247" t="s">
        <v>1671</v>
      </c>
      <c r="DG230" s="175"/>
      <c r="DH230" s="240">
        <v>10137.700000000001</v>
      </c>
      <c r="DI230" s="158" t="s">
        <v>374</v>
      </c>
      <c r="DJ230" s="429">
        <f>493*6</f>
        <v>2958</v>
      </c>
      <c r="DK230" s="240">
        <v>10137.700000000001</v>
      </c>
      <c r="DL230" s="189">
        <f>17500/1.1</f>
        <v>15909.090909090908</v>
      </c>
      <c r="DM230" s="181">
        <f t="shared" si="282"/>
        <v>177409750</v>
      </c>
      <c r="DN230" s="446">
        <f t="shared" si="283"/>
        <v>0.10000000000000002</v>
      </c>
      <c r="DO230" s="281">
        <f t="shared" si="284"/>
        <v>161281590.90909091</v>
      </c>
      <c r="DP230" s="159">
        <v>45953</v>
      </c>
      <c r="DQ230" s="152"/>
      <c r="DR230" s="152"/>
      <c r="DS230" s="155"/>
      <c r="DT230" s="155"/>
      <c r="DU230" s="155"/>
      <c r="DV230" s="155"/>
      <c r="DW230" s="155"/>
      <c r="DX230" s="155"/>
      <c r="DY230" s="155"/>
      <c r="DZ230" s="155"/>
      <c r="EA230" s="155"/>
      <c r="EB230" s="155"/>
      <c r="EC230" s="155"/>
      <c r="ED230" s="155"/>
      <c r="EE230" s="155"/>
      <c r="EF230" s="155"/>
      <c r="EG230" s="155"/>
      <c r="EH230" s="155"/>
      <c r="EI230" s="155"/>
      <c r="EJ230" s="155"/>
      <c r="EK230" s="155"/>
      <c r="EL230" s="155"/>
      <c r="EM230" s="155"/>
      <c r="EN230" s="155"/>
      <c r="EO230" s="152"/>
      <c r="EP230" s="151"/>
      <c r="EQ230" s="153"/>
      <c r="ER230" s="153"/>
      <c r="ES230" s="153"/>
      <c r="ET230" s="153"/>
      <c r="EU230" s="152"/>
      <c r="EV230" s="152"/>
      <c r="EW230" s="152"/>
      <c r="EX230" s="152"/>
      <c r="EY230" s="151"/>
      <c r="EZ230" s="155"/>
      <c r="FA230" s="155"/>
      <c r="FB230" s="155"/>
      <c r="FC230" s="204"/>
      <c r="FD230" s="204"/>
      <c r="FE230" s="204"/>
      <c r="FF230" s="204"/>
      <c r="FG230" s="204"/>
      <c r="FH230" s="204"/>
    </row>
    <row r="231" spans="1:164" s="202" customFormat="1" ht="14" hidden="1" customHeight="1">
      <c r="A231" s="208" t="str">
        <f t="shared" si="248"/>
        <v>Hiện</v>
      </c>
      <c r="B231" s="151" t="str">
        <f t="shared" si="287"/>
        <v>Thừa</v>
      </c>
      <c r="C231" s="409">
        <f t="shared" ref="C231" si="289">EW231</f>
        <v>-12</v>
      </c>
      <c r="D231" s="151"/>
      <c r="E231" s="154" t="s">
        <v>1902</v>
      </c>
      <c r="F231" s="154"/>
      <c r="G231" s="151"/>
      <c r="H231" s="364"/>
      <c r="I231" s="430" t="s">
        <v>1769</v>
      </c>
      <c r="J231" s="171" t="s">
        <v>640</v>
      </c>
      <c r="K231" s="247" t="s">
        <v>1770</v>
      </c>
      <c r="L231" s="431" t="s">
        <v>642</v>
      </c>
      <c r="M231" s="163" t="s">
        <v>345</v>
      </c>
      <c r="N231" s="177"/>
      <c r="O231" s="229">
        <v>24</v>
      </c>
      <c r="P231" s="416"/>
      <c r="Q231" s="155"/>
      <c r="R231" s="155"/>
      <c r="S231" s="161"/>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v>24</v>
      </c>
      <c r="BP231" s="162"/>
      <c r="BQ231" s="162">
        <v>0</v>
      </c>
      <c r="BR231" s="162">
        <v>0</v>
      </c>
      <c r="BS231" s="162">
        <v>0</v>
      </c>
      <c r="BT231" s="162">
        <v>0</v>
      </c>
      <c r="BU231" s="162">
        <v>0</v>
      </c>
      <c r="BV231" s="162">
        <v>0</v>
      </c>
      <c r="BW231" s="162"/>
      <c r="BX231" s="162"/>
      <c r="BY231" s="162">
        <v>0</v>
      </c>
      <c r="BZ231" s="162">
        <v>0</v>
      </c>
      <c r="CA231" s="162">
        <v>0</v>
      </c>
      <c r="CB231" s="162">
        <v>0</v>
      </c>
      <c r="CC231" s="162">
        <v>0</v>
      </c>
      <c r="CD231" s="162">
        <v>0</v>
      </c>
      <c r="CE231" s="162">
        <f>VLOOKUP(I231,[120]REV33!$A:$O,11,0)</f>
        <v>0</v>
      </c>
      <c r="CF231" s="162">
        <f>VLOOKUP(I231,[120]REV33!$A:$O,12,0)</f>
        <v>0</v>
      </c>
      <c r="CG231" s="162"/>
      <c r="CH231" s="162"/>
      <c r="CI231" s="162"/>
      <c r="CJ231" s="162"/>
      <c r="CK231" s="162"/>
      <c r="CL231" s="162"/>
      <c r="CM231" s="162"/>
      <c r="CN231" s="162"/>
      <c r="CO231" s="162">
        <v>0</v>
      </c>
      <c r="CP231" s="162">
        <v>0</v>
      </c>
      <c r="CQ231" s="162">
        <v>0</v>
      </c>
      <c r="CR231" s="162">
        <v>0</v>
      </c>
      <c r="CS231" s="209">
        <f>Q231+S231+U231+W231+Y231+AA231+AC231+AE231+AG231+AI231+AK231+AM231+AO231+AQ231+AS231+AU231+AW231+AY231+BA231+BC231+BE231+BG231+BI231+BK231+BM231+BO231+BQ231+BS231+BU231+BW231+BY231+CA231+CC231+CE231+CG231+CI231+CK231+CM231+CO231+CQ231</f>
        <v>24</v>
      </c>
      <c r="CT231" s="209">
        <f>R231+T231+V231+X231+Z231+AB231+AD231+AF231+AH231+AJ231+AL231+AN231+AP231+AR231+AT231+AV231+AX231+AZ231+BB231+BD231+BF231+BH231+BJ231+BL231+BN231+BP231+BR231+BT231+BV231+BX231+BZ231+CB231+CD231+CF231+CH231+CJ231+CL231+CN231+CP231+CR231</f>
        <v>0</v>
      </c>
      <c r="CU231" s="375" t="s">
        <v>1774</v>
      </c>
      <c r="CV231" s="156"/>
      <c r="CW231" s="155"/>
      <c r="CX231" s="155"/>
      <c r="CY231" s="155"/>
      <c r="CZ231" s="157"/>
      <c r="DA231" s="152">
        <f>IF(CS231&gt;CW231,CS231-CW231,"0")</f>
        <v>24</v>
      </c>
      <c r="DB231" s="152" t="str">
        <f>IF(CT231&gt;CX231,CT231-CX231,"0")</f>
        <v>0</v>
      </c>
      <c r="DC231" s="153"/>
      <c r="DD231" s="158"/>
      <c r="DE231" s="156"/>
      <c r="DF231" s="247"/>
      <c r="DG231" s="175"/>
      <c r="DH231" s="240"/>
      <c r="DI231" s="158"/>
      <c r="DJ231" s="429"/>
      <c r="DK231" s="240"/>
      <c r="DL231" s="189"/>
      <c r="DM231" s="189"/>
      <c r="DN231" s="189"/>
      <c r="DO231" s="281"/>
      <c r="DP231" s="159"/>
      <c r="DQ231" s="152">
        <f>SUMIF($I:$I,I231,$DJ:$DJ)</f>
        <v>36</v>
      </c>
      <c r="DR231" s="152">
        <f>SUMIF($I:$I,I231,$DK:$DK)</f>
        <v>0</v>
      </c>
      <c r="DS231" s="155"/>
      <c r="DT231" s="155"/>
      <c r="DU231" s="155"/>
      <c r="DV231" s="155"/>
      <c r="DW231" s="155"/>
      <c r="DX231" s="155"/>
      <c r="DY231" s="155"/>
      <c r="DZ231" s="155"/>
      <c r="EA231" s="155"/>
      <c r="EB231" s="155"/>
      <c r="EC231" s="155"/>
      <c r="ED231" s="155"/>
      <c r="EE231" s="155"/>
      <c r="EF231" s="155"/>
      <c r="EG231" s="155"/>
      <c r="EH231" s="155"/>
      <c r="EI231" s="155"/>
      <c r="EJ231" s="155"/>
      <c r="EK231" s="155"/>
      <c r="EL231" s="155"/>
      <c r="EM231" s="155"/>
      <c r="EN231" s="155"/>
      <c r="EO231" s="152">
        <f>SUMIF($I:$I,I231,$EC:$EC)</f>
        <v>0</v>
      </c>
      <c r="EP231" s="151">
        <f>SUMIF($I:$I,I231,$ED:$ED)</f>
        <v>0</v>
      </c>
      <c r="EQ231" s="153"/>
      <c r="ER231" s="153"/>
      <c r="ES231" s="153"/>
      <c r="ET231" s="153"/>
      <c r="EU231" s="152">
        <f>DQ231+EO231</f>
        <v>36</v>
      </c>
      <c r="EV231" s="152">
        <f>DR231+EP231</f>
        <v>0</v>
      </c>
      <c r="EW231" s="152">
        <f t="shared" ref="EW231" si="290">DA231-EU231</f>
        <v>-12</v>
      </c>
      <c r="EX231" s="152">
        <f t="shared" ref="EX231" si="291">DB231-EV231</f>
        <v>0</v>
      </c>
      <c r="EY231" s="151" t="str">
        <f>IF(EW231&lt;0,"Thừa",IF(EW231=0,"Đủ","Thiếu"))</f>
        <v>Thừa</v>
      </c>
      <c r="EZ231" s="155"/>
      <c r="FA231" s="155"/>
      <c r="FB231" s="155"/>
      <c r="FC231" s="204"/>
      <c r="FD231" s="204"/>
      <c r="FE231" s="204"/>
      <c r="FF231" s="204"/>
      <c r="FG231" s="204"/>
      <c r="FH231" s="204"/>
    </row>
    <row r="232" spans="1:164" s="202" customFormat="1" ht="14" hidden="1" customHeight="1">
      <c r="A232" s="208" t="str">
        <f t="shared" si="248"/>
        <v>ok</v>
      </c>
      <c r="B232" s="151"/>
      <c r="C232" s="409"/>
      <c r="D232" s="151"/>
      <c r="E232" s="154"/>
      <c r="F232" s="154"/>
      <c r="G232" s="151"/>
      <c r="H232" s="364"/>
      <c r="I232" s="430" t="s">
        <v>1769</v>
      </c>
      <c r="J232" s="171" t="s">
        <v>640</v>
      </c>
      <c r="K232" s="247" t="s">
        <v>1770</v>
      </c>
      <c r="L232" s="431" t="s">
        <v>642</v>
      </c>
      <c r="M232" s="163" t="s">
        <v>345</v>
      </c>
      <c r="N232" s="177"/>
      <c r="O232" s="229"/>
      <c r="P232" s="416"/>
      <c r="Q232" s="155"/>
      <c r="R232" s="155"/>
      <c r="S232" s="161"/>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209"/>
      <c r="CT232" s="209"/>
      <c r="CU232" s="375"/>
      <c r="CV232" s="156"/>
      <c r="CW232" s="155"/>
      <c r="CX232" s="155"/>
      <c r="CY232" s="155"/>
      <c r="CZ232" s="157"/>
      <c r="DA232" s="152"/>
      <c r="DB232" s="152"/>
      <c r="DC232" s="153"/>
      <c r="DD232" s="798" t="s">
        <v>2457</v>
      </c>
      <c r="DE232" s="798" t="s">
        <v>2458</v>
      </c>
      <c r="DF232" s="799" t="s">
        <v>2428</v>
      </c>
      <c r="DG232" s="175"/>
      <c r="DH232" s="202" t="s">
        <v>477</v>
      </c>
      <c r="DI232" s="158">
        <v>45985</v>
      </c>
      <c r="DJ232" s="429">
        <v>15</v>
      </c>
      <c r="DK232" s="1006" t="s">
        <v>477</v>
      </c>
      <c r="DL232" s="240">
        <v>690000</v>
      </c>
      <c r="DM232" s="189">
        <f t="shared" ref="DM232:DM236" si="292">DL232*DJ232*(1+DN232)</f>
        <v>11178000</v>
      </c>
      <c r="DN232" s="446">
        <v>0.08</v>
      </c>
      <c r="DO232" s="281">
        <f t="shared" ref="DO232:DO236" si="293">DJ232*DL232</f>
        <v>10350000</v>
      </c>
      <c r="DP232" s="159">
        <v>46030</v>
      </c>
      <c r="DQ232" s="152"/>
      <c r="DR232" s="152"/>
      <c r="DS232" s="155"/>
      <c r="DT232" s="155"/>
      <c r="DU232" s="155"/>
      <c r="DV232" s="155"/>
      <c r="DW232" s="155"/>
      <c r="DX232" s="155"/>
      <c r="DY232" s="155"/>
      <c r="DZ232" s="155"/>
      <c r="EA232" s="155"/>
      <c r="EB232" s="155"/>
      <c r="EC232" s="155"/>
      <c r="ED232" s="155"/>
      <c r="EE232" s="155"/>
      <c r="EF232" s="155"/>
      <c r="EG232" s="155"/>
      <c r="EH232" s="155"/>
      <c r="EI232" s="155"/>
      <c r="EJ232" s="155"/>
      <c r="EK232" s="155"/>
      <c r="EL232" s="155"/>
      <c r="EM232" s="155"/>
      <c r="EN232" s="155"/>
      <c r="EO232" s="152"/>
      <c r="EP232" s="151"/>
      <c r="EQ232" s="153"/>
      <c r="ER232" s="153"/>
      <c r="ES232" s="153"/>
      <c r="ET232" s="153"/>
      <c r="EU232" s="152"/>
      <c r="EV232" s="152"/>
      <c r="EW232" s="152"/>
      <c r="EX232" s="152"/>
      <c r="EY232" s="151"/>
      <c r="EZ232" s="155"/>
      <c r="FA232" s="155"/>
      <c r="FB232" s="155"/>
      <c r="FC232" s="204"/>
      <c r="FD232" s="204"/>
      <c r="FE232" s="204"/>
      <c r="FF232" s="204"/>
      <c r="FG232" s="204"/>
      <c r="FH232" s="204"/>
    </row>
    <row r="233" spans="1:164" s="202" customFormat="1" ht="14" hidden="1" customHeight="1">
      <c r="A233" s="208" t="str">
        <f t="shared" si="248"/>
        <v>ok</v>
      </c>
      <c r="B233" s="151"/>
      <c r="C233" s="409"/>
      <c r="D233" s="151"/>
      <c r="E233" s="154"/>
      <c r="F233" s="154"/>
      <c r="G233" s="151"/>
      <c r="H233" s="364"/>
      <c r="I233" s="430" t="s">
        <v>1769</v>
      </c>
      <c r="J233" s="171" t="s">
        <v>640</v>
      </c>
      <c r="K233" s="247" t="s">
        <v>1770</v>
      </c>
      <c r="L233" s="431" t="s">
        <v>642</v>
      </c>
      <c r="M233" s="163" t="s">
        <v>345</v>
      </c>
      <c r="N233" s="177"/>
      <c r="O233" s="229"/>
      <c r="P233" s="416"/>
      <c r="Q233" s="155"/>
      <c r="R233" s="155"/>
      <c r="S233" s="161"/>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209"/>
      <c r="CT233" s="209"/>
      <c r="CU233" s="375"/>
      <c r="CV233" s="156"/>
      <c r="CW233" s="155"/>
      <c r="CX233" s="155"/>
      <c r="CY233" s="155"/>
      <c r="CZ233" s="157"/>
      <c r="DA233" s="152"/>
      <c r="DB233" s="152"/>
      <c r="DC233" s="153"/>
      <c r="DD233" s="798" t="s">
        <v>2457</v>
      </c>
      <c r="DE233" s="798" t="s">
        <v>2458</v>
      </c>
      <c r="DF233" s="799" t="s">
        <v>2429</v>
      </c>
      <c r="DG233" s="175"/>
      <c r="DH233" s="202" t="s">
        <v>477</v>
      </c>
      <c r="DI233" s="158">
        <v>45985</v>
      </c>
      <c r="DJ233" s="429">
        <v>6</v>
      </c>
      <c r="DK233" s="1006" t="s">
        <v>477</v>
      </c>
      <c r="DL233" s="240">
        <v>590000</v>
      </c>
      <c r="DM233" s="189">
        <f t="shared" si="292"/>
        <v>3823200.0000000005</v>
      </c>
      <c r="DN233" s="446">
        <v>0.08</v>
      </c>
      <c r="DO233" s="281">
        <f t="shared" si="293"/>
        <v>3540000</v>
      </c>
      <c r="DP233" s="159">
        <v>46030</v>
      </c>
      <c r="DQ233" s="152"/>
      <c r="DR233" s="152"/>
      <c r="DS233" s="155"/>
      <c r="DT233" s="155"/>
      <c r="DU233" s="155"/>
      <c r="DV233" s="155"/>
      <c r="DW233" s="155"/>
      <c r="DX233" s="155"/>
      <c r="DY233" s="155"/>
      <c r="DZ233" s="155"/>
      <c r="EA233" s="155"/>
      <c r="EB233" s="155"/>
      <c r="EC233" s="155"/>
      <c r="ED233" s="155"/>
      <c r="EE233" s="155"/>
      <c r="EF233" s="155"/>
      <c r="EG233" s="155"/>
      <c r="EH233" s="155"/>
      <c r="EI233" s="155"/>
      <c r="EJ233" s="155"/>
      <c r="EK233" s="155"/>
      <c r="EL233" s="155"/>
      <c r="EM233" s="155"/>
      <c r="EN233" s="155"/>
      <c r="EO233" s="152"/>
      <c r="EP233" s="151"/>
      <c r="EQ233" s="153"/>
      <c r="ER233" s="153"/>
      <c r="ES233" s="153"/>
      <c r="ET233" s="153"/>
      <c r="EU233" s="152"/>
      <c r="EV233" s="152"/>
      <c r="EW233" s="152"/>
      <c r="EX233" s="152"/>
      <c r="EY233" s="151"/>
      <c r="EZ233" s="155"/>
      <c r="FA233" s="155"/>
      <c r="FB233" s="155"/>
      <c r="FC233" s="204"/>
      <c r="FD233" s="204"/>
      <c r="FE233" s="204"/>
      <c r="FF233" s="204"/>
      <c r="FG233" s="204"/>
      <c r="FH233" s="204"/>
    </row>
    <row r="234" spans="1:164" s="202" customFormat="1" ht="14" hidden="1" customHeight="1">
      <c r="A234" s="208" t="str">
        <f t="shared" si="248"/>
        <v>ok</v>
      </c>
      <c r="B234" s="151"/>
      <c r="C234" s="409"/>
      <c r="D234" s="151"/>
      <c r="E234" s="154"/>
      <c r="F234" s="154"/>
      <c r="G234" s="151"/>
      <c r="H234" s="364"/>
      <c r="I234" s="430" t="s">
        <v>1769</v>
      </c>
      <c r="J234" s="171" t="s">
        <v>640</v>
      </c>
      <c r="K234" s="247" t="s">
        <v>1770</v>
      </c>
      <c r="L234" s="431" t="s">
        <v>642</v>
      </c>
      <c r="M234" s="163" t="s">
        <v>345</v>
      </c>
      <c r="N234" s="177"/>
      <c r="O234" s="229"/>
      <c r="P234" s="416"/>
      <c r="Q234" s="155"/>
      <c r="R234" s="155"/>
      <c r="S234" s="161"/>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209"/>
      <c r="CT234" s="209"/>
      <c r="CU234" s="375"/>
      <c r="CV234" s="156"/>
      <c r="CW234" s="155"/>
      <c r="CX234" s="155"/>
      <c r="CY234" s="155"/>
      <c r="CZ234" s="157"/>
      <c r="DA234" s="152"/>
      <c r="DB234" s="152"/>
      <c r="DC234" s="153"/>
      <c r="DD234" s="798" t="s">
        <v>2457</v>
      </c>
      <c r="DE234" s="798" t="s">
        <v>2458</v>
      </c>
      <c r="DF234" s="799" t="s">
        <v>2430</v>
      </c>
      <c r="DG234" s="175"/>
      <c r="DH234" s="202" t="s">
        <v>477</v>
      </c>
      <c r="DI234" s="158">
        <v>45985</v>
      </c>
      <c r="DJ234" s="429">
        <v>6</v>
      </c>
      <c r="DK234" s="1006" t="s">
        <v>477</v>
      </c>
      <c r="DL234" s="240">
        <v>670000</v>
      </c>
      <c r="DM234" s="189">
        <f t="shared" si="292"/>
        <v>4341600</v>
      </c>
      <c r="DN234" s="446">
        <v>0.08</v>
      </c>
      <c r="DO234" s="281">
        <f t="shared" si="293"/>
        <v>4020000</v>
      </c>
      <c r="DP234" s="159">
        <v>46030</v>
      </c>
      <c r="DQ234" s="152"/>
      <c r="DR234" s="152"/>
      <c r="DS234" s="155"/>
      <c r="DT234" s="155"/>
      <c r="DU234" s="155"/>
      <c r="DV234" s="155"/>
      <c r="DW234" s="155"/>
      <c r="DX234" s="155"/>
      <c r="DY234" s="155"/>
      <c r="DZ234" s="155"/>
      <c r="EA234" s="155"/>
      <c r="EB234" s="155"/>
      <c r="EC234" s="155"/>
      <c r="ED234" s="155"/>
      <c r="EE234" s="155"/>
      <c r="EF234" s="155"/>
      <c r="EG234" s="155"/>
      <c r="EH234" s="155"/>
      <c r="EI234" s="155"/>
      <c r="EJ234" s="155"/>
      <c r="EK234" s="155"/>
      <c r="EL234" s="155"/>
      <c r="EM234" s="155"/>
      <c r="EN234" s="155"/>
      <c r="EO234" s="152"/>
      <c r="EP234" s="151"/>
      <c r="EQ234" s="153"/>
      <c r="ER234" s="153"/>
      <c r="ES234" s="153"/>
      <c r="ET234" s="153"/>
      <c r="EU234" s="152"/>
      <c r="EV234" s="152"/>
      <c r="EW234" s="152"/>
      <c r="EX234" s="152"/>
      <c r="EY234" s="151"/>
      <c r="EZ234" s="155"/>
      <c r="FA234" s="155"/>
      <c r="FB234" s="155"/>
      <c r="FC234" s="204"/>
      <c r="FD234" s="204"/>
      <c r="FE234" s="204"/>
      <c r="FF234" s="204"/>
      <c r="FG234" s="204"/>
      <c r="FH234" s="204"/>
    </row>
    <row r="235" spans="1:164" s="202" customFormat="1" ht="14" hidden="1" customHeight="1">
      <c r="A235" s="208" t="str">
        <f t="shared" si="248"/>
        <v>ok</v>
      </c>
      <c r="B235" s="151"/>
      <c r="C235" s="409"/>
      <c r="D235" s="151"/>
      <c r="E235" s="154"/>
      <c r="F235" s="154"/>
      <c r="G235" s="151"/>
      <c r="H235" s="364"/>
      <c r="I235" s="430" t="s">
        <v>1769</v>
      </c>
      <c r="J235" s="171" t="s">
        <v>640</v>
      </c>
      <c r="K235" s="247" t="s">
        <v>1770</v>
      </c>
      <c r="L235" s="431" t="s">
        <v>642</v>
      </c>
      <c r="M235" s="163" t="s">
        <v>345</v>
      </c>
      <c r="N235" s="177"/>
      <c r="O235" s="229"/>
      <c r="P235" s="416"/>
      <c r="Q235" s="155"/>
      <c r="R235" s="155"/>
      <c r="S235" s="161"/>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209"/>
      <c r="CT235" s="209"/>
      <c r="CU235" s="375"/>
      <c r="CV235" s="156"/>
      <c r="CW235" s="155"/>
      <c r="CX235" s="155"/>
      <c r="CY235" s="155"/>
      <c r="CZ235" s="157"/>
      <c r="DA235" s="152"/>
      <c r="DB235" s="152"/>
      <c r="DC235" s="153"/>
      <c r="DD235" s="798" t="s">
        <v>2457</v>
      </c>
      <c r="DE235" s="798" t="s">
        <v>2458</v>
      </c>
      <c r="DF235" s="799" t="s">
        <v>2431</v>
      </c>
      <c r="DG235" s="175"/>
      <c r="DH235" s="202" t="s">
        <v>477</v>
      </c>
      <c r="DI235" s="158">
        <v>45985</v>
      </c>
      <c r="DJ235" s="429">
        <v>6</v>
      </c>
      <c r="DK235" s="1006" t="s">
        <v>477</v>
      </c>
      <c r="DL235" s="240">
        <v>670000</v>
      </c>
      <c r="DM235" s="189">
        <f t="shared" si="292"/>
        <v>4341600</v>
      </c>
      <c r="DN235" s="446">
        <v>0.08</v>
      </c>
      <c r="DO235" s="281">
        <f t="shared" si="293"/>
        <v>4020000</v>
      </c>
      <c r="DP235" s="159">
        <v>46030</v>
      </c>
      <c r="DQ235" s="152"/>
      <c r="DR235" s="152"/>
      <c r="DS235" s="155"/>
      <c r="DT235" s="155"/>
      <c r="DU235" s="155"/>
      <c r="DV235" s="155"/>
      <c r="DW235" s="155"/>
      <c r="DX235" s="155"/>
      <c r="DY235" s="155"/>
      <c r="DZ235" s="155"/>
      <c r="EA235" s="155"/>
      <c r="EB235" s="155"/>
      <c r="EC235" s="155"/>
      <c r="ED235" s="155"/>
      <c r="EE235" s="155"/>
      <c r="EF235" s="155"/>
      <c r="EG235" s="155"/>
      <c r="EH235" s="155"/>
      <c r="EI235" s="155"/>
      <c r="EJ235" s="155"/>
      <c r="EK235" s="155"/>
      <c r="EL235" s="155"/>
      <c r="EM235" s="155"/>
      <c r="EN235" s="155"/>
      <c r="EO235" s="152"/>
      <c r="EP235" s="151"/>
      <c r="EQ235" s="153"/>
      <c r="ER235" s="153"/>
      <c r="ES235" s="153"/>
      <c r="ET235" s="153"/>
      <c r="EU235" s="152"/>
      <c r="EV235" s="152"/>
      <c r="EW235" s="152"/>
      <c r="EX235" s="152"/>
      <c r="EY235" s="151"/>
      <c r="EZ235" s="155"/>
      <c r="FA235" s="155"/>
      <c r="FB235" s="155"/>
      <c r="FC235" s="204"/>
      <c r="FD235" s="204"/>
      <c r="FE235" s="204"/>
      <c r="FF235" s="204"/>
      <c r="FG235" s="204"/>
      <c r="FH235" s="204"/>
    </row>
    <row r="236" spans="1:164" s="202" customFormat="1" ht="14" hidden="1" customHeight="1">
      <c r="A236" s="208" t="str">
        <f t="shared" si="248"/>
        <v>ok</v>
      </c>
      <c r="B236" s="151"/>
      <c r="C236" s="409"/>
      <c r="D236" s="151"/>
      <c r="E236" s="154"/>
      <c r="F236" s="154"/>
      <c r="G236" s="151"/>
      <c r="H236" s="364"/>
      <c r="I236" s="430" t="s">
        <v>1769</v>
      </c>
      <c r="J236" s="171" t="s">
        <v>640</v>
      </c>
      <c r="K236" s="247" t="s">
        <v>1770</v>
      </c>
      <c r="L236" s="431" t="s">
        <v>642</v>
      </c>
      <c r="M236" s="163" t="s">
        <v>345</v>
      </c>
      <c r="N236" s="177"/>
      <c r="O236" s="229"/>
      <c r="P236" s="416"/>
      <c r="Q236" s="155"/>
      <c r="R236" s="155"/>
      <c r="S236" s="161"/>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209"/>
      <c r="CT236" s="209"/>
      <c r="CU236" s="375"/>
      <c r="CV236" s="156"/>
      <c r="CW236" s="155"/>
      <c r="CX236" s="155"/>
      <c r="CY236" s="155"/>
      <c r="CZ236" s="157"/>
      <c r="DA236" s="152"/>
      <c r="DB236" s="152"/>
      <c r="DC236" s="153"/>
      <c r="DD236" s="798" t="s">
        <v>2457</v>
      </c>
      <c r="DE236" s="798" t="s">
        <v>2458</v>
      </c>
      <c r="DF236" s="799" t="s">
        <v>2432</v>
      </c>
      <c r="DG236" s="175"/>
      <c r="DH236" s="202" t="s">
        <v>477</v>
      </c>
      <c r="DI236" s="158">
        <v>45985</v>
      </c>
      <c r="DJ236" s="429">
        <v>3</v>
      </c>
      <c r="DK236" s="1006" t="s">
        <v>477</v>
      </c>
      <c r="DL236" s="240">
        <v>690000</v>
      </c>
      <c r="DM236" s="189">
        <f t="shared" si="292"/>
        <v>2235600</v>
      </c>
      <c r="DN236" s="446">
        <v>0.08</v>
      </c>
      <c r="DO236" s="281">
        <f t="shared" si="293"/>
        <v>2070000</v>
      </c>
      <c r="DP236" s="159">
        <v>46030</v>
      </c>
      <c r="DQ236" s="152"/>
      <c r="DR236" s="152"/>
      <c r="DS236" s="155"/>
      <c r="DT236" s="155"/>
      <c r="DU236" s="155"/>
      <c r="DV236" s="155"/>
      <c r="DW236" s="155"/>
      <c r="DX236" s="155"/>
      <c r="DY236" s="155"/>
      <c r="DZ236" s="155"/>
      <c r="EA236" s="155"/>
      <c r="EB236" s="155"/>
      <c r="EC236" s="155"/>
      <c r="ED236" s="155"/>
      <c r="EE236" s="155"/>
      <c r="EF236" s="155"/>
      <c r="EG236" s="155"/>
      <c r="EH236" s="155"/>
      <c r="EI236" s="155"/>
      <c r="EJ236" s="155"/>
      <c r="EK236" s="155"/>
      <c r="EL236" s="155"/>
      <c r="EM236" s="155"/>
      <c r="EN236" s="155"/>
      <c r="EO236" s="152"/>
      <c r="EP236" s="151"/>
      <c r="EQ236" s="153"/>
      <c r="ER236" s="153"/>
      <c r="ES236" s="153"/>
      <c r="ET236" s="153"/>
      <c r="EU236" s="152"/>
      <c r="EV236" s="152"/>
      <c r="EW236" s="152"/>
      <c r="EX236" s="152"/>
      <c r="EY236" s="151"/>
      <c r="EZ236" s="155"/>
      <c r="FA236" s="155"/>
      <c r="FB236" s="155"/>
      <c r="FC236" s="204"/>
      <c r="FD236" s="204"/>
      <c r="FE236" s="204"/>
      <c r="FF236" s="204"/>
      <c r="FG236" s="204"/>
      <c r="FH236" s="204"/>
    </row>
    <row r="237" spans="1:164" s="202" customFormat="1" ht="14" hidden="1" customHeight="1">
      <c r="A237" s="208" t="str">
        <f t="shared" si="248"/>
        <v>Hiện</v>
      </c>
      <c r="B237" s="151" t="str">
        <f>CONCATENATE(EY237," nằm ở mục khác")</f>
        <v>Thiếu nằm ở mục khác</v>
      </c>
      <c r="C237" s="409">
        <f t="shared" ref="C237" si="294">EW237</f>
        <v>16</v>
      </c>
      <c r="D237" s="151"/>
      <c r="E237" s="154"/>
      <c r="F237" s="154"/>
      <c r="G237" s="151"/>
      <c r="H237" s="364"/>
      <c r="I237" s="430" t="s">
        <v>2172</v>
      </c>
      <c r="J237" s="171" t="s">
        <v>640</v>
      </c>
      <c r="K237" s="247" t="s">
        <v>2173</v>
      </c>
      <c r="L237" s="431" t="s">
        <v>642</v>
      </c>
      <c r="M237" s="163" t="s">
        <v>345</v>
      </c>
      <c r="N237" s="177"/>
      <c r="O237" s="229">
        <v>16</v>
      </c>
      <c r="P237" s="416"/>
      <c r="Q237" s="155"/>
      <c r="R237" s="155"/>
      <c r="S237" s="161"/>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v>0</v>
      </c>
      <c r="BR237" s="162">
        <v>0</v>
      </c>
      <c r="BS237" s="162">
        <v>16</v>
      </c>
      <c r="BT237" s="162">
        <v>0</v>
      </c>
      <c r="BU237" s="162">
        <v>0</v>
      </c>
      <c r="BV237" s="162">
        <v>0</v>
      </c>
      <c r="BW237" s="162"/>
      <c r="BX237" s="162"/>
      <c r="BY237" s="162">
        <v>0</v>
      </c>
      <c r="BZ237" s="162">
        <v>0</v>
      </c>
      <c r="CA237" s="162">
        <v>0</v>
      </c>
      <c r="CB237" s="162">
        <v>0</v>
      </c>
      <c r="CC237" s="162">
        <v>0</v>
      </c>
      <c r="CD237" s="162">
        <v>0</v>
      </c>
      <c r="CE237" s="162">
        <f>VLOOKUP(I237,[120]REV33!$A:$O,11,0)</f>
        <v>0</v>
      </c>
      <c r="CF237" s="162">
        <f>VLOOKUP(I237,[120]REV33!$A:$O,12,0)</f>
        <v>0</v>
      </c>
      <c r="CG237" s="162"/>
      <c r="CH237" s="162"/>
      <c r="CI237" s="162"/>
      <c r="CJ237" s="162"/>
      <c r="CK237" s="162"/>
      <c r="CL237" s="162"/>
      <c r="CM237" s="162"/>
      <c r="CN237" s="162"/>
      <c r="CO237" s="162">
        <v>0</v>
      </c>
      <c r="CP237" s="162">
        <v>0</v>
      </c>
      <c r="CQ237" s="162">
        <v>0</v>
      </c>
      <c r="CR237" s="162">
        <v>0</v>
      </c>
      <c r="CS237" s="209">
        <f>Q237+S237+U237+W237+Y237+AA237+AC237+AE237+AG237+AI237+AK237+AM237+AO237+AQ237+AS237+AU237+AW237+AY237+BA237+BC237+BE237+BG237+BI237+BK237+BM237+BO237+BQ237+BS237+BU237+BW237+BY237+CA237+CC237+CE237+CG237+CI237+CK237+CM237+CO237+CQ237</f>
        <v>16</v>
      </c>
      <c r="CT237" s="209">
        <f>R237+T237+V237+X237+Z237+AB237+AD237+AF237+AH237+AJ237+AL237+AN237+AP237+AR237+AT237+AV237+AX237+AZ237+BB237+BD237+BF237+BH237+BJ237+BL237+BN237+BP237+BR237+BT237+BV237+BX237+BZ237+CB237+CD237+CF237+CH237+CJ237+CL237+CN237+CP237+CR237</f>
        <v>0</v>
      </c>
      <c r="CU237" s="375" t="s">
        <v>2174</v>
      </c>
      <c r="CV237" s="156"/>
      <c r="CW237" s="155"/>
      <c r="CX237" s="155"/>
      <c r="CY237" s="155"/>
      <c r="CZ237" s="157"/>
      <c r="DA237" s="152">
        <f t="shared" ref="DA237:DA238" si="295">IF(CS237&gt;CW237,CS237-CW237,"0")</f>
        <v>16</v>
      </c>
      <c r="DB237" s="152" t="str">
        <f t="shared" ref="DB237:DB238" si="296">IF(CT237&gt;CX237,CT237-CX237,"0")</f>
        <v>0</v>
      </c>
      <c r="DC237" s="153"/>
      <c r="DD237" s="158"/>
      <c r="DE237" s="156"/>
      <c r="DF237" s="247"/>
      <c r="DG237" s="175"/>
      <c r="DH237" s="240"/>
      <c r="DI237" s="158"/>
      <c r="DJ237" s="429"/>
      <c r="DK237" s="240"/>
      <c r="DL237" s="189"/>
      <c r="DM237" s="189"/>
      <c r="DN237" s="189"/>
      <c r="DO237" s="281"/>
      <c r="DP237" s="159"/>
      <c r="DQ237" s="152">
        <f>SUMIF($I:$I,I237,$DJ:$DJ)</f>
        <v>0</v>
      </c>
      <c r="DR237" s="152">
        <f>SUMIF($I:$I,I237,$DK:$DK)</f>
        <v>0</v>
      </c>
      <c r="DS237" s="155"/>
      <c r="DT237" s="155"/>
      <c r="DU237" s="155"/>
      <c r="DV237" s="155"/>
      <c r="DW237" s="155"/>
      <c r="DX237" s="155"/>
      <c r="DY237" s="155"/>
      <c r="DZ237" s="155"/>
      <c r="EA237" s="155"/>
      <c r="EB237" s="155"/>
      <c r="EC237" s="155"/>
      <c r="ED237" s="155"/>
      <c r="EE237" s="155"/>
      <c r="EF237" s="155"/>
      <c r="EG237" s="155"/>
      <c r="EH237" s="155"/>
      <c r="EI237" s="155"/>
      <c r="EJ237" s="155"/>
      <c r="EK237" s="155"/>
      <c r="EL237" s="155"/>
      <c r="EM237" s="155"/>
      <c r="EN237" s="155"/>
      <c r="EO237" s="152">
        <f>SUMIF($I:$I,I237,$EC:$EC)</f>
        <v>0</v>
      </c>
      <c r="EP237" s="151">
        <f>SUMIF($I:$I,I237,$ED:$ED)</f>
        <v>0</v>
      </c>
      <c r="EQ237" s="153"/>
      <c r="ER237" s="153"/>
      <c r="ES237" s="153"/>
      <c r="ET237" s="153"/>
      <c r="EU237" s="152">
        <f t="shared" ref="EU237:EU238" si="297">DQ237+EO237</f>
        <v>0</v>
      </c>
      <c r="EV237" s="152">
        <f t="shared" ref="EV237:EV238" si="298">DR237+EP237</f>
        <v>0</v>
      </c>
      <c r="EW237" s="152">
        <f t="shared" ref="EW237:EW238" si="299">DA237-EU237</f>
        <v>16</v>
      </c>
      <c r="EX237" s="152">
        <f t="shared" ref="EX237:EX238" si="300">DB237-EV237</f>
        <v>0</v>
      </c>
      <c r="EY237" s="151" t="str">
        <f t="shared" ref="EY237:EY238" si="301">IF(EW237&lt;0,"Thừa",IF(EW237=0,"Đủ","Thiếu"))</f>
        <v>Thiếu</v>
      </c>
      <c r="EZ237" s="155"/>
      <c r="FA237" s="155"/>
      <c r="FB237" s="155"/>
      <c r="FC237" s="204"/>
      <c r="FD237" s="204"/>
      <c r="FE237" s="204"/>
      <c r="FF237" s="204"/>
      <c r="FG237" s="204"/>
      <c r="FH237" s="204"/>
    </row>
    <row r="238" spans="1:164" s="202" customFormat="1" ht="14" hidden="1" customHeight="1">
      <c r="A238" s="208" t="str">
        <f t="shared" si="248"/>
        <v>Hiện</v>
      </c>
      <c r="B238" s="151" t="str">
        <f t="shared" ref="B238" si="302">EY238</f>
        <v>Thừa</v>
      </c>
      <c r="C238" s="409">
        <f t="shared" ref="C238" si="303">EW238</f>
        <v>-127</v>
      </c>
      <c r="D238" s="151"/>
      <c r="E238" s="154" t="s">
        <v>1902</v>
      </c>
      <c r="F238" s="154"/>
      <c r="G238" s="151"/>
      <c r="H238" s="364"/>
      <c r="I238" s="430" t="s">
        <v>2239</v>
      </c>
      <c r="J238" s="171" t="s">
        <v>640</v>
      </c>
      <c r="K238" s="247" t="s">
        <v>2173</v>
      </c>
      <c r="L238" s="431" t="s">
        <v>642</v>
      </c>
      <c r="M238" s="163" t="s">
        <v>345</v>
      </c>
      <c r="N238" s="177"/>
      <c r="O238" s="229"/>
      <c r="P238" s="416"/>
      <c r="Q238" s="155"/>
      <c r="R238" s="155"/>
      <c r="S238" s="161"/>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v>36</v>
      </c>
      <c r="BV238" s="162">
        <v>0</v>
      </c>
      <c r="BW238" s="162"/>
      <c r="BX238" s="162"/>
      <c r="BY238" s="162">
        <v>0</v>
      </c>
      <c r="BZ238" s="162">
        <v>0</v>
      </c>
      <c r="CA238" s="162">
        <v>0</v>
      </c>
      <c r="CB238" s="162">
        <v>0</v>
      </c>
      <c r="CC238" s="162">
        <v>0</v>
      </c>
      <c r="CD238" s="162">
        <v>0</v>
      </c>
      <c r="CE238" s="162">
        <f>VLOOKUP(I238,[120]REV33!$A:$O,11,0)</f>
        <v>0</v>
      </c>
      <c r="CF238" s="162">
        <f>VLOOKUP(I238,[120]REV33!$A:$O,12,0)</f>
        <v>0</v>
      </c>
      <c r="CG238" s="162"/>
      <c r="CH238" s="162"/>
      <c r="CI238" s="162"/>
      <c r="CJ238" s="162"/>
      <c r="CK238" s="162"/>
      <c r="CL238" s="162"/>
      <c r="CM238" s="162"/>
      <c r="CN238" s="162"/>
      <c r="CO238" s="162">
        <v>0</v>
      </c>
      <c r="CP238" s="162">
        <v>0</v>
      </c>
      <c r="CQ238" s="162">
        <v>0</v>
      </c>
      <c r="CR238" s="162">
        <v>0</v>
      </c>
      <c r="CS238" s="209">
        <f>Q238+S238+U238+W238+Y238+AA238+AC238+AE238+AG238+AI238+AK238+AM238+AO238+AQ238+AS238+AU238+AW238+AY238+BA238+BC238+BE238+BG238+BI238+BK238+BM238+BO238+BQ238+BS238+BU238+BW238+BY238+CA238+CC238+CE238+CG238+CI238+CK238+CM238+CO238+CQ238</f>
        <v>36</v>
      </c>
      <c r="CT238" s="209">
        <f>R238+T238+V238+X238+Z238+AB238+AD238+AF238+AH238+AJ238+AL238+AN238+AP238+AR238+AT238+AV238+AX238+AZ238+BB238+BD238+BF238+BH238+BJ238+BL238+BN238+BP238+BR238+BT238+BV238+BX238+BZ238+CB238+CD238+CF238+CH238+CJ238+CL238+CN238+CP238+CR238</f>
        <v>0</v>
      </c>
      <c r="CU238" s="375" t="s">
        <v>2240</v>
      </c>
      <c r="CV238" s="156"/>
      <c r="CW238" s="155"/>
      <c r="CX238" s="155"/>
      <c r="CY238" s="155"/>
      <c r="CZ238" s="157"/>
      <c r="DA238" s="152">
        <f t="shared" si="295"/>
        <v>36</v>
      </c>
      <c r="DB238" s="152" t="str">
        <f t="shared" si="296"/>
        <v>0</v>
      </c>
      <c r="DC238" s="153"/>
      <c r="DD238" s="158"/>
      <c r="DE238" s="156"/>
      <c r="DF238" s="247"/>
      <c r="DG238" s="175"/>
      <c r="DH238" s="240"/>
      <c r="DI238" s="158"/>
      <c r="DJ238" s="429"/>
      <c r="DK238" s="240"/>
      <c r="DL238" s="189"/>
      <c r="DM238" s="189"/>
      <c r="DN238" s="189"/>
      <c r="DO238" s="281"/>
      <c r="DP238" s="159"/>
      <c r="DQ238" s="152">
        <f>SUMIF($I:$I,I238,$DJ:$DJ)</f>
        <v>163</v>
      </c>
      <c r="DR238" s="152">
        <f>SUMIF($I:$I,I238,$DK:$DK)</f>
        <v>0</v>
      </c>
      <c r="DS238" s="155"/>
      <c r="DT238" s="155"/>
      <c r="DU238" s="155"/>
      <c r="DV238" s="155"/>
      <c r="DW238" s="155"/>
      <c r="DX238" s="155"/>
      <c r="DY238" s="155"/>
      <c r="DZ238" s="155"/>
      <c r="EA238" s="155"/>
      <c r="EB238" s="155"/>
      <c r="EC238" s="155"/>
      <c r="ED238" s="155"/>
      <c r="EE238" s="155"/>
      <c r="EF238" s="155"/>
      <c r="EG238" s="155"/>
      <c r="EH238" s="155"/>
      <c r="EI238" s="155"/>
      <c r="EJ238" s="155"/>
      <c r="EK238" s="155"/>
      <c r="EL238" s="155"/>
      <c r="EM238" s="155"/>
      <c r="EN238" s="155"/>
      <c r="EO238" s="152">
        <f>SUMIF($I:$I,I238,$EC:$EC)</f>
        <v>0</v>
      </c>
      <c r="EP238" s="151">
        <f>SUMIF($I:$I,I238,$ED:$ED)</f>
        <v>0</v>
      </c>
      <c r="EQ238" s="153"/>
      <c r="ER238" s="153"/>
      <c r="ES238" s="153"/>
      <c r="ET238" s="153"/>
      <c r="EU238" s="152">
        <f t="shared" si="297"/>
        <v>163</v>
      </c>
      <c r="EV238" s="152">
        <f t="shared" si="298"/>
        <v>0</v>
      </c>
      <c r="EW238" s="152">
        <f t="shared" si="299"/>
        <v>-127</v>
      </c>
      <c r="EX238" s="152">
        <f t="shared" si="300"/>
        <v>0</v>
      </c>
      <c r="EY238" s="151" t="str">
        <f t="shared" si="301"/>
        <v>Thừa</v>
      </c>
      <c r="EZ238" s="155"/>
      <c r="FA238" s="155"/>
      <c r="FB238" s="155"/>
      <c r="FC238" s="204"/>
      <c r="FD238" s="204"/>
      <c r="FE238" s="204"/>
      <c r="FF238" s="204"/>
      <c r="FG238" s="204"/>
      <c r="FH238" s="204"/>
    </row>
    <row r="239" spans="1:164" s="202" customFormat="1" ht="14" hidden="1" customHeight="1">
      <c r="A239" s="208" t="str">
        <f t="shared" si="248"/>
        <v>ok</v>
      </c>
      <c r="B239" s="151"/>
      <c r="C239" s="409"/>
      <c r="D239" s="151"/>
      <c r="E239" s="154"/>
      <c r="F239" s="154"/>
      <c r="G239" s="151"/>
      <c r="H239" s="364"/>
      <c r="I239" s="430" t="s">
        <v>2239</v>
      </c>
      <c r="J239" s="171" t="s">
        <v>640</v>
      </c>
      <c r="K239" s="247" t="s">
        <v>2173</v>
      </c>
      <c r="L239" s="431" t="s">
        <v>642</v>
      </c>
      <c r="M239" s="163" t="s">
        <v>345</v>
      </c>
      <c r="N239" s="177"/>
      <c r="O239" s="229"/>
      <c r="P239" s="416"/>
      <c r="Q239" s="155"/>
      <c r="R239" s="155"/>
      <c r="S239" s="161"/>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209"/>
      <c r="CT239" s="209"/>
      <c r="CU239" s="375"/>
      <c r="CV239" s="156"/>
      <c r="CW239" s="155"/>
      <c r="CX239" s="155"/>
      <c r="CY239" s="155"/>
      <c r="CZ239" s="157"/>
      <c r="DA239" s="152"/>
      <c r="DB239" s="152"/>
      <c r="DC239" s="153"/>
      <c r="DD239" s="798" t="s">
        <v>2457</v>
      </c>
      <c r="DE239" s="798" t="s">
        <v>2458</v>
      </c>
      <c r="DF239" s="799" t="s">
        <v>2423</v>
      </c>
      <c r="DG239" s="175"/>
      <c r="DH239" s="202" t="s">
        <v>477</v>
      </c>
      <c r="DI239" s="158">
        <v>45985</v>
      </c>
      <c r="DJ239" s="429">
        <v>10</v>
      </c>
      <c r="DK239" s="1006" t="s">
        <v>477</v>
      </c>
      <c r="DL239" s="240">
        <v>690000</v>
      </c>
      <c r="DM239" s="189">
        <f>DL239*DJ239*(1+DN239)</f>
        <v>7452000.0000000009</v>
      </c>
      <c r="DN239" s="446">
        <v>0.08</v>
      </c>
      <c r="DO239" s="281">
        <f>DJ239*DL239</f>
        <v>6900000</v>
      </c>
      <c r="DP239" s="159">
        <v>45973</v>
      </c>
      <c r="DQ239" s="152"/>
      <c r="DR239" s="152"/>
      <c r="DS239" s="155"/>
      <c r="DT239" s="155"/>
      <c r="DU239" s="155"/>
      <c r="DV239" s="155"/>
      <c r="DW239" s="155"/>
      <c r="DX239" s="155"/>
      <c r="DY239" s="155"/>
      <c r="DZ239" s="155"/>
      <c r="EA239" s="155"/>
      <c r="EB239" s="155"/>
      <c r="EC239" s="155"/>
      <c r="ED239" s="155"/>
      <c r="EE239" s="155"/>
      <c r="EF239" s="155"/>
      <c r="EG239" s="155"/>
      <c r="EH239" s="155"/>
      <c r="EI239" s="155"/>
      <c r="EJ239" s="155"/>
      <c r="EK239" s="155"/>
      <c r="EL239" s="155"/>
      <c r="EM239" s="155"/>
      <c r="EN239" s="155"/>
      <c r="EO239" s="152"/>
      <c r="EP239" s="151"/>
      <c r="EQ239" s="153"/>
      <c r="ER239" s="153"/>
      <c r="ES239" s="153"/>
      <c r="ET239" s="153"/>
      <c r="EU239" s="152"/>
      <c r="EV239" s="152"/>
      <c r="EW239" s="152"/>
      <c r="EX239" s="152"/>
      <c r="EY239" s="151"/>
      <c r="EZ239" s="155"/>
      <c r="FA239" s="155"/>
      <c r="FB239" s="155"/>
      <c r="FC239" s="204"/>
      <c r="FD239" s="204"/>
      <c r="FE239" s="204"/>
      <c r="FF239" s="204"/>
      <c r="FG239" s="204"/>
      <c r="FH239" s="204"/>
    </row>
    <row r="240" spans="1:164" s="202" customFormat="1" ht="14" hidden="1" customHeight="1">
      <c r="A240" s="208" t="str">
        <f t="shared" si="248"/>
        <v>ok</v>
      </c>
      <c r="B240" s="151"/>
      <c r="C240" s="409"/>
      <c r="D240" s="151"/>
      <c r="E240" s="154"/>
      <c r="F240" s="154"/>
      <c r="G240" s="151"/>
      <c r="H240" s="364"/>
      <c r="I240" s="430" t="s">
        <v>2239</v>
      </c>
      <c r="J240" s="171" t="s">
        <v>640</v>
      </c>
      <c r="K240" s="247" t="s">
        <v>2173</v>
      </c>
      <c r="L240" s="431" t="s">
        <v>642</v>
      </c>
      <c r="M240" s="163" t="s">
        <v>345</v>
      </c>
      <c r="N240" s="177"/>
      <c r="O240" s="229"/>
      <c r="P240" s="416"/>
      <c r="Q240" s="155"/>
      <c r="R240" s="155"/>
      <c r="S240" s="161"/>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209"/>
      <c r="CT240" s="209"/>
      <c r="CU240" s="375"/>
      <c r="CV240" s="156"/>
      <c r="CW240" s="155"/>
      <c r="CX240" s="155"/>
      <c r="CY240" s="155"/>
      <c r="CZ240" s="157"/>
      <c r="DA240" s="152"/>
      <c r="DB240" s="152"/>
      <c r="DC240" s="153"/>
      <c r="DD240" s="798" t="s">
        <v>2457</v>
      </c>
      <c r="DE240" s="798" t="s">
        <v>2458</v>
      </c>
      <c r="DF240" s="799" t="s">
        <v>2424</v>
      </c>
      <c r="DG240" s="175"/>
      <c r="DH240" s="202" t="s">
        <v>477</v>
      </c>
      <c r="DI240" s="158">
        <v>45985</v>
      </c>
      <c r="DJ240" s="429">
        <v>4</v>
      </c>
      <c r="DK240" s="1006" t="s">
        <v>477</v>
      </c>
      <c r="DL240" s="240">
        <v>590000</v>
      </c>
      <c r="DM240" s="189">
        <f t="shared" ref="DM240:DM298" si="304">DL240*DJ240*(1+DN240)</f>
        <v>2548800</v>
      </c>
      <c r="DN240" s="446">
        <v>0.08</v>
      </c>
      <c r="DO240" s="281">
        <f t="shared" ref="DO240:DO298" si="305">DJ240*DL240</f>
        <v>2360000</v>
      </c>
      <c r="DP240" s="159">
        <v>45973</v>
      </c>
      <c r="DQ240" s="152"/>
      <c r="DR240" s="152"/>
      <c r="DS240" s="155"/>
      <c r="DT240" s="155"/>
      <c r="DU240" s="155"/>
      <c r="DV240" s="155"/>
      <c r="DW240" s="155"/>
      <c r="DX240" s="155"/>
      <c r="DY240" s="155"/>
      <c r="DZ240" s="155"/>
      <c r="EA240" s="155"/>
      <c r="EB240" s="155"/>
      <c r="EC240" s="155"/>
      <c r="ED240" s="155"/>
      <c r="EE240" s="155"/>
      <c r="EF240" s="155"/>
      <c r="EG240" s="155"/>
      <c r="EH240" s="155"/>
      <c r="EI240" s="155"/>
      <c r="EJ240" s="155"/>
      <c r="EK240" s="155"/>
      <c r="EL240" s="155"/>
      <c r="EM240" s="155"/>
      <c r="EN240" s="155"/>
      <c r="EO240" s="152"/>
      <c r="EP240" s="151"/>
      <c r="EQ240" s="153"/>
      <c r="ER240" s="153"/>
      <c r="ES240" s="153"/>
      <c r="ET240" s="153"/>
      <c r="EU240" s="152"/>
      <c r="EV240" s="152"/>
      <c r="EW240" s="152"/>
      <c r="EX240" s="152"/>
      <c r="EY240" s="151"/>
      <c r="EZ240" s="155"/>
      <c r="FA240" s="155"/>
      <c r="FB240" s="155"/>
      <c r="FC240" s="204"/>
      <c r="FD240" s="204"/>
      <c r="FE240" s="204"/>
      <c r="FF240" s="204"/>
      <c r="FG240" s="204"/>
      <c r="FH240" s="204"/>
    </row>
    <row r="241" spans="1:164" s="202" customFormat="1" ht="14" hidden="1" customHeight="1">
      <c r="A241" s="208" t="str">
        <f t="shared" si="248"/>
        <v>ok</v>
      </c>
      <c r="B241" s="151"/>
      <c r="C241" s="409"/>
      <c r="D241" s="151"/>
      <c r="E241" s="154"/>
      <c r="F241" s="154"/>
      <c r="G241" s="151"/>
      <c r="H241" s="364"/>
      <c r="I241" s="430" t="s">
        <v>2239</v>
      </c>
      <c r="J241" s="171" t="s">
        <v>640</v>
      </c>
      <c r="K241" s="247" t="s">
        <v>2173</v>
      </c>
      <c r="L241" s="431" t="s">
        <v>642</v>
      </c>
      <c r="M241" s="163" t="s">
        <v>345</v>
      </c>
      <c r="N241" s="177"/>
      <c r="O241" s="229"/>
      <c r="P241" s="416"/>
      <c r="Q241" s="155"/>
      <c r="R241" s="155"/>
      <c r="S241" s="161"/>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209"/>
      <c r="CT241" s="209"/>
      <c r="CU241" s="375"/>
      <c r="CV241" s="156"/>
      <c r="CW241" s="155"/>
      <c r="CX241" s="155"/>
      <c r="CY241" s="155"/>
      <c r="CZ241" s="157"/>
      <c r="DA241" s="152"/>
      <c r="DB241" s="152"/>
      <c r="DC241" s="153"/>
      <c r="DD241" s="798" t="s">
        <v>2457</v>
      </c>
      <c r="DE241" s="798" t="s">
        <v>2458</v>
      </c>
      <c r="DF241" s="799" t="s">
        <v>2425</v>
      </c>
      <c r="DG241" s="175"/>
      <c r="DH241" s="202" t="s">
        <v>477</v>
      </c>
      <c r="DI241" s="158">
        <v>45985</v>
      </c>
      <c r="DJ241" s="429">
        <v>2</v>
      </c>
      <c r="DK241" s="1006" t="s">
        <v>477</v>
      </c>
      <c r="DL241" s="240">
        <v>690000</v>
      </c>
      <c r="DM241" s="189">
        <f t="shared" si="304"/>
        <v>1490400</v>
      </c>
      <c r="DN241" s="446">
        <v>0.08</v>
      </c>
      <c r="DO241" s="281">
        <f t="shared" si="305"/>
        <v>1380000</v>
      </c>
      <c r="DP241" s="159">
        <v>45973</v>
      </c>
      <c r="DQ241" s="152"/>
      <c r="DR241" s="152"/>
      <c r="DS241" s="155"/>
      <c r="DT241" s="155"/>
      <c r="DU241" s="155"/>
      <c r="DV241" s="155"/>
      <c r="DW241" s="155"/>
      <c r="DX241" s="155"/>
      <c r="DY241" s="155"/>
      <c r="DZ241" s="155"/>
      <c r="EA241" s="155"/>
      <c r="EB241" s="155"/>
      <c r="EC241" s="155"/>
      <c r="ED241" s="155"/>
      <c r="EE241" s="155"/>
      <c r="EF241" s="155"/>
      <c r="EG241" s="155"/>
      <c r="EH241" s="155"/>
      <c r="EI241" s="155"/>
      <c r="EJ241" s="155"/>
      <c r="EK241" s="155"/>
      <c r="EL241" s="155"/>
      <c r="EM241" s="155"/>
      <c r="EN241" s="155"/>
      <c r="EO241" s="152"/>
      <c r="EP241" s="151"/>
      <c r="EQ241" s="153"/>
      <c r="ER241" s="153"/>
      <c r="ES241" s="153"/>
      <c r="ET241" s="153"/>
      <c r="EU241" s="152"/>
      <c r="EV241" s="152"/>
      <c r="EW241" s="152"/>
      <c r="EX241" s="152"/>
      <c r="EY241" s="151"/>
      <c r="EZ241" s="155"/>
      <c r="FA241" s="155"/>
      <c r="FB241" s="155"/>
      <c r="FC241" s="204"/>
      <c r="FD241" s="204"/>
      <c r="FE241" s="204"/>
      <c r="FF241" s="204"/>
      <c r="FG241" s="204"/>
      <c r="FH241" s="204"/>
    </row>
    <row r="242" spans="1:164" s="202" customFormat="1" ht="14" hidden="1" customHeight="1">
      <c r="A242" s="208" t="str">
        <f t="shared" si="248"/>
        <v>ok</v>
      </c>
      <c r="B242" s="151"/>
      <c r="C242" s="409"/>
      <c r="D242" s="151"/>
      <c r="E242" s="154"/>
      <c r="F242" s="154"/>
      <c r="G242" s="151"/>
      <c r="H242" s="364"/>
      <c r="I242" s="430" t="s">
        <v>2239</v>
      </c>
      <c r="J242" s="171" t="s">
        <v>640</v>
      </c>
      <c r="K242" s="247" t="s">
        <v>2173</v>
      </c>
      <c r="L242" s="431" t="s">
        <v>642</v>
      </c>
      <c r="M242" s="163" t="s">
        <v>345</v>
      </c>
      <c r="N242" s="177"/>
      <c r="O242" s="229"/>
      <c r="P242" s="416"/>
      <c r="Q242" s="155"/>
      <c r="R242" s="155"/>
      <c r="S242" s="161"/>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209"/>
      <c r="CT242" s="209"/>
      <c r="CU242" s="375"/>
      <c r="CV242" s="156"/>
      <c r="CW242" s="155"/>
      <c r="CX242" s="155"/>
      <c r="CY242" s="155"/>
      <c r="CZ242" s="157"/>
      <c r="DA242" s="152"/>
      <c r="DB242" s="152"/>
      <c r="DC242" s="153"/>
      <c r="DD242" s="798" t="s">
        <v>2457</v>
      </c>
      <c r="DE242" s="798" t="s">
        <v>2458</v>
      </c>
      <c r="DF242" s="799" t="s">
        <v>2426</v>
      </c>
      <c r="DG242" s="175"/>
      <c r="DH242" s="202" t="s">
        <v>477</v>
      </c>
      <c r="DI242" s="158">
        <v>45985</v>
      </c>
      <c r="DJ242" s="429">
        <v>4</v>
      </c>
      <c r="DK242" s="1006" t="s">
        <v>477</v>
      </c>
      <c r="DL242" s="240">
        <v>510000</v>
      </c>
      <c r="DM242" s="189">
        <f t="shared" si="304"/>
        <v>2203200</v>
      </c>
      <c r="DN242" s="446">
        <v>0.08</v>
      </c>
      <c r="DO242" s="281">
        <f t="shared" si="305"/>
        <v>2040000</v>
      </c>
      <c r="DP242" s="159">
        <v>45973</v>
      </c>
      <c r="DQ242" s="152"/>
      <c r="DR242" s="152"/>
      <c r="DS242" s="155"/>
      <c r="DT242" s="155"/>
      <c r="DU242" s="155"/>
      <c r="DV242" s="155"/>
      <c r="DW242" s="155"/>
      <c r="DX242" s="155"/>
      <c r="DY242" s="155"/>
      <c r="DZ242" s="155"/>
      <c r="EA242" s="155"/>
      <c r="EB242" s="155"/>
      <c r="EC242" s="155"/>
      <c r="ED242" s="155"/>
      <c r="EE242" s="155"/>
      <c r="EF242" s="155"/>
      <c r="EG242" s="155"/>
      <c r="EH242" s="155"/>
      <c r="EI242" s="155"/>
      <c r="EJ242" s="155"/>
      <c r="EK242" s="155"/>
      <c r="EL242" s="155"/>
      <c r="EM242" s="155"/>
      <c r="EN242" s="155"/>
      <c r="EO242" s="152"/>
      <c r="EP242" s="151"/>
      <c r="EQ242" s="153"/>
      <c r="ER242" s="153"/>
      <c r="ES242" s="153"/>
      <c r="ET242" s="153"/>
      <c r="EU242" s="152"/>
      <c r="EV242" s="152"/>
      <c r="EW242" s="152"/>
      <c r="EX242" s="152"/>
      <c r="EY242" s="151"/>
      <c r="EZ242" s="155"/>
      <c r="FA242" s="155"/>
      <c r="FB242" s="155"/>
      <c r="FC242" s="204"/>
      <c r="FD242" s="204"/>
      <c r="FE242" s="204"/>
      <c r="FF242" s="204"/>
      <c r="FG242" s="204"/>
      <c r="FH242" s="204"/>
    </row>
    <row r="243" spans="1:164" s="202" customFormat="1" ht="14" hidden="1" customHeight="1">
      <c r="A243" s="208" t="str">
        <f t="shared" si="248"/>
        <v>ok</v>
      </c>
      <c r="B243" s="151"/>
      <c r="C243" s="409"/>
      <c r="D243" s="151"/>
      <c r="E243" s="154"/>
      <c r="F243" s="154"/>
      <c r="G243" s="151"/>
      <c r="H243" s="364"/>
      <c r="I243" s="430" t="s">
        <v>2239</v>
      </c>
      <c r="J243" s="171" t="s">
        <v>640</v>
      </c>
      <c r="K243" s="247" t="s">
        <v>2173</v>
      </c>
      <c r="L243" s="431" t="s">
        <v>642</v>
      </c>
      <c r="M243" s="163" t="s">
        <v>345</v>
      </c>
      <c r="N243" s="177"/>
      <c r="O243" s="229"/>
      <c r="P243" s="416"/>
      <c r="Q243" s="155"/>
      <c r="R243" s="155"/>
      <c r="S243" s="161"/>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209"/>
      <c r="CT243" s="209"/>
      <c r="CU243" s="375"/>
      <c r="CV243" s="156"/>
      <c r="CW243" s="155"/>
      <c r="CX243" s="155"/>
      <c r="CY243" s="155"/>
      <c r="CZ243" s="157"/>
      <c r="DA243" s="152"/>
      <c r="DB243" s="152"/>
      <c r="DC243" s="153"/>
      <c r="DD243" s="798" t="s">
        <v>2457</v>
      </c>
      <c r="DE243" s="798" t="s">
        <v>2458</v>
      </c>
      <c r="DF243" s="799" t="s">
        <v>2427</v>
      </c>
      <c r="DG243" s="175"/>
      <c r="DH243" s="202" t="s">
        <v>477</v>
      </c>
      <c r="DI243" s="158">
        <v>45985</v>
      </c>
      <c r="DJ243" s="429">
        <v>4</v>
      </c>
      <c r="DK243" s="1006" t="s">
        <v>477</v>
      </c>
      <c r="DL243" s="240">
        <v>510000</v>
      </c>
      <c r="DM243" s="189">
        <f t="shared" si="304"/>
        <v>2203200</v>
      </c>
      <c r="DN243" s="446">
        <v>0.08</v>
      </c>
      <c r="DO243" s="281">
        <f t="shared" si="305"/>
        <v>2040000</v>
      </c>
      <c r="DP243" s="159">
        <v>46030</v>
      </c>
      <c r="DQ243" s="152"/>
      <c r="DR243" s="152"/>
      <c r="DS243" s="155"/>
      <c r="DT243" s="155"/>
      <c r="DU243" s="155"/>
      <c r="DV243" s="155"/>
      <c r="DW243" s="155"/>
      <c r="DX243" s="155"/>
      <c r="DY243" s="155"/>
      <c r="DZ243" s="155"/>
      <c r="EA243" s="155"/>
      <c r="EB243" s="155"/>
      <c r="EC243" s="155"/>
      <c r="ED243" s="155"/>
      <c r="EE243" s="155"/>
      <c r="EF243" s="155"/>
      <c r="EG243" s="155"/>
      <c r="EH243" s="155"/>
      <c r="EI243" s="155"/>
      <c r="EJ243" s="155"/>
      <c r="EK243" s="155"/>
      <c r="EL243" s="155"/>
      <c r="EM243" s="155"/>
      <c r="EN243" s="155"/>
      <c r="EO243" s="152"/>
      <c r="EP243" s="151"/>
      <c r="EQ243" s="153"/>
      <c r="ER243" s="153"/>
      <c r="ES243" s="153"/>
      <c r="ET243" s="153"/>
      <c r="EU243" s="152"/>
      <c r="EV243" s="152"/>
      <c r="EW243" s="152"/>
      <c r="EX243" s="152"/>
      <c r="EY243" s="151"/>
      <c r="EZ243" s="155"/>
      <c r="FA243" s="155"/>
      <c r="FB243" s="155"/>
      <c r="FC243" s="204"/>
      <c r="FD243" s="204"/>
      <c r="FE243" s="204"/>
      <c r="FF243" s="204"/>
      <c r="FG243" s="204"/>
      <c r="FH243" s="204"/>
    </row>
    <row r="244" spans="1:164" s="202" customFormat="1" ht="14" hidden="1" customHeight="1">
      <c r="A244" s="208" t="str">
        <f t="shared" si="248"/>
        <v>ok</v>
      </c>
      <c r="B244" s="151"/>
      <c r="C244" s="409"/>
      <c r="D244" s="151"/>
      <c r="E244" s="154"/>
      <c r="F244" s="154"/>
      <c r="G244" s="151"/>
      <c r="H244" s="364"/>
      <c r="I244" s="430" t="s">
        <v>2239</v>
      </c>
      <c r="J244" s="171" t="s">
        <v>640</v>
      </c>
      <c r="K244" s="247" t="s">
        <v>2173</v>
      </c>
      <c r="L244" s="431" t="s">
        <v>642</v>
      </c>
      <c r="M244" s="163" t="s">
        <v>345</v>
      </c>
      <c r="N244" s="177"/>
      <c r="O244" s="229"/>
      <c r="P244" s="416"/>
      <c r="Q244" s="155"/>
      <c r="R244" s="155"/>
      <c r="S244" s="161"/>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209"/>
      <c r="CT244" s="209"/>
      <c r="CU244" s="375"/>
      <c r="CV244" s="156"/>
      <c r="CW244" s="155"/>
      <c r="CX244" s="155"/>
      <c r="CY244" s="155"/>
      <c r="CZ244" s="157"/>
      <c r="DA244" s="152"/>
      <c r="DB244" s="152"/>
      <c r="DC244" s="153"/>
      <c r="DD244" s="798" t="s">
        <v>2457</v>
      </c>
      <c r="DE244" s="798" t="s">
        <v>2458</v>
      </c>
      <c r="DF244" s="799" t="s">
        <v>2433</v>
      </c>
      <c r="DG244" s="175"/>
      <c r="DH244" s="202" t="s">
        <v>477</v>
      </c>
      <c r="DI244" s="158">
        <v>45985</v>
      </c>
      <c r="DJ244" s="429">
        <v>8</v>
      </c>
      <c r="DK244" s="1006" t="s">
        <v>477</v>
      </c>
      <c r="DL244" s="240">
        <v>1500000</v>
      </c>
      <c r="DM244" s="189">
        <f t="shared" si="304"/>
        <v>12960000</v>
      </c>
      <c r="DN244" s="446">
        <v>0.08</v>
      </c>
      <c r="DO244" s="281">
        <f t="shared" si="305"/>
        <v>12000000</v>
      </c>
      <c r="DP244" s="159">
        <v>45973</v>
      </c>
      <c r="DQ244" s="152"/>
      <c r="DR244" s="152"/>
      <c r="DS244" s="155"/>
      <c r="DT244" s="155"/>
      <c r="DU244" s="155"/>
      <c r="DV244" s="155"/>
      <c r="DW244" s="155"/>
      <c r="DX244" s="155"/>
      <c r="DY244" s="155"/>
      <c r="DZ244" s="155"/>
      <c r="EA244" s="155"/>
      <c r="EB244" s="155"/>
      <c r="EC244" s="155"/>
      <c r="ED244" s="155"/>
      <c r="EE244" s="155"/>
      <c r="EF244" s="155"/>
      <c r="EG244" s="155"/>
      <c r="EH244" s="155"/>
      <c r="EI244" s="155"/>
      <c r="EJ244" s="155"/>
      <c r="EK244" s="155"/>
      <c r="EL244" s="155"/>
      <c r="EM244" s="155"/>
      <c r="EN244" s="155"/>
      <c r="EO244" s="152"/>
      <c r="EP244" s="151"/>
      <c r="EQ244" s="153"/>
      <c r="ER244" s="153"/>
      <c r="ES244" s="153"/>
      <c r="ET244" s="153"/>
      <c r="EU244" s="152"/>
      <c r="EV244" s="152"/>
      <c r="EW244" s="152"/>
      <c r="EX244" s="152"/>
      <c r="EY244" s="151"/>
      <c r="EZ244" s="155"/>
      <c r="FA244" s="155"/>
      <c r="FB244" s="155"/>
      <c r="FC244" s="204"/>
      <c r="FD244" s="204"/>
      <c r="FE244" s="204"/>
      <c r="FF244" s="204"/>
      <c r="FG244" s="204"/>
      <c r="FH244" s="204"/>
    </row>
    <row r="245" spans="1:164" s="202" customFormat="1" ht="14" hidden="1" customHeight="1">
      <c r="A245" s="208" t="str">
        <f t="shared" si="248"/>
        <v>ok</v>
      </c>
      <c r="B245" s="151"/>
      <c r="C245" s="409"/>
      <c r="D245" s="151"/>
      <c r="E245" s="154"/>
      <c r="F245" s="154"/>
      <c r="G245" s="151"/>
      <c r="H245" s="364"/>
      <c r="I245" s="430" t="s">
        <v>2239</v>
      </c>
      <c r="J245" s="171" t="s">
        <v>640</v>
      </c>
      <c r="K245" s="247" t="s">
        <v>2173</v>
      </c>
      <c r="L245" s="431" t="s">
        <v>642</v>
      </c>
      <c r="M245" s="163" t="s">
        <v>345</v>
      </c>
      <c r="N245" s="177"/>
      <c r="O245" s="229"/>
      <c r="P245" s="416"/>
      <c r="Q245" s="155"/>
      <c r="R245" s="155"/>
      <c r="S245" s="161"/>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209"/>
      <c r="CT245" s="209"/>
      <c r="CU245" s="375"/>
      <c r="CV245" s="156"/>
      <c r="CW245" s="155"/>
      <c r="CX245" s="155"/>
      <c r="CY245" s="155"/>
      <c r="CZ245" s="157"/>
      <c r="DA245" s="152"/>
      <c r="DB245" s="152"/>
      <c r="DC245" s="153"/>
      <c r="DD245" s="798" t="s">
        <v>2457</v>
      </c>
      <c r="DE245" s="798" t="s">
        <v>2458</v>
      </c>
      <c r="DF245" s="799" t="s">
        <v>2434</v>
      </c>
      <c r="DG245" s="175"/>
      <c r="DH245" s="202" t="s">
        <v>477</v>
      </c>
      <c r="DI245" s="158">
        <v>45985</v>
      </c>
      <c r="DJ245" s="429">
        <v>8</v>
      </c>
      <c r="DK245" s="1006" t="s">
        <v>477</v>
      </c>
      <c r="DL245" s="240">
        <v>800000</v>
      </c>
      <c r="DM245" s="189">
        <f t="shared" si="304"/>
        <v>6912000</v>
      </c>
      <c r="DN245" s="446">
        <v>0.08</v>
      </c>
      <c r="DO245" s="281">
        <f t="shared" si="305"/>
        <v>6400000</v>
      </c>
      <c r="DP245" s="159">
        <v>45973</v>
      </c>
      <c r="DQ245" s="152"/>
      <c r="DR245" s="152"/>
      <c r="DS245" s="155"/>
      <c r="DT245" s="155"/>
      <c r="DU245" s="155"/>
      <c r="DV245" s="155"/>
      <c r="DW245" s="155"/>
      <c r="DX245" s="155"/>
      <c r="DY245" s="155"/>
      <c r="DZ245" s="155"/>
      <c r="EA245" s="155"/>
      <c r="EB245" s="155"/>
      <c r="EC245" s="155"/>
      <c r="ED245" s="155"/>
      <c r="EE245" s="155"/>
      <c r="EF245" s="155"/>
      <c r="EG245" s="155"/>
      <c r="EH245" s="155"/>
      <c r="EI245" s="155"/>
      <c r="EJ245" s="155"/>
      <c r="EK245" s="155"/>
      <c r="EL245" s="155"/>
      <c r="EM245" s="155"/>
      <c r="EN245" s="155"/>
      <c r="EO245" s="152"/>
      <c r="EP245" s="151"/>
      <c r="EQ245" s="153"/>
      <c r="ER245" s="153"/>
      <c r="ES245" s="153"/>
      <c r="ET245" s="153"/>
      <c r="EU245" s="152"/>
      <c r="EV245" s="152"/>
      <c r="EW245" s="152"/>
      <c r="EX245" s="152"/>
      <c r="EY245" s="151"/>
      <c r="EZ245" s="155"/>
      <c r="FA245" s="155"/>
      <c r="FB245" s="155"/>
      <c r="FC245" s="204"/>
      <c r="FD245" s="204"/>
      <c r="FE245" s="204"/>
      <c r="FF245" s="204"/>
      <c r="FG245" s="204"/>
      <c r="FH245" s="204"/>
    </row>
    <row r="246" spans="1:164" s="202" customFormat="1" ht="14" hidden="1" customHeight="1">
      <c r="A246" s="208" t="str">
        <f t="shared" si="248"/>
        <v>ok</v>
      </c>
      <c r="B246" s="151"/>
      <c r="C246" s="409"/>
      <c r="D246" s="151"/>
      <c r="E246" s="154"/>
      <c r="F246" s="154"/>
      <c r="G246" s="151"/>
      <c r="H246" s="364"/>
      <c r="I246" s="430" t="s">
        <v>2239</v>
      </c>
      <c r="J246" s="171" t="s">
        <v>640</v>
      </c>
      <c r="K246" s="247" t="s">
        <v>2173</v>
      </c>
      <c r="L246" s="431" t="s">
        <v>642</v>
      </c>
      <c r="M246" s="163" t="s">
        <v>345</v>
      </c>
      <c r="N246" s="177"/>
      <c r="O246" s="229"/>
      <c r="P246" s="416"/>
      <c r="Q246" s="155"/>
      <c r="R246" s="155"/>
      <c r="S246" s="161"/>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209"/>
      <c r="CT246" s="209"/>
      <c r="CU246" s="375"/>
      <c r="CV246" s="156"/>
      <c r="CW246" s="155"/>
      <c r="CX246" s="155"/>
      <c r="CY246" s="155"/>
      <c r="CZ246" s="157"/>
      <c r="DA246" s="152"/>
      <c r="DB246" s="152"/>
      <c r="DC246" s="153"/>
      <c r="DD246" s="798" t="s">
        <v>2457</v>
      </c>
      <c r="DE246" s="798" t="s">
        <v>2458</v>
      </c>
      <c r="DF246" s="799" t="s">
        <v>2435</v>
      </c>
      <c r="DG246" s="175"/>
      <c r="DH246" s="202" t="s">
        <v>477</v>
      </c>
      <c r="DI246" s="158">
        <v>45985</v>
      </c>
      <c r="DJ246" s="429">
        <v>2</v>
      </c>
      <c r="DK246" s="1006" t="s">
        <v>477</v>
      </c>
      <c r="DL246" s="240">
        <v>1364000</v>
      </c>
      <c r="DM246" s="189">
        <f t="shared" si="304"/>
        <v>2946240</v>
      </c>
      <c r="DN246" s="446">
        <v>0.08</v>
      </c>
      <c r="DO246" s="281">
        <f t="shared" si="305"/>
        <v>2728000</v>
      </c>
      <c r="DP246" s="159">
        <v>46030</v>
      </c>
      <c r="DQ246" s="152"/>
      <c r="DR246" s="152"/>
      <c r="DS246" s="155"/>
      <c r="DT246" s="155"/>
      <c r="DU246" s="155"/>
      <c r="DV246" s="155"/>
      <c r="DW246" s="155"/>
      <c r="DX246" s="155"/>
      <c r="DY246" s="155"/>
      <c r="DZ246" s="155"/>
      <c r="EA246" s="155"/>
      <c r="EB246" s="155"/>
      <c r="EC246" s="155"/>
      <c r="ED246" s="155"/>
      <c r="EE246" s="155"/>
      <c r="EF246" s="155"/>
      <c r="EG246" s="155"/>
      <c r="EH246" s="155"/>
      <c r="EI246" s="155"/>
      <c r="EJ246" s="155"/>
      <c r="EK246" s="155"/>
      <c r="EL246" s="155"/>
      <c r="EM246" s="155"/>
      <c r="EN246" s="155"/>
      <c r="EO246" s="152"/>
      <c r="EP246" s="151"/>
      <c r="EQ246" s="153"/>
      <c r="ER246" s="153"/>
      <c r="ES246" s="153"/>
      <c r="ET246" s="153"/>
      <c r="EU246" s="152"/>
      <c r="EV246" s="152"/>
      <c r="EW246" s="152"/>
      <c r="EX246" s="152"/>
      <c r="EY246" s="151"/>
      <c r="EZ246" s="155"/>
      <c r="FA246" s="155"/>
      <c r="FB246" s="155"/>
      <c r="FC246" s="204"/>
      <c r="FD246" s="204"/>
      <c r="FE246" s="204"/>
      <c r="FF246" s="204"/>
      <c r="FG246" s="204"/>
      <c r="FH246" s="204"/>
    </row>
    <row r="247" spans="1:164" s="202" customFormat="1" ht="14" hidden="1" customHeight="1">
      <c r="A247" s="208" t="str">
        <f t="shared" si="248"/>
        <v>ok</v>
      </c>
      <c r="B247" s="151"/>
      <c r="C247" s="409"/>
      <c r="D247" s="151"/>
      <c r="E247" s="154"/>
      <c r="F247" s="154"/>
      <c r="G247" s="151"/>
      <c r="H247" s="364"/>
      <c r="I247" s="430" t="s">
        <v>2239</v>
      </c>
      <c r="J247" s="171" t="s">
        <v>640</v>
      </c>
      <c r="K247" s="247" t="s">
        <v>2173</v>
      </c>
      <c r="L247" s="431" t="s">
        <v>642</v>
      </c>
      <c r="M247" s="163" t="s">
        <v>345</v>
      </c>
      <c r="N247" s="177"/>
      <c r="O247" s="229"/>
      <c r="P247" s="416"/>
      <c r="Q247" s="155"/>
      <c r="R247" s="155"/>
      <c r="S247" s="161"/>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209"/>
      <c r="CT247" s="209"/>
      <c r="CU247" s="375"/>
      <c r="CV247" s="156"/>
      <c r="CW247" s="155"/>
      <c r="CX247" s="155"/>
      <c r="CY247" s="155"/>
      <c r="CZ247" s="157"/>
      <c r="DA247" s="152"/>
      <c r="DB247" s="152"/>
      <c r="DC247" s="153"/>
      <c r="DD247" s="798" t="s">
        <v>2457</v>
      </c>
      <c r="DE247" s="798" t="s">
        <v>2458</v>
      </c>
      <c r="DF247" s="799" t="s">
        <v>2436</v>
      </c>
      <c r="DG247" s="175"/>
      <c r="DH247" s="202" t="s">
        <v>477</v>
      </c>
      <c r="DI247" s="158">
        <v>45985</v>
      </c>
      <c r="DJ247" s="429">
        <v>1</v>
      </c>
      <c r="DK247" s="1006" t="s">
        <v>477</v>
      </c>
      <c r="DL247" s="240">
        <v>855000</v>
      </c>
      <c r="DM247" s="189">
        <f t="shared" si="304"/>
        <v>923400.00000000012</v>
      </c>
      <c r="DN247" s="446">
        <v>0.08</v>
      </c>
      <c r="DO247" s="281">
        <f t="shared" si="305"/>
        <v>855000</v>
      </c>
      <c r="DP247" s="159">
        <v>46030</v>
      </c>
      <c r="DQ247" s="152"/>
      <c r="DR247" s="152"/>
      <c r="DS247" s="155"/>
      <c r="DT247" s="155"/>
      <c r="DU247" s="155"/>
      <c r="DV247" s="155"/>
      <c r="DW247" s="155"/>
      <c r="DX247" s="155"/>
      <c r="DY247" s="155"/>
      <c r="DZ247" s="155"/>
      <c r="EA247" s="155"/>
      <c r="EB247" s="155"/>
      <c r="EC247" s="155"/>
      <c r="ED247" s="155"/>
      <c r="EE247" s="155"/>
      <c r="EF247" s="155"/>
      <c r="EG247" s="155"/>
      <c r="EH247" s="155"/>
      <c r="EI247" s="155"/>
      <c r="EJ247" s="155"/>
      <c r="EK247" s="155"/>
      <c r="EL247" s="155"/>
      <c r="EM247" s="155"/>
      <c r="EN247" s="155"/>
      <c r="EO247" s="152"/>
      <c r="EP247" s="151"/>
      <c r="EQ247" s="153"/>
      <c r="ER247" s="153"/>
      <c r="ES247" s="153"/>
      <c r="ET247" s="153"/>
      <c r="EU247" s="152"/>
      <c r="EV247" s="152"/>
      <c r="EW247" s="152"/>
      <c r="EX247" s="152"/>
      <c r="EY247" s="151"/>
      <c r="EZ247" s="155"/>
      <c r="FA247" s="155"/>
      <c r="FB247" s="155"/>
      <c r="FC247" s="204"/>
      <c r="FD247" s="204"/>
      <c r="FE247" s="204"/>
      <c r="FF247" s="204"/>
      <c r="FG247" s="204"/>
      <c r="FH247" s="204"/>
    </row>
    <row r="248" spans="1:164" s="202" customFormat="1" ht="14" hidden="1" customHeight="1">
      <c r="A248" s="208" t="str">
        <f t="shared" si="248"/>
        <v>ok</v>
      </c>
      <c r="B248" s="151"/>
      <c r="C248" s="409"/>
      <c r="D248" s="151"/>
      <c r="E248" s="154"/>
      <c r="F248" s="154"/>
      <c r="G248" s="151"/>
      <c r="H248" s="364"/>
      <c r="I248" s="430" t="s">
        <v>2239</v>
      </c>
      <c r="J248" s="171" t="s">
        <v>640</v>
      </c>
      <c r="K248" s="247" t="s">
        <v>2173</v>
      </c>
      <c r="L248" s="431" t="s">
        <v>642</v>
      </c>
      <c r="M248" s="163" t="s">
        <v>345</v>
      </c>
      <c r="N248" s="177"/>
      <c r="O248" s="229"/>
      <c r="P248" s="416"/>
      <c r="Q248" s="155"/>
      <c r="R248" s="155"/>
      <c r="S248" s="161"/>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209"/>
      <c r="CT248" s="209"/>
      <c r="CU248" s="375"/>
      <c r="CV248" s="156"/>
      <c r="CW248" s="155"/>
      <c r="CX248" s="155"/>
      <c r="CY248" s="155"/>
      <c r="CZ248" s="157"/>
      <c r="DA248" s="152"/>
      <c r="DB248" s="152"/>
      <c r="DC248" s="153"/>
      <c r="DD248" s="798" t="s">
        <v>2457</v>
      </c>
      <c r="DE248" s="798" t="s">
        <v>2458</v>
      </c>
      <c r="DF248" s="799" t="s">
        <v>2437</v>
      </c>
      <c r="DG248" s="175"/>
      <c r="DH248" s="202" t="s">
        <v>477</v>
      </c>
      <c r="DI248" s="158">
        <v>45985</v>
      </c>
      <c r="DJ248" s="429">
        <v>1</v>
      </c>
      <c r="DK248" s="1006" t="s">
        <v>477</v>
      </c>
      <c r="DL248" s="240">
        <v>770000</v>
      </c>
      <c r="DM248" s="189">
        <f t="shared" si="304"/>
        <v>831600</v>
      </c>
      <c r="DN248" s="446">
        <v>0.08</v>
      </c>
      <c r="DO248" s="281">
        <f t="shared" si="305"/>
        <v>770000</v>
      </c>
      <c r="DP248" s="159">
        <v>46030</v>
      </c>
      <c r="DQ248" s="152"/>
      <c r="DR248" s="152"/>
      <c r="DS248" s="155"/>
      <c r="DT248" s="155"/>
      <c r="DU248" s="155"/>
      <c r="DV248" s="155"/>
      <c r="DW248" s="155"/>
      <c r="DX248" s="155"/>
      <c r="DY248" s="155"/>
      <c r="DZ248" s="155"/>
      <c r="EA248" s="155"/>
      <c r="EB248" s="155"/>
      <c r="EC248" s="155"/>
      <c r="ED248" s="155"/>
      <c r="EE248" s="155"/>
      <c r="EF248" s="155"/>
      <c r="EG248" s="155"/>
      <c r="EH248" s="155"/>
      <c r="EI248" s="155"/>
      <c r="EJ248" s="155"/>
      <c r="EK248" s="155"/>
      <c r="EL248" s="155"/>
      <c r="EM248" s="155"/>
      <c r="EN248" s="155"/>
      <c r="EO248" s="152"/>
      <c r="EP248" s="151"/>
      <c r="EQ248" s="153"/>
      <c r="ER248" s="153"/>
      <c r="ES248" s="153"/>
      <c r="ET248" s="153"/>
      <c r="EU248" s="152"/>
      <c r="EV248" s="152"/>
      <c r="EW248" s="152"/>
      <c r="EX248" s="152"/>
      <c r="EY248" s="151"/>
      <c r="EZ248" s="155"/>
      <c r="FA248" s="155"/>
      <c r="FB248" s="155"/>
      <c r="FC248" s="204"/>
      <c r="FD248" s="204"/>
      <c r="FE248" s="204"/>
      <c r="FF248" s="204"/>
      <c r="FG248" s="204"/>
      <c r="FH248" s="204"/>
    </row>
    <row r="249" spans="1:164" s="202" customFormat="1" ht="14" hidden="1" customHeight="1">
      <c r="A249" s="208" t="str">
        <f t="shared" si="248"/>
        <v>ok</v>
      </c>
      <c r="B249" s="151"/>
      <c r="C249" s="409"/>
      <c r="D249" s="151"/>
      <c r="E249" s="154"/>
      <c r="F249" s="154"/>
      <c r="G249" s="151"/>
      <c r="H249" s="364"/>
      <c r="I249" s="430" t="s">
        <v>2239</v>
      </c>
      <c r="J249" s="171" t="s">
        <v>640</v>
      </c>
      <c r="K249" s="247" t="s">
        <v>2173</v>
      </c>
      <c r="L249" s="431" t="s">
        <v>642</v>
      </c>
      <c r="M249" s="163" t="s">
        <v>345</v>
      </c>
      <c r="N249" s="177"/>
      <c r="O249" s="229"/>
      <c r="P249" s="416"/>
      <c r="Q249" s="155"/>
      <c r="R249" s="155"/>
      <c r="S249" s="161"/>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209"/>
      <c r="CT249" s="209"/>
      <c r="CU249" s="375"/>
      <c r="CV249" s="156"/>
      <c r="CW249" s="155"/>
      <c r="CX249" s="155"/>
      <c r="CY249" s="155"/>
      <c r="CZ249" s="157"/>
      <c r="DA249" s="152"/>
      <c r="DB249" s="152"/>
      <c r="DC249" s="153"/>
      <c r="DD249" s="798" t="s">
        <v>2457</v>
      </c>
      <c r="DE249" s="798" t="s">
        <v>2458</v>
      </c>
      <c r="DF249" s="799" t="s">
        <v>2438</v>
      </c>
      <c r="DG249" s="175"/>
      <c r="DH249" s="202" t="s">
        <v>477</v>
      </c>
      <c r="DI249" s="158">
        <v>45985</v>
      </c>
      <c r="DJ249" s="429">
        <v>1</v>
      </c>
      <c r="DK249" s="1006" t="s">
        <v>477</v>
      </c>
      <c r="DL249" s="240">
        <v>1350000</v>
      </c>
      <c r="DM249" s="189">
        <f t="shared" si="304"/>
        <v>1458000</v>
      </c>
      <c r="DN249" s="446">
        <v>0.08</v>
      </c>
      <c r="DO249" s="281">
        <f t="shared" si="305"/>
        <v>1350000</v>
      </c>
      <c r="DP249" s="159">
        <v>46030</v>
      </c>
      <c r="DQ249" s="152"/>
      <c r="DR249" s="152"/>
      <c r="DS249" s="155"/>
      <c r="DT249" s="155"/>
      <c r="DU249" s="155"/>
      <c r="DV249" s="155"/>
      <c r="DW249" s="155"/>
      <c r="DX249" s="155"/>
      <c r="DY249" s="155"/>
      <c r="DZ249" s="155"/>
      <c r="EA249" s="155"/>
      <c r="EB249" s="155"/>
      <c r="EC249" s="155"/>
      <c r="ED249" s="155"/>
      <c r="EE249" s="155"/>
      <c r="EF249" s="155"/>
      <c r="EG249" s="155"/>
      <c r="EH249" s="155"/>
      <c r="EI249" s="155"/>
      <c r="EJ249" s="155"/>
      <c r="EK249" s="155"/>
      <c r="EL249" s="155"/>
      <c r="EM249" s="155"/>
      <c r="EN249" s="155"/>
      <c r="EO249" s="152"/>
      <c r="EP249" s="151"/>
      <c r="EQ249" s="153"/>
      <c r="ER249" s="153"/>
      <c r="ES249" s="153"/>
      <c r="ET249" s="153"/>
      <c r="EU249" s="152"/>
      <c r="EV249" s="152"/>
      <c r="EW249" s="152"/>
      <c r="EX249" s="152"/>
      <c r="EY249" s="151"/>
      <c r="EZ249" s="155"/>
      <c r="FA249" s="155"/>
      <c r="FB249" s="155"/>
      <c r="FC249" s="204"/>
      <c r="FD249" s="204"/>
      <c r="FE249" s="204"/>
      <c r="FF249" s="204"/>
      <c r="FG249" s="204"/>
      <c r="FH249" s="204"/>
    </row>
    <row r="250" spans="1:164" s="202" customFormat="1" ht="14" hidden="1" customHeight="1">
      <c r="A250" s="208" t="str">
        <f t="shared" si="248"/>
        <v>ok</v>
      </c>
      <c r="B250" s="151"/>
      <c r="C250" s="409"/>
      <c r="D250" s="151"/>
      <c r="E250" s="154"/>
      <c r="F250" s="154"/>
      <c r="G250" s="151"/>
      <c r="H250" s="364"/>
      <c r="I250" s="430" t="s">
        <v>2239</v>
      </c>
      <c r="J250" s="171" t="s">
        <v>640</v>
      </c>
      <c r="K250" s="247" t="s">
        <v>2173</v>
      </c>
      <c r="L250" s="431" t="s">
        <v>642</v>
      </c>
      <c r="M250" s="163" t="s">
        <v>345</v>
      </c>
      <c r="N250" s="177"/>
      <c r="O250" s="229"/>
      <c r="P250" s="416"/>
      <c r="Q250" s="155"/>
      <c r="R250" s="155"/>
      <c r="S250" s="161"/>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209"/>
      <c r="CT250" s="209"/>
      <c r="CU250" s="375"/>
      <c r="CV250" s="156"/>
      <c r="CW250" s="155"/>
      <c r="CX250" s="155"/>
      <c r="CY250" s="155"/>
      <c r="CZ250" s="157"/>
      <c r="DA250" s="152"/>
      <c r="DB250" s="152"/>
      <c r="DC250" s="153"/>
      <c r="DD250" s="798" t="s">
        <v>2457</v>
      </c>
      <c r="DE250" s="798" t="s">
        <v>2458</v>
      </c>
      <c r="DF250" s="799" t="s">
        <v>2439</v>
      </c>
      <c r="DG250" s="175"/>
      <c r="DH250" s="202" t="s">
        <v>477</v>
      </c>
      <c r="DI250" s="158">
        <v>45985</v>
      </c>
      <c r="DJ250" s="429">
        <v>1</v>
      </c>
      <c r="DK250" s="1006" t="s">
        <v>477</v>
      </c>
      <c r="DL250" s="240">
        <v>1565000</v>
      </c>
      <c r="DM250" s="189">
        <f t="shared" si="304"/>
        <v>1690200</v>
      </c>
      <c r="DN250" s="446">
        <v>0.08</v>
      </c>
      <c r="DO250" s="281">
        <f t="shared" si="305"/>
        <v>1565000</v>
      </c>
      <c r="DP250" s="159">
        <v>46030</v>
      </c>
      <c r="DQ250" s="152"/>
      <c r="DR250" s="152"/>
      <c r="DS250" s="155"/>
      <c r="DT250" s="155"/>
      <c r="DU250" s="155"/>
      <c r="DV250" s="155"/>
      <c r="DW250" s="155"/>
      <c r="DX250" s="155"/>
      <c r="DY250" s="155"/>
      <c r="DZ250" s="155"/>
      <c r="EA250" s="155"/>
      <c r="EB250" s="155"/>
      <c r="EC250" s="155"/>
      <c r="ED250" s="155"/>
      <c r="EE250" s="155"/>
      <c r="EF250" s="155"/>
      <c r="EG250" s="155"/>
      <c r="EH250" s="155"/>
      <c r="EI250" s="155"/>
      <c r="EJ250" s="155"/>
      <c r="EK250" s="155"/>
      <c r="EL250" s="155"/>
      <c r="EM250" s="155"/>
      <c r="EN250" s="155"/>
      <c r="EO250" s="152"/>
      <c r="EP250" s="151"/>
      <c r="EQ250" s="153"/>
      <c r="ER250" s="153"/>
      <c r="ES250" s="153"/>
      <c r="ET250" s="153"/>
      <c r="EU250" s="152"/>
      <c r="EV250" s="152"/>
      <c r="EW250" s="152"/>
      <c r="EX250" s="152"/>
      <c r="EY250" s="151"/>
      <c r="EZ250" s="155"/>
      <c r="FA250" s="155"/>
      <c r="FB250" s="155"/>
      <c r="FC250" s="204"/>
      <c r="FD250" s="204"/>
      <c r="FE250" s="204"/>
      <c r="FF250" s="204"/>
      <c r="FG250" s="204"/>
      <c r="FH250" s="204"/>
    </row>
    <row r="251" spans="1:164" s="202" customFormat="1" ht="14" hidden="1" customHeight="1">
      <c r="A251" s="208" t="str">
        <f t="shared" si="248"/>
        <v>ok</v>
      </c>
      <c r="B251" s="151"/>
      <c r="C251" s="409"/>
      <c r="D251" s="151"/>
      <c r="E251" s="154"/>
      <c r="F251" s="154"/>
      <c r="G251" s="151"/>
      <c r="H251" s="364"/>
      <c r="I251" s="430" t="s">
        <v>2239</v>
      </c>
      <c r="J251" s="171" t="s">
        <v>640</v>
      </c>
      <c r="K251" s="247" t="s">
        <v>2173</v>
      </c>
      <c r="L251" s="431" t="s">
        <v>642</v>
      </c>
      <c r="M251" s="163" t="s">
        <v>345</v>
      </c>
      <c r="N251" s="177"/>
      <c r="O251" s="229"/>
      <c r="P251" s="416"/>
      <c r="Q251" s="155"/>
      <c r="R251" s="155"/>
      <c r="S251" s="161"/>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209"/>
      <c r="CT251" s="209"/>
      <c r="CU251" s="375"/>
      <c r="CV251" s="156"/>
      <c r="CW251" s="155"/>
      <c r="CX251" s="155"/>
      <c r="CY251" s="155"/>
      <c r="CZ251" s="157"/>
      <c r="DA251" s="152"/>
      <c r="DB251" s="152"/>
      <c r="DC251" s="153"/>
      <c r="DD251" s="798" t="s">
        <v>2457</v>
      </c>
      <c r="DE251" s="798" t="s">
        <v>2458</v>
      </c>
      <c r="DF251" s="799" t="s">
        <v>2440</v>
      </c>
      <c r="DG251" s="175"/>
      <c r="DH251" s="202" t="s">
        <v>477</v>
      </c>
      <c r="DI251" s="158">
        <v>45985</v>
      </c>
      <c r="DJ251" s="429">
        <v>15</v>
      </c>
      <c r="DK251" s="1006" t="s">
        <v>477</v>
      </c>
      <c r="DL251" s="240">
        <v>1905000</v>
      </c>
      <c r="DM251" s="189">
        <f t="shared" si="304"/>
        <v>30861000.000000004</v>
      </c>
      <c r="DN251" s="446">
        <v>0.08</v>
      </c>
      <c r="DO251" s="281">
        <f t="shared" si="305"/>
        <v>28575000</v>
      </c>
      <c r="DP251" s="159">
        <v>46030</v>
      </c>
      <c r="DQ251" s="152"/>
      <c r="DR251" s="152"/>
      <c r="DS251" s="155"/>
      <c r="DT251" s="155"/>
      <c r="DU251" s="155"/>
      <c r="DV251" s="155"/>
      <c r="DW251" s="155"/>
      <c r="DX251" s="155"/>
      <c r="DY251" s="155"/>
      <c r="DZ251" s="155"/>
      <c r="EA251" s="155"/>
      <c r="EB251" s="155"/>
      <c r="EC251" s="155"/>
      <c r="ED251" s="155"/>
      <c r="EE251" s="155"/>
      <c r="EF251" s="155"/>
      <c r="EG251" s="155"/>
      <c r="EH251" s="155"/>
      <c r="EI251" s="155"/>
      <c r="EJ251" s="155"/>
      <c r="EK251" s="155"/>
      <c r="EL251" s="155"/>
      <c r="EM251" s="155"/>
      <c r="EN251" s="155"/>
      <c r="EO251" s="152"/>
      <c r="EP251" s="151"/>
      <c r="EQ251" s="153"/>
      <c r="ER251" s="153"/>
      <c r="ES251" s="153"/>
      <c r="ET251" s="153"/>
      <c r="EU251" s="152"/>
      <c r="EV251" s="152"/>
      <c r="EW251" s="152"/>
      <c r="EX251" s="152"/>
      <c r="EY251" s="151"/>
      <c r="EZ251" s="155"/>
      <c r="FA251" s="155"/>
      <c r="FB251" s="155"/>
      <c r="FC251" s="204"/>
      <c r="FD251" s="204"/>
      <c r="FE251" s="204"/>
      <c r="FF251" s="204"/>
      <c r="FG251" s="204"/>
      <c r="FH251" s="204"/>
    </row>
    <row r="252" spans="1:164" s="202" customFormat="1" ht="14" hidden="1" customHeight="1">
      <c r="A252" s="208" t="str">
        <f t="shared" si="248"/>
        <v>ok</v>
      </c>
      <c r="B252" s="151"/>
      <c r="C252" s="409"/>
      <c r="D252" s="151"/>
      <c r="E252" s="154"/>
      <c r="F252" s="154"/>
      <c r="G252" s="151"/>
      <c r="H252" s="364"/>
      <c r="I252" s="430" t="s">
        <v>2239</v>
      </c>
      <c r="J252" s="171" t="s">
        <v>640</v>
      </c>
      <c r="K252" s="247" t="s">
        <v>2173</v>
      </c>
      <c r="L252" s="431" t="s">
        <v>642</v>
      </c>
      <c r="M252" s="163" t="s">
        <v>345</v>
      </c>
      <c r="N252" s="177"/>
      <c r="O252" s="229"/>
      <c r="P252" s="416"/>
      <c r="Q252" s="155"/>
      <c r="R252" s="155"/>
      <c r="S252" s="161"/>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209"/>
      <c r="CT252" s="209"/>
      <c r="CU252" s="375"/>
      <c r="CV252" s="156"/>
      <c r="CW252" s="155"/>
      <c r="CX252" s="155"/>
      <c r="CY252" s="155"/>
      <c r="CZ252" s="157"/>
      <c r="DA252" s="152"/>
      <c r="DB252" s="152"/>
      <c r="DC252" s="153"/>
      <c r="DD252" s="798" t="s">
        <v>2457</v>
      </c>
      <c r="DE252" s="798" t="s">
        <v>2458</v>
      </c>
      <c r="DF252" s="799" t="s">
        <v>2441</v>
      </c>
      <c r="DG252" s="175"/>
      <c r="DH252" s="202" t="s">
        <v>477</v>
      </c>
      <c r="DI252" s="158">
        <v>45985</v>
      </c>
      <c r="DJ252" s="429">
        <v>1</v>
      </c>
      <c r="DK252" s="1006" t="s">
        <v>477</v>
      </c>
      <c r="DL252" s="240">
        <v>1305000</v>
      </c>
      <c r="DM252" s="189">
        <f t="shared" si="304"/>
        <v>1409400</v>
      </c>
      <c r="DN252" s="446">
        <v>0.08</v>
      </c>
      <c r="DO252" s="281">
        <f t="shared" si="305"/>
        <v>1305000</v>
      </c>
      <c r="DP252" s="159">
        <v>46030</v>
      </c>
      <c r="DQ252" s="152"/>
      <c r="DR252" s="152"/>
      <c r="DS252" s="155"/>
      <c r="DT252" s="155"/>
      <c r="DU252" s="155"/>
      <c r="DV252" s="155"/>
      <c r="DW252" s="155"/>
      <c r="DX252" s="155"/>
      <c r="DY252" s="155"/>
      <c r="DZ252" s="155"/>
      <c r="EA252" s="155"/>
      <c r="EB252" s="155"/>
      <c r="EC252" s="155"/>
      <c r="ED252" s="155"/>
      <c r="EE252" s="155"/>
      <c r="EF252" s="155"/>
      <c r="EG252" s="155"/>
      <c r="EH252" s="155"/>
      <c r="EI252" s="155"/>
      <c r="EJ252" s="155"/>
      <c r="EK252" s="155"/>
      <c r="EL252" s="155"/>
      <c r="EM252" s="155"/>
      <c r="EN252" s="155"/>
      <c r="EO252" s="152"/>
      <c r="EP252" s="151"/>
      <c r="EQ252" s="153"/>
      <c r="ER252" s="153"/>
      <c r="ES252" s="153"/>
      <c r="ET252" s="153"/>
      <c r="EU252" s="152"/>
      <c r="EV252" s="152"/>
      <c r="EW252" s="152"/>
      <c r="EX252" s="152"/>
      <c r="EY252" s="151"/>
      <c r="EZ252" s="155"/>
      <c r="FA252" s="155"/>
      <c r="FB252" s="155"/>
      <c r="FC252" s="204"/>
      <c r="FD252" s="204"/>
      <c r="FE252" s="204"/>
      <c r="FF252" s="204"/>
      <c r="FG252" s="204"/>
      <c r="FH252" s="204"/>
    </row>
    <row r="253" spans="1:164" s="202" customFormat="1" ht="14" hidden="1" customHeight="1">
      <c r="A253" s="208" t="str">
        <f t="shared" si="248"/>
        <v>ok</v>
      </c>
      <c r="B253" s="151"/>
      <c r="C253" s="409"/>
      <c r="D253" s="151"/>
      <c r="E253" s="154"/>
      <c r="F253" s="154"/>
      <c r="G253" s="151"/>
      <c r="H253" s="364"/>
      <c r="I253" s="430" t="s">
        <v>2239</v>
      </c>
      <c r="J253" s="171" t="s">
        <v>640</v>
      </c>
      <c r="K253" s="247" t="s">
        <v>2173</v>
      </c>
      <c r="L253" s="431" t="s">
        <v>642</v>
      </c>
      <c r="M253" s="163" t="s">
        <v>345</v>
      </c>
      <c r="N253" s="177"/>
      <c r="O253" s="229"/>
      <c r="P253" s="416"/>
      <c r="Q253" s="155"/>
      <c r="R253" s="155"/>
      <c r="S253" s="161"/>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209"/>
      <c r="CT253" s="209"/>
      <c r="CU253" s="375"/>
      <c r="CV253" s="156"/>
      <c r="CW253" s="155"/>
      <c r="CX253" s="155"/>
      <c r="CY253" s="155"/>
      <c r="CZ253" s="157"/>
      <c r="DA253" s="152"/>
      <c r="DB253" s="152"/>
      <c r="DC253" s="153"/>
      <c r="DD253" s="798" t="s">
        <v>2457</v>
      </c>
      <c r="DE253" s="798" t="s">
        <v>2458</v>
      </c>
      <c r="DF253" s="799" t="s">
        <v>2442</v>
      </c>
      <c r="DG253" s="175"/>
      <c r="DH253" s="202" t="s">
        <v>477</v>
      </c>
      <c r="DI253" s="158">
        <v>45985</v>
      </c>
      <c r="DJ253" s="429">
        <v>1</v>
      </c>
      <c r="DK253" s="1006" t="s">
        <v>477</v>
      </c>
      <c r="DL253" s="240">
        <v>955000</v>
      </c>
      <c r="DM253" s="189">
        <f t="shared" si="304"/>
        <v>1031400.0000000001</v>
      </c>
      <c r="DN253" s="446">
        <v>0.08</v>
      </c>
      <c r="DO253" s="281">
        <f t="shared" si="305"/>
        <v>955000</v>
      </c>
      <c r="DP253" s="159">
        <v>46030</v>
      </c>
      <c r="DQ253" s="152"/>
      <c r="DR253" s="152"/>
      <c r="DS253" s="155"/>
      <c r="DT253" s="155"/>
      <c r="DU253" s="155"/>
      <c r="DV253" s="155"/>
      <c r="DW253" s="155"/>
      <c r="DX253" s="155"/>
      <c r="DY253" s="155"/>
      <c r="DZ253" s="155"/>
      <c r="EA253" s="155"/>
      <c r="EB253" s="155"/>
      <c r="EC253" s="155"/>
      <c r="ED253" s="155"/>
      <c r="EE253" s="155"/>
      <c r="EF253" s="155"/>
      <c r="EG253" s="155"/>
      <c r="EH253" s="155"/>
      <c r="EI253" s="155"/>
      <c r="EJ253" s="155"/>
      <c r="EK253" s="155"/>
      <c r="EL253" s="155"/>
      <c r="EM253" s="155"/>
      <c r="EN253" s="155"/>
      <c r="EO253" s="152"/>
      <c r="EP253" s="151"/>
      <c r="EQ253" s="153"/>
      <c r="ER253" s="153"/>
      <c r="ES253" s="153"/>
      <c r="ET253" s="153"/>
      <c r="EU253" s="152"/>
      <c r="EV253" s="152"/>
      <c r="EW253" s="152"/>
      <c r="EX253" s="152"/>
      <c r="EY253" s="151"/>
      <c r="EZ253" s="155"/>
      <c r="FA253" s="155"/>
      <c r="FB253" s="155"/>
      <c r="FC253" s="204"/>
      <c r="FD253" s="204"/>
      <c r="FE253" s="204"/>
      <c r="FF253" s="204"/>
      <c r="FG253" s="204"/>
      <c r="FH253" s="204"/>
    </row>
    <row r="254" spans="1:164" s="202" customFormat="1" ht="14" hidden="1" customHeight="1">
      <c r="A254" s="208" t="str">
        <f t="shared" si="248"/>
        <v>ok</v>
      </c>
      <c r="B254" s="151"/>
      <c r="C254" s="409"/>
      <c r="D254" s="151"/>
      <c r="E254" s="154"/>
      <c r="F254" s="154"/>
      <c r="G254" s="151"/>
      <c r="H254" s="364"/>
      <c r="I254" s="430" t="s">
        <v>2239</v>
      </c>
      <c r="J254" s="171" t="s">
        <v>640</v>
      </c>
      <c r="K254" s="247" t="s">
        <v>2173</v>
      </c>
      <c r="L254" s="431" t="s">
        <v>642</v>
      </c>
      <c r="M254" s="163" t="s">
        <v>345</v>
      </c>
      <c r="N254" s="177"/>
      <c r="O254" s="229"/>
      <c r="P254" s="416"/>
      <c r="Q254" s="155"/>
      <c r="R254" s="155"/>
      <c r="S254" s="161"/>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209"/>
      <c r="CT254" s="209"/>
      <c r="CU254" s="375"/>
      <c r="CV254" s="156"/>
      <c r="CW254" s="155"/>
      <c r="CX254" s="155"/>
      <c r="CY254" s="155"/>
      <c r="CZ254" s="157"/>
      <c r="DA254" s="152"/>
      <c r="DB254" s="152"/>
      <c r="DC254" s="153"/>
      <c r="DD254" s="798" t="s">
        <v>2457</v>
      </c>
      <c r="DE254" s="798" t="s">
        <v>2458</v>
      </c>
      <c r="DF254" s="799" t="s">
        <v>2443</v>
      </c>
      <c r="DG254" s="175"/>
      <c r="DH254" s="202" t="s">
        <v>477</v>
      </c>
      <c r="DI254" s="158">
        <v>45985</v>
      </c>
      <c r="DJ254" s="429">
        <v>1</v>
      </c>
      <c r="DK254" s="1006" t="s">
        <v>477</v>
      </c>
      <c r="DL254" s="240">
        <v>1250000</v>
      </c>
      <c r="DM254" s="189">
        <f t="shared" si="304"/>
        <v>1350000</v>
      </c>
      <c r="DN254" s="446">
        <v>0.08</v>
      </c>
      <c r="DO254" s="281">
        <f t="shared" si="305"/>
        <v>1250000</v>
      </c>
      <c r="DP254" s="159">
        <v>46030</v>
      </c>
      <c r="DQ254" s="152"/>
      <c r="DR254" s="152"/>
      <c r="DS254" s="155"/>
      <c r="DT254" s="155"/>
      <c r="DU254" s="155"/>
      <c r="DV254" s="155"/>
      <c r="DW254" s="155"/>
      <c r="DX254" s="155"/>
      <c r="DY254" s="155"/>
      <c r="DZ254" s="155"/>
      <c r="EA254" s="155"/>
      <c r="EB254" s="155"/>
      <c r="EC254" s="155"/>
      <c r="ED254" s="155"/>
      <c r="EE254" s="155"/>
      <c r="EF254" s="155"/>
      <c r="EG254" s="155"/>
      <c r="EH254" s="155"/>
      <c r="EI254" s="155"/>
      <c r="EJ254" s="155"/>
      <c r="EK254" s="155"/>
      <c r="EL254" s="155"/>
      <c r="EM254" s="155"/>
      <c r="EN254" s="155"/>
      <c r="EO254" s="152"/>
      <c r="EP254" s="151"/>
      <c r="EQ254" s="153"/>
      <c r="ER254" s="153"/>
      <c r="ES254" s="153"/>
      <c r="ET254" s="153"/>
      <c r="EU254" s="152"/>
      <c r="EV254" s="152"/>
      <c r="EW254" s="152"/>
      <c r="EX254" s="152"/>
      <c r="EY254" s="151"/>
      <c r="EZ254" s="155"/>
      <c r="FA254" s="155"/>
      <c r="FB254" s="155"/>
      <c r="FC254" s="204"/>
      <c r="FD254" s="204"/>
      <c r="FE254" s="204"/>
      <c r="FF254" s="204"/>
      <c r="FG254" s="204"/>
      <c r="FH254" s="204"/>
    </row>
    <row r="255" spans="1:164" s="202" customFormat="1" ht="14" hidden="1" customHeight="1">
      <c r="A255" s="208" t="str">
        <f t="shared" si="248"/>
        <v>ok</v>
      </c>
      <c r="B255" s="151"/>
      <c r="C255" s="409"/>
      <c r="D255" s="151"/>
      <c r="E255" s="154"/>
      <c r="F255" s="154"/>
      <c r="G255" s="151"/>
      <c r="H255" s="364"/>
      <c r="I255" s="430" t="s">
        <v>2239</v>
      </c>
      <c r="J255" s="171" t="s">
        <v>640</v>
      </c>
      <c r="K255" s="247" t="s">
        <v>2173</v>
      </c>
      <c r="L255" s="431" t="s">
        <v>642</v>
      </c>
      <c r="M255" s="163" t="s">
        <v>345</v>
      </c>
      <c r="N255" s="177"/>
      <c r="O255" s="229"/>
      <c r="P255" s="416"/>
      <c r="Q255" s="155"/>
      <c r="R255" s="155"/>
      <c r="S255" s="161"/>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209"/>
      <c r="CT255" s="209"/>
      <c r="CU255" s="375"/>
      <c r="CV255" s="156"/>
      <c r="CW255" s="155"/>
      <c r="CX255" s="155"/>
      <c r="CY255" s="155"/>
      <c r="CZ255" s="157"/>
      <c r="DA255" s="152"/>
      <c r="DB255" s="152"/>
      <c r="DC255" s="153"/>
      <c r="DD255" s="798" t="s">
        <v>2457</v>
      </c>
      <c r="DE255" s="798" t="s">
        <v>2458</v>
      </c>
      <c r="DF255" s="799" t="s">
        <v>2444</v>
      </c>
      <c r="DG255" s="175"/>
      <c r="DH255" s="202" t="s">
        <v>477</v>
      </c>
      <c r="DI255" s="158">
        <v>45985</v>
      </c>
      <c r="DJ255" s="429">
        <v>2</v>
      </c>
      <c r="DK255" s="1006" t="s">
        <v>477</v>
      </c>
      <c r="DL255" s="240">
        <v>755000</v>
      </c>
      <c r="DM255" s="189">
        <f t="shared" si="304"/>
        <v>1630800</v>
      </c>
      <c r="DN255" s="446">
        <v>0.08</v>
      </c>
      <c r="DO255" s="281">
        <f t="shared" si="305"/>
        <v>1510000</v>
      </c>
      <c r="DP255" s="159">
        <v>46030</v>
      </c>
      <c r="DQ255" s="152"/>
      <c r="DR255" s="152"/>
      <c r="DS255" s="155"/>
      <c r="DT255" s="155"/>
      <c r="DU255" s="155"/>
      <c r="DV255" s="155"/>
      <c r="DW255" s="155"/>
      <c r="DX255" s="155"/>
      <c r="DY255" s="155"/>
      <c r="DZ255" s="155"/>
      <c r="EA255" s="155"/>
      <c r="EB255" s="155"/>
      <c r="EC255" s="155"/>
      <c r="ED255" s="155"/>
      <c r="EE255" s="155"/>
      <c r="EF255" s="155"/>
      <c r="EG255" s="155"/>
      <c r="EH255" s="155"/>
      <c r="EI255" s="155"/>
      <c r="EJ255" s="155"/>
      <c r="EK255" s="155"/>
      <c r="EL255" s="155"/>
      <c r="EM255" s="155"/>
      <c r="EN255" s="155"/>
      <c r="EO255" s="152"/>
      <c r="EP255" s="151"/>
      <c r="EQ255" s="153"/>
      <c r="ER255" s="153"/>
      <c r="ES255" s="153"/>
      <c r="ET255" s="153"/>
      <c r="EU255" s="152"/>
      <c r="EV255" s="152"/>
      <c r="EW255" s="152"/>
      <c r="EX255" s="152"/>
      <c r="EY255" s="151"/>
      <c r="EZ255" s="155"/>
      <c r="FA255" s="155"/>
      <c r="FB255" s="155"/>
      <c r="FC255" s="204"/>
      <c r="FD255" s="204"/>
      <c r="FE255" s="204"/>
      <c r="FF255" s="204"/>
      <c r="FG255" s="204"/>
      <c r="FH255" s="204"/>
    </row>
    <row r="256" spans="1:164" s="202" customFormat="1" ht="14" hidden="1" customHeight="1">
      <c r="A256" s="208" t="str">
        <f t="shared" si="248"/>
        <v>ok</v>
      </c>
      <c r="B256" s="151"/>
      <c r="C256" s="409"/>
      <c r="D256" s="151"/>
      <c r="E256" s="154"/>
      <c r="F256" s="154"/>
      <c r="G256" s="151"/>
      <c r="H256" s="364"/>
      <c r="I256" s="430" t="s">
        <v>2239</v>
      </c>
      <c r="J256" s="171" t="s">
        <v>640</v>
      </c>
      <c r="K256" s="247" t="s">
        <v>2173</v>
      </c>
      <c r="L256" s="431" t="s">
        <v>642</v>
      </c>
      <c r="M256" s="163" t="s">
        <v>345</v>
      </c>
      <c r="N256" s="177"/>
      <c r="O256" s="229"/>
      <c r="P256" s="416"/>
      <c r="Q256" s="155"/>
      <c r="R256" s="155"/>
      <c r="S256" s="161"/>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209"/>
      <c r="CT256" s="209"/>
      <c r="CU256" s="375"/>
      <c r="CV256" s="156"/>
      <c r="CW256" s="155"/>
      <c r="CX256" s="155"/>
      <c r="CY256" s="155"/>
      <c r="CZ256" s="157"/>
      <c r="DA256" s="152"/>
      <c r="DB256" s="152"/>
      <c r="DC256" s="153"/>
      <c r="DD256" s="798" t="s">
        <v>2457</v>
      </c>
      <c r="DE256" s="798" t="s">
        <v>2458</v>
      </c>
      <c r="DF256" s="799" t="s">
        <v>2445</v>
      </c>
      <c r="DG256" s="175"/>
      <c r="DH256" s="202" t="s">
        <v>477</v>
      </c>
      <c r="DI256" s="158">
        <v>45985</v>
      </c>
      <c r="DJ256" s="429">
        <v>1</v>
      </c>
      <c r="DK256" s="1006" t="s">
        <v>477</v>
      </c>
      <c r="DL256" s="240">
        <v>1255000</v>
      </c>
      <c r="DM256" s="189">
        <f t="shared" si="304"/>
        <v>1355400</v>
      </c>
      <c r="DN256" s="446">
        <v>0.08</v>
      </c>
      <c r="DO256" s="281">
        <f t="shared" si="305"/>
        <v>1255000</v>
      </c>
      <c r="DP256" s="159">
        <v>46030</v>
      </c>
      <c r="DQ256" s="152"/>
      <c r="DR256" s="152"/>
      <c r="DS256" s="155"/>
      <c r="DT256" s="155"/>
      <c r="DU256" s="155"/>
      <c r="DV256" s="155"/>
      <c r="DW256" s="155"/>
      <c r="DX256" s="155"/>
      <c r="DY256" s="155"/>
      <c r="DZ256" s="155"/>
      <c r="EA256" s="155"/>
      <c r="EB256" s="155"/>
      <c r="EC256" s="155"/>
      <c r="ED256" s="155"/>
      <c r="EE256" s="155"/>
      <c r="EF256" s="155"/>
      <c r="EG256" s="155"/>
      <c r="EH256" s="155"/>
      <c r="EI256" s="155"/>
      <c r="EJ256" s="155"/>
      <c r="EK256" s="155"/>
      <c r="EL256" s="155"/>
      <c r="EM256" s="155"/>
      <c r="EN256" s="155"/>
      <c r="EO256" s="152"/>
      <c r="EP256" s="151"/>
      <c r="EQ256" s="153"/>
      <c r="ER256" s="153"/>
      <c r="ES256" s="153"/>
      <c r="ET256" s="153"/>
      <c r="EU256" s="152"/>
      <c r="EV256" s="152"/>
      <c r="EW256" s="152"/>
      <c r="EX256" s="152"/>
      <c r="EY256" s="151"/>
      <c r="EZ256" s="155"/>
      <c r="FA256" s="155"/>
      <c r="FB256" s="155"/>
      <c r="FC256" s="204"/>
      <c r="FD256" s="204"/>
      <c r="FE256" s="204"/>
      <c r="FF256" s="204"/>
      <c r="FG256" s="204"/>
      <c r="FH256" s="204"/>
    </row>
    <row r="257" spans="1:164" s="202" customFormat="1" ht="14" hidden="1" customHeight="1">
      <c r="A257" s="208" t="str">
        <f t="shared" si="248"/>
        <v>ok</v>
      </c>
      <c r="B257" s="151"/>
      <c r="C257" s="409"/>
      <c r="D257" s="151"/>
      <c r="E257" s="154"/>
      <c r="F257" s="154"/>
      <c r="G257" s="151"/>
      <c r="H257" s="364"/>
      <c r="I257" s="430" t="s">
        <v>2239</v>
      </c>
      <c r="J257" s="171" t="s">
        <v>640</v>
      </c>
      <c r="K257" s="247" t="s">
        <v>2173</v>
      </c>
      <c r="L257" s="431" t="s">
        <v>642</v>
      </c>
      <c r="M257" s="163" t="s">
        <v>345</v>
      </c>
      <c r="N257" s="177"/>
      <c r="O257" s="229"/>
      <c r="P257" s="416"/>
      <c r="Q257" s="155"/>
      <c r="R257" s="155"/>
      <c r="S257" s="161"/>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209"/>
      <c r="CT257" s="209"/>
      <c r="CU257" s="375"/>
      <c r="CV257" s="156"/>
      <c r="CW257" s="155"/>
      <c r="CX257" s="155"/>
      <c r="CY257" s="155"/>
      <c r="CZ257" s="157"/>
      <c r="DA257" s="152"/>
      <c r="DB257" s="152"/>
      <c r="DC257" s="153"/>
      <c r="DD257" s="798" t="s">
        <v>2457</v>
      </c>
      <c r="DE257" s="798" t="s">
        <v>2458</v>
      </c>
      <c r="DF257" s="799" t="s">
        <v>2446</v>
      </c>
      <c r="DG257" s="175"/>
      <c r="DH257" s="202" t="s">
        <v>477</v>
      </c>
      <c r="DI257" s="158">
        <v>45985</v>
      </c>
      <c r="DJ257" s="429">
        <v>1</v>
      </c>
      <c r="DK257" s="1006" t="s">
        <v>477</v>
      </c>
      <c r="DL257" s="240">
        <v>1255000</v>
      </c>
      <c r="DM257" s="189">
        <f t="shared" si="304"/>
        <v>1355400</v>
      </c>
      <c r="DN257" s="446">
        <v>0.08</v>
      </c>
      <c r="DO257" s="281">
        <f t="shared" si="305"/>
        <v>1255000</v>
      </c>
      <c r="DP257" s="159">
        <v>46030</v>
      </c>
      <c r="DQ257" s="152"/>
      <c r="DR257" s="152"/>
      <c r="DS257" s="155"/>
      <c r="DT257" s="155"/>
      <c r="DU257" s="155"/>
      <c r="DV257" s="155"/>
      <c r="DW257" s="155"/>
      <c r="DX257" s="155"/>
      <c r="DY257" s="155"/>
      <c r="DZ257" s="155"/>
      <c r="EA257" s="155"/>
      <c r="EB257" s="155"/>
      <c r="EC257" s="155"/>
      <c r="ED257" s="155"/>
      <c r="EE257" s="155"/>
      <c r="EF257" s="155"/>
      <c r="EG257" s="155"/>
      <c r="EH257" s="155"/>
      <c r="EI257" s="155"/>
      <c r="EJ257" s="155"/>
      <c r="EK257" s="155"/>
      <c r="EL257" s="155"/>
      <c r="EM257" s="155"/>
      <c r="EN257" s="155"/>
      <c r="EO257" s="152"/>
      <c r="EP257" s="151"/>
      <c r="EQ257" s="153"/>
      <c r="ER257" s="153"/>
      <c r="ES257" s="153"/>
      <c r="ET257" s="153"/>
      <c r="EU257" s="152"/>
      <c r="EV257" s="152"/>
      <c r="EW257" s="152"/>
      <c r="EX257" s="152"/>
      <c r="EY257" s="151"/>
      <c r="EZ257" s="155"/>
      <c r="FA257" s="155"/>
      <c r="FB257" s="155"/>
      <c r="FC257" s="204"/>
      <c r="FD257" s="204"/>
      <c r="FE257" s="204"/>
      <c r="FF257" s="204"/>
      <c r="FG257" s="204"/>
      <c r="FH257" s="204"/>
    </row>
    <row r="258" spans="1:164" s="202" customFormat="1" ht="14" hidden="1" customHeight="1">
      <c r="A258" s="208" t="str">
        <f t="shared" si="248"/>
        <v>ok</v>
      </c>
      <c r="B258" s="151"/>
      <c r="C258" s="409"/>
      <c r="D258" s="151"/>
      <c r="E258" s="154"/>
      <c r="F258" s="154"/>
      <c r="G258" s="151"/>
      <c r="H258" s="364"/>
      <c r="I258" s="430" t="s">
        <v>2239</v>
      </c>
      <c r="J258" s="171" t="s">
        <v>640</v>
      </c>
      <c r="K258" s="247" t="s">
        <v>2173</v>
      </c>
      <c r="L258" s="431" t="s">
        <v>642</v>
      </c>
      <c r="M258" s="163" t="s">
        <v>345</v>
      </c>
      <c r="N258" s="177"/>
      <c r="O258" s="229"/>
      <c r="P258" s="416"/>
      <c r="Q258" s="155"/>
      <c r="R258" s="155"/>
      <c r="S258" s="161"/>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209"/>
      <c r="CT258" s="209"/>
      <c r="CU258" s="375"/>
      <c r="CV258" s="156"/>
      <c r="CW258" s="155"/>
      <c r="CX258" s="155"/>
      <c r="CY258" s="155"/>
      <c r="CZ258" s="157"/>
      <c r="DA258" s="152"/>
      <c r="DB258" s="152"/>
      <c r="DC258" s="153"/>
      <c r="DD258" s="798" t="s">
        <v>2457</v>
      </c>
      <c r="DE258" s="798" t="s">
        <v>2458</v>
      </c>
      <c r="DF258" s="799" t="s">
        <v>2447</v>
      </c>
      <c r="DG258" s="175"/>
      <c r="DH258" s="202" t="s">
        <v>477</v>
      </c>
      <c r="DI258" s="158">
        <v>45985</v>
      </c>
      <c r="DJ258" s="429">
        <v>3</v>
      </c>
      <c r="DK258" s="1006" t="s">
        <v>477</v>
      </c>
      <c r="DL258" s="240">
        <v>1750000</v>
      </c>
      <c r="DM258" s="189">
        <f t="shared" si="304"/>
        <v>5670000</v>
      </c>
      <c r="DN258" s="446">
        <v>0.08</v>
      </c>
      <c r="DO258" s="281">
        <f t="shared" si="305"/>
        <v>5250000</v>
      </c>
      <c r="DP258" s="159">
        <v>46030</v>
      </c>
      <c r="DQ258" s="152"/>
      <c r="DR258" s="152"/>
      <c r="DS258" s="155"/>
      <c r="DT258" s="155"/>
      <c r="DU258" s="155"/>
      <c r="DV258" s="155"/>
      <c r="DW258" s="155"/>
      <c r="DX258" s="155"/>
      <c r="DY258" s="155"/>
      <c r="DZ258" s="155"/>
      <c r="EA258" s="155"/>
      <c r="EB258" s="155"/>
      <c r="EC258" s="155"/>
      <c r="ED258" s="155"/>
      <c r="EE258" s="155"/>
      <c r="EF258" s="155"/>
      <c r="EG258" s="155"/>
      <c r="EH258" s="155"/>
      <c r="EI258" s="155"/>
      <c r="EJ258" s="155"/>
      <c r="EK258" s="155"/>
      <c r="EL258" s="155"/>
      <c r="EM258" s="155"/>
      <c r="EN258" s="155"/>
      <c r="EO258" s="152"/>
      <c r="EP258" s="151"/>
      <c r="EQ258" s="153"/>
      <c r="ER258" s="153"/>
      <c r="ES258" s="153"/>
      <c r="ET258" s="153"/>
      <c r="EU258" s="152"/>
      <c r="EV258" s="152"/>
      <c r="EW258" s="152"/>
      <c r="EX258" s="152"/>
      <c r="EY258" s="151"/>
      <c r="EZ258" s="155"/>
      <c r="FA258" s="155"/>
      <c r="FB258" s="155"/>
      <c r="FC258" s="204"/>
      <c r="FD258" s="204"/>
      <c r="FE258" s="204"/>
      <c r="FF258" s="204"/>
      <c r="FG258" s="204"/>
      <c r="FH258" s="204"/>
    </row>
    <row r="259" spans="1:164" s="202" customFormat="1" ht="14" hidden="1" customHeight="1">
      <c r="A259" s="208" t="str">
        <f t="shared" si="248"/>
        <v>ok</v>
      </c>
      <c r="B259" s="151"/>
      <c r="C259" s="409"/>
      <c r="D259" s="151"/>
      <c r="E259" s="154"/>
      <c r="F259" s="154"/>
      <c r="G259" s="151"/>
      <c r="H259" s="364"/>
      <c r="I259" s="430" t="s">
        <v>2239</v>
      </c>
      <c r="J259" s="171" t="s">
        <v>640</v>
      </c>
      <c r="K259" s="247" t="s">
        <v>2173</v>
      </c>
      <c r="L259" s="431" t="s">
        <v>642</v>
      </c>
      <c r="M259" s="163" t="s">
        <v>345</v>
      </c>
      <c r="N259" s="177"/>
      <c r="O259" s="229"/>
      <c r="P259" s="416"/>
      <c r="Q259" s="155"/>
      <c r="R259" s="155"/>
      <c r="S259" s="161"/>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209"/>
      <c r="CT259" s="209"/>
      <c r="CU259" s="375"/>
      <c r="CV259" s="156"/>
      <c r="CW259" s="155"/>
      <c r="CX259" s="155"/>
      <c r="CY259" s="155"/>
      <c r="CZ259" s="157"/>
      <c r="DA259" s="152"/>
      <c r="DB259" s="152"/>
      <c r="DC259" s="153"/>
      <c r="DD259" s="798" t="s">
        <v>2457</v>
      </c>
      <c r="DE259" s="798" t="s">
        <v>2458</v>
      </c>
      <c r="DF259" s="799" t="s">
        <v>2448</v>
      </c>
      <c r="DG259" s="175"/>
      <c r="DH259" s="202" t="s">
        <v>477</v>
      </c>
      <c r="DI259" s="158">
        <v>45985</v>
      </c>
      <c r="DJ259" s="429">
        <v>2</v>
      </c>
      <c r="DK259" s="1006" t="s">
        <v>477</v>
      </c>
      <c r="DL259" s="240">
        <v>1750000</v>
      </c>
      <c r="DM259" s="189">
        <f t="shared" si="304"/>
        <v>3780000.0000000005</v>
      </c>
      <c r="DN259" s="446">
        <v>0.08</v>
      </c>
      <c r="DO259" s="281">
        <f t="shared" si="305"/>
        <v>3500000</v>
      </c>
      <c r="DP259" s="159">
        <v>46030</v>
      </c>
      <c r="DQ259" s="152"/>
      <c r="DR259" s="152"/>
      <c r="DS259" s="155"/>
      <c r="DT259" s="155"/>
      <c r="DU259" s="155"/>
      <c r="DV259" s="155"/>
      <c r="DW259" s="155"/>
      <c r="DX259" s="155"/>
      <c r="DY259" s="155"/>
      <c r="DZ259" s="155"/>
      <c r="EA259" s="155"/>
      <c r="EB259" s="155"/>
      <c r="EC259" s="155"/>
      <c r="ED259" s="155"/>
      <c r="EE259" s="155"/>
      <c r="EF259" s="155"/>
      <c r="EG259" s="155"/>
      <c r="EH259" s="155"/>
      <c r="EI259" s="155"/>
      <c r="EJ259" s="155"/>
      <c r="EK259" s="155"/>
      <c r="EL259" s="155"/>
      <c r="EM259" s="155"/>
      <c r="EN259" s="155"/>
      <c r="EO259" s="152"/>
      <c r="EP259" s="151"/>
      <c r="EQ259" s="153"/>
      <c r="ER259" s="153"/>
      <c r="ES259" s="153"/>
      <c r="ET259" s="153"/>
      <c r="EU259" s="152"/>
      <c r="EV259" s="152"/>
      <c r="EW259" s="152"/>
      <c r="EX259" s="152"/>
      <c r="EY259" s="151"/>
      <c r="EZ259" s="155"/>
      <c r="FA259" s="155"/>
      <c r="FB259" s="155"/>
      <c r="FC259" s="204"/>
      <c r="FD259" s="204"/>
      <c r="FE259" s="204"/>
      <c r="FF259" s="204"/>
      <c r="FG259" s="204"/>
      <c r="FH259" s="204"/>
    </row>
    <row r="260" spans="1:164" s="202" customFormat="1" ht="14" hidden="1" customHeight="1">
      <c r="A260" s="208" t="str">
        <f t="shared" si="248"/>
        <v>ok</v>
      </c>
      <c r="B260" s="151"/>
      <c r="C260" s="409"/>
      <c r="D260" s="151"/>
      <c r="E260" s="154"/>
      <c r="F260" s="154"/>
      <c r="G260" s="151"/>
      <c r="H260" s="364"/>
      <c r="I260" s="430" t="s">
        <v>2239</v>
      </c>
      <c r="J260" s="171" t="s">
        <v>640</v>
      </c>
      <c r="K260" s="247" t="s">
        <v>2173</v>
      </c>
      <c r="L260" s="431" t="s">
        <v>642</v>
      </c>
      <c r="M260" s="163" t="s">
        <v>345</v>
      </c>
      <c r="N260" s="177"/>
      <c r="O260" s="229"/>
      <c r="P260" s="416"/>
      <c r="Q260" s="155"/>
      <c r="R260" s="155"/>
      <c r="S260" s="161"/>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209"/>
      <c r="CT260" s="209"/>
      <c r="CU260" s="375"/>
      <c r="CV260" s="156"/>
      <c r="CW260" s="155"/>
      <c r="CX260" s="155"/>
      <c r="CY260" s="155"/>
      <c r="CZ260" s="157"/>
      <c r="DA260" s="152"/>
      <c r="DB260" s="152"/>
      <c r="DC260" s="153"/>
      <c r="DD260" s="798" t="s">
        <v>2457</v>
      </c>
      <c r="DE260" s="798" t="s">
        <v>2458</v>
      </c>
      <c r="DF260" s="799" t="s">
        <v>2449</v>
      </c>
      <c r="DG260" s="175"/>
      <c r="DH260" s="202" t="s">
        <v>477</v>
      </c>
      <c r="DI260" s="158">
        <v>45985</v>
      </c>
      <c r="DJ260" s="429">
        <v>1</v>
      </c>
      <c r="DK260" s="1006" t="s">
        <v>477</v>
      </c>
      <c r="DL260" s="240">
        <v>5550000</v>
      </c>
      <c r="DM260" s="189">
        <f t="shared" si="304"/>
        <v>5994000</v>
      </c>
      <c r="DN260" s="446">
        <v>0.08</v>
      </c>
      <c r="DO260" s="281">
        <f t="shared" si="305"/>
        <v>5550000</v>
      </c>
      <c r="DP260" s="159">
        <v>46030</v>
      </c>
      <c r="DQ260" s="152"/>
      <c r="DR260" s="152"/>
      <c r="DS260" s="155"/>
      <c r="DT260" s="155"/>
      <c r="DU260" s="155"/>
      <c r="DV260" s="155"/>
      <c r="DW260" s="155"/>
      <c r="DX260" s="155"/>
      <c r="DY260" s="155"/>
      <c r="DZ260" s="155"/>
      <c r="EA260" s="155"/>
      <c r="EB260" s="155"/>
      <c r="EC260" s="155"/>
      <c r="ED260" s="155"/>
      <c r="EE260" s="155"/>
      <c r="EF260" s="155"/>
      <c r="EG260" s="155"/>
      <c r="EH260" s="155"/>
      <c r="EI260" s="155"/>
      <c r="EJ260" s="155"/>
      <c r="EK260" s="155"/>
      <c r="EL260" s="155"/>
      <c r="EM260" s="155"/>
      <c r="EN260" s="155"/>
      <c r="EO260" s="152"/>
      <c r="EP260" s="151"/>
      <c r="EQ260" s="153"/>
      <c r="ER260" s="153"/>
      <c r="ES260" s="153"/>
      <c r="ET260" s="153"/>
      <c r="EU260" s="152"/>
      <c r="EV260" s="152"/>
      <c r="EW260" s="152"/>
      <c r="EX260" s="152"/>
      <c r="EY260" s="151"/>
      <c r="EZ260" s="155"/>
      <c r="FA260" s="155"/>
      <c r="FB260" s="155"/>
      <c r="FC260" s="204"/>
      <c r="FD260" s="204"/>
      <c r="FE260" s="204"/>
      <c r="FF260" s="204"/>
      <c r="FG260" s="204"/>
      <c r="FH260" s="204"/>
    </row>
    <row r="261" spans="1:164" s="202" customFormat="1" ht="14" hidden="1" customHeight="1">
      <c r="A261" s="208" t="str">
        <f t="shared" si="248"/>
        <v>ok</v>
      </c>
      <c r="B261" s="151"/>
      <c r="C261" s="409"/>
      <c r="D261" s="151"/>
      <c r="E261" s="154"/>
      <c r="F261" s="154"/>
      <c r="G261" s="151"/>
      <c r="H261" s="364"/>
      <c r="I261" s="430" t="s">
        <v>2239</v>
      </c>
      <c r="J261" s="171" t="s">
        <v>640</v>
      </c>
      <c r="K261" s="247" t="s">
        <v>2173</v>
      </c>
      <c r="L261" s="431" t="s">
        <v>642</v>
      </c>
      <c r="M261" s="163" t="s">
        <v>345</v>
      </c>
      <c r="N261" s="177"/>
      <c r="O261" s="229"/>
      <c r="P261" s="416"/>
      <c r="Q261" s="155"/>
      <c r="R261" s="155"/>
      <c r="S261" s="161"/>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209"/>
      <c r="CT261" s="209"/>
      <c r="CU261" s="375"/>
      <c r="CV261" s="156"/>
      <c r="CW261" s="155"/>
      <c r="CX261" s="155"/>
      <c r="CY261" s="155"/>
      <c r="CZ261" s="157"/>
      <c r="DA261" s="152"/>
      <c r="DB261" s="152"/>
      <c r="DC261" s="153"/>
      <c r="DD261" s="798" t="s">
        <v>2457</v>
      </c>
      <c r="DE261" s="798" t="s">
        <v>2458</v>
      </c>
      <c r="DF261" s="799" t="s">
        <v>2450</v>
      </c>
      <c r="DG261" s="175"/>
      <c r="DH261" s="202" t="s">
        <v>477</v>
      </c>
      <c r="DI261" s="158">
        <v>45985</v>
      </c>
      <c r="DJ261" s="429">
        <v>1</v>
      </c>
      <c r="DK261" s="1006" t="s">
        <v>477</v>
      </c>
      <c r="DL261" s="240">
        <v>615000</v>
      </c>
      <c r="DM261" s="189">
        <f t="shared" si="304"/>
        <v>664200</v>
      </c>
      <c r="DN261" s="446">
        <v>0.08</v>
      </c>
      <c r="DO261" s="281">
        <f t="shared" si="305"/>
        <v>615000</v>
      </c>
      <c r="DP261" s="159">
        <v>46030</v>
      </c>
      <c r="DQ261" s="152"/>
      <c r="DR261" s="152"/>
      <c r="DS261" s="155"/>
      <c r="DT261" s="155"/>
      <c r="DU261" s="155"/>
      <c r="DV261" s="155"/>
      <c r="DW261" s="155"/>
      <c r="DX261" s="155"/>
      <c r="DY261" s="155"/>
      <c r="DZ261" s="155"/>
      <c r="EA261" s="155"/>
      <c r="EB261" s="155"/>
      <c r="EC261" s="155"/>
      <c r="ED261" s="155"/>
      <c r="EE261" s="155"/>
      <c r="EF261" s="155"/>
      <c r="EG261" s="155"/>
      <c r="EH261" s="155"/>
      <c r="EI261" s="155"/>
      <c r="EJ261" s="155"/>
      <c r="EK261" s="155"/>
      <c r="EL261" s="155"/>
      <c r="EM261" s="155"/>
      <c r="EN261" s="155"/>
      <c r="EO261" s="152"/>
      <c r="EP261" s="151"/>
      <c r="EQ261" s="153"/>
      <c r="ER261" s="153"/>
      <c r="ES261" s="153"/>
      <c r="ET261" s="153"/>
      <c r="EU261" s="152"/>
      <c r="EV261" s="152"/>
      <c r="EW261" s="152"/>
      <c r="EX261" s="152"/>
      <c r="EY261" s="151"/>
      <c r="EZ261" s="155"/>
      <c r="FA261" s="155"/>
      <c r="FB261" s="155"/>
      <c r="FC261" s="204"/>
      <c r="FD261" s="204"/>
      <c r="FE261" s="204"/>
      <c r="FF261" s="204"/>
      <c r="FG261" s="204"/>
      <c r="FH261" s="204"/>
    </row>
    <row r="262" spans="1:164" s="202" customFormat="1" ht="14" hidden="1" customHeight="1">
      <c r="A262" s="208" t="str">
        <f t="shared" si="248"/>
        <v>ok</v>
      </c>
      <c r="B262" s="151"/>
      <c r="C262" s="409"/>
      <c r="D262" s="151"/>
      <c r="E262" s="154"/>
      <c r="F262" s="154"/>
      <c r="G262" s="151"/>
      <c r="H262" s="364"/>
      <c r="I262" s="430" t="s">
        <v>2239</v>
      </c>
      <c r="J262" s="171" t="s">
        <v>640</v>
      </c>
      <c r="K262" s="247" t="s">
        <v>2173</v>
      </c>
      <c r="L262" s="431" t="s">
        <v>642</v>
      </c>
      <c r="M262" s="163" t="s">
        <v>345</v>
      </c>
      <c r="N262" s="177"/>
      <c r="O262" s="229"/>
      <c r="P262" s="416"/>
      <c r="Q262" s="155"/>
      <c r="R262" s="155"/>
      <c r="S262" s="161"/>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209"/>
      <c r="CT262" s="209"/>
      <c r="CU262" s="375"/>
      <c r="CV262" s="156"/>
      <c r="CW262" s="155"/>
      <c r="CX262" s="155"/>
      <c r="CY262" s="155"/>
      <c r="CZ262" s="157"/>
      <c r="DA262" s="152"/>
      <c r="DB262" s="152"/>
      <c r="DC262" s="153"/>
      <c r="DD262" s="798" t="s">
        <v>2457</v>
      </c>
      <c r="DE262" s="798" t="s">
        <v>2458</v>
      </c>
      <c r="DF262" s="799" t="s">
        <v>2451</v>
      </c>
      <c r="DG262" s="175"/>
      <c r="DH262" s="202" t="s">
        <v>477</v>
      </c>
      <c r="DI262" s="158">
        <v>45985</v>
      </c>
      <c r="DJ262" s="429">
        <v>1</v>
      </c>
      <c r="DK262" s="1006" t="s">
        <v>477</v>
      </c>
      <c r="DL262" s="240">
        <v>1265000</v>
      </c>
      <c r="DM262" s="189">
        <f t="shared" si="304"/>
        <v>1366200</v>
      </c>
      <c r="DN262" s="446">
        <v>0.08</v>
      </c>
      <c r="DO262" s="281">
        <f t="shared" si="305"/>
        <v>1265000</v>
      </c>
      <c r="DP262" s="159">
        <v>46030</v>
      </c>
      <c r="DQ262" s="152"/>
      <c r="DR262" s="152"/>
      <c r="DS262" s="155"/>
      <c r="DT262" s="155"/>
      <c r="DU262" s="155"/>
      <c r="DV262" s="155"/>
      <c r="DW262" s="155"/>
      <c r="DX262" s="155"/>
      <c r="DY262" s="155"/>
      <c r="DZ262" s="155"/>
      <c r="EA262" s="155"/>
      <c r="EB262" s="155"/>
      <c r="EC262" s="155"/>
      <c r="ED262" s="155"/>
      <c r="EE262" s="155"/>
      <c r="EF262" s="155"/>
      <c r="EG262" s="155"/>
      <c r="EH262" s="155"/>
      <c r="EI262" s="155"/>
      <c r="EJ262" s="155"/>
      <c r="EK262" s="155"/>
      <c r="EL262" s="155"/>
      <c r="EM262" s="155"/>
      <c r="EN262" s="155"/>
      <c r="EO262" s="152"/>
      <c r="EP262" s="151"/>
      <c r="EQ262" s="153"/>
      <c r="ER262" s="153"/>
      <c r="ES262" s="153"/>
      <c r="ET262" s="153"/>
      <c r="EU262" s="152"/>
      <c r="EV262" s="152"/>
      <c r="EW262" s="152"/>
      <c r="EX262" s="152"/>
      <c r="EY262" s="151"/>
      <c r="EZ262" s="155"/>
      <c r="FA262" s="155"/>
      <c r="FB262" s="155"/>
      <c r="FC262" s="204"/>
      <c r="FD262" s="204"/>
      <c r="FE262" s="204"/>
      <c r="FF262" s="204"/>
      <c r="FG262" s="204"/>
      <c r="FH262" s="204"/>
    </row>
    <row r="263" spans="1:164" s="202" customFormat="1" ht="14" hidden="1" customHeight="1">
      <c r="A263" s="208" t="str">
        <f t="shared" si="248"/>
        <v>ok</v>
      </c>
      <c r="B263" s="151"/>
      <c r="C263" s="409"/>
      <c r="D263" s="151"/>
      <c r="E263" s="154"/>
      <c r="F263" s="154"/>
      <c r="G263" s="151"/>
      <c r="H263" s="364"/>
      <c r="I263" s="430" t="s">
        <v>2239</v>
      </c>
      <c r="J263" s="171" t="s">
        <v>640</v>
      </c>
      <c r="K263" s="247" t="s">
        <v>2173</v>
      </c>
      <c r="L263" s="431" t="s">
        <v>642</v>
      </c>
      <c r="M263" s="163" t="s">
        <v>345</v>
      </c>
      <c r="N263" s="177"/>
      <c r="O263" s="229"/>
      <c r="P263" s="416"/>
      <c r="Q263" s="155"/>
      <c r="R263" s="155"/>
      <c r="S263" s="161"/>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209"/>
      <c r="CT263" s="209"/>
      <c r="CU263" s="375"/>
      <c r="CV263" s="156"/>
      <c r="CW263" s="155"/>
      <c r="CX263" s="155"/>
      <c r="CY263" s="155"/>
      <c r="CZ263" s="157"/>
      <c r="DA263" s="152"/>
      <c r="DB263" s="152"/>
      <c r="DC263" s="153"/>
      <c r="DD263" s="798" t="s">
        <v>2457</v>
      </c>
      <c r="DE263" s="798" t="s">
        <v>2458</v>
      </c>
      <c r="DF263" s="799" t="s">
        <v>2452</v>
      </c>
      <c r="DG263" s="175"/>
      <c r="DH263" s="202" t="s">
        <v>477</v>
      </c>
      <c r="DI263" s="158">
        <v>45985</v>
      </c>
      <c r="DJ263" s="429">
        <v>1</v>
      </c>
      <c r="DK263" s="1006" t="s">
        <v>477</v>
      </c>
      <c r="DL263" s="240">
        <v>1650000</v>
      </c>
      <c r="DM263" s="189">
        <f t="shared" si="304"/>
        <v>1782000.0000000002</v>
      </c>
      <c r="DN263" s="446">
        <v>0.08</v>
      </c>
      <c r="DO263" s="281">
        <f t="shared" si="305"/>
        <v>1650000</v>
      </c>
      <c r="DP263" s="159">
        <v>46030</v>
      </c>
      <c r="DQ263" s="152"/>
      <c r="DR263" s="152"/>
      <c r="DS263" s="155"/>
      <c r="DT263" s="155"/>
      <c r="DU263" s="155"/>
      <c r="DV263" s="155"/>
      <c r="DW263" s="155"/>
      <c r="DX263" s="155"/>
      <c r="DY263" s="155"/>
      <c r="DZ263" s="155"/>
      <c r="EA263" s="155"/>
      <c r="EB263" s="155"/>
      <c r="EC263" s="155"/>
      <c r="ED263" s="155"/>
      <c r="EE263" s="155"/>
      <c r="EF263" s="155"/>
      <c r="EG263" s="155"/>
      <c r="EH263" s="155"/>
      <c r="EI263" s="155"/>
      <c r="EJ263" s="155"/>
      <c r="EK263" s="155"/>
      <c r="EL263" s="155"/>
      <c r="EM263" s="155"/>
      <c r="EN263" s="155"/>
      <c r="EO263" s="152"/>
      <c r="EP263" s="151"/>
      <c r="EQ263" s="153"/>
      <c r="ER263" s="153"/>
      <c r="ES263" s="153"/>
      <c r="ET263" s="153"/>
      <c r="EU263" s="152"/>
      <c r="EV263" s="152"/>
      <c r="EW263" s="152"/>
      <c r="EX263" s="152"/>
      <c r="EY263" s="151"/>
      <c r="EZ263" s="155"/>
      <c r="FA263" s="155"/>
      <c r="FB263" s="155"/>
      <c r="FC263" s="204"/>
      <c r="FD263" s="204"/>
      <c r="FE263" s="204"/>
      <c r="FF263" s="204"/>
      <c r="FG263" s="204"/>
      <c r="FH263" s="204"/>
    </row>
    <row r="264" spans="1:164" s="202" customFormat="1" ht="14" hidden="1" customHeight="1">
      <c r="A264" s="208" t="str">
        <f t="shared" ref="A264:A314" si="306">IF(I264=I263,"ok","Hiện")</f>
        <v>ok</v>
      </c>
      <c r="B264" s="151"/>
      <c r="C264" s="409"/>
      <c r="D264" s="151"/>
      <c r="E264" s="154"/>
      <c r="F264" s="154"/>
      <c r="G264" s="151"/>
      <c r="H264" s="364"/>
      <c r="I264" s="430" t="s">
        <v>2239</v>
      </c>
      <c r="J264" s="171" t="s">
        <v>640</v>
      </c>
      <c r="K264" s="247" t="s">
        <v>2173</v>
      </c>
      <c r="L264" s="431" t="s">
        <v>642</v>
      </c>
      <c r="M264" s="163" t="s">
        <v>345</v>
      </c>
      <c r="N264" s="177"/>
      <c r="O264" s="229"/>
      <c r="P264" s="416"/>
      <c r="Q264" s="155"/>
      <c r="R264" s="155"/>
      <c r="S264" s="161"/>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209"/>
      <c r="CT264" s="209"/>
      <c r="CU264" s="375"/>
      <c r="CV264" s="156"/>
      <c r="CW264" s="155"/>
      <c r="CX264" s="155"/>
      <c r="CY264" s="155"/>
      <c r="CZ264" s="157"/>
      <c r="DA264" s="152"/>
      <c r="DB264" s="152"/>
      <c r="DC264" s="153"/>
      <c r="DD264" s="798" t="s">
        <v>2457</v>
      </c>
      <c r="DE264" s="798" t="s">
        <v>2458</v>
      </c>
      <c r="DF264" s="799" t="s">
        <v>2453</v>
      </c>
      <c r="DG264" s="175"/>
      <c r="DH264" s="202" t="s">
        <v>477</v>
      </c>
      <c r="DI264" s="158">
        <v>45985</v>
      </c>
      <c r="DJ264" s="429">
        <v>1</v>
      </c>
      <c r="DK264" s="1006" t="s">
        <v>477</v>
      </c>
      <c r="DL264" s="240">
        <v>2250000</v>
      </c>
      <c r="DM264" s="189">
        <f t="shared" si="304"/>
        <v>2430000</v>
      </c>
      <c r="DN264" s="446">
        <v>0.08</v>
      </c>
      <c r="DO264" s="281">
        <f t="shared" si="305"/>
        <v>2250000</v>
      </c>
      <c r="DP264" s="159">
        <v>46030</v>
      </c>
      <c r="DQ264" s="152"/>
      <c r="DR264" s="152"/>
      <c r="DS264" s="155"/>
      <c r="DT264" s="155"/>
      <c r="DU264" s="155"/>
      <c r="DV264" s="155"/>
      <c r="DW264" s="155"/>
      <c r="DX264" s="155"/>
      <c r="DY264" s="155"/>
      <c r="DZ264" s="155"/>
      <c r="EA264" s="155"/>
      <c r="EB264" s="155"/>
      <c r="EC264" s="155"/>
      <c r="ED264" s="155"/>
      <c r="EE264" s="155"/>
      <c r="EF264" s="155"/>
      <c r="EG264" s="155"/>
      <c r="EH264" s="155"/>
      <c r="EI264" s="155"/>
      <c r="EJ264" s="155"/>
      <c r="EK264" s="155"/>
      <c r="EL264" s="155"/>
      <c r="EM264" s="155"/>
      <c r="EN264" s="155"/>
      <c r="EO264" s="152"/>
      <c r="EP264" s="151"/>
      <c r="EQ264" s="153"/>
      <c r="ER264" s="153"/>
      <c r="ES264" s="153"/>
      <c r="ET264" s="153"/>
      <c r="EU264" s="152"/>
      <c r="EV264" s="152"/>
      <c r="EW264" s="152"/>
      <c r="EX264" s="152"/>
      <c r="EY264" s="151"/>
      <c r="EZ264" s="155"/>
      <c r="FA264" s="155"/>
      <c r="FB264" s="155"/>
      <c r="FC264" s="204"/>
      <c r="FD264" s="204"/>
      <c r="FE264" s="204"/>
      <c r="FF264" s="204"/>
      <c r="FG264" s="204"/>
      <c r="FH264" s="204"/>
    </row>
    <row r="265" spans="1:164" s="202" customFormat="1" ht="14" hidden="1" customHeight="1">
      <c r="A265" s="208" t="str">
        <f t="shared" si="306"/>
        <v>ok</v>
      </c>
      <c r="B265" s="151"/>
      <c r="C265" s="409"/>
      <c r="D265" s="151"/>
      <c r="E265" s="154"/>
      <c r="F265" s="154"/>
      <c r="G265" s="151"/>
      <c r="H265" s="364"/>
      <c r="I265" s="430" t="s">
        <v>2239</v>
      </c>
      <c r="J265" s="171" t="s">
        <v>640</v>
      </c>
      <c r="K265" s="247" t="s">
        <v>2173</v>
      </c>
      <c r="L265" s="431" t="s">
        <v>642</v>
      </c>
      <c r="M265" s="163" t="s">
        <v>345</v>
      </c>
      <c r="N265" s="177"/>
      <c r="O265" s="229"/>
      <c r="P265" s="416"/>
      <c r="Q265" s="155"/>
      <c r="R265" s="155"/>
      <c r="S265" s="161"/>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209"/>
      <c r="CT265" s="209"/>
      <c r="CU265" s="375"/>
      <c r="CV265" s="156"/>
      <c r="CW265" s="155"/>
      <c r="CX265" s="155"/>
      <c r="CY265" s="155"/>
      <c r="CZ265" s="157"/>
      <c r="DA265" s="152"/>
      <c r="DB265" s="152"/>
      <c r="DC265" s="153"/>
      <c r="DD265" s="798" t="s">
        <v>2457</v>
      </c>
      <c r="DE265" s="798" t="s">
        <v>2458</v>
      </c>
      <c r="DF265" s="799" t="s">
        <v>2454</v>
      </c>
      <c r="DG265" s="175"/>
      <c r="DH265" s="202" t="s">
        <v>477</v>
      </c>
      <c r="DI265" s="158">
        <v>45985</v>
      </c>
      <c r="DJ265" s="429">
        <v>1</v>
      </c>
      <c r="DK265" s="1006" t="s">
        <v>477</v>
      </c>
      <c r="DL265" s="240">
        <v>1450000</v>
      </c>
      <c r="DM265" s="189">
        <f t="shared" si="304"/>
        <v>1566000</v>
      </c>
      <c r="DN265" s="446">
        <v>0.08</v>
      </c>
      <c r="DO265" s="281">
        <f t="shared" si="305"/>
        <v>1450000</v>
      </c>
      <c r="DP265" s="159">
        <v>46030</v>
      </c>
      <c r="DQ265" s="152"/>
      <c r="DR265" s="152"/>
      <c r="DS265" s="155"/>
      <c r="DT265" s="155"/>
      <c r="DU265" s="155"/>
      <c r="DV265" s="155"/>
      <c r="DW265" s="155"/>
      <c r="DX265" s="155"/>
      <c r="DY265" s="155"/>
      <c r="DZ265" s="155"/>
      <c r="EA265" s="155"/>
      <c r="EB265" s="155"/>
      <c r="EC265" s="155"/>
      <c r="ED265" s="155"/>
      <c r="EE265" s="155"/>
      <c r="EF265" s="155"/>
      <c r="EG265" s="155"/>
      <c r="EH265" s="155"/>
      <c r="EI265" s="155"/>
      <c r="EJ265" s="155"/>
      <c r="EK265" s="155"/>
      <c r="EL265" s="155"/>
      <c r="EM265" s="155"/>
      <c r="EN265" s="155"/>
      <c r="EO265" s="152"/>
      <c r="EP265" s="151"/>
      <c r="EQ265" s="153"/>
      <c r="ER265" s="153"/>
      <c r="ES265" s="153"/>
      <c r="ET265" s="153"/>
      <c r="EU265" s="152"/>
      <c r="EV265" s="152"/>
      <c r="EW265" s="152"/>
      <c r="EX265" s="152"/>
      <c r="EY265" s="151"/>
      <c r="EZ265" s="155"/>
      <c r="FA265" s="155"/>
      <c r="FB265" s="155"/>
      <c r="FC265" s="204"/>
      <c r="FD265" s="204"/>
      <c r="FE265" s="204"/>
      <c r="FF265" s="204"/>
      <c r="FG265" s="204"/>
      <c r="FH265" s="204"/>
    </row>
    <row r="266" spans="1:164" s="202" customFormat="1" ht="14" hidden="1" customHeight="1">
      <c r="A266" s="208" t="str">
        <f t="shared" si="306"/>
        <v>ok</v>
      </c>
      <c r="B266" s="151"/>
      <c r="C266" s="409"/>
      <c r="D266" s="151"/>
      <c r="E266" s="154"/>
      <c r="F266" s="154"/>
      <c r="G266" s="151"/>
      <c r="H266" s="364"/>
      <c r="I266" s="430" t="s">
        <v>2239</v>
      </c>
      <c r="J266" s="171" t="s">
        <v>640</v>
      </c>
      <c r="K266" s="247" t="s">
        <v>2173</v>
      </c>
      <c r="L266" s="431" t="s">
        <v>642</v>
      </c>
      <c r="M266" s="163" t="s">
        <v>345</v>
      </c>
      <c r="N266" s="177"/>
      <c r="O266" s="229"/>
      <c r="P266" s="416"/>
      <c r="Q266" s="155"/>
      <c r="R266" s="155"/>
      <c r="S266" s="161"/>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209"/>
      <c r="CT266" s="209"/>
      <c r="CU266" s="375"/>
      <c r="CV266" s="156"/>
      <c r="CW266" s="155"/>
      <c r="CX266" s="155"/>
      <c r="CY266" s="155"/>
      <c r="CZ266" s="157"/>
      <c r="DA266" s="152"/>
      <c r="DB266" s="152"/>
      <c r="DC266" s="153"/>
      <c r="DD266" s="798" t="s">
        <v>2457</v>
      </c>
      <c r="DE266" s="798" t="s">
        <v>2458</v>
      </c>
      <c r="DF266" s="799" t="s">
        <v>2455</v>
      </c>
      <c r="DG266" s="175"/>
      <c r="DH266" s="202" t="s">
        <v>477</v>
      </c>
      <c r="DI266" s="158">
        <v>45985</v>
      </c>
      <c r="DJ266" s="429">
        <v>1</v>
      </c>
      <c r="DK266" s="1006" t="s">
        <v>477</v>
      </c>
      <c r="DL266" s="240">
        <v>600000</v>
      </c>
      <c r="DM266" s="189">
        <f t="shared" si="304"/>
        <v>648000</v>
      </c>
      <c r="DN266" s="446">
        <v>0.08</v>
      </c>
      <c r="DO266" s="281">
        <f t="shared" si="305"/>
        <v>600000</v>
      </c>
      <c r="DP266" s="159">
        <v>46030</v>
      </c>
      <c r="DQ266" s="152"/>
      <c r="DR266" s="152"/>
      <c r="DS266" s="155"/>
      <c r="DT266" s="155"/>
      <c r="DU266" s="155"/>
      <c r="DV266" s="155"/>
      <c r="DW266" s="155"/>
      <c r="DX266" s="155"/>
      <c r="DY266" s="155"/>
      <c r="DZ266" s="155"/>
      <c r="EA266" s="155"/>
      <c r="EB266" s="155"/>
      <c r="EC266" s="155"/>
      <c r="ED266" s="155"/>
      <c r="EE266" s="155"/>
      <c r="EF266" s="155"/>
      <c r="EG266" s="155"/>
      <c r="EH266" s="155"/>
      <c r="EI266" s="155"/>
      <c r="EJ266" s="155"/>
      <c r="EK266" s="155"/>
      <c r="EL266" s="155"/>
      <c r="EM266" s="155"/>
      <c r="EN266" s="155"/>
      <c r="EO266" s="152"/>
      <c r="EP266" s="151"/>
      <c r="EQ266" s="153"/>
      <c r="ER266" s="153"/>
      <c r="ES266" s="153"/>
      <c r="ET266" s="153"/>
      <c r="EU266" s="152"/>
      <c r="EV266" s="152"/>
      <c r="EW266" s="152"/>
      <c r="EX266" s="152"/>
      <c r="EY266" s="151"/>
      <c r="EZ266" s="155"/>
      <c r="FA266" s="155"/>
      <c r="FB266" s="155"/>
      <c r="FC266" s="204"/>
      <c r="FD266" s="204"/>
      <c r="FE266" s="204"/>
      <c r="FF266" s="204"/>
      <c r="FG266" s="204"/>
      <c r="FH266" s="204"/>
    </row>
    <row r="267" spans="1:164" s="202" customFormat="1" ht="14" hidden="1" customHeight="1">
      <c r="A267" s="208" t="str">
        <f t="shared" si="306"/>
        <v>ok</v>
      </c>
      <c r="B267" s="151"/>
      <c r="C267" s="409"/>
      <c r="D267" s="151"/>
      <c r="E267" s="154"/>
      <c r="F267" s="154"/>
      <c r="G267" s="151"/>
      <c r="H267" s="364"/>
      <c r="I267" s="430" t="s">
        <v>2239</v>
      </c>
      <c r="J267" s="171" t="s">
        <v>640</v>
      </c>
      <c r="K267" s="247" t="s">
        <v>2173</v>
      </c>
      <c r="L267" s="431" t="s">
        <v>642</v>
      </c>
      <c r="M267" s="163" t="s">
        <v>345</v>
      </c>
      <c r="N267" s="177"/>
      <c r="O267" s="229"/>
      <c r="P267" s="416"/>
      <c r="Q267" s="155"/>
      <c r="R267" s="155"/>
      <c r="S267" s="161"/>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209"/>
      <c r="CT267" s="209"/>
      <c r="CU267" s="375"/>
      <c r="CV267" s="156"/>
      <c r="CW267" s="155"/>
      <c r="CX267" s="155"/>
      <c r="CY267" s="155"/>
      <c r="CZ267" s="157"/>
      <c r="DA267" s="152"/>
      <c r="DB267" s="152"/>
      <c r="DC267" s="153"/>
      <c r="DD267" s="798" t="s">
        <v>2457</v>
      </c>
      <c r="DE267" s="798" t="s">
        <v>2458</v>
      </c>
      <c r="DF267" s="799" t="s">
        <v>2456</v>
      </c>
      <c r="DG267" s="175"/>
      <c r="DH267" s="202" t="s">
        <v>477</v>
      </c>
      <c r="DI267" s="158">
        <v>45985</v>
      </c>
      <c r="DJ267" s="429">
        <v>1</v>
      </c>
      <c r="DK267" s="1006" t="s">
        <v>477</v>
      </c>
      <c r="DL267" s="240">
        <v>605000</v>
      </c>
      <c r="DM267" s="189">
        <f t="shared" si="304"/>
        <v>653400</v>
      </c>
      <c r="DN267" s="446">
        <v>0.08</v>
      </c>
      <c r="DO267" s="281">
        <f t="shared" si="305"/>
        <v>605000</v>
      </c>
      <c r="DP267" s="159">
        <v>46030</v>
      </c>
      <c r="DQ267" s="152"/>
      <c r="DR267" s="152"/>
      <c r="DS267" s="155"/>
      <c r="DT267" s="155"/>
      <c r="DU267" s="155"/>
      <c r="DV267" s="155"/>
      <c r="DW267" s="155"/>
      <c r="DX267" s="155"/>
      <c r="DY267" s="155"/>
      <c r="DZ267" s="155"/>
      <c r="EA267" s="155"/>
      <c r="EB267" s="155"/>
      <c r="EC267" s="155"/>
      <c r="ED267" s="155"/>
      <c r="EE267" s="155"/>
      <c r="EF267" s="155"/>
      <c r="EG267" s="155"/>
      <c r="EH267" s="155"/>
      <c r="EI267" s="155"/>
      <c r="EJ267" s="155"/>
      <c r="EK267" s="155"/>
      <c r="EL267" s="155"/>
      <c r="EM267" s="155"/>
      <c r="EN267" s="155"/>
      <c r="EO267" s="152"/>
      <c r="EP267" s="151"/>
      <c r="EQ267" s="153"/>
      <c r="ER267" s="153"/>
      <c r="ES267" s="153"/>
      <c r="ET267" s="153"/>
      <c r="EU267" s="152"/>
      <c r="EV267" s="152"/>
      <c r="EW267" s="152"/>
      <c r="EX267" s="152"/>
      <c r="EY267" s="151"/>
      <c r="EZ267" s="155"/>
      <c r="FA267" s="155"/>
      <c r="FB267" s="155"/>
      <c r="FC267" s="204"/>
      <c r="FD267" s="204"/>
      <c r="FE267" s="204"/>
      <c r="FF267" s="204"/>
      <c r="FG267" s="204"/>
      <c r="FH267" s="204"/>
    </row>
    <row r="268" spans="1:164" s="202" customFormat="1" ht="14" hidden="1" customHeight="1">
      <c r="A268" s="208" t="str">
        <f t="shared" si="306"/>
        <v>ok</v>
      </c>
      <c r="B268" s="151"/>
      <c r="C268" s="409"/>
      <c r="D268" s="151"/>
      <c r="E268" s="154"/>
      <c r="F268" s="154"/>
      <c r="G268" s="151"/>
      <c r="H268" s="364"/>
      <c r="I268" s="430" t="s">
        <v>2239</v>
      </c>
      <c r="J268" s="171" t="s">
        <v>640</v>
      </c>
      <c r="K268" s="247" t="s">
        <v>2173</v>
      </c>
      <c r="L268" s="431" t="s">
        <v>642</v>
      </c>
      <c r="M268" s="163" t="s">
        <v>345</v>
      </c>
      <c r="N268" s="177"/>
      <c r="O268" s="229"/>
      <c r="P268" s="416"/>
      <c r="Q268" s="155"/>
      <c r="R268" s="155"/>
      <c r="S268" s="161"/>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209"/>
      <c r="CT268" s="209"/>
      <c r="CU268" s="375"/>
      <c r="CV268" s="156"/>
      <c r="CW268" s="155"/>
      <c r="CX268" s="155"/>
      <c r="CY268" s="155"/>
      <c r="CZ268" s="157"/>
      <c r="DA268" s="152"/>
      <c r="DB268" s="152"/>
      <c r="DC268" s="153"/>
      <c r="DD268" s="798" t="s">
        <v>2457</v>
      </c>
      <c r="DE268" s="798" t="s">
        <v>2458</v>
      </c>
      <c r="DF268" s="799" t="s">
        <v>2435</v>
      </c>
      <c r="DG268" s="175"/>
      <c r="DH268" s="202" t="s">
        <v>477</v>
      </c>
      <c r="DI268" s="158">
        <v>45985</v>
      </c>
      <c r="DJ268" s="429">
        <v>2</v>
      </c>
      <c r="DK268" s="1006" t="s">
        <v>477</v>
      </c>
      <c r="DL268" s="240">
        <v>1364000</v>
      </c>
      <c r="DM268" s="189">
        <f t="shared" si="304"/>
        <v>2946240</v>
      </c>
      <c r="DN268" s="446">
        <v>0.08</v>
      </c>
      <c r="DO268" s="281">
        <f t="shared" si="305"/>
        <v>2728000</v>
      </c>
      <c r="DP268" s="159">
        <v>46030</v>
      </c>
      <c r="DQ268" s="152"/>
      <c r="DR268" s="152"/>
      <c r="DS268" s="155"/>
      <c r="DT268" s="155"/>
      <c r="DU268" s="155"/>
      <c r="DV268" s="155"/>
      <c r="DW268" s="155"/>
      <c r="DX268" s="155"/>
      <c r="DY268" s="155"/>
      <c r="DZ268" s="155"/>
      <c r="EA268" s="155"/>
      <c r="EB268" s="155"/>
      <c r="EC268" s="155"/>
      <c r="ED268" s="155"/>
      <c r="EE268" s="155"/>
      <c r="EF268" s="155"/>
      <c r="EG268" s="155"/>
      <c r="EH268" s="155"/>
      <c r="EI268" s="155"/>
      <c r="EJ268" s="155"/>
      <c r="EK268" s="155"/>
      <c r="EL268" s="155"/>
      <c r="EM268" s="155"/>
      <c r="EN268" s="155"/>
      <c r="EO268" s="152"/>
      <c r="EP268" s="151"/>
      <c r="EQ268" s="153"/>
      <c r="ER268" s="153"/>
      <c r="ES268" s="153"/>
      <c r="ET268" s="153"/>
      <c r="EU268" s="152"/>
      <c r="EV268" s="152"/>
      <c r="EW268" s="152"/>
      <c r="EX268" s="152"/>
      <c r="EY268" s="151"/>
      <c r="EZ268" s="155"/>
      <c r="FA268" s="155"/>
      <c r="FB268" s="155"/>
      <c r="FC268" s="204"/>
      <c r="FD268" s="204"/>
      <c r="FE268" s="204"/>
      <c r="FF268" s="204"/>
      <c r="FG268" s="204"/>
      <c r="FH268" s="204"/>
    </row>
    <row r="269" spans="1:164" s="202" customFormat="1" ht="14" hidden="1" customHeight="1">
      <c r="A269" s="208" t="str">
        <f t="shared" si="306"/>
        <v>ok</v>
      </c>
      <c r="B269" s="151"/>
      <c r="C269" s="409"/>
      <c r="D269" s="151"/>
      <c r="E269" s="154"/>
      <c r="F269" s="154"/>
      <c r="G269" s="151"/>
      <c r="H269" s="364"/>
      <c r="I269" s="430" t="s">
        <v>2239</v>
      </c>
      <c r="J269" s="171" t="s">
        <v>640</v>
      </c>
      <c r="K269" s="247" t="s">
        <v>2173</v>
      </c>
      <c r="L269" s="431" t="s">
        <v>642</v>
      </c>
      <c r="M269" s="163" t="s">
        <v>345</v>
      </c>
      <c r="N269" s="177"/>
      <c r="O269" s="229"/>
      <c r="P269" s="416"/>
      <c r="Q269" s="155"/>
      <c r="R269" s="155"/>
      <c r="S269" s="161"/>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209"/>
      <c r="CT269" s="209"/>
      <c r="CU269" s="375"/>
      <c r="CV269" s="156"/>
      <c r="CW269" s="155"/>
      <c r="CX269" s="155"/>
      <c r="CY269" s="155"/>
      <c r="CZ269" s="157"/>
      <c r="DA269" s="152"/>
      <c r="DB269" s="152"/>
      <c r="DC269" s="153"/>
      <c r="DD269" s="798" t="s">
        <v>2457</v>
      </c>
      <c r="DE269" s="798" t="s">
        <v>2458</v>
      </c>
      <c r="DF269" s="799" t="s">
        <v>2436</v>
      </c>
      <c r="DG269" s="175"/>
      <c r="DH269" s="202" t="s">
        <v>477</v>
      </c>
      <c r="DI269" s="158">
        <v>45985</v>
      </c>
      <c r="DJ269" s="429">
        <v>1</v>
      </c>
      <c r="DK269" s="1006" t="s">
        <v>477</v>
      </c>
      <c r="DL269" s="240">
        <v>855000</v>
      </c>
      <c r="DM269" s="189">
        <f t="shared" si="304"/>
        <v>923400.00000000012</v>
      </c>
      <c r="DN269" s="446">
        <v>0.08</v>
      </c>
      <c r="DO269" s="281">
        <f t="shared" si="305"/>
        <v>855000</v>
      </c>
      <c r="DP269" s="159">
        <v>46030</v>
      </c>
      <c r="DQ269" s="152"/>
      <c r="DR269" s="152"/>
      <c r="DS269" s="155"/>
      <c r="DT269" s="155"/>
      <c r="DU269" s="155"/>
      <c r="DV269" s="155"/>
      <c r="DW269" s="155"/>
      <c r="DX269" s="155"/>
      <c r="DY269" s="155"/>
      <c r="DZ269" s="155"/>
      <c r="EA269" s="155"/>
      <c r="EB269" s="155"/>
      <c r="EC269" s="155"/>
      <c r="ED269" s="155"/>
      <c r="EE269" s="155"/>
      <c r="EF269" s="155"/>
      <c r="EG269" s="155"/>
      <c r="EH269" s="155"/>
      <c r="EI269" s="155"/>
      <c r="EJ269" s="155"/>
      <c r="EK269" s="155"/>
      <c r="EL269" s="155"/>
      <c r="EM269" s="155"/>
      <c r="EN269" s="155"/>
      <c r="EO269" s="152"/>
      <c r="EP269" s="151"/>
      <c r="EQ269" s="153"/>
      <c r="ER269" s="153"/>
      <c r="ES269" s="153"/>
      <c r="ET269" s="153"/>
      <c r="EU269" s="152"/>
      <c r="EV269" s="152"/>
      <c r="EW269" s="152"/>
      <c r="EX269" s="152"/>
      <c r="EY269" s="151"/>
      <c r="EZ269" s="155"/>
      <c r="FA269" s="155"/>
      <c r="FB269" s="155"/>
      <c r="FC269" s="204"/>
      <c r="FD269" s="204"/>
      <c r="FE269" s="204"/>
      <c r="FF269" s="204"/>
      <c r="FG269" s="204"/>
      <c r="FH269" s="204"/>
    </row>
    <row r="270" spans="1:164" s="202" customFormat="1" ht="14" hidden="1" customHeight="1">
      <c r="A270" s="208" t="str">
        <f t="shared" si="306"/>
        <v>ok</v>
      </c>
      <c r="B270" s="151"/>
      <c r="C270" s="409"/>
      <c r="D270" s="151"/>
      <c r="E270" s="154"/>
      <c r="F270" s="154"/>
      <c r="G270" s="151"/>
      <c r="H270" s="364"/>
      <c r="I270" s="430" t="s">
        <v>2239</v>
      </c>
      <c r="J270" s="171" t="s">
        <v>640</v>
      </c>
      <c r="K270" s="247" t="s">
        <v>2173</v>
      </c>
      <c r="L270" s="431" t="s">
        <v>642</v>
      </c>
      <c r="M270" s="163" t="s">
        <v>345</v>
      </c>
      <c r="N270" s="177"/>
      <c r="O270" s="229"/>
      <c r="P270" s="416"/>
      <c r="Q270" s="155"/>
      <c r="R270" s="155"/>
      <c r="S270" s="161"/>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209"/>
      <c r="CT270" s="209"/>
      <c r="CU270" s="375"/>
      <c r="CV270" s="156"/>
      <c r="CW270" s="155"/>
      <c r="CX270" s="155"/>
      <c r="CY270" s="155"/>
      <c r="CZ270" s="157"/>
      <c r="DA270" s="152"/>
      <c r="DB270" s="152"/>
      <c r="DC270" s="153"/>
      <c r="DD270" s="798" t="s">
        <v>2457</v>
      </c>
      <c r="DE270" s="798" t="s">
        <v>2458</v>
      </c>
      <c r="DF270" s="799" t="s">
        <v>2437</v>
      </c>
      <c r="DG270" s="175"/>
      <c r="DH270" s="202" t="s">
        <v>477</v>
      </c>
      <c r="DI270" s="158">
        <v>45985</v>
      </c>
      <c r="DJ270" s="429">
        <v>1</v>
      </c>
      <c r="DK270" s="1006" t="s">
        <v>477</v>
      </c>
      <c r="DL270" s="240">
        <v>770000</v>
      </c>
      <c r="DM270" s="189">
        <f t="shared" si="304"/>
        <v>831600</v>
      </c>
      <c r="DN270" s="446">
        <v>0.08</v>
      </c>
      <c r="DO270" s="281">
        <f t="shared" si="305"/>
        <v>770000</v>
      </c>
      <c r="DP270" s="159">
        <v>46030</v>
      </c>
      <c r="DQ270" s="152"/>
      <c r="DR270" s="152"/>
      <c r="DS270" s="155"/>
      <c r="DT270" s="155"/>
      <c r="DU270" s="155"/>
      <c r="DV270" s="155"/>
      <c r="DW270" s="155"/>
      <c r="DX270" s="155"/>
      <c r="DY270" s="155"/>
      <c r="DZ270" s="155"/>
      <c r="EA270" s="155"/>
      <c r="EB270" s="155"/>
      <c r="EC270" s="155"/>
      <c r="ED270" s="155"/>
      <c r="EE270" s="155"/>
      <c r="EF270" s="155"/>
      <c r="EG270" s="155"/>
      <c r="EH270" s="155"/>
      <c r="EI270" s="155"/>
      <c r="EJ270" s="155"/>
      <c r="EK270" s="155"/>
      <c r="EL270" s="155"/>
      <c r="EM270" s="155"/>
      <c r="EN270" s="155"/>
      <c r="EO270" s="152"/>
      <c r="EP270" s="151"/>
      <c r="EQ270" s="153"/>
      <c r="ER270" s="153"/>
      <c r="ES270" s="153"/>
      <c r="ET270" s="153"/>
      <c r="EU270" s="152"/>
      <c r="EV270" s="152"/>
      <c r="EW270" s="152"/>
      <c r="EX270" s="152"/>
      <c r="EY270" s="151"/>
      <c r="EZ270" s="155"/>
      <c r="FA270" s="155"/>
      <c r="FB270" s="155"/>
      <c r="FC270" s="204"/>
      <c r="FD270" s="204"/>
      <c r="FE270" s="204"/>
      <c r="FF270" s="204"/>
      <c r="FG270" s="204"/>
      <c r="FH270" s="204"/>
    </row>
    <row r="271" spans="1:164" s="202" customFormat="1" ht="14" hidden="1" customHeight="1">
      <c r="A271" s="208" t="str">
        <f t="shared" si="306"/>
        <v>ok</v>
      </c>
      <c r="B271" s="151"/>
      <c r="C271" s="409"/>
      <c r="D271" s="151"/>
      <c r="E271" s="154"/>
      <c r="F271" s="154"/>
      <c r="G271" s="151"/>
      <c r="H271" s="364"/>
      <c r="I271" s="430" t="s">
        <v>2239</v>
      </c>
      <c r="J271" s="171" t="s">
        <v>640</v>
      </c>
      <c r="K271" s="247" t="s">
        <v>2173</v>
      </c>
      <c r="L271" s="431" t="s">
        <v>642</v>
      </c>
      <c r="M271" s="163" t="s">
        <v>345</v>
      </c>
      <c r="N271" s="177"/>
      <c r="O271" s="229"/>
      <c r="P271" s="416"/>
      <c r="Q271" s="155"/>
      <c r="R271" s="155"/>
      <c r="S271" s="161"/>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209"/>
      <c r="CT271" s="209"/>
      <c r="CU271" s="375"/>
      <c r="CV271" s="156"/>
      <c r="CW271" s="155"/>
      <c r="CX271" s="155"/>
      <c r="CY271" s="155"/>
      <c r="CZ271" s="157"/>
      <c r="DA271" s="152"/>
      <c r="DB271" s="152"/>
      <c r="DC271" s="153"/>
      <c r="DD271" s="798" t="s">
        <v>2457</v>
      </c>
      <c r="DE271" s="798" t="s">
        <v>2458</v>
      </c>
      <c r="DF271" s="799" t="s">
        <v>2438</v>
      </c>
      <c r="DG271" s="175"/>
      <c r="DH271" s="202" t="s">
        <v>477</v>
      </c>
      <c r="DI271" s="158">
        <v>45985</v>
      </c>
      <c r="DJ271" s="429">
        <v>1</v>
      </c>
      <c r="DK271" s="1006" t="s">
        <v>477</v>
      </c>
      <c r="DL271" s="240">
        <v>1350000</v>
      </c>
      <c r="DM271" s="189">
        <f t="shared" si="304"/>
        <v>1458000</v>
      </c>
      <c r="DN271" s="446">
        <v>0.08</v>
      </c>
      <c r="DO271" s="281">
        <f t="shared" si="305"/>
        <v>1350000</v>
      </c>
      <c r="DP271" s="159">
        <v>46030</v>
      </c>
      <c r="DQ271" s="152"/>
      <c r="DR271" s="152"/>
      <c r="DS271" s="155"/>
      <c r="DT271" s="155"/>
      <c r="DU271" s="155"/>
      <c r="DV271" s="155"/>
      <c r="DW271" s="155"/>
      <c r="DX271" s="155"/>
      <c r="DY271" s="155"/>
      <c r="DZ271" s="155"/>
      <c r="EA271" s="155"/>
      <c r="EB271" s="155"/>
      <c r="EC271" s="155"/>
      <c r="ED271" s="155"/>
      <c r="EE271" s="155"/>
      <c r="EF271" s="155"/>
      <c r="EG271" s="155"/>
      <c r="EH271" s="155"/>
      <c r="EI271" s="155"/>
      <c r="EJ271" s="155"/>
      <c r="EK271" s="155"/>
      <c r="EL271" s="155"/>
      <c r="EM271" s="155"/>
      <c r="EN271" s="155"/>
      <c r="EO271" s="152"/>
      <c r="EP271" s="151"/>
      <c r="EQ271" s="153"/>
      <c r="ER271" s="153"/>
      <c r="ES271" s="153"/>
      <c r="ET271" s="153"/>
      <c r="EU271" s="152"/>
      <c r="EV271" s="152"/>
      <c r="EW271" s="152"/>
      <c r="EX271" s="152"/>
      <c r="EY271" s="151"/>
      <c r="EZ271" s="155"/>
      <c r="FA271" s="155"/>
      <c r="FB271" s="155"/>
      <c r="FC271" s="204"/>
      <c r="FD271" s="204"/>
      <c r="FE271" s="204"/>
      <c r="FF271" s="204"/>
      <c r="FG271" s="204"/>
      <c r="FH271" s="204"/>
    </row>
    <row r="272" spans="1:164" s="202" customFormat="1" ht="14" hidden="1" customHeight="1">
      <c r="A272" s="208" t="str">
        <f t="shared" si="306"/>
        <v>ok</v>
      </c>
      <c r="B272" s="151"/>
      <c r="C272" s="409"/>
      <c r="D272" s="151"/>
      <c r="E272" s="154"/>
      <c r="F272" s="154"/>
      <c r="G272" s="151"/>
      <c r="H272" s="364"/>
      <c r="I272" s="430" t="s">
        <v>2239</v>
      </c>
      <c r="J272" s="171" t="s">
        <v>640</v>
      </c>
      <c r="K272" s="247" t="s">
        <v>2173</v>
      </c>
      <c r="L272" s="431" t="s">
        <v>642</v>
      </c>
      <c r="M272" s="163" t="s">
        <v>345</v>
      </c>
      <c r="N272" s="177"/>
      <c r="O272" s="229"/>
      <c r="P272" s="416"/>
      <c r="Q272" s="155"/>
      <c r="R272" s="155"/>
      <c r="S272" s="161"/>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209"/>
      <c r="CT272" s="209"/>
      <c r="CU272" s="375"/>
      <c r="CV272" s="156"/>
      <c r="CW272" s="155"/>
      <c r="CX272" s="155"/>
      <c r="CY272" s="155"/>
      <c r="CZ272" s="157"/>
      <c r="DA272" s="152"/>
      <c r="DB272" s="152"/>
      <c r="DC272" s="153"/>
      <c r="DD272" s="798" t="s">
        <v>2457</v>
      </c>
      <c r="DE272" s="798" t="s">
        <v>2458</v>
      </c>
      <c r="DF272" s="799" t="s">
        <v>2439</v>
      </c>
      <c r="DG272" s="175"/>
      <c r="DH272" s="202" t="s">
        <v>477</v>
      </c>
      <c r="DI272" s="158">
        <v>45985</v>
      </c>
      <c r="DJ272" s="429">
        <v>1</v>
      </c>
      <c r="DK272" s="1006" t="s">
        <v>477</v>
      </c>
      <c r="DL272" s="240">
        <v>1565000</v>
      </c>
      <c r="DM272" s="189">
        <f t="shared" si="304"/>
        <v>1690200</v>
      </c>
      <c r="DN272" s="446">
        <v>0.08</v>
      </c>
      <c r="DO272" s="281">
        <f t="shared" si="305"/>
        <v>1565000</v>
      </c>
      <c r="DP272" s="159">
        <v>46030</v>
      </c>
      <c r="DQ272" s="152"/>
      <c r="DR272" s="152"/>
      <c r="DS272" s="155"/>
      <c r="DT272" s="155"/>
      <c r="DU272" s="155"/>
      <c r="DV272" s="155"/>
      <c r="DW272" s="155"/>
      <c r="DX272" s="155"/>
      <c r="DY272" s="155"/>
      <c r="DZ272" s="155"/>
      <c r="EA272" s="155"/>
      <c r="EB272" s="155"/>
      <c r="EC272" s="155"/>
      <c r="ED272" s="155"/>
      <c r="EE272" s="155"/>
      <c r="EF272" s="155"/>
      <c r="EG272" s="155"/>
      <c r="EH272" s="155"/>
      <c r="EI272" s="155"/>
      <c r="EJ272" s="155"/>
      <c r="EK272" s="155"/>
      <c r="EL272" s="155"/>
      <c r="EM272" s="155"/>
      <c r="EN272" s="155"/>
      <c r="EO272" s="152"/>
      <c r="EP272" s="151"/>
      <c r="EQ272" s="153"/>
      <c r="ER272" s="153"/>
      <c r="ES272" s="153"/>
      <c r="ET272" s="153"/>
      <c r="EU272" s="152"/>
      <c r="EV272" s="152"/>
      <c r="EW272" s="152"/>
      <c r="EX272" s="152"/>
      <c r="EY272" s="151"/>
      <c r="EZ272" s="155"/>
      <c r="FA272" s="155"/>
      <c r="FB272" s="155"/>
      <c r="FC272" s="204"/>
      <c r="FD272" s="204"/>
      <c r="FE272" s="204"/>
      <c r="FF272" s="204"/>
      <c r="FG272" s="204"/>
      <c r="FH272" s="204"/>
    </row>
    <row r="273" spans="1:164" s="202" customFormat="1" ht="14" hidden="1" customHeight="1">
      <c r="A273" s="208" t="str">
        <f t="shared" si="306"/>
        <v>ok</v>
      </c>
      <c r="B273" s="151"/>
      <c r="C273" s="409"/>
      <c r="D273" s="151"/>
      <c r="E273" s="154"/>
      <c r="F273" s="154"/>
      <c r="G273" s="151"/>
      <c r="H273" s="364"/>
      <c r="I273" s="430" t="s">
        <v>2239</v>
      </c>
      <c r="J273" s="171" t="s">
        <v>640</v>
      </c>
      <c r="K273" s="247" t="s">
        <v>2173</v>
      </c>
      <c r="L273" s="431" t="s">
        <v>642</v>
      </c>
      <c r="M273" s="163" t="s">
        <v>345</v>
      </c>
      <c r="N273" s="177"/>
      <c r="O273" s="229"/>
      <c r="P273" s="416"/>
      <c r="Q273" s="155"/>
      <c r="R273" s="155"/>
      <c r="S273" s="161"/>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209"/>
      <c r="CT273" s="209"/>
      <c r="CU273" s="375"/>
      <c r="CV273" s="156"/>
      <c r="CW273" s="155"/>
      <c r="CX273" s="155"/>
      <c r="CY273" s="155"/>
      <c r="CZ273" s="157"/>
      <c r="DA273" s="152"/>
      <c r="DB273" s="152"/>
      <c r="DC273" s="153"/>
      <c r="DD273" s="798" t="s">
        <v>2457</v>
      </c>
      <c r="DE273" s="798" t="s">
        <v>2458</v>
      </c>
      <c r="DF273" s="799" t="s">
        <v>2440</v>
      </c>
      <c r="DG273" s="175"/>
      <c r="DH273" s="202" t="s">
        <v>477</v>
      </c>
      <c r="DI273" s="158">
        <v>45985</v>
      </c>
      <c r="DJ273" s="429">
        <v>15</v>
      </c>
      <c r="DK273" s="1006" t="s">
        <v>477</v>
      </c>
      <c r="DL273" s="240">
        <v>1905000</v>
      </c>
      <c r="DM273" s="189">
        <f t="shared" si="304"/>
        <v>30861000.000000004</v>
      </c>
      <c r="DN273" s="446">
        <v>0.08</v>
      </c>
      <c r="DO273" s="281">
        <f t="shared" si="305"/>
        <v>28575000</v>
      </c>
      <c r="DP273" s="159">
        <v>46030</v>
      </c>
      <c r="DQ273" s="152"/>
      <c r="DR273" s="152"/>
      <c r="DS273" s="155"/>
      <c r="DT273" s="155"/>
      <c r="DU273" s="155"/>
      <c r="DV273" s="155"/>
      <c r="DW273" s="155"/>
      <c r="DX273" s="155"/>
      <c r="DY273" s="155"/>
      <c r="DZ273" s="155"/>
      <c r="EA273" s="155"/>
      <c r="EB273" s="155"/>
      <c r="EC273" s="155"/>
      <c r="ED273" s="155"/>
      <c r="EE273" s="155"/>
      <c r="EF273" s="155"/>
      <c r="EG273" s="155"/>
      <c r="EH273" s="155"/>
      <c r="EI273" s="155"/>
      <c r="EJ273" s="155"/>
      <c r="EK273" s="155"/>
      <c r="EL273" s="155"/>
      <c r="EM273" s="155"/>
      <c r="EN273" s="155"/>
      <c r="EO273" s="152"/>
      <c r="EP273" s="151"/>
      <c r="EQ273" s="153"/>
      <c r="ER273" s="153"/>
      <c r="ES273" s="153"/>
      <c r="ET273" s="153"/>
      <c r="EU273" s="152"/>
      <c r="EV273" s="152"/>
      <c r="EW273" s="152"/>
      <c r="EX273" s="152"/>
      <c r="EY273" s="151"/>
      <c r="EZ273" s="155"/>
      <c r="FA273" s="155"/>
      <c r="FB273" s="155"/>
      <c r="FC273" s="204"/>
      <c r="FD273" s="204"/>
      <c r="FE273" s="204"/>
      <c r="FF273" s="204"/>
      <c r="FG273" s="204"/>
      <c r="FH273" s="204"/>
    </row>
    <row r="274" spans="1:164" s="202" customFormat="1" ht="14" hidden="1" customHeight="1">
      <c r="A274" s="208" t="str">
        <f t="shared" si="306"/>
        <v>ok</v>
      </c>
      <c r="B274" s="151"/>
      <c r="C274" s="409"/>
      <c r="D274" s="151"/>
      <c r="E274" s="154"/>
      <c r="F274" s="154"/>
      <c r="G274" s="151"/>
      <c r="H274" s="364"/>
      <c r="I274" s="430" t="s">
        <v>2239</v>
      </c>
      <c r="J274" s="171" t="s">
        <v>640</v>
      </c>
      <c r="K274" s="247" t="s">
        <v>2173</v>
      </c>
      <c r="L274" s="431" t="s">
        <v>642</v>
      </c>
      <c r="M274" s="163" t="s">
        <v>345</v>
      </c>
      <c r="N274" s="177"/>
      <c r="O274" s="229"/>
      <c r="P274" s="416"/>
      <c r="Q274" s="155"/>
      <c r="R274" s="155"/>
      <c r="S274" s="161"/>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209"/>
      <c r="CT274" s="209"/>
      <c r="CU274" s="375"/>
      <c r="CV274" s="156"/>
      <c r="CW274" s="155"/>
      <c r="CX274" s="155"/>
      <c r="CY274" s="155"/>
      <c r="CZ274" s="157"/>
      <c r="DA274" s="152"/>
      <c r="DB274" s="152"/>
      <c r="DC274" s="153"/>
      <c r="DD274" s="798" t="s">
        <v>2457</v>
      </c>
      <c r="DE274" s="798" t="s">
        <v>2458</v>
      </c>
      <c r="DF274" s="799" t="s">
        <v>2441</v>
      </c>
      <c r="DG274" s="175"/>
      <c r="DH274" s="202" t="s">
        <v>477</v>
      </c>
      <c r="DI274" s="158">
        <v>45985</v>
      </c>
      <c r="DJ274" s="429">
        <v>1</v>
      </c>
      <c r="DK274" s="1006" t="s">
        <v>477</v>
      </c>
      <c r="DL274" s="240">
        <v>1305000</v>
      </c>
      <c r="DM274" s="189">
        <f t="shared" si="304"/>
        <v>1409400</v>
      </c>
      <c r="DN274" s="446">
        <v>0.08</v>
      </c>
      <c r="DO274" s="281">
        <f t="shared" si="305"/>
        <v>1305000</v>
      </c>
      <c r="DP274" s="159">
        <v>46030</v>
      </c>
      <c r="DQ274" s="152"/>
      <c r="DR274" s="152"/>
      <c r="DS274" s="155"/>
      <c r="DT274" s="155"/>
      <c r="DU274" s="155"/>
      <c r="DV274" s="155"/>
      <c r="DW274" s="155"/>
      <c r="DX274" s="155"/>
      <c r="DY274" s="155"/>
      <c r="DZ274" s="155"/>
      <c r="EA274" s="155"/>
      <c r="EB274" s="155"/>
      <c r="EC274" s="155"/>
      <c r="ED274" s="155"/>
      <c r="EE274" s="155"/>
      <c r="EF274" s="155"/>
      <c r="EG274" s="155"/>
      <c r="EH274" s="155"/>
      <c r="EI274" s="155"/>
      <c r="EJ274" s="155"/>
      <c r="EK274" s="155"/>
      <c r="EL274" s="155"/>
      <c r="EM274" s="155"/>
      <c r="EN274" s="155"/>
      <c r="EO274" s="152"/>
      <c r="EP274" s="151"/>
      <c r="EQ274" s="153"/>
      <c r="ER274" s="153"/>
      <c r="ES274" s="153"/>
      <c r="ET274" s="153"/>
      <c r="EU274" s="152"/>
      <c r="EV274" s="152"/>
      <c r="EW274" s="152"/>
      <c r="EX274" s="152"/>
      <c r="EY274" s="151"/>
      <c r="EZ274" s="155"/>
      <c r="FA274" s="155"/>
      <c r="FB274" s="155"/>
      <c r="FC274" s="204"/>
      <c r="FD274" s="204"/>
      <c r="FE274" s="204"/>
      <c r="FF274" s="204"/>
      <c r="FG274" s="204"/>
      <c r="FH274" s="204"/>
    </row>
    <row r="275" spans="1:164" s="202" customFormat="1" ht="14" hidden="1" customHeight="1">
      <c r="A275" s="208" t="str">
        <f t="shared" si="306"/>
        <v>ok</v>
      </c>
      <c r="B275" s="151"/>
      <c r="C275" s="409"/>
      <c r="D275" s="151"/>
      <c r="E275" s="154"/>
      <c r="F275" s="154"/>
      <c r="G275" s="151"/>
      <c r="H275" s="364"/>
      <c r="I275" s="430" t="s">
        <v>2239</v>
      </c>
      <c r="J275" s="171" t="s">
        <v>640</v>
      </c>
      <c r="K275" s="247" t="s">
        <v>2173</v>
      </c>
      <c r="L275" s="431" t="s">
        <v>642</v>
      </c>
      <c r="M275" s="163" t="s">
        <v>345</v>
      </c>
      <c r="N275" s="177"/>
      <c r="O275" s="229"/>
      <c r="P275" s="416"/>
      <c r="Q275" s="155"/>
      <c r="R275" s="155"/>
      <c r="S275" s="161"/>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209"/>
      <c r="CT275" s="209"/>
      <c r="CU275" s="375"/>
      <c r="CV275" s="156"/>
      <c r="CW275" s="155"/>
      <c r="CX275" s="155"/>
      <c r="CY275" s="155"/>
      <c r="CZ275" s="157"/>
      <c r="DA275" s="152"/>
      <c r="DB275" s="152"/>
      <c r="DC275" s="153"/>
      <c r="DD275" s="798" t="s">
        <v>2457</v>
      </c>
      <c r="DE275" s="798" t="s">
        <v>2458</v>
      </c>
      <c r="DF275" s="799" t="s">
        <v>2442</v>
      </c>
      <c r="DG275" s="175"/>
      <c r="DH275" s="202" t="s">
        <v>477</v>
      </c>
      <c r="DI275" s="158">
        <v>45985</v>
      </c>
      <c r="DJ275" s="429">
        <v>1</v>
      </c>
      <c r="DK275" s="1006" t="s">
        <v>477</v>
      </c>
      <c r="DL275" s="240">
        <v>955000</v>
      </c>
      <c r="DM275" s="189">
        <f t="shared" si="304"/>
        <v>1031400.0000000001</v>
      </c>
      <c r="DN275" s="446">
        <v>0.08</v>
      </c>
      <c r="DO275" s="281">
        <f t="shared" si="305"/>
        <v>955000</v>
      </c>
      <c r="DP275" s="159">
        <v>46030</v>
      </c>
      <c r="DQ275" s="152"/>
      <c r="DR275" s="152"/>
      <c r="DS275" s="155"/>
      <c r="DT275" s="155"/>
      <c r="DU275" s="155"/>
      <c r="DV275" s="155"/>
      <c r="DW275" s="155"/>
      <c r="DX275" s="155"/>
      <c r="DY275" s="155"/>
      <c r="DZ275" s="155"/>
      <c r="EA275" s="155"/>
      <c r="EB275" s="155"/>
      <c r="EC275" s="155"/>
      <c r="ED275" s="155"/>
      <c r="EE275" s="155"/>
      <c r="EF275" s="155"/>
      <c r="EG275" s="155"/>
      <c r="EH275" s="155"/>
      <c r="EI275" s="155"/>
      <c r="EJ275" s="155"/>
      <c r="EK275" s="155"/>
      <c r="EL275" s="155"/>
      <c r="EM275" s="155"/>
      <c r="EN275" s="155"/>
      <c r="EO275" s="152"/>
      <c r="EP275" s="151"/>
      <c r="EQ275" s="153"/>
      <c r="ER275" s="153"/>
      <c r="ES275" s="153"/>
      <c r="ET275" s="153"/>
      <c r="EU275" s="152"/>
      <c r="EV275" s="152"/>
      <c r="EW275" s="152"/>
      <c r="EX275" s="152"/>
      <c r="EY275" s="151"/>
      <c r="EZ275" s="155"/>
      <c r="FA275" s="155"/>
      <c r="FB275" s="155"/>
      <c r="FC275" s="204"/>
      <c r="FD275" s="204"/>
      <c r="FE275" s="204"/>
      <c r="FF275" s="204"/>
      <c r="FG275" s="204"/>
      <c r="FH275" s="204"/>
    </row>
    <row r="276" spans="1:164" s="202" customFormat="1" ht="14" hidden="1" customHeight="1">
      <c r="A276" s="208" t="str">
        <f t="shared" si="306"/>
        <v>ok</v>
      </c>
      <c r="B276" s="151"/>
      <c r="C276" s="409"/>
      <c r="D276" s="151"/>
      <c r="E276" s="154"/>
      <c r="F276" s="154"/>
      <c r="G276" s="151"/>
      <c r="H276" s="364"/>
      <c r="I276" s="430" t="s">
        <v>2239</v>
      </c>
      <c r="J276" s="171" t="s">
        <v>640</v>
      </c>
      <c r="K276" s="247" t="s">
        <v>2173</v>
      </c>
      <c r="L276" s="431" t="s">
        <v>642</v>
      </c>
      <c r="M276" s="163" t="s">
        <v>345</v>
      </c>
      <c r="N276" s="177"/>
      <c r="O276" s="229"/>
      <c r="P276" s="416"/>
      <c r="Q276" s="155"/>
      <c r="R276" s="155"/>
      <c r="S276" s="161"/>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209"/>
      <c r="CT276" s="209"/>
      <c r="CU276" s="375"/>
      <c r="CV276" s="156"/>
      <c r="CW276" s="155"/>
      <c r="CX276" s="155"/>
      <c r="CY276" s="155"/>
      <c r="CZ276" s="157"/>
      <c r="DA276" s="152"/>
      <c r="DB276" s="152"/>
      <c r="DC276" s="153"/>
      <c r="DD276" s="798" t="s">
        <v>2457</v>
      </c>
      <c r="DE276" s="798" t="s">
        <v>2458</v>
      </c>
      <c r="DF276" s="799" t="s">
        <v>2443</v>
      </c>
      <c r="DG276" s="175"/>
      <c r="DH276" s="202" t="s">
        <v>477</v>
      </c>
      <c r="DI276" s="158">
        <v>45985</v>
      </c>
      <c r="DJ276" s="429">
        <v>1</v>
      </c>
      <c r="DK276" s="1006" t="s">
        <v>477</v>
      </c>
      <c r="DL276" s="240">
        <v>1250000</v>
      </c>
      <c r="DM276" s="189">
        <f t="shared" si="304"/>
        <v>1350000</v>
      </c>
      <c r="DN276" s="446">
        <v>0.08</v>
      </c>
      <c r="DO276" s="281">
        <f t="shared" si="305"/>
        <v>1250000</v>
      </c>
      <c r="DP276" s="159">
        <v>46030</v>
      </c>
      <c r="DQ276" s="152"/>
      <c r="DR276" s="152"/>
      <c r="DS276" s="155"/>
      <c r="DT276" s="155"/>
      <c r="DU276" s="155"/>
      <c r="DV276" s="155"/>
      <c r="DW276" s="155"/>
      <c r="DX276" s="155"/>
      <c r="DY276" s="155"/>
      <c r="DZ276" s="155"/>
      <c r="EA276" s="155"/>
      <c r="EB276" s="155"/>
      <c r="EC276" s="155"/>
      <c r="ED276" s="155"/>
      <c r="EE276" s="155"/>
      <c r="EF276" s="155"/>
      <c r="EG276" s="155"/>
      <c r="EH276" s="155"/>
      <c r="EI276" s="155"/>
      <c r="EJ276" s="155"/>
      <c r="EK276" s="155"/>
      <c r="EL276" s="155"/>
      <c r="EM276" s="155"/>
      <c r="EN276" s="155"/>
      <c r="EO276" s="152"/>
      <c r="EP276" s="151"/>
      <c r="EQ276" s="153"/>
      <c r="ER276" s="153"/>
      <c r="ES276" s="153"/>
      <c r="ET276" s="153"/>
      <c r="EU276" s="152"/>
      <c r="EV276" s="152"/>
      <c r="EW276" s="152"/>
      <c r="EX276" s="152"/>
      <c r="EY276" s="151"/>
      <c r="EZ276" s="155"/>
      <c r="FA276" s="155"/>
      <c r="FB276" s="155"/>
      <c r="FC276" s="204"/>
      <c r="FD276" s="204"/>
      <c r="FE276" s="204"/>
      <c r="FF276" s="204"/>
      <c r="FG276" s="204"/>
      <c r="FH276" s="204"/>
    </row>
    <row r="277" spans="1:164" s="202" customFormat="1" ht="14" hidden="1" customHeight="1">
      <c r="A277" s="208" t="str">
        <f t="shared" si="306"/>
        <v>ok</v>
      </c>
      <c r="B277" s="151"/>
      <c r="C277" s="409"/>
      <c r="D277" s="151"/>
      <c r="E277" s="154"/>
      <c r="F277" s="154"/>
      <c r="G277" s="151"/>
      <c r="H277" s="364"/>
      <c r="I277" s="430" t="s">
        <v>2239</v>
      </c>
      <c r="J277" s="171" t="s">
        <v>640</v>
      </c>
      <c r="K277" s="247" t="s">
        <v>2173</v>
      </c>
      <c r="L277" s="431" t="s">
        <v>642</v>
      </c>
      <c r="M277" s="163" t="s">
        <v>345</v>
      </c>
      <c r="N277" s="177"/>
      <c r="O277" s="229"/>
      <c r="P277" s="416"/>
      <c r="Q277" s="155"/>
      <c r="R277" s="155"/>
      <c r="S277" s="161"/>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209"/>
      <c r="CT277" s="209"/>
      <c r="CU277" s="375"/>
      <c r="CV277" s="156"/>
      <c r="CW277" s="155"/>
      <c r="CX277" s="155"/>
      <c r="CY277" s="155"/>
      <c r="CZ277" s="157"/>
      <c r="DA277" s="152"/>
      <c r="DB277" s="152"/>
      <c r="DC277" s="153"/>
      <c r="DD277" s="798" t="s">
        <v>2457</v>
      </c>
      <c r="DE277" s="798" t="s">
        <v>2458</v>
      </c>
      <c r="DF277" s="799" t="s">
        <v>2444</v>
      </c>
      <c r="DG277" s="175"/>
      <c r="DH277" s="202" t="s">
        <v>477</v>
      </c>
      <c r="DI277" s="158">
        <v>45985</v>
      </c>
      <c r="DJ277" s="429">
        <v>2</v>
      </c>
      <c r="DK277" s="1006" t="s">
        <v>477</v>
      </c>
      <c r="DL277" s="240">
        <v>755000</v>
      </c>
      <c r="DM277" s="189">
        <f t="shared" si="304"/>
        <v>1630800</v>
      </c>
      <c r="DN277" s="446">
        <v>0.08</v>
      </c>
      <c r="DO277" s="281">
        <f t="shared" si="305"/>
        <v>1510000</v>
      </c>
      <c r="DP277" s="159">
        <v>46030</v>
      </c>
      <c r="DQ277" s="152"/>
      <c r="DR277" s="152"/>
      <c r="DS277" s="155"/>
      <c r="DT277" s="155"/>
      <c r="DU277" s="155"/>
      <c r="DV277" s="155"/>
      <c r="DW277" s="155"/>
      <c r="DX277" s="155"/>
      <c r="DY277" s="155"/>
      <c r="DZ277" s="155"/>
      <c r="EA277" s="155"/>
      <c r="EB277" s="155"/>
      <c r="EC277" s="155"/>
      <c r="ED277" s="155"/>
      <c r="EE277" s="155"/>
      <c r="EF277" s="155"/>
      <c r="EG277" s="155"/>
      <c r="EH277" s="155"/>
      <c r="EI277" s="155"/>
      <c r="EJ277" s="155"/>
      <c r="EK277" s="155"/>
      <c r="EL277" s="155"/>
      <c r="EM277" s="155"/>
      <c r="EN277" s="155"/>
      <c r="EO277" s="152"/>
      <c r="EP277" s="151"/>
      <c r="EQ277" s="153"/>
      <c r="ER277" s="153"/>
      <c r="ES277" s="153"/>
      <c r="ET277" s="153"/>
      <c r="EU277" s="152"/>
      <c r="EV277" s="152"/>
      <c r="EW277" s="152"/>
      <c r="EX277" s="152"/>
      <c r="EY277" s="151"/>
      <c r="EZ277" s="155"/>
      <c r="FA277" s="155"/>
      <c r="FB277" s="155"/>
      <c r="FC277" s="204"/>
      <c r="FD277" s="204"/>
      <c r="FE277" s="204"/>
      <c r="FF277" s="204"/>
      <c r="FG277" s="204"/>
      <c r="FH277" s="204"/>
    </row>
    <row r="278" spans="1:164" s="202" customFormat="1" ht="14" hidden="1" customHeight="1">
      <c r="A278" s="208" t="str">
        <f t="shared" si="306"/>
        <v>ok</v>
      </c>
      <c r="B278" s="151"/>
      <c r="C278" s="409"/>
      <c r="D278" s="151"/>
      <c r="E278" s="154"/>
      <c r="F278" s="154"/>
      <c r="G278" s="151"/>
      <c r="H278" s="364"/>
      <c r="I278" s="430" t="s">
        <v>2239</v>
      </c>
      <c r="J278" s="171" t="s">
        <v>640</v>
      </c>
      <c r="K278" s="247" t="s">
        <v>2173</v>
      </c>
      <c r="L278" s="431" t="s">
        <v>642</v>
      </c>
      <c r="M278" s="163" t="s">
        <v>345</v>
      </c>
      <c r="N278" s="177"/>
      <c r="O278" s="229"/>
      <c r="P278" s="416"/>
      <c r="Q278" s="155"/>
      <c r="R278" s="155"/>
      <c r="S278" s="161"/>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209"/>
      <c r="CT278" s="209"/>
      <c r="CU278" s="375"/>
      <c r="CV278" s="156"/>
      <c r="CW278" s="155"/>
      <c r="CX278" s="155"/>
      <c r="CY278" s="155"/>
      <c r="CZ278" s="157"/>
      <c r="DA278" s="152"/>
      <c r="DB278" s="152"/>
      <c r="DC278" s="153"/>
      <c r="DD278" s="798" t="s">
        <v>2457</v>
      </c>
      <c r="DE278" s="798" t="s">
        <v>2458</v>
      </c>
      <c r="DF278" s="799" t="s">
        <v>2445</v>
      </c>
      <c r="DG278" s="175"/>
      <c r="DH278" s="202" t="s">
        <v>477</v>
      </c>
      <c r="DI278" s="158">
        <v>45985</v>
      </c>
      <c r="DJ278" s="429">
        <v>1</v>
      </c>
      <c r="DK278" s="1006" t="s">
        <v>477</v>
      </c>
      <c r="DL278" s="240">
        <v>1255000</v>
      </c>
      <c r="DM278" s="189">
        <f t="shared" si="304"/>
        <v>1355400</v>
      </c>
      <c r="DN278" s="446">
        <v>0.08</v>
      </c>
      <c r="DO278" s="281">
        <f t="shared" si="305"/>
        <v>1255000</v>
      </c>
      <c r="DP278" s="159">
        <v>46030</v>
      </c>
      <c r="DQ278" s="152"/>
      <c r="DR278" s="152"/>
      <c r="DS278" s="155"/>
      <c r="DT278" s="155"/>
      <c r="DU278" s="155"/>
      <c r="DV278" s="155"/>
      <c r="DW278" s="155"/>
      <c r="DX278" s="155"/>
      <c r="DY278" s="155"/>
      <c r="DZ278" s="155"/>
      <c r="EA278" s="155"/>
      <c r="EB278" s="155"/>
      <c r="EC278" s="155"/>
      <c r="ED278" s="155"/>
      <c r="EE278" s="155"/>
      <c r="EF278" s="155"/>
      <c r="EG278" s="155"/>
      <c r="EH278" s="155"/>
      <c r="EI278" s="155"/>
      <c r="EJ278" s="155"/>
      <c r="EK278" s="155"/>
      <c r="EL278" s="155"/>
      <c r="EM278" s="155"/>
      <c r="EN278" s="155"/>
      <c r="EO278" s="152"/>
      <c r="EP278" s="151"/>
      <c r="EQ278" s="153"/>
      <c r="ER278" s="153"/>
      <c r="ES278" s="153"/>
      <c r="ET278" s="153"/>
      <c r="EU278" s="152"/>
      <c r="EV278" s="152"/>
      <c r="EW278" s="152"/>
      <c r="EX278" s="152"/>
      <c r="EY278" s="151"/>
      <c r="EZ278" s="155"/>
      <c r="FA278" s="155"/>
      <c r="FB278" s="155"/>
      <c r="FC278" s="204"/>
      <c r="FD278" s="204"/>
      <c r="FE278" s="204"/>
      <c r="FF278" s="204"/>
      <c r="FG278" s="204"/>
      <c r="FH278" s="204"/>
    </row>
    <row r="279" spans="1:164" s="202" customFormat="1" ht="14" hidden="1" customHeight="1">
      <c r="A279" s="208" t="str">
        <f t="shared" si="306"/>
        <v>ok</v>
      </c>
      <c r="B279" s="151"/>
      <c r="C279" s="409"/>
      <c r="D279" s="151"/>
      <c r="E279" s="154"/>
      <c r="F279" s="154"/>
      <c r="G279" s="151"/>
      <c r="H279" s="364"/>
      <c r="I279" s="430" t="s">
        <v>2239</v>
      </c>
      <c r="J279" s="171" t="s">
        <v>640</v>
      </c>
      <c r="K279" s="247" t="s">
        <v>2173</v>
      </c>
      <c r="L279" s="431" t="s">
        <v>642</v>
      </c>
      <c r="M279" s="163" t="s">
        <v>345</v>
      </c>
      <c r="N279" s="177"/>
      <c r="O279" s="229"/>
      <c r="P279" s="416"/>
      <c r="Q279" s="155"/>
      <c r="R279" s="155"/>
      <c r="S279" s="161"/>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209"/>
      <c r="CT279" s="209"/>
      <c r="CU279" s="375"/>
      <c r="CV279" s="156"/>
      <c r="CW279" s="155"/>
      <c r="CX279" s="155"/>
      <c r="CY279" s="155"/>
      <c r="CZ279" s="157"/>
      <c r="DA279" s="152"/>
      <c r="DB279" s="152"/>
      <c r="DC279" s="153"/>
      <c r="DD279" s="798" t="s">
        <v>2457</v>
      </c>
      <c r="DE279" s="798" t="s">
        <v>2458</v>
      </c>
      <c r="DF279" s="799" t="s">
        <v>2446</v>
      </c>
      <c r="DG279" s="175"/>
      <c r="DH279" s="202" t="s">
        <v>477</v>
      </c>
      <c r="DI279" s="158">
        <v>45985</v>
      </c>
      <c r="DJ279" s="429">
        <v>1</v>
      </c>
      <c r="DK279" s="1006" t="s">
        <v>477</v>
      </c>
      <c r="DL279" s="240">
        <v>1255000</v>
      </c>
      <c r="DM279" s="189">
        <f t="shared" si="304"/>
        <v>1355400</v>
      </c>
      <c r="DN279" s="446">
        <v>0.08</v>
      </c>
      <c r="DO279" s="281">
        <f t="shared" si="305"/>
        <v>1255000</v>
      </c>
      <c r="DP279" s="159">
        <v>46030</v>
      </c>
      <c r="DQ279" s="152"/>
      <c r="DR279" s="152"/>
      <c r="DS279" s="155"/>
      <c r="DT279" s="155"/>
      <c r="DU279" s="155"/>
      <c r="DV279" s="155"/>
      <c r="DW279" s="155"/>
      <c r="DX279" s="155"/>
      <c r="DY279" s="155"/>
      <c r="DZ279" s="155"/>
      <c r="EA279" s="155"/>
      <c r="EB279" s="155"/>
      <c r="EC279" s="155"/>
      <c r="ED279" s="155"/>
      <c r="EE279" s="155"/>
      <c r="EF279" s="155"/>
      <c r="EG279" s="155"/>
      <c r="EH279" s="155"/>
      <c r="EI279" s="155"/>
      <c r="EJ279" s="155"/>
      <c r="EK279" s="155"/>
      <c r="EL279" s="155"/>
      <c r="EM279" s="155"/>
      <c r="EN279" s="155"/>
      <c r="EO279" s="152"/>
      <c r="EP279" s="151"/>
      <c r="EQ279" s="153"/>
      <c r="ER279" s="153"/>
      <c r="ES279" s="153"/>
      <c r="ET279" s="153"/>
      <c r="EU279" s="152"/>
      <c r="EV279" s="152"/>
      <c r="EW279" s="152"/>
      <c r="EX279" s="152"/>
      <c r="EY279" s="151"/>
      <c r="EZ279" s="155"/>
      <c r="FA279" s="155"/>
      <c r="FB279" s="155"/>
      <c r="FC279" s="204"/>
      <c r="FD279" s="204"/>
      <c r="FE279" s="204"/>
      <c r="FF279" s="204"/>
      <c r="FG279" s="204"/>
      <c r="FH279" s="204"/>
    </row>
    <row r="280" spans="1:164" s="202" customFormat="1" ht="14" hidden="1" customHeight="1">
      <c r="A280" s="208" t="str">
        <f t="shared" si="306"/>
        <v>ok</v>
      </c>
      <c r="B280" s="151"/>
      <c r="C280" s="409"/>
      <c r="D280" s="151"/>
      <c r="E280" s="154"/>
      <c r="F280" s="154"/>
      <c r="G280" s="151"/>
      <c r="H280" s="364"/>
      <c r="I280" s="430" t="s">
        <v>2239</v>
      </c>
      <c r="J280" s="171" t="s">
        <v>640</v>
      </c>
      <c r="K280" s="247" t="s">
        <v>2173</v>
      </c>
      <c r="L280" s="431" t="s">
        <v>642</v>
      </c>
      <c r="M280" s="163" t="s">
        <v>345</v>
      </c>
      <c r="N280" s="177"/>
      <c r="O280" s="229"/>
      <c r="P280" s="416"/>
      <c r="Q280" s="155"/>
      <c r="R280" s="155"/>
      <c r="S280" s="161"/>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209"/>
      <c r="CT280" s="209"/>
      <c r="CU280" s="375"/>
      <c r="CV280" s="156"/>
      <c r="CW280" s="155"/>
      <c r="CX280" s="155"/>
      <c r="CY280" s="155"/>
      <c r="CZ280" s="157"/>
      <c r="DA280" s="152"/>
      <c r="DB280" s="152"/>
      <c r="DC280" s="153"/>
      <c r="DD280" s="798" t="s">
        <v>2457</v>
      </c>
      <c r="DE280" s="798" t="s">
        <v>2458</v>
      </c>
      <c r="DF280" s="799" t="s">
        <v>2447</v>
      </c>
      <c r="DG280" s="175"/>
      <c r="DH280" s="202" t="s">
        <v>477</v>
      </c>
      <c r="DI280" s="158">
        <v>45985</v>
      </c>
      <c r="DJ280" s="429">
        <v>3</v>
      </c>
      <c r="DK280" s="1006" t="s">
        <v>477</v>
      </c>
      <c r="DL280" s="240">
        <v>1750000</v>
      </c>
      <c r="DM280" s="189">
        <f t="shared" si="304"/>
        <v>5670000</v>
      </c>
      <c r="DN280" s="446">
        <v>0.08</v>
      </c>
      <c r="DO280" s="281">
        <f t="shared" si="305"/>
        <v>5250000</v>
      </c>
      <c r="DP280" s="159">
        <v>46030</v>
      </c>
      <c r="DQ280" s="152"/>
      <c r="DR280" s="152"/>
      <c r="DS280" s="155"/>
      <c r="DT280" s="155"/>
      <c r="DU280" s="155"/>
      <c r="DV280" s="155"/>
      <c r="DW280" s="155"/>
      <c r="DX280" s="155"/>
      <c r="DY280" s="155"/>
      <c r="DZ280" s="155"/>
      <c r="EA280" s="155"/>
      <c r="EB280" s="155"/>
      <c r="EC280" s="155"/>
      <c r="ED280" s="155"/>
      <c r="EE280" s="155"/>
      <c r="EF280" s="155"/>
      <c r="EG280" s="155"/>
      <c r="EH280" s="155"/>
      <c r="EI280" s="155"/>
      <c r="EJ280" s="155"/>
      <c r="EK280" s="155"/>
      <c r="EL280" s="155"/>
      <c r="EM280" s="155"/>
      <c r="EN280" s="155"/>
      <c r="EO280" s="152"/>
      <c r="EP280" s="151"/>
      <c r="EQ280" s="153"/>
      <c r="ER280" s="153"/>
      <c r="ES280" s="153"/>
      <c r="ET280" s="153"/>
      <c r="EU280" s="152"/>
      <c r="EV280" s="152"/>
      <c r="EW280" s="152"/>
      <c r="EX280" s="152"/>
      <c r="EY280" s="151"/>
      <c r="EZ280" s="155"/>
      <c r="FA280" s="155"/>
      <c r="FB280" s="155"/>
      <c r="FC280" s="204"/>
      <c r="FD280" s="204"/>
      <c r="FE280" s="204"/>
      <c r="FF280" s="204"/>
      <c r="FG280" s="204"/>
      <c r="FH280" s="204"/>
    </row>
    <row r="281" spans="1:164" s="202" customFormat="1" ht="14" hidden="1" customHeight="1">
      <c r="A281" s="208" t="str">
        <f t="shared" si="306"/>
        <v>ok</v>
      </c>
      <c r="B281" s="151"/>
      <c r="C281" s="409"/>
      <c r="D281" s="151"/>
      <c r="E281" s="154"/>
      <c r="F281" s="154"/>
      <c r="G281" s="151"/>
      <c r="H281" s="364"/>
      <c r="I281" s="430" t="s">
        <v>2239</v>
      </c>
      <c r="J281" s="171" t="s">
        <v>640</v>
      </c>
      <c r="K281" s="247" t="s">
        <v>2173</v>
      </c>
      <c r="L281" s="431" t="s">
        <v>642</v>
      </c>
      <c r="M281" s="163" t="s">
        <v>345</v>
      </c>
      <c r="N281" s="177"/>
      <c r="O281" s="229"/>
      <c r="P281" s="416"/>
      <c r="Q281" s="155"/>
      <c r="R281" s="155"/>
      <c r="S281" s="161"/>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209"/>
      <c r="CT281" s="209"/>
      <c r="CU281" s="375"/>
      <c r="CV281" s="156"/>
      <c r="CW281" s="155"/>
      <c r="CX281" s="155"/>
      <c r="CY281" s="155"/>
      <c r="CZ281" s="157"/>
      <c r="DA281" s="152"/>
      <c r="DB281" s="152"/>
      <c r="DC281" s="153"/>
      <c r="DD281" s="798" t="s">
        <v>2457</v>
      </c>
      <c r="DE281" s="798" t="s">
        <v>2458</v>
      </c>
      <c r="DF281" s="799" t="s">
        <v>2448</v>
      </c>
      <c r="DG281" s="175"/>
      <c r="DH281" s="202" t="s">
        <v>477</v>
      </c>
      <c r="DI281" s="158">
        <v>45985</v>
      </c>
      <c r="DJ281" s="429">
        <v>2</v>
      </c>
      <c r="DK281" s="1006" t="s">
        <v>477</v>
      </c>
      <c r="DL281" s="240">
        <v>1750000</v>
      </c>
      <c r="DM281" s="189">
        <f t="shared" si="304"/>
        <v>3780000.0000000005</v>
      </c>
      <c r="DN281" s="446">
        <v>0.08</v>
      </c>
      <c r="DO281" s="281">
        <f t="shared" si="305"/>
        <v>3500000</v>
      </c>
      <c r="DP281" s="159">
        <v>46030</v>
      </c>
      <c r="DQ281" s="152"/>
      <c r="DR281" s="152"/>
      <c r="DS281" s="155"/>
      <c r="DT281" s="155"/>
      <c r="DU281" s="155"/>
      <c r="DV281" s="155"/>
      <c r="DW281" s="155"/>
      <c r="DX281" s="155"/>
      <c r="DY281" s="155"/>
      <c r="DZ281" s="155"/>
      <c r="EA281" s="155"/>
      <c r="EB281" s="155"/>
      <c r="EC281" s="155"/>
      <c r="ED281" s="155"/>
      <c r="EE281" s="155"/>
      <c r="EF281" s="155"/>
      <c r="EG281" s="155"/>
      <c r="EH281" s="155"/>
      <c r="EI281" s="155"/>
      <c r="EJ281" s="155"/>
      <c r="EK281" s="155"/>
      <c r="EL281" s="155"/>
      <c r="EM281" s="155"/>
      <c r="EN281" s="155"/>
      <c r="EO281" s="152"/>
      <c r="EP281" s="151"/>
      <c r="EQ281" s="153"/>
      <c r="ER281" s="153"/>
      <c r="ES281" s="153"/>
      <c r="ET281" s="153"/>
      <c r="EU281" s="152"/>
      <c r="EV281" s="152"/>
      <c r="EW281" s="152"/>
      <c r="EX281" s="152"/>
      <c r="EY281" s="151"/>
      <c r="EZ281" s="155"/>
      <c r="FA281" s="155"/>
      <c r="FB281" s="155"/>
      <c r="FC281" s="204"/>
      <c r="FD281" s="204"/>
      <c r="FE281" s="204"/>
      <c r="FF281" s="204"/>
      <c r="FG281" s="204"/>
      <c r="FH281" s="204"/>
    </row>
    <row r="282" spans="1:164" s="202" customFormat="1" ht="14" hidden="1" customHeight="1">
      <c r="A282" s="208" t="str">
        <f t="shared" si="306"/>
        <v>ok</v>
      </c>
      <c r="B282" s="151"/>
      <c r="C282" s="409"/>
      <c r="D282" s="151"/>
      <c r="E282" s="154"/>
      <c r="F282" s="154"/>
      <c r="G282" s="151"/>
      <c r="H282" s="364"/>
      <c r="I282" s="430" t="s">
        <v>2239</v>
      </c>
      <c r="J282" s="171" t="s">
        <v>640</v>
      </c>
      <c r="K282" s="247" t="s">
        <v>2173</v>
      </c>
      <c r="L282" s="431" t="s">
        <v>642</v>
      </c>
      <c r="M282" s="163" t="s">
        <v>345</v>
      </c>
      <c r="N282" s="177"/>
      <c r="O282" s="229"/>
      <c r="P282" s="416"/>
      <c r="Q282" s="155"/>
      <c r="R282" s="155"/>
      <c r="S282" s="161"/>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209"/>
      <c r="CT282" s="209"/>
      <c r="CU282" s="375"/>
      <c r="CV282" s="156"/>
      <c r="CW282" s="155"/>
      <c r="CX282" s="155"/>
      <c r="CY282" s="155"/>
      <c r="CZ282" s="157"/>
      <c r="DA282" s="152"/>
      <c r="DB282" s="152"/>
      <c r="DC282" s="153"/>
      <c r="DD282" s="798" t="s">
        <v>2457</v>
      </c>
      <c r="DE282" s="798" t="s">
        <v>2458</v>
      </c>
      <c r="DF282" s="799" t="s">
        <v>2449</v>
      </c>
      <c r="DG282" s="175"/>
      <c r="DH282" s="202" t="s">
        <v>477</v>
      </c>
      <c r="DI282" s="158">
        <v>45985</v>
      </c>
      <c r="DJ282" s="429">
        <v>1</v>
      </c>
      <c r="DK282" s="1006" t="s">
        <v>477</v>
      </c>
      <c r="DL282" s="240">
        <v>5550000</v>
      </c>
      <c r="DM282" s="189">
        <f t="shared" si="304"/>
        <v>5994000</v>
      </c>
      <c r="DN282" s="446">
        <v>0.08</v>
      </c>
      <c r="DO282" s="281">
        <f t="shared" si="305"/>
        <v>5550000</v>
      </c>
      <c r="DP282" s="159">
        <v>46030</v>
      </c>
      <c r="DQ282" s="152"/>
      <c r="DR282" s="152"/>
      <c r="DS282" s="155"/>
      <c r="DT282" s="155"/>
      <c r="DU282" s="155"/>
      <c r="DV282" s="155"/>
      <c r="DW282" s="155"/>
      <c r="DX282" s="155"/>
      <c r="DY282" s="155"/>
      <c r="DZ282" s="155"/>
      <c r="EA282" s="155"/>
      <c r="EB282" s="155"/>
      <c r="EC282" s="155"/>
      <c r="ED282" s="155"/>
      <c r="EE282" s="155"/>
      <c r="EF282" s="155"/>
      <c r="EG282" s="155"/>
      <c r="EH282" s="155"/>
      <c r="EI282" s="155"/>
      <c r="EJ282" s="155"/>
      <c r="EK282" s="155"/>
      <c r="EL282" s="155"/>
      <c r="EM282" s="155"/>
      <c r="EN282" s="155"/>
      <c r="EO282" s="152"/>
      <c r="EP282" s="151"/>
      <c r="EQ282" s="153"/>
      <c r="ER282" s="153"/>
      <c r="ES282" s="153"/>
      <c r="ET282" s="153"/>
      <c r="EU282" s="152"/>
      <c r="EV282" s="152"/>
      <c r="EW282" s="152"/>
      <c r="EX282" s="152"/>
      <c r="EY282" s="151"/>
      <c r="EZ282" s="155"/>
      <c r="FA282" s="155"/>
      <c r="FB282" s="155"/>
      <c r="FC282" s="204"/>
      <c r="FD282" s="204"/>
      <c r="FE282" s="204"/>
      <c r="FF282" s="204"/>
      <c r="FG282" s="204"/>
      <c r="FH282" s="204"/>
    </row>
    <row r="283" spans="1:164" s="202" customFormat="1" ht="14" hidden="1" customHeight="1">
      <c r="A283" s="208" t="str">
        <f t="shared" si="306"/>
        <v>ok</v>
      </c>
      <c r="B283" s="151"/>
      <c r="C283" s="409"/>
      <c r="D283" s="151"/>
      <c r="E283" s="154"/>
      <c r="F283" s="154"/>
      <c r="G283" s="151"/>
      <c r="H283" s="364"/>
      <c r="I283" s="430" t="s">
        <v>2239</v>
      </c>
      <c r="J283" s="171" t="s">
        <v>640</v>
      </c>
      <c r="K283" s="247" t="s">
        <v>2173</v>
      </c>
      <c r="L283" s="431" t="s">
        <v>642</v>
      </c>
      <c r="M283" s="163" t="s">
        <v>345</v>
      </c>
      <c r="N283" s="177"/>
      <c r="O283" s="229"/>
      <c r="P283" s="416"/>
      <c r="Q283" s="155"/>
      <c r="R283" s="155"/>
      <c r="S283" s="161"/>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209"/>
      <c r="CT283" s="209"/>
      <c r="CU283" s="375"/>
      <c r="CV283" s="156"/>
      <c r="CW283" s="155"/>
      <c r="CX283" s="155"/>
      <c r="CY283" s="155"/>
      <c r="CZ283" s="157"/>
      <c r="DA283" s="152"/>
      <c r="DB283" s="152"/>
      <c r="DC283" s="153"/>
      <c r="DD283" s="798" t="s">
        <v>2457</v>
      </c>
      <c r="DE283" s="798" t="s">
        <v>2458</v>
      </c>
      <c r="DF283" s="799" t="s">
        <v>2450</v>
      </c>
      <c r="DG283" s="175"/>
      <c r="DH283" s="202" t="s">
        <v>477</v>
      </c>
      <c r="DI283" s="158">
        <v>45985</v>
      </c>
      <c r="DJ283" s="429">
        <v>1</v>
      </c>
      <c r="DK283" s="1006" t="s">
        <v>477</v>
      </c>
      <c r="DL283" s="240">
        <v>615000</v>
      </c>
      <c r="DM283" s="189">
        <f t="shared" si="304"/>
        <v>664200</v>
      </c>
      <c r="DN283" s="446">
        <v>0.08</v>
      </c>
      <c r="DO283" s="281">
        <f t="shared" si="305"/>
        <v>615000</v>
      </c>
      <c r="DP283" s="159">
        <v>46030</v>
      </c>
      <c r="DQ283" s="152"/>
      <c r="DR283" s="152"/>
      <c r="DS283" s="155"/>
      <c r="DT283" s="155"/>
      <c r="DU283" s="155"/>
      <c r="DV283" s="155"/>
      <c r="DW283" s="155"/>
      <c r="DX283" s="155"/>
      <c r="DY283" s="155"/>
      <c r="DZ283" s="155"/>
      <c r="EA283" s="155"/>
      <c r="EB283" s="155"/>
      <c r="EC283" s="155"/>
      <c r="ED283" s="155"/>
      <c r="EE283" s="155"/>
      <c r="EF283" s="155"/>
      <c r="EG283" s="155"/>
      <c r="EH283" s="155"/>
      <c r="EI283" s="155"/>
      <c r="EJ283" s="155"/>
      <c r="EK283" s="155"/>
      <c r="EL283" s="155"/>
      <c r="EM283" s="155"/>
      <c r="EN283" s="155"/>
      <c r="EO283" s="152"/>
      <c r="EP283" s="151"/>
      <c r="EQ283" s="153"/>
      <c r="ER283" s="153"/>
      <c r="ES283" s="153"/>
      <c r="ET283" s="153"/>
      <c r="EU283" s="152"/>
      <c r="EV283" s="152"/>
      <c r="EW283" s="152"/>
      <c r="EX283" s="152"/>
      <c r="EY283" s="151"/>
      <c r="EZ283" s="155"/>
      <c r="FA283" s="155"/>
      <c r="FB283" s="155"/>
      <c r="FC283" s="204"/>
      <c r="FD283" s="204"/>
      <c r="FE283" s="204"/>
      <c r="FF283" s="204"/>
      <c r="FG283" s="204"/>
      <c r="FH283" s="204"/>
    </row>
    <row r="284" spans="1:164" s="202" customFormat="1" ht="14" hidden="1" customHeight="1">
      <c r="A284" s="208" t="str">
        <f t="shared" si="306"/>
        <v>ok</v>
      </c>
      <c r="B284" s="151"/>
      <c r="C284" s="409"/>
      <c r="D284" s="151"/>
      <c r="E284" s="154"/>
      <c r="F284" s="154"/>
      <c r="G284" s="151"/>
      <c r="H284" s="364"/>
      <c r="I284" s="430" t="s">
        <v>2239</v>
      </c>
      <c r="J284" s="171" t="s">
        <v>640</v>
      </c>
      <c r="K284" s="247" t="s">
        <v>2173</v>
      </c>
      <c r="L284" s="431" t="s">
        <v>642</v>
      </c>
      <c r="M284" s="163" t="s">
        <v>345</v>
      </c>
      <c r="N284" s="177"/>
      <c r="O284" s="229"/>
      <c r="P284" s="416"/>
      <c r="Q284" s="155"/>
      <c r="R284" s="155"/>
      <c r="S284" s="161"/>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209"/>
      <c r="CT284" s="209"/>
      <c r="CU284" s="375"/>
      <c r="CV284" s="156"/>
      <c r="CW284" s="155"/>
      <c r="CX284" s="155"/>
      <c r="CY284" s="155"/>
      <c r="CZ284" s="157"/>
      <c r="DA284" s="152"/>
      <c r="DB284" s="152"/>
      <c r="DC284" s="153"/>
      <c r="DD284" s="798" t="s">
        <v>2457</v>
      </c>
      <c r="DE284" s="798" t="s">
        <v>2458</v>
      </c>
      <c r="DF284" s="799" t="s">
        <v>2451</v>
      </c>
      <c r="DG284" s="175"/>
      <c r="DH284" s="202" t="s">
        <v>477</v>
      </c>
      <c r="DI284" s="158">
        <v>45985</v>
      </c>
      <c r="DJ284" s="429">
        <v>1</v>
      </c>
      <c r="DK284" s="1006" t="s">
        <v>477</v>
      </c>
      <c r="DL284" s="240">
        <v>1265000</v>
      </c>
      <c r="DM284" s="189">
        <f t="shared" si="304"/>
        <v>1366200</v>
      </c>
      <c r="DN284" s="446">
        <v>0.08</v>
      </c>
      <c r="DO284" s="281">
        <f t="shared" si="305"/>
        <v>1265000</v>
      </c>
      <c r="DP284" s="159">
        <v>46030</v>
      </c>
      <c r="DQ284" s="152"/>
      <c r="DR284" s="152"/>
      <c r="DS284" s="155"/>
      <c r="DT284" s="155"/>
      <c r="DU284" s="155"/>
      <c r="DV284" s="155"/>
      <c r="DW284" s="155"/>
      <c r="DX284" s="155"/>
      <c r="DY284" s="155"/>
      <c r="DZ284" s="155"/>
      <c r="EA284" s="155"/>
      <c r="EB284" s="155"/>
      <c r="EC284" s="155"/>
      <c r="ED284" s="155"/>
      <c r="EE284" s="155"/>
      <c r="EF284" s="155"/>
      <c r="EG284" s="155"/>
      <c r="EH284" s="155"/>
      <c r="EI284" s="155"/>
      <c r="EJ284" s="155"/>
      <c r="EK284" s="155"/>
      <c r="EL284" s="155"/>
      <c r="EM284" s="155"/>
      <c r="EN284" s="155"/>
      <c r="EO284" s="152"/>
      <c r="EP284" s="151"/>
      <c r="EQ284" s="153"/>
      <c r="ER284" s="153"/>
      <c r="ES284" s="153"/>
      <c r="ET284" s="153"/>
      <c r="EU284" s="152"/>
      <c r="EV284" s="152"/>
      <c r="EW284" s="152"/>
      <c r="EX284" s="152"/>
      <c r="EY284" s="151"/>
      <c r="EZ284" s="155"/>
      <c r="FA284" s="155"/>
      <c r="FB284" s="155"/>
      <c r="FC284" s="204"/>
      <c r="FD284" s="204"/>
      <c r="FE284" s="204"/>
      <c r="FF284" s="204"/>
      <c r="FG284" s="204"/>
      <c r="FH284" s="204"/>
    </row>
    <row r="285" spans="1:164" s="202" customFormat="1" ht="14" hidden="1" customHeight="1">
      <c r="A285" s="208" t="str">
        <f t="shared" si="306"/>
        <v>ok</v>
      </c>
      <c r="B285" s="151"/>
      <c r="C285" s="409"/>
      <c r="D285" s="151"/>
      <c r="E285" s="154"/>
      <c r="F285" s="154"/>
      <c r="G285" s="151"/>
      <c r="H285" s="364"/>
      <c r="I285" s="430" t="s">
        <v>2239</v>
      </c>
      <c r="J285" s="171" t="s">
        <v>640</v>
      </c>
      <c r="K285" s="247" t="s">
        <v>2173</v>
      </c>
      <c r="L285" s="431" t="s">
        <v>642</v>
      </c>
      <c r="M285" s="163" t="s">
        <v>345</v>
      </c>
      <c r="N285" s="177"/>
      <c r="O285" s="229"/>
      <c r="P285" s="416"/>
      <c r="Q285" s="155"/>
      <c r="R285" s="155"/>
      <c r="S285" s="161"/>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209"/>
      <c r="CT285" s="209"/>
      <c r="CU285" s="375"/>
      <c r="CV285" s="156"/>
      <c r="CW285" s="155"/>
      <c r="CX285" s="155"/>
      <c r="CY285" s="155"/>
      <c r="CZ285" s="157"/>
      <c r="DA285" s="152"/>
      <c r="DB285" s="152"/>
      <c r="DC285" s="153"/>
      <c r="DD285" s="798" t="s">
        <v>2457</v>
      </c>
      <c r="DE285" s="798" t="s">
        <v>2458</v>
      </c>
      <c r="DF285" s="799" t="s">
        <v>2452</v>
      </c>
      <c r="DG285" s="175"/>
      <c r="DH285" s="202" t="s">
        <v>477</v>
      </c>
      <c r="DI285" s="158">
        <v>45985</v>
      </c>
      <c r="DJ285" s="429">
        <v>1</v>
      </c>
      <c r="DK285" s="1006" t="s">
        <v>477</v>
      </c>
      <c r="DL285" s="240">
        <v>1650000</v>
      </c>
      <c r="DM285" s="189">
        <f t="shared" si="304"/>
        <v>1782000.0000000002</v>
      </c>
      <c r="DN285" s="446">
        <v>0.08</v>
      </c>
      <c r="DO285" s="281">
        <f t="shared" si="305"/>
        <v>1650000</v>
      </c>
      <c r="DP285" s="159">
        <v>46030</v>
      </c>
      <c r="DQ285" s="152"/>
      <c r="DR285" s="152"/>
      <c r="DS285" s="155"/>
      <c r="DT285" s="155"/>
      <c r="DU285" s="155"/>
      <c r="DV285" s="155"/>
      <c r="DW285" s="155"/>
      <c r="DX285" s="155"/>
      <c r="DY285" s="155"/>
      <c r="DZ285" s="155"/>
      <c r="EA285" s="155"/>
      <c r="EB285" s="155"/>
      <c r="EC285" s="155"/>
      <c r="ED285" s="155"/>
      <c r="EE285" s="155"/>
      <c r="EF285" s="155"/>
      <c r="EG285" s="155"/>
      <c r="EH285" s="155"/>
      <c r="EI285" s="155"/>
      <c r="EJ285" s="155"/>
      <c r="EK285" s="155"/>
      <c r="EL285" s="155"/>
      <c r="EM285" s="155"/>
      <c r="EN285" s="155"/>
      <c r="EO285" s="152"/>
      <c r="EP285" s="151"/>
      <c r="EQ285" s="153"/>
      <c r="ER285" s="153"/>
      <c r="ES285" s="153"/>
      <c r="ET285" s="153"/>
      <c r="EU285" s="152"/>
      <c r="EV285" s="152"/>
      <c r="EW285" s="152"/>
      <c r="EX285" s="152"/>
      <c r="EY285" s="151"/>
      <c r="EZ285" s="155"/>
      <c r="FA285" s="155"/>
      <c r="FB285" s="155"/>
      <c r="FC285" s="204"/>
      <c r="FD285" s="204"/>
      <c r="FE285" s="204"/>
      <c r="FF285" s="204"/>
      <c r="FG285" s="204"/>
      <c r="FH285" s="204"/>
    </row>
    <row r="286" spans="1:164" s="202" customFormat="1" ht="14" hidden="1" customHeight="1">
      <c r="A286" s="208" t="str">
        <f t="shared" si="306"/>
        <v>ok</v>
      </c>
      <c r="B286" s="151"/>
      <c r="C286" s="409"/>
      <c r="D286" s="151"/>
      <c r="E286" s="154"/>
      <c r="F286" s="154"/>
      <c r="G286" s="151"/>
      <c r="H286" s="364"/>
      <c r="I286" s="430" t="s">
        <v>2239</v>
      </c>
      <c r="J286" s="171" t="s">
        <v>640</v>
      </c>
      <c r="K286" s="247" t="s">
        <v>2173</v>
      </c>
      <c r="L286" s="431" t="s">
        <v>642</v>
      </c>
      <c r="M286" s="163" t="s">
        <v>345</v>
      </c>
      <c r="N286" s="177"/>
      <c r="O286" s="229"/>
      <c r="P286" s="416"/>
      <c r="Q286" s="155"/>
      <c r="R286" s="155"/>
      <c r="S286" s="161"/>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209"/>
      <c r="CT286" s="209"/>
      <c r="CU286" s="375"/>
      <c r="CV286" s="156"/>
      <c r="CW286" s="155"/>
      <c r="CX286" s="155"/>
      <c r="CY286" s="155"/>
      <c r="CZ286" s="157"/>
      <c r="DA286" s="152"/>
      <c r="DB286" s="152"/>
      <c r="DC286" s="153"/>
      <c r="DD286" s="798" t="s">
        <v>2457</v>
      </c>
      <c r="DE286" s="798" t="s">
        <v>2458</v>
      </c>
      <c r="DF286" s="799" t="s">
        <v>2453</v>
      </c>
      <c r="DG286" s="175"/>
      <c r="DH286" s="202" t="s">
        <v>477</v>
      </c>
      <c r="DI286" s="158">
        <v>45985</v>
      </c>
      <c r="DJ286" s="429">
        <v>1</v>
      </c>
      <c r="DK286" s="1006" t="s">
        <v>477</v>
      </c>
      <c r="DL286" s="240">
        <v>2250000</v>
      </c>
      <c r="DM286" s="189">
        <f t="shared" si="304"/>
        <v>2430000</v>
      </c>
      <c r="DN286" s="446">
        <v>0.08</v>
      </c>
      <c r="DO286" s="281">
        <f t="shared" si="305"/>
        <v>2250000</v>
      </c>
      <c r="DP286" s="159">
        <v>46030</v>
      </c>
      <c r="DQ286" s="152"/>
      <c r="DR286" s="152"/>
      <c r="DS286" s="155"/>
      <c r="DT286" s="155"/>
      <c r="DU286" s="155"/>
      <c r="DV286" s="155"/>
      <c r="DW286" s="155"/>
      <c r="DX286" s="155"/>
      <c r="DY286" s="155"/>
      <c r="DZ286" s="155"/>
      <c r="EA286" s="155"/>
      <c r="EB286" s="155"/>
      <c r="EC286" s="155"/>
      <c r="ED286" s="155"/>
      <c r="EE286" s="155"/>
      <c r="EF286" s="155"/>
      <c r="EG286" s="155"/>
      <c r="EH286" s="155"/>
      <c r="EI286" s="155"/>
      <c r="EJ286" s="155"/>
      <c r="EK286" s="155"/>
      <c r="EL286" s="155"/>
      <c r="EM286" s="155"/>
      <c r="EN286" s="155"/>
      <c r="EO286" s="152"/>
      <c r="EP286" s="151"/>
      <c r="EQ286" s="153"/>
      <c r="ER286" s="153"/>
      <c r="ES286" s="153"/>
      <c r="ET286" s="153"/>
      <c r="EU286" s="152"/>
      <c r="EV286" s="152"/>
      <c r="EW286" s="152"/>
      <c r="EX286" s="152"/>
      <c r="EY286" s="151"/>
      <c r="EZ286" s="155"/>
      <c r="FA286" s="155"/>
      <c r="FB286" s="155"/>
      <c r="FC286" s="204"/>
      <c r="FD286" s="204"/>
      <c r="FE286" s="204"/>
      <c r="FF286" s="204"/>
      <c r="FG286" s="204"/>
      <c r="FH286" s="204"/>
    </row>
    <row r="287" spans="1:164" s="202" customFormat="1" ht="14" hidden="1" customHeight="1">
      <c r="A287" s="208" t="str">
        <f t="shared" si="306"/>
        <v>ok</v>
      </c>
      <c r="B287" s="151"/>
      <c r="C287" s="409"/>
      <c r="D287" s="151"/>
      <c r="E287" s="154"/>
      <c r="F287" s="154"/>
      <c r="G287" s="151"/>
      <c r="H287" s="364"/>
      <c r="I287" s="430" t="s">
        <v>2239</v>
      </c>
      <c r="J287" s="171" t="s">
        <v>640</v>
      </c>
      <c r="K287" s="247" t="s">
        <v>2173</v>
      </c>
      <c r="L287" s="431" t="s">
        <v>642</v>
      </c>
      <c r="M287" s="163" t="s">
        <v>345</v>
      </c>
      <c r="N287" s="177"/>
      <c r="O287" s="229"/>
      <c r="P287" s="416"/>
      <c r="Q287" s="155"/>
      <c r="R287" s="155"/>
      <c r="S287" s="161"/>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209"/>
      <c r="CT287" s="209"/>
      <c r="CU287" s="375"/>
      <c r="CV287" s="156"/>
      <c r="CW287" s="155"/>
      <c r="CX287" s="155"/>
      <c r="CY287" s="155"/>
      <c r="CZ287" s="157"/>
      <c r="DA287" s="152"/>
      <c r="DB287" s="152"/>
      <c r="DC287" s="153"/>
      <c r="DD287" s="798" t="s">
        <v>2457</v>
      </c>
      <c r="DE287" s="798" t="s">
        <v>2458</v>
      </c>
      <c r="DF287" s="799" t="s">
        <v>2454</v>
      </c>
      <c r="DG287" s="175"/>
      <c r="DH287" s="202" t="s">
        <v>477</v>
      </c>
      <c r="DI287" s="158">
        <v>45985</v>
      </c>
      <c r="DJ287" s="429">
        <v>1</v>
      </c>
      <c r="DK287" s="1006" t="s">
        <v>477</v>
      </c>
      <c r="DL287" s="240">
        <v>1450000</v>
      </c>
      <c r="DM287" s="189">
        <f t="shared" si="304"/>
        <v>1566000</v>
      </c>
      <c r="DN287" s="446">
        <v>0.08</v>
      </c>
      <c r="DO287" s="281">
        <f t="shared" si="305"/>
        <v>1450000</v>
      </c>
      <c r="DP287" s="159">
        <v>46030</v>
      </c>
      <c r="DQ287" s="152"/>
      <c r="DR287" s="152"/>
      <c r="DS287" s="155"/>
      <c r="DT287" s="155"/>
      <c r="DU287" s="155"/>
      <c r="DV287" s="155"/>
      <c r="DW287" s="155"/>
      <c r="DX287" s="155"/>
      <c r="DY287" s="155"/>
      <c r="DZ287" s="155"/>
      <c r="EA287" s="155"/>
      <c r="EB287" s="155"/>
      <c r="EC287" s="155"/>
      <c r="ED287" s="155"/>
      <c r="EE287" s="155"/>
      <c r="EF287" s="155"/>
      <c r="EG287" s="155"/>
      <c r="EH287" s="155"/>
      <c r="EI287" s="155"/>
      <c r="EJ287" s="155"/>
      <c r="EK287" s="155"/>
      <c r="EL287" s="155"/>
      <c r="EM287" s="155"/>
      <c r="EN287" s="155"/>
      <c r="EO287" s="152"/>
      <c r="EP287" s="151"/>
      <c r="EQ287" s="153"/>
      <c r="ER287" s="153"/>
      <c r="ES287" s="153"/>
      <c r="ET287" s="153"/>
      <c r="EU287" s="152"/>
      <c r="EV287" s="152"/>
      <c r="EW287" s="152"/>
      <c r="EX287" s="152"/>
      <c r="EY287" s="151"/>
      <c r="EZ287" s="155"/>
      <c r="FA287" s="155"/>
      <c r="FB287" s="155"/>
      <c r="FC287" s="204"/>
      <c r="FD287" s="204"/>
      <c r="FE287" s="204"/>
      <c r="FF287" s="204"/>
      <c r="FG287" s="204"/>
      <c r="FH287" s="204"/>
    </row>
    <row r="288" spans="1:164" s="202" customFormat="1" ht="14" hidden="1" customHeight="1">
      <c r="A288" s="208" t="str">
        <f t="shared" si="306"/>
        <v>ok</v>
      </c>
      <c r="B288" s="151"/>
      <c r="C288" s="409"/>
      <c r="D288" s="151"/>
      <c r="E288" s="154"/>
      <c r="F288" s="154"/>
      <c r="G288" s="151"/>
      <c r="H288" s="364"/>
      <c r="I288" s="430" t="s">
        <v>2239</v>
      </c>
      <c r="J288" s="171" t="s">
        <v>640</v>
      </c>
      <c r="K288" s="247" t="s">
        <v>2173</v>
      </c>
      <c r="L288" s="431" t="s">
        <v>642</v>
      </c>
      <c r="M288" s="163" t="s">
        <v>345</v>
      </c>
      <c r="N288" s="177"/>
      <c r="O288" s="229"/>
      <c r="P288" s="416"/>
      <c r="Q288" s="155"/>
      <c r="R288" s="155"/>
      <c r="S288" s="161"/>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209"/>
      <c r="CT288" s="209"/>
      <c r="CU288" s="375"/>
      <c r="CV288" s="156"/>
      <c r="CW288" s="155"/>
      <c r="CX288" s="155"/>
      <c r="CY288" s="155"/>
      <c r="CZ288" s="157"/>
      <c r="DA288" s="152"/>
      <c r="DB288" s="152"/>
      <c r="DC288" s="153"/>
      <c r="DD288" s="798" t="s">
        <v>2457</v>
      </c>
      <c r="DE288" s="798" t="s">
        <v>2458</v>
      </c>
      <c r="DF288" s="799" t="s">
        <v>2455</v>
      </c>
      <c r="DG288" s="175"/>
      <c r="DH288" s="202" t="s">
        <v>477</v>
      </c>
      <c r="DI288" s="158">
        <v>45985</v>
      </c>
      <c r="DJ288" s="429">
        <v>1</v>
      </c>
      <c r="DK288" s="1006" t="s">
        <v>477</v>
      </c>
      <c r="DL288" s="240">
        <v>600000</v>
      </c>
      <c r="DM288" s="189">
        <f t="shared" si="304"/>
        <v>648000</v>
      </c>
      <c r="DN288" s="446">
        <v>0.08</v>
      </c>
      <c r="DO288" s="281">
        <f t="shared" si="305"/>
        <v>600000</v>
      </c>
      <c r="DP288" s="159">
        <v>46030</v>
      </c>
      <c r="DQ288" s="152"/>
      <c r="DR288" s="152"/>
      <c r="DS288" s="155"/>
      <c r="DT288" s="155"/>
      <c r="DU288" s="155"/>
      <c r="DV288" s="155"/>
      <c r="DW288" s="155"/>
      <c r="DX288" s="155"/>
      <c r="DY288" s="155"/>
      <c r="DZ288" s="155"/>
      <c r="EA288" s="155"/>
      <c r="EB288" s="155"/>
      <c r="EC288" s="155"/>
      <c r="ED288" s="155"/>
      <c r="EE288" s="155"/>
      <c r="EF288" s="155"/>
      <c r="EG288" s="155"/>
      <c r="EH288" s="155"/>
      <c r="EI288" s="155"/>
      <c r="EJ288" s="155"/>
      <c r="EK288" s="155"/>
      <c r="EL288" s="155"/>
      <c r="EM288" s="155"/>
      <c r="EN288" s="155"/>
      <c r="EO288" s="152"/>
      <c r="EP288" s="151"/>
      <c r="EQ288" s="153"/>
      <c r="ER288" s="153"/>
      <c r="ES288" s="153"/>
      <c r="ET288" s="153"/>
      <c r="EU288" s="152"/>
      <c r="EV288" s="152"/>
      <c r="EW288" s="152"/>
      <c r="EX288" s="152"/>
      <c r="EY288" s="151"/>
      <c r="EZ288" s="155"/>
      <c r="FA288" s="155"/>
      <c r="FB288" s="155"/>
      <c r="FC288" s="204"/>
      <c r="FD288" s="204"/>
      <c r="FE288" s="204"/>
      <c r="FF288" s="204"/>
      <c r="FG288" s="204"/>
      <c r="FH288" s="204"/>
    </row>
    <row r="289" spans="1:164" s="202" customFormat="1" ht="14" hidden="1" customHeight="1">
      <c r="A289" s="208" t="str">
        <f t="shared" si="306"/>
        <v>ok</v>
      </c>
      <c r="B289" s="151"/>
      <c r="C289" s="409"/>
      <c r="D289" s="151"/>
      <c r="E289" s="154"/>
      <c r="F289" s="154"/>
      <c r="G289" s="151"/>
      <c r="H289" s="364"/>
      <c r="I289" s="430" t="s">
        <v>2239</v>
      </c>
      <c r="J289" s="171" t="s">
        <v>640</v>
      </c>
      <c r="K289" s="247" t="s">
        <v>2173</v>
      </c>
      <c r="L289" s="431" t="s">
        <v>642</v>
      </c>
      <c r="M289" s="163" t="s">
        <v>345</v>
      </c>
      <c r="N289" s="177"/>
      <c r="O289" s="229"/>
      <c r="P289" s="416"/>
      <c r="Q289" s="155"/>
      <c r="R289" s="155"/>
      <c r="S289" s="161"/>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209"/>
      <c r="CT289" s="209"/>
      <c r="CU289" s="375"/>
      <c r="CV289" s="156"/>
      <c r="CW289" s="155"/>
      <c r="CX289" s="155"/>
      <c r="CY289" s="155"/>
      <c r="CZ289" s="157"/>
      <c r="DA289" s="152"/>
      <c r="DB289" s="152"/>
      <c r="DC289" s="153"/>
      <c r="DD289" s="798" t="s">
        <v>2457</v>
      </c>
      <c r="DE289" s="798" t="s">
        <v>2458</v>
      </c>
      <c r="DF289" s="799" t="s">
        <v>2456</v>
      </c>
      <c r="DG289" s="175"/>
      <c r="DH289" s="202" t="s">
        <v>477</v>
      </c>
      <c r="DI289" s="158">
        <v>45985</v>
      </c>
      <c r="DJ289" s="429">
        <v>1</v>
      </c>
      <c r="DK289" s="1006" t="s">
        <v>477</v>
      </c>
      <c r="DL289" s="240">
        <v>605000</v>
      </c>
      <c r="DM289" s="189">
        <f t="shared" si="304"/>
        <v>653400</v>
      </c>
      <c r="DN289" s="446">
        <v>0.08</v>
      </c>
      <c r="DO289" s="281">
        <f t="shared" si="305"/>
        <v>605000</v>
      </c>
      <c r="DP289" s="159">
        <v>46030</v>
      </c>
      <c r="DQ289" s="152"/>
      <c r="DR289" s="152"/>
      <c r="DS289" s="155"/>
      <c r="DT289" s="155"/>
      <c r="DU289" s="155"/>
      <c r="DV289" s="155"/>
      <c r="DW289" s="155"/>
      <c r="DX289" s="155"/>
      <c r="DY289" s="155"/>
      <c r="DZ289" s="155"/>
      <c r="EA289" s="155"/>
      <c r="EB289" s="155"/>
      <c r="EC289" s="155"/>
      <c r="ED289" s="155"/>
      <c r="EE289" s="155"/>
      <c r="EF289" s="155"/>
      <c r="EG289" s="155"/>
      <c r="EH289" s="155"/>
      <c r="EI289" s="155"/>
      <c r="EJ289" s="155"/>
      <c r="EK289" s="155"/>
      <c r="EL289" s="155"/>
      <c r="EM289" s="155"/>
      <c r="EN289" s="155"/>
      <c r="EO289" s="152"/>
      <c r="EP289" s="151"/>
      <c r="EQ289" s="153"/>
      <c r="ER289" s="153"/>
      <c r="ES289" s="153"/>
      <c r="ET289" s="153"/>
      <c r="EU289" s="152"/>
      <c r="EV289" s="152"/>
      <c r="EW289" s="152"/>
      <c r="EX289" s="152"/>
      <c r="EY289" s="151"/>
      <c r="EZ289" s="155"/>
      <c r="FA289" s="155"/>
      <c r="FB289" s="155"/>
      <c r="FC289" s="204"/>
      <c r="FD289" s="204"/>
      <c r="FE289" s="204"/>
      <c r="FF289" s="204"/>
      <c r="FG289" s="204"/>
      <c r="FH289" s="204"/>
    </row>
    <row r="290" spans="1:164" s="202" customFormat="1" ht="14" hidden="1" customHeight="1">
      <c r="A290" s="208" t="str">
        <f t="shared" si="306"/>
        <v>ok</v>
      </c>
      <c r="B290" s="151"/>
      <c r="C290" s="409"/>
      <c r="D290" s="151"/>
      <c r="E290" s="154"/>
      <c r="F290" s="154"/>
      <c r="G290" s="151"/>
      <c r="H290" s="364"/>
      <c r="I290" s="430" t="s">
        <v>2239</v>
      </c>
      <c r="J290" s="171" t="s">
        <v>640</v>
      </c>
      <c r="K290" s="247" t="s">
        <v>2173</v>
      </c>
      <c r="L290" s="431" t="s">
        <v>642</v>
      </c>
      <c r="M290" s="163" t="s">
        <v>345</v>
      </c>
      <c r="N290" s="177"/>
      <c r="O290" s="229"/>
      <c r="P290" s="416"/>
      <c r="Q290" s="155"/>
      <c r="R290" s="155"/>
      <c r="S290" s="161"/>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209"/>
      <c r="CT290" s="209"/>
      <c r="CU290" s="375"/>
      <c r="CV290" s="156"/>
      <c r="CW290" s="155"/>
      <c r="CX290" s="155"/>
      <c r="CY290" s="155"/>
      <c r="CZ290" s="157"/>
      <c r="DA290" s="152"/>
      <c r="DB290" s="152"/>
      <c r="DC290" s="153"/>
      <c r="DD290" s="798" t="s">
        <v>2457</v>
      </c>
      <c r="DE290" s="798" t="s">
        <v>2458</v>
      </c>
      <c r="DF290" s="799" t="s">
        <v>2435</v>
      </c>
      <c r="DG290" s="175"/>
      <c r="DH290" s="202" t="s">
        <v>477</v>
      </c>
      <c r="DI290" s="158">
        <v>45985</v>
      </c>
      <c r="DJ290" s="429">
        <v>2</v>
      </c>
      <c r="DK290" s="1006" t="s">
        <v>477</v>
      </c>
      <c r="DL290" s="240">
        <v>1364000</v>
      </c>
      <c r="DM290" s="189">
        <f t="shared" si="304"/>
        <v>2946240</v>
      </c>
      <c r="DN290" s="446">
        <v>0.08</v>
      </c>
      <c r="DO290" s="281">
        <f t="shared" si="305"/>
        <v>2728000</v>
      </c>
      <c r="DP290" s="159">
        <v>46030</v>
      </c>
      <c r="DQ290" s="152"/>
      <c r="DR290" s="152"/>
      <c r="DS290" s="155"/>
      <c r="DT290" s="155"/>
      <c r="DU290" s="155"/>
      <c r="DV290" s="155"/>
      <c r="DW290" s="155"/>
      <c r="DX290" s="155"/>
      <c r="DY290" s="155"/>
      <c r="DZ290" s="155"/>
      <c r="EA290" s="155"/>
      <c r="EB290" s="155"/>
      <c r="EC290" s="155"/>
      <c r="ED290" s="155"/>
      <c r="EE290" s="155"/>
      <c r="EF290" s="155"/>
      <c r="EG290" s="155"/>
      <c r="EH290" s="155"/>
      <c r="EI290" s="155"/>
      <c r="EJ290" s="155"/>
      <c r="EK290" s="155"/>
      <c r="EL290" s="155"/>
      <c r="EM290" s="155"/>
      <c r="EN290" s="155"/>
      <c r="EO290" s="152"/>
      <c r="EP290" s="151"/>
      <c r="EQ290" s="153"/>
      <c r="ER290" s="153"/>
      <c r="ES290" s="153"/>
      <c r="ET290" s="153"/>
      <c r="EU290" s="152"/>
      <c r="EV290" s="152"/>
      <c r="EW290" s="152"/>
      <c r="EX290" s="152"/>
      <c r="EY290" s="151"/>
      <c r="EZ290" s="155"/>
      <c r="FA290" s="155"/>
      <c r="FB290" s="155"/>
      <c r="FC290" s="204"/>
      <c r="FD290" s="204"/>
      <c r="FE290" s="204"/>
      <c r="FF290" s="204"/>
      <c r="FG290" s="204"/>
      <c r="FH290" s="204"/>
    </row>
    <row r="291" spans="1:164" s="202" customFormat="1" ht="14" hidden="1" customHeight="1">
      <c r="A291" s="208" t="str">
        <f t="shared" si="306"/>
        <v>ok</v>
      </c>
      <c r="B291" s="151"/>
      <c r="C291" s="409"/>
      <c r="D291" s="151"/>
      <c r="E291" s="154"/>
      <c r="F291" s="154"/>
      <c r="G291" s="151"/>
      <c r="H291" s="364"/>
      <c r="I291" s="430" t="s">
        <v>2239</v>
      </c>
      <c r="J291" s="171" t="s">
        <v>640</v>
      </c>
      <c r="K291" s="247" t="s">
        <v>2173</v>
      </c>
      <c r="L291" s="431" t="s">
        <v>642</v>
      </c>
      <c r="M291" s="163" t="s">
        <v>345</v>
      </c>
      <c r="N291" s="177"/>
      <c r="O291" s="229"/>
      <c r="P291" s="416"/>
      <c r="Q291" s="155"/>
      <c r="R291" s="155"/>
      <c r="S291" s="161"/>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209"/>
      <c r="CT291" s="209"/>
      <c r="CU291" s="375"/>
      <c r="CV291" s="156"/>
      <c r="CW291" s="155"/>
      <c r="CX291" s="155"/>
      <c r="CY291" s="155"/>
      <c r="CZ291" s="157"/>
      <c r="DA291" s="152"/>
      <c r="DB291" s="152"/>
      <c r="DC291" s="153"/>
      <c r="DD291" s="798" t="s">
        <v>2457</v>
      </c>
      <c r="DE291" s="798" t="s">
        <v>2458</v>
      </c>
      <c r="DF291" s="799" t="s">
        <v>2436</v>
      </c>
      <c r="DG291" s="175"/>
      <c r="DH291" s="202" t="s">
        <v>477</v>
      </c>
      <c r="DI291" s="158">
        <v>45985</v>
      </c>
      <c r="DJ291" s="429">
        <v>1</v>
      </c>
      <c r="DK291" s="1006" t="s">
        <v>477</v>
      </c>
      <c r="DL291" s="240">
        <v>855000</v>
      </c>
      <c r="DM291" s="189">
        <f t="shared" si="304"/>
        <v>923400.00000000012</v>
      </c>
      <c r="DN291" s="446">
        <v>0.08</v>
      </c>
      <c r="DO291" s="281">
        <f t="shared" si="305"/>
        <v>855000</v>
      </c>
      <c r="DP291" s="159">
        <v>46030</v>
      </c>
      <c r="DQ291" s="152"/>
      <c r="DR291" s="152"/>
      <c r="DS291" s="155"/>
      <c r="DT291" s="155"/>
      <c r="DU291" s="155"/>
      <c r="DV291" s="155"/>
      <c r="DW291" s="155"/>
      <c r="DX291" s="155"/>
      <c r="DY291" s="155"/>
      <c r="DZ291" s="155"/>
      <c r="EA291" s="155"/>
      <c r="EB291" s="155"/>
      <c r="EC291" s="155"/>
      <c r="ED291" s="155"/>
      <c r="EE291" s="155"/>
      <c r="EF291" s="155"/>
      <c r="EG291" s="155"/>
      <c r="EH291" s="155"/>
      <c r="EI291" s="155"/>
      <c r="EJ291" s="155"/>
      <c r="EK291" s="155"/>
      <c r="EL291" s="155"/>
      <c r="EM291" s="155"/>
      <c r="EN291" s="155"/>
      <c r="EO291" s="152"/>
      <c r="EP291" s="151"/>
      <c r="EQ291" s="153"/>
      <c r="ER291" s="153"/>
      <c r="ES291" s="153"/>
      <c r="ET291" s="153"/>
      <c r="EU291" s="152"/>
      <c r="EV291" s="152"/>
      <c r="EW291" s="152"/>
      <c r="EX291" s="152"/>
      <c r="EY291" s="151"/>
      <c r="EZ291" s="155"/>
      <c r="FA291" s="155"/>
      <c r="FB291" s="155"/>
      <c r="FC291" s="204"/>
      <c r="FD291" s="204"/>
      <c r="FE291" s="204"/>
      <c r="FF291" s="204"/>
      <c r="FG291" s="204"/>
      <c r="FH291" s="204"/>
    </row>
    <row r="292" spans="1:164" s="202" customFormat="1" ht="14" hidden="1" customHeight="1">
      <c r="A292" s="208" t="str">
        <f t="shared" si="306"/>
        <v>ok</v>
      </c>
      <c r="B292" s="151"/>
      <c r="C292" s="409"/>
      <c r="D292" s="151"/>
      <c r="E292" s="154"/>
      <c r="F292" s="154"/>
      <c r="G292" s="151"/>
      <c r="H292" s="364"/>
      <c r="I292" s="430" t="s">
        <v>2239</v>
      </c>
      <c r="J292" s="171" t="s">
        <v>640</v>
      </c>
      <c r="K292" s="247" t="s">
        <v>2173</v>
      </c>
      <c r="L292" s="431" t="s">
        <v>642</v>
      </c>
      <c r="M292" s="163" t="s">
        <v>345</v>
      </c>
      <c r="N292" s="177"/>
      <c r="O292" s="229"/>
      <c r="P292" s="416"/>
      <c r="Q292" s="155"/>
      <c r="R292" s="155"/>
      <c r="S292" s="161"/>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209"/>
      <c r="CT292" s="209"/>
      <c r="CU292" s="375"/>
      <c r="CV292" s="156"/>
      <c r="CW292" s="155"/>
      <c r="CX292" s="155"/>
      <c r="CY292" s="155"/>
      <c r="CZ292" s="157"/>
      <c r="DA292" s="152"/>
      <c r="DB292" s="152"/>
      <c r="DC292" s="153"/>
      <c r="DD292" s="798" t="s">
        <v>2457</v>
      </c>
      <c r="DE292" s="798" t="s">
        <v>2458</v>
      </c>
      <c r="DF292" s="799" t="s">
        <v>2437</v>
      </c>
      <c r="DG292" s="175"/>
      <c r="DH292" s="202" t="s">
        <v>477</v>
      </c>
      <c r="DI292" s="158">
        <v>45985</v>
      </c>
      <c r="DJ292" s="429">
        <v>1</v>
      </c>
      <c r="DK292" s="1006" t="s">
        <v>477</v>
      </c>
      <c r="DL292" s="240">
        <v>770000</v>
      </c>
      <c r="DM292" s="189">
        <f t="shared" si="304"/>
        <v>831600</v>
      </c>
      <c r="DN292" s="446">
        <v>0.08</v>
      </c>
      <c r="DO292" s="281">
        <f t="shared" si="305"/>
        <v>770000</v>
      </c>
      <c r="DP292" s="159">
        <v>46030</v>
      </c>
      <c r="DQ292" s="152"/>
      <c r="DR292" s="152"/>
      <c r="DS292" s="155"/>
      <c r="DT292" s="155"/>
      <c r="DU292" s="155"/>
      <c r="DV292" s="155"/>
      <c r="DW292" s="155"/>
      <c r="DX292" s="155"/>
      <c r="DY292" s="155"/>
      <c r="DZ292" s="155"/>
      <c r="EA292" s="155"/>
      <c r="EB292" s="155"/>
      <c r="EC292" s="155"/>
      <c r="ED292" s="155"/>
      <c r="EE292" s="155"/>
      <c r="EF292" s="155"/>
      <c r="EG292" s="155"/>
      <c r="EH292" s="155"/>
      <c r="EI292" s="155"/>
      <c r="EJ292" s="155"/>
      <c r="EK292" s="155"/>
      <c r="EL292" s="155"/>
      <c r="EM292" s="155"/>
      <c r="EN292" s="155"/>
      <c r="EO292" s="152"/>
      <c r="EP292" s="151"/>
      <c r="EQ292" s="153"/>
      <c r="ER292" s="153"/>
      <c r="ES292" s="153"/>
      <c r="ET292" s="153"/>
      <c r="EU292" s="152"/>
      <c r="EV292" s="152"/>
      <c r="EW292" s="152"/>
      <c r="EX292" s="152"/>
      <c r="EY292" s="151"/>
      <c r="EZ292" s="155"/>
      <c r="FA292" s="155"/>
      <c r="FB292" s="155"/>
      <c r="FC292" s="204"/>
      <c r="FD292" s="204"/>
      <c r="FE292" s="204"/>
      <c r="FF292" s="204"/>
      <c r="FG292" s="204"/>
      <c r="FH292" s="204"/>
    </row>
    <row r="293" spans="1:164" s="202" customFormat="1" ht="14" hidden="1" customHeight="1">
      <c r="A293" s="208" t="str">
        <f t="shared" si="306"/>
        <v>ok</v>
      </c>
      <c r="B293" s="151"/>
      <c r="C293" s="409"/>
      <c r="D293" s="151"/>
      <c r="E293" s="154"/>
      <c r="F293" s="154"/>
      <c r="G293" s="151"/>
      <c r="H293" s="364"/>
      <c r="I293" s="430" t="s">
        <v>2239</v>
      </c>
      <c r="J293" s="171" t="s">
        <v>640</v>
      </c>
      <c r="K293" s="247" t="s">
        <v>2173</v>
      </c>
      <c r="L293" s="431" t="s">
        <v>642</v>
      </c>
      <c r="M293" s="163" t="s">
        <v>345</v>
      </c>
      <c r="N293" s="177"/>
      <c r="O293" s="229"/>
      <c r="P293" s="416"/>
      <c r="Q293" s="155"/>
      <c r="R293" s="155"/>
      <c r="S293" s="161"/>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209"/>
      <c r="CT293" s="209"/>
      <c r="CU293" s="375"/>
      <c r="CV293" s="156"/>
      <c r="CW293" s="155"/>
      <c r="CX293" s="155"/>
      <c r="CY293" s="155"/>
      <c r="CZ293" s="157"/>
      <c r="DA293" s="152"/>
      <c r="DB293" s="152"/>
      <c r="DC293" s="153"/>
      <c r="DD293" s="798" t="s">
        <v>2457</v>
      </c>
      <c r="DE293" s="798" t="s">
        <v>2458</v>
      </c>
      <c r="DF293" s="799" t="s">
        <v>2438</v>
      </c>
      <c r="DG293" s="175"/>
      <c r="DH293" s="202" t="s">
        <v>477</v>
      </c>
      <c r="DI293" s="158">
        <v>45985</v>
      </c>
      <c r="DJ293" s="429">
        <v>1</v>
      </c>
      <c r="DK293" s="1006" t="s">
        <v>477</v>
      </c>
      <c r="DL293" s="240">
        <v>1350000</v>
      </c>
      <c r="DM293" s="189">
        <f t="shared" si="304"/>
        <v>1458000</v>
      </c>
      <c r="DN293" s="446">
        <v>0.08</v>
      </c>
      <c r="DO293" s="281">
        <f t="shared" si="305"/>
        <v>1350000</v>
      </c>
      <c r="DP293" s="159">
        <v>46030</v>
      </c>
      <c r="DQ293" s="152"/>
      <c r="DR293" s="152"/>
      <c r="DS293" s="155"/>
      <c r="DT293" s="155"/>
      <c r="DU293" s="155"/>
      <c r="DV293" s="155"/>
      <c r="DW293" s="155"/>
      <c r="DX293" s="155"/>
      <c r="DY293" s="155"/>
      <c r="DZ293" s="155"/>
      <c r="EA293" s="155"/>
      <c r="EB293" s="155"/>
      <c r="EC293" s="155"/>
      <c r="ED293" s="155"/>
      <c r="EE293" s="155"/>
      <c r="EF293" s="155"/>
      <c r="EG293" s="155"/>
      <c r="EH293" s="155"/>
      <c r="EI293" s="155"/>
      <c r="EJ293" s="155"/>
      <c r="EK293" s="155"/>
      <c r="EL293" s="155"/>
      <c r="EM293" s="155"/>
      <c r="EN293" s="155"/>
      <c r="EO293" s="152"/>
      <c r="EP293" s="151"/>
      <c r="EQ293" s="153"/>
      <c r="ER293" s="153"/>
      <c r="ES293" s="153"/>
      <c r="ET293" s="153"/>
      <c r="EU293" s="152"/>
      <c r="EV293" s="152"/>
      <c r="EW293" s="152"/>
      <c r="EX293" s="152"/>
      <c r="EY293" s="151"/>
      <c r="EZ293" s="155"/>
      <c r="FA293" s="155"/>
      <c r="FB293" s="155"/>
      <c r="FC293" s="204"/>
      <c r="FD293" s="204"/>
      <c r="FE293" s="204"/>
      <c r="FF293" s="204"/>
      <c r="FG293" s="204"/>
      <c r="FH293" s="204"/>
    </row>
    <row r="294" spans="1:164" s="202" customFormat="1" ht="14" hidden="1" customHeight="1">
      <c r="A294" s="208" t="str">
        <f t="shared" si="306"/>
        <v>ok</v>
      </c>
      <c r="B294" s="151"/>
      <c r="C294" s="409"/>
      <c r="D294" s="151"/>
      <c r="E294" s="154"/>
      <c r="F294" s="154"/>
      <c r="G294" s="151"/>
      <c r="H294" s="364"/>
      <c r="I294" s="430" t="s">
        <v>2239</v>
      </c>
      <c r="J294" s="171" t="s">
        <v>640</v>
      </c>
      <c r="K294" s="247" t="s">
        <v>2173</v>
      </c>
      <c r="L294" s="431" t="s">
        <v>642</v>
      </c>
      <c r="M294" s="163" t="s">
        <v>345</v>
      </c>
      <c r="N294" s="177"/>
      <c r="O294" s="229"/>
      <c r="P294" s="416"/>
      <c r="Q294" s="155"/>
      <c r="R294" s="155"/>
      <c r="S294" s="161"/>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209"/>
      <c r="CT294" s="209"/>
      <c r="CU294" s="375"/>
      <c r="CV294" s="156"/>
      <c r="CW294" s="155"/>
      <c r="CX294" s="155"/>
      <c r="CY294" s="155"/>
      <c r="CZ294" s="157"/>
      <c r="DA294" s="152"/>
      <c r="DB294" s="152"/>
      <c r="DC294" s="153"/>
      <c r="DD294" s="798" t="s">
        <v>2457</v>
      </c>
      <c r="DE294" s="798" t="s">
        <v>2458</v>
      </c>
      <c r="DF294" s="799" t="s">
        <v>2439</v>
      </c>
      <c r="DG294" s="175"/>
      <c r="DH294" s="202" t="s">
        <v>477</v>
      </c>
      <c r="DI294" s="158">
        <v>45985</v>
      </c>
      <c r="DJ294" s="429">
        <v>1</v>
      </c>
      <c r="DK294" s="1006" t="s">
        <v>477</v>
      </c>
      <c r="DL294" s="240">
        <v>1565000</v>
      </c>
      <c r="DM294" s="189">
        <f t="shared" si="304"/>
        <v>1690200</v>
      </c>
      <c r="DN294" s="446">
        <v>0.08</v>
      </c>
      <c r="DO294" s="281">
        <f t="shared" si="305"/>
        <v>1565000</v>
      </c>
      <c r="DP294" s="159">
        <v>46030</v>
      </c>
      <c r="DQ294" s="152"/>
      <c r="DR294" s="152"/>
      <c r="DS294" s="155"/>
      <c r="DT294" s="155"/>
      <c r="DU294" s="155"/>
      <c r="DV294" s="155"/>
      <c r="DW294" s="155"/>
      <c r="DX294" s="155"/>
      <c r="DY294" s="155"/>
      <c r="DZ294" s="155"/>
      <c r="EA294" s="155"/>
      <c r="EB294" s="155"/>
      <c r="EC294" s="155"/>
      <c r="ED294" s="155"/>
      <c r="EE294" s="155"/>
      <c r="EF294" s="155"/>
      <c r="EG294" s="155"/>
      <c r="EH294" s="155"/>
      <c r="EI294" s="155"/>
      <c r="EJ294" s="155"/>
      <c r="EK294" s="155"/>
      <c r="EL294" s="155"/>
      <c r="EM294" s="155"/>
      <c r="EN294" s="155"/>
      <c r="EO294" s="152"/>
      <c r="EP294" s="151"/>
      <c r="EQ294" s="153"/>
      <c r="ER294" s="153"/>
      <c r="ES294" s="153"/>
      <c r="ET294" s="153"/>
      <c r="EU294" s="152"/>
      <c r="EV294" s="152"/>
      <c r="EW294" s="152"/>
      <c r="EX294" s="152"/>
      <c r="EY294" s="151"/>
      <c r="EZ294" s="155"/>
      <c r="FA294" s="155"/>
      <c r="FB294" s="155"/>
      <c r="FC294" s="204"/>
      <c r="FD294" s="204"/>
      <c r="FE294" s="204"/>
      <c r="FF294" s="204"/>
      <c r="FG294" s="204"/>
      <c r="FH294" s="204"/>
    </row>
    <row r="295" spans="1:164" s="202" customFormat="1" ht="14" hidden="1" customHeight="1">
      <c r="A295" s="208" t="str">
        <f t="shared" si="306"/>
        <v>ok</v>
      </c>
      <c r="B295" s="151"/>
      <c r="C295" s="409"/>
      <c r="D295" s="151"/>
      <c r="E295" s="154"/>
      <c r="F295" s="154"/>
      <c r="G295" s="151"/>
      <c r="H295" s="364"/>
      <c r="I295" s="430" t="s">
        <v>2239</v>
      </c>
      <c r="J295" s="171" t="s">
        <v>640</v>
      </c>
      <c r="K295" s="247" t="s">
        <v>2173</v>
      </c>
      <c r="L295" s="431" t="s">
        <v>642</v>
      </c>
      <c r="M295" s="163" t="s">
        <v>345</v>
      </c>
      <c r="N295" s="177"/>
      <c r="O295" s="229"/>
      <c r="P295" s="416"/>
      <c r="Q295" s="155"/>
      <c r="R295" s="155"/>
      <c r="S295" s="161"/>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209"/>
      <c r="CT295" s="209"/>
      <c r="CU295" s="375"/>
      <c r="CV295" s="156"/>
      <c r="CW295" s="155"/>
      <c r="CX295" s="155"/>
      <c r="CY295" s="155"/>
      <c r="CZ295" s="157"/>
      <c r="DA295" s="152"/>
      <c r="DB295" s="152"/>
      <c r="DC295" s="153"/>
      <c r="DD295" s="798" t="s">
        <v>2457</v>
      </c>
      <c r="DE295" s="798" t="s">
        <v>2458</v>
      </c>
      <c r="DF295" s="799" t="s">
        <v>2440</v>
      </c>
      <c r="DG295" s="175"/>
      <c r="DH295" s="202" t="s">
        <v>477</v>
      </c>
      <c r="DI295" s="158">
        <v>45985</v>
      </c>
      <c r="DJ295" s="429">
        <v>15</v>
      </c>
      <c r="DK295" s="1006" t="s">
        <v>477</v>
      </c>
      <c r="DL295" s="240">
        <v>1905000</v>
      </c>
      <c r="DM295" s="189">
        <f t="shared" si="304"/>
        <v>30861000.000000004</v>
      </c>
      <c r="DN295" s="446">
        <v>0.08</v>
      </c>
      <c r="DO295" s="281">
        <f t="shared" si="305"/>
        <v>28575000</v>
      </c>
      <c r="DP295" s="159">
        <v>46030</v>
      </c>
      <c r="DQ295" s="152"/>
      <c r="DR295" s="152"/>
      <c r="DS295" s="155"/>
      <c r="DT295" s="155"/>
      <c r="DU295" s="155"/>
      <c r="DV295" s="155"/>
      <c r="DW295" s="155"/>
      <c r="DX295" s="155"/>
      <c r="DY295" s="155"/>
      <c r="DZ295" s="155"/>
      <c r="EA295" s="155"/>
      <c r="EB295" s="155"/>
      <c r="EC295" s="155"/>
      <c r="ED295" s="155"/>
      <c r="EE295" s="155"/>
      <c r="EF295" s="155"/>
      <c r="EG295" s="155"/>
      <c r="EH295" s="155"/>
      <c r="EI295" s="155"/>
      <c r="EJ295" s="155"/>
      <c r="EK295" s="155"/>
      <c r="EL295" s="155"/>
      <c r="EM295" s="155"/>
      <c r="EN295" s="155"/>
      <c r="EO295" s="152"/>
      <c r="EP295" s="151"/>
      <c r="EQ295" s="153"/>
      <c r="ER295" s="153"/>
      <c r="ES295" s="153"/>
      <c r="ET295" s="153"/>
      <c r="EU295" s="152"/>
      <c r="EV295" s="152"/>
      <c r="EW295" s="152"/>
      <c r="EX295" s="152"/>
      <c r="EY295" s="151"/>
      <c r="EZ295" s="155"/>
      <c r="FA295" s="155"/>
      <c r="FB295" s="155"/>
      <c r="FC295" s="204"/>
      <c r="FD295" s="204"/>
      <c r="FE295" s="204"/>
      <c r="FF295" s="204"/>
      <c r="FG295" s="204"/>
      <c r="FH295" s="204"/>
    </row>
    <row r="296" spans="1:164" s="202" customFormat="1" ht="14" hidden="1" customHeight="1">
      <c r="A296" s="208" t="str">
        <f t="shared" si="306"/>
        <v>ok</v>
      </c>
      <c r="B296" s="151"/>
      <c r="C296" s="409"/>
      <c r="D296" s="151"/>
      <c r="E296" s="154"/>
      <c r="F296" s="154"/>
      <c r="G296" s="151"/>
      <c r="H296" s="364"/>
      <c r="I296" s="430" t="s">
        <v>2239</v>
      </c>
      <c r="J296" s="171" t="s">
        <v>640</v>
      </c>
      <c r="K296" s="247" t="s">
        <v>2173</v>
      </c>
      <c r="L296" s="431" t="s">
        <v>642</v>
      </c>
      <c r="M296" s="163" t="s">
        <v>345</v>
      </c>
      <c r="N296" s="177"/>
      <c r="O296" s="229"/>
      <c r="P296" s="416"/>
      <c r="Q296" s="155"/>
      <c r="R296" s="155"/>
      <c r="S296" s="161"/>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209"/>
      <c r="CT296" s="209"/>
      <c r="CU296" s="375"/>
      <c r="CV296" s="156"/>
      <c r="CW296" s="155"/>
      <c r="CX296" s="155"/>
      <c r="CY296" s="155"/>
      <c r="CZ296" s="157"/>
      <c r="DA296" s="152"/>
      <c r="DB296" s="152"/>
      <c r="DC296" s="153"/>
      <c r="DD296" s="798" t="s">
        <v>2457</v>
      </c>
      <c r="DE296" s="798" t="s">
        <v>2458</v>
      </c>
      <c r="DF296" s="799" t="s">
        <v>2441</v>
      </c>
      <c r="DG296" s="175"/>
      <c r="DH296" s="202" t="s">
        <v>477</v>
      </c>
      <c r="DI296" s="158">
        <v>45985</v>
      </c>
      <c r="DJ296" s="429">
        <v>1</v>
      </c>
      <c r="DK296" s="1006" t="s">
        <v>477</v>
      </c>
      <c r="DL296" s="240">
        <v>1305000</v>
      </c>
      <c r="DM296" s="189">
        <f t="shared" si="304"/>
        <v>1409400</v>
      </c>
      <c r="DN296" s="446">
        <v>0.08</v>
      </c>
      <c r="DO296" s="281">
        <f t="shared" si="305"/>
        <v>1305000</v>
      </c>
      <c r="DP296" s="159">
        <v>46030</v>
      </c>
      <c r="DQ296" s="152"/>
      <c r="DR296" s="152"/>
      <c r="DS296" s="155"/>
      <c r="DT296" s="155"/>
      <c r="DU296" s="155"/>
      <c r="DV296" s="155"/>
      <c r="DW296" s="155"/>
      <c r="DX296" s="155"/>
      <c r="DY296" s="155"/>
      <c r="DZ296" s="155"/>
      <c r="EA296" s="155"/>
      <c r="EB296" s="155"/>
      <c r="EC296" s="155"/>
      <c r="ED296" s="155"/>
      <c r="EE296" s="155"/>
      <c r="EF296" s="155"/>
      <c r="EG296" s="155"/>
      <c r="EH296" s="155"/>
      <c r="EI296" s="155"/>
      <c r="EJ296" s="155"/>
      <c r="EK296" s="155"/>
      <c r="EL296" s="155"/>
      <c r="EM296" s="155"/>
      <c r="EN296" s="155"/>
      <c r="EO296" s="152"/>
      <c r="EP296" s="151"/>
      <c r="EQ296" s="153"/>
      <c r="ER296" s="153"/>
      <c r="ES296" s="153"/>
      <c r="ET296" s="153"/>
      <c r="EU296" s="152"/>
      <c r="EV296" s="152"/>
      <c r="EW296" s="152"/>
      <c r="EX296" s="152"/>
      <c r="EY296" s="151"/>
      <c r="EZ296" s="155"/>
      <c r="FA296" s="155"/>
      <c r="FB296" s="155"/>
      <c r="FC296" s="204"/>
      <c r="FD296" s="204"/>
      <c r="FE296" s="204"/>
      <c r="FF296" s="204"/>
      <c r="FG296" s="204"/>
      <c r="FH296" s="204"/>
    </row>
    <row r="297" spans="1:164" s="202" customFormat="1" ht="14" hidden="1" customHeight="1">
      <c r="A297" s="208" t="str">
        <f t="shared" si="306"/>
        <v>ok</v>
      </c>
      <c r="B297" s="151"/>
      <c r="C297" s="409"/>
      <c r="D297" s="151"/>
      <c r="E297" s="154"/>
      <c r="F297" s="154"/>
      <c r="G297" s="151"/>
      <c r="H297" s="364"/>
      <c r="I297" s="430" t="s">
        <v>2239</v>
      </c>
      <c r="J297" s="171" t="s">
        <v>640</v>
      </c>
      <c r="K297" s="247" t="s">
        <v>2173</v>
      </c>
      <c r="L297" s="431" t="s">
        <v>642</v>
      </c>
      <c r="M297" s="163" t="s">
        <v>345</v>
      </c>
      <c r="N297" s="177"/>
      <c r="O297" s="229"/>
      <c r="P297" s="416"/>
      <c r="Q297" s="155"/>
      <c r="R297" s="155"/>
      <c r="S297" s="161"/>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209"/>
      <c r="CT297" s="209"/>
      <c r="CU297" s="375"/>
      <c r="CV297" s="156"/>
      <c r="CW297" s="155"/>
      <c r="CX297" s="155"/>
      <c r="CY297" s="155"/>
      <c r="CZ297" s="157"/>
      <c r="DA297" s="152"/>
      <c r="DB297" s="152"/>
      <c r="DC297" s="153"/>
      <c r="DD297" s="798" t="s">
        <v>2457</v>
      </c>
      <c r="DE297" s="798" t="s">
        <v>2458</v>
      </c>
      <c r="DF297" s="799" t="s">
        <v>2442</v>
      </c>
      <c r="DG297" s="175"/>
      <c r="DH297" s="202" t="s">
        <v>477</v>
      </c>
      <c r="DI297" s="158">
        <v>45985</v>
      </c>
      <c r="DJ297" s="429">
        <v>1</v>
      </c>
      <c r="DK297" s="1006" t="s">
        <v>477</v>
      </c>
      <c r="DL297" s="240">
        <v>955000</v>
      </c>
      <c r="DM297" s="189">
        <f t="shared" si="304"/>
        <v>1031400.0000000001</v>
      </c>
      <c r="DN297" s="446">
        <v>0.08</v>
      </c>
      <c r="DO297" s="281">
        <f t="shared" si="305"/>
        <v>955000</v>
      </c>
      <c r="DP297" s="159">
        <v>46030</v>
      </c>
      <c r="DQ297" s="152"/>
      <c r="DR297" s="152"/>
      <c r="DS297" s="155"/>
      <c r="DT297" s="155"/>
      <c r="DU297" s="155"/>
      <c r="DV297" s="155"/>
      <c r="DW297" s="155"/>
      <c r="DX297" s="155"/>
      <c r="DY297" s="155"/>
      <c r="DZ297" s="155"/>
      <c r="EA297" s="155"/>
      <c r="EB297" s="155"/>
      <c r="EC297" s="155"/>
      <c r="ED297" s="155"/>
      <c r="EE297" s="155"/>
      <c r="EF297" s="155"/>
      <c r="EG297" s="155"/>
      <c r="EH297" s="155"/>
      <c r="EI297" s="155"/>
      <c r="EJ297" s="155"/>
      <c r="EK297" s="155"/>
      <c r="EL297" s="155"/>
      <c r="EM297" s="155"/>
      <c r="EN297" s="155"/>
      <c r="EO297" s="152"/>
      <c r="EP297" s="151"/>
      <c r="EQ297" s="153"/>
      <c r="ER297" s="153"/>
      <c r="ES297" s="153"/>
      <c r="ET297" s="153"/>
      <c r="EU297" s="152"/>
      <c r="EV297" s="152"/>
      <c r="EW297" s="152"/>
      <c r="EX297" s="152"/>
      <c r="EY297" s="151"/>
      <c r="EZ297" s="155"/>
      <c r="FA297" s="155"/>
      <c r="FB297" s="155"/>
      <c r="FC297" s="204"/>
      <c r="FD297" s="204"/>
      <c r="FE297" s="204"/>
      <c r="FF297" s="204"/>
      <c r="FG297" s="204"/>
      <c r="FH297" s="204"/>
    </row>
    <row r="298" spans="1:164" s="202" customFormat="1" ht="14" hidden="1" customHeight="1">
      <c r="A298" s="208" t="str">
        <f t="shared" si="306"/>
        <v>ok</v>
      </c>
      <c r="B298" s="151"/>
      <c r="C298" s="409"/>
      <c r="D298" s="151"/>
      <c r="E298" s="154"/>
      <c r="F298" s="154"/>
      <c r="G298" s="151"/>
      <c r="H298" s="364"/>
      <c r="I298" s="430" t="s">
        <v>2239</v>
      </c>
      <c r="J298" s="171" t="s">
        <v>640</v>
      </c>
      <c r="K298" s="247" t="s">
        <v>2173</v>
      </c>
      <c r="L298" s="431" t="s">
        <v>642</v>
      </c>
      <c r="M298" s="163" t="s">
        <v>345</v>
      </c>
      <c r="N298" s="177"/>
      <c r="O298" s="229"/>
      <c r="P298" s="416"/>
      <c r="Q298" s="155"/>
      <c r="R298" s="155"/>
      <c r="S298" s="161"/>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209"/>
      <c r="CT298" s="209"/>
      <c r="CU298" s="375"/>
      <c r="CV298" s="156"/>
      <c r="CW298" s="155"/>
      <c r="CX298" s="155"/>
      <c r="CY298" s="155"/>
      <c r="CZ298" s="157"/>
      <c r="DA298" s="152"/>
      <c r="DB298" s="152"/>
      <c r="DC298" s="153"/>
      <c r="DD298" s="798" t="s">
        <v>2457</v>
      </c>
      <c r="DE298" s="798" t="s">
        <v>2458</v>
      </c>
      <c r="DF298" s="799" t="s">
        <v>2443</v>
      </c>
      <c r="DG298" s="175"/>
      <c r="DH298" s="202" t="s">
        <v>477</v>
      </c>
      <c r="DI298" s="158">
        <v>45985</v>
      </c>
      <c r="DJ298" s="429">
        <v>1</v>
      </c>
      <c r="DK298" s="1006" t="s">
        <v>477</v>
      </c>
      <c r="DL298" s="240">
        <v>1250000</v>
      </c>
      <c r="DM298" s="189">
        <f t="shared" si="304"/>
        <v>1350000</v>
      </c>
      <c r="DN298" s="446">
        <v>0.08</v>
      </c>
      <c r="DO298" s="281">
        <f t="shared" si="305"/>
        <v>1250000</v>
      </c>
      <c r="DP298" s="159">
        <v>46030</v>
      </c>
      <c r="DQ298" s="152"/>
      <c r="DR298" s="152"/>
      <c r="DS298" s="155"/>
      <c r="DT298" s="155"/>
      <c r="DU298" s="155"/>
      <c r="DV298" s="155"/>
      <c r="DW298" s="155"/>
      <c r="DX298" s="155"/>
      <c r="DY298" s="155"/>
      <c r="DZ298" s="155"/>
      <c r="EA298" s="155"/>
      <c r="EB298" s="155"/>
      <c r="EC298" s="155"/>
      <c r="ED298" s="155"/>
      <c r="EE298" s="155"/>
      <c r="EF298" s="155"/>
      <c r="EG298" s="155"/>
      <c r="EH298" s="155"/>
      <c r="EI298" s="155"/>
      <c r="EJ298" s="155"/>
      <c r="EK298" s="155"/>
      <c r="EL298" s="155"/>
      <c r="EM298" s="155"/>
      <c r="EN298" s="155"/>
      <c r="EO298" s="152"/>
      <c r="EP298" s="151"/>
      <c r="EQ298" s="153"/>
      <c r="ER298" s="153"/>
      <c r="ES298" s="153"/>
      <c r="ET298" s="153"/>
      <c r="EU298" s="152"/>
      <c r="EV298" s="152"/>
      <c r="EW298" s="152"/>
      <c r="EX298" s="152"/>
      <c r="EY298" s="151"/>
      <c r="EZ298" s="155"/>
      <c r="FA298" s="155"/>
      <c r="FB298" s="155"/>
      <c r="FC298" s="204"/>
      <c r="FD298" s="204"/>
      <c r="FE298" s="204"/>
      <c r="FF298" s="204"/>
      <c r="FG298" s="204"/>
      <c r="FH298" s="204"/>
    </row>
    <row r="299" spans="1:164" s="202" customFormat="1" ht="14" hidden="1" customHeight="1">
      <c r="A299" s="208" t="str">
        <f t="shared" si="306"/>
        <v>ok</v>
      </c>
      <c r="B299" s="151"/>
      <c r="C299" s="409"/>
      <c r="D299" s="151"/>
      <c r="E299" s="154"/>
      <c r="F299" s="154"/>
      <c r="G299" s="151"/>
      <c r="H299" s="364"/>
      <c r="I299" s="430" t="s">
        <v>2239</v>
      </c>
      <c r="J299" s="171" t="s">
        <v>640</v>
      </c>
      <c r="K299" s="247" t="s">
        <v>2173</v>
      </c>
      <c r="L299" s="431" t="s">
        <v>642</v>
      </c>
      <c r="M299" s="163" t="s">
        <v>345</v>
      </c>
      <c r="N299" s="177"/>
      <c r="O299" s="229"/>
      <c r="P299" s="416"/>
      <c r="Q299" s="155"/>
      <c r="R299" s="155"/>
      <c r="S299" s="161"/>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209"/>
      <c r="CT299" s="209"/>
      <c r="CU299" s="375"/>
      <c r="CV299" s="156"/>
      <c r="CW299" s="155"/>
      <c r="CX299" s="155"/>
      <c r="CY299" s="155"/>
      <c r="CZ299" s="157"/>
      <c r="DA299" s="152"/>
      <c r="DB299" s="152"/>
      <c r="DC299" s="153"/>
      <c r="DD299" s="798" t="s">
        <v>2457</v>
      </c>
      <c r="DE299" s="798" t="s">
        <v>2458</v>
      </c>
      <c r="DF299" s="799" t="s">
        <v>2444</v>
      </c>
      <c r="DG299" s="175"/>
      <c r="DH299" s="202" t="s">
        <v>477</v>
      </c>
      <c r="DI299" s="158">
        <v>45985</v>
      </c>
      <c r="DJ299" s="429">
        <v>2</v>
      </c>
      <c r="DK299" s="1006" t="s">
        <v>477</v>
      </c>
      <c r="DL299" s="240">
        <v>755000</v>
      </c>
      <c r="DM299" s="189">
        <f t="shared" ref="DM299:DM311" si="307">DL299*DJ299*(1+DN299)</f>
        <v>1630800</v>
      </c>
      <c r="DN299" s="446">
        <v>0.08</v>
      </c>
      <c r="DO299" s="281">
        <f t="shared" ref="DO299:DO311" si="308">DJ299*DL299</f>
        <v>1510000</v>
      </c>
      <c r="DP299" s="159">
        <v>46030</v>
      </c>
      <c r="DQ299" s="152"/>
      <c r="DR299" s="152"/>
      <c r="DS299" s="155"/>
      <c r="DT299" s="155"/>
      <c r="DU299" s="155"/>
      <c r="DV299" s="155"/>
      <c r="DW299" s="155"/>
      <c r="DX299" s="155"/>
      <c r="DY299" s="155"/>
      <c r="DZ299" s="155"/>
      <c r="EA299" s="155"/>
      <c r="EB299" s="155"/>
      <c r="EC299" s="155"/>
      <c r="ED299" s="155"/>
      <c r="EE299" s="155"/>
      <c r="EF299" s="155"/>
      <c r="EG299" s="155"/>
      <c r="EH299" s="155"/>
      <c r="EI299" s="155"/>
      <c r="EJ299" s="155"/>
      <c r="EK299" s="155"/>
      <c r="EL299" s="155"/>
      <c r="EM299" s="155"/>
      <c r="EN299" s="155"/>
      <c r="EO299" s="152"/>
      <c r="EP299" s="151"/>
      <c r="EQ299" s="153"/>
      <c r="ER299" s="153"/>
      <c r="ES299" s="153"/>
      <c r="ET299" s="153"/>
      <c r="EU299" s="152"/>
      <c r="EV299" s="152"/>
      <c r="EW299" s="152"/>
      <c r="EX299" s="152"/>
      <c r="EY299" s="151"/>
      <c r="EZ299" s="155"/>
      <c r="FA299" s="155"/>
      <c r="FB299" s="155"/>
      <c r="FC299" s="204"/>
      <c r="FD299" s="204"/>
      <c r="FE299" s="204"/>
      <c r="FF299" s="204"/>
      <c r="FG299" s="204"/>
      <c r="FH299" s="204"/>
    </row>
    <row r="300" spans="1:164" s="202" customFormat="1" ht="14" hidden="1" customHeight="1">
      <c r="A300" s="208" t="str">
        <f t="shared" si="306"/>
        <v>ok</v>
      </c>
      <c r="B300" s="151"/>
      <c r="C300" s="409"/>
      <c r="D300" s="151"/>
      <c r="E300" s="154"/>
      <c r="F300" s="154"/>
      <c r="G300" s="151"/>
      <c r="H300" s="364"/>
      <c r="I300" s="430" t="s">
        <v>2239</v>
      </c>
      <c r="J300" s="171" t="s">
        <v>640</v>
      </c>
      <c r="K300" s="247" t="s">
        <v>2173</v>
      </c>
      <c r="L300" s="431" t="s">
        <v>642</v>
      </c>
      <c r="M300" s="163" t="s">
        <v>345</v>
      </c>
      <c r="N300" s="177"/>
      <c r="O300" s="229"/>
      <c r="P300" s="416"/>
      <c r="Q300" s="155"/>
      <c r="R300" s="155"/>
      <c r="S300" s="161"/>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209"/>
      <c r="CT300" s="209"/>
      <c r="CU300" s="375"/>
      <c r="CV300" s="156"/>
      <c r="CW300" s="155"/>
      <c r="CX300" s="155"/>
      <c r="CY300" s="155"/>
      <c r="CZ300" s="157"/>
      <c r="DA300" s="152"/>
      <c r="DB300" s="152"/>
      <c r="DC300" s="153"/>
      <c r="DD300" s="798" t="s">
        <v>2457</v>
      </c>
      <c r="DE300" s="798" t="s">
        <v>2458</v>
      </c>
      <c r="DF300" s="799" t="s">
        <v>2445</v>
      </c>
      <c r="DG300" s="175"/>
      <c r="DH300" s="202" t="s">
        <v>477</v>
      </c>
      <c r="DI300" s="158">
        <v>45985</v>
      </c>
      <c r="DJ300" s="429">
        <v>1</v>
      </c>
      <c r="DK300" s="1006" t="s">
        <v>477</v>
      </c>
      <c r="DL300" s="240">
        <v>1255000</v>
      </c>
      <c r="DM300" s="189">
        <f t="shared" si="307"/>
        <v>1355400</v>
      </c>
      <c r="DN300" s="446">
        <v>0.08</v>
      </c>
      <c r="DO300" s="281">
        <f t="shared" si="308"/>
        <v>1255000</v>
      </c>
      <c r="DP300" s="159">
        <v>46030</v>
      </c>
      <c r="DQ300" s="152"/>
      <c r="DR300" s="152"/>
      <c r="DS300" s="155"/>
      <c r="DT300" s="155"/>
      <c r="DU300" s="155"/>
      <c r="DV300" s="155"/>
      <c r="DW300" s="155"/>
      <c r="DX300" s="155"/>
      <c r="DY300" s="155"/>
      <c r="DZ300" s="155"/>
      <c r="EA300" s="155"/>
      <c r="EB300" s="155"/>
      <c r="EC300" s="155"/>
      <c r="ED300" s="155"/>
      <c r="EE300" s="155"/>
      <c r="EF300" s="155"/>
      <c r="EG300" s="155"/>
      <c r="EH300" s="155"/>
      <c r="EI300" s="155"/>
      <c r="EJ300" s="155"/>
      <c r="EK300" s="155"/>
      <c r="EL300" s="155"/>
      <c r="EM300" s="155"/>
      <c r="EN300" s="155"/>
      <c r="EO300" s="152"/>
      <c r="EP300" s="151"/>
      <c r="EQ300" s="153"/>
      <c r="ER300" s="153"/>
      <c r="ES300" s="153"/>
      <c r="ET300" s="153"/>
      <c r="EU300" s="152"/>
      <c r="EV300" s="152"/>
      <c r="EW300" s="152"/>
      <c r="EX300" s="152"/>
      <c r="EY300" s="151"/>
      <c r="EZ300" s="155"/>
      <c r="FA300" s="155"/>
      <c r="FB300" s="155"/>
      <c r="FC300" s="204"/>
      <c r="FD300" s="204"/>
      <c r="FE300" s="204"/>
      <c r="FF300" s="204"/>
      <c r="FG300" s="204"/>
      <c r="FH300" s="204"/>
    </row>
    <row r="301" spans="1:164" s="202" customFormat="1" ht="14" hidden="1" customHeight="1">
      <c r="A301" s="208" t="str">
        <f t="shared" si="306"/>
        <v>ok</v>
      </c>
      <c r="B301" s="151"/>
      <c r="C301" s="409"/>
      <c r="D301" s="151"/>
      <c r="E301" s="154"/>
      <c r="F301" s="154"/>
      <c r="G301" s="151"/>
      <c r="H301" s="364"/>
      <c r="I301" s="430" t="s">
        <v>2239</v>
      </c>
      <c r="J301" s="171" t="s">
        <v>640</v>
      </c>
      <c r="K301" s="247" t="s">
        <v>2173</v>
      </c>
      <c r="L301" s="431" t="s">
        <v>642</v>
      </c>
      <c r="M301" s="163" t="s">
        <v>345</v>
      </c>
      <c r="N301" s="177"/>
      <c r="O301" s="229"/>
      <c r="P301" s="416"/>
      <c r="Q301" s="155"/>
      <c r="R301" s="155"/>
      <c r="S301" s="161"/>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209"/>
      <c r="CT301" s="209"/>
      <c r="CU301" s="375"/>
      <c r="CV301" s="156"/>
      <c r="CW301" s="155"/>
      <c r="CX301" s="155"/>
      <c r="CY301" s="155"/>
      <c r="CZ301" s="157"/>
      <c r="DA301" s="152"/>
      <c r="DB301" s="152"/>
      <c r="DC301" s="153"/>
      <c r="DD301" s="798" t="s">
        <v>2457</v>
      </c>
      <c r="DE301" s="798" t="s">
        <v>2458</v>
      </c>
      <c r="DF301" s="799" t="s">
        <v>2446</v>
      </c>
      <c r="DG301" s="175"/>
      <c r="DH301" s="202" t="s">
        <v>477</v>
      </c>
      <c r="DI301" s="158">
        <v>45985</v>
      </c>
      <c r="DJ301" s="429">
        <v>1</v>
      </c>
      <c r="DK301" s="1006" t="s">
        <v>477</v>
      </c>
      <c r="DL301" s="240">
        <v>1255000</v>
      </c>
      <c r="DM301" s="189">
        <f t="shared" si="307"/>
        <v>1355400</v>
      </c>
      <c r="DN301" s="446">
        <v>0.08</v>
      </c>
      <c r="DO301" s="281">
        <f t="shared" si="308"/>
        <v>1255000</v>
      </c>
      <c r="DP301" s="159">
        <v>46030</v>
      </c>
      <c r="DQ301" s="152"/>
      <c r="DR301" s="152"/>
      <c r="DS301" s="155"/>
      <c r="DT301" s="155"/>
      <c r="DU301" s="155"/>
      <c r="DV301" s="155"/>
      <c r="DW301" s="155"/>
      <c r="DX301" s="155"/>
      <c r="DY301" s="155"/>
      <c r="DZ301" s="155"/>
      <c r="EA301" s="155"/>
      <c r="EB301" s="155"/>
      <c r="EC301" s="155"/>
      <c r="ED301" s="155"/>
      <c r="EE301" s="155"/>
      <c r="EF301" s="155"/>
      <c r="EG301" s="155"/>
      <c r="EH301" s="155"/>
      <c r="EI301" s="155"/>
      <c r="EJ301" s="155"/>
      <c r="EK301" s="155"/>
      <c r="EL301" s="155"/>
      <c r="EM301" s="155"/>
      <c r="EN301" s="155"/>
      <c r="EO301" s="152"/>
      <c r="EP301" s="151"/>
      <c r="EQ301" s="153"/>
      <c r="ER301" s="153"/>
      <c r="ES301" s="153"/>
      <c r="ET301" s="153"/>
      <c r="EU301" s="152"/>
      <c r="EV301" s="152"/>
      <c r="EW301" s="152"/>
      <c r="EX301" s="152"/>
      <c r="EY301" s="151"/>
      <c r="EZ301" s="155"/>
      <c r="FA301" s="155"/>
      <c r="FB301" s="155"/>
      <c r="FC301" s="204"/>
      <c r="FD301" s="204"/>
      <c r="FE301" s="204"/>
      <c r="FF301" s="204"/>
      <c r="FG301" s="204"/>
      <c r="FH301" s="204"/>
    </row>
    <row r="302" spans="1:164" s="202" customFormat="1" ht="14" hidden="1" customHeight="1">
      <c r="A302" s="208" t="str">
        <f t="shared" si="306"/>
        <v>ok</v>
      </c>
      <c r="B302" s="151"/>
      <c r="C302" s="409"/>
      <c r="D302" s="151"/>
      <c r="E302" s="154"/>
      <c r="F302" s="154"/>
      <c r="G302" s="151"/>
      <c r="H302" s="364"/>
      <c r="I302" s="430" t="s">
        <v>2239</v>
      </c>
      <c r="J302" s="171" t="s">
        <v>640</v>
      </c>
      <c r="K302" s="247" t="s">
        <v>2173</v>
      </c>
      <c r="L302" s="431" t="s">
        <v>642</v>
      </c>
      <c r="M302" s="163" t="s">
        <v>345</v>
      </c>
      <c r="N302" s="177"/>
      <c r="O302" s="229"/>
      <c r="P302" s="416"/>
      <c r="Q302" s="155"/>
      <c r="R302" s="155"/>
      <c r="S302" s="161"/>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209"/>
      <c r="CT302" s="209"/>
      <c r="CU302" s="375"/>
      <c r="CV302" s="156"/>
      <c r="CW302" s="155"/>
      <c r="CX302" s="155"/>
      <c r="CY302" s="155"/>
      <c r="CZ302" s="157"/>
      <c r="DA302" s="152"/>
      <c r="DB302" s="152"/>
      <c r="DC302" s="153"/>
      <c r="DD302" s="798" t="s">
        <v>2457</v>
      </c>
      <c r="DE302" s="798" t="s">
        <v>2458</v>
      </c>
      <c r="DF302" s="799" t="s">
        <v>2447</v>
      </c>
      <c r="DG302" s="175"/>
      <c r="DH302" s="202" t="s">
        <v>477</v>
      </c>
      <c r="DI302" s="158">
        <v>45985</v>
      </c>
      <c r="DJ302" s="429">
        <v>3</v>
      </c>
      <c r="DK302" s="1006" t="s">
        <v>477</v>
      </c>
      <c r="DL302" s="240">
        <v>1750000</v>
      </c>
      <c r="DM302" s="189">
        <f t="shared" si="307"/>
        <v>5670000</v>
      </c>
      <c r="DN302" s="446">
        <v>0.08</v>
      </c>
      <c r="DO302" s="281">
        <f t="shared" si="308"/>
        <v>5250000</v>
      </c>
      <c r="DP302" s="159">
        <v>46030</v>
      </c>
      <c r="DQ302" s="152"/>
      <c r="DR302" s="152"/>
      <c r="DS302" s="155"/>
      <c r="DT302" s="155"/>
      <c r="DU302" s="155"/>
      <c r="DV302" s="155"/>
      <c r="DW302" s="155"/>
      <c r="DX302" s="155"/>
      <c r="DY302" s="155"/>
      <c r="DZ302" s="155"/>
      <c r="EA302" s="155"/>
      <c r="EB302" s="155"/>
      <c r="EC302" s="155"/>
      <c r="ED302" s="155"/>
      <c r="EE302" s="155"/>
      <c r="EF302" s="155"/>
      <c r="EG302" s="155"/>
      <c r="EH302" s="155"/>
      <c r="EI302" s="155"/>
      <c r="EJ302" s="155"/>
      <c r="EK302" s="155"/>
      <c r="EL302" s="155"/>
      <c r="EM302" s="155"/>
      <c r="EN302" s="155"/>
      <c r="EO302" s="152"/>
      <c r="EP302" s="151"/>
      <c r="EQ302" s="153"/>
      <c r="ER302" s="153"/>
      <c r="ES302" s="153"/>
      <c r="ET302" s="153"/>
      <c r="EU302" s="152"/>
      <c r="EV302" s="152"/>
      <c r="EW302" s="152"/>
      <c r="EX302" s="152"/>
      <c r="EY302" s="151"/>
      <c r="EZ302" s="155"/>
      <c r="FA302" s="155"/>
      <c r="FB302" s="155"/>
      <c r="FC302" s="204"/>
      <c r="FD302" s="204"/>
      <c r="FE302" s="204"/>
      <c r="FF302" s="204"/>
      <c r="FG302" s="204"/>
      <c r="FH302" s="204"/>
    </row>
    <row r="303" spans="1:164" s="202" customFormat="1" ht="14" hidden="1" customHeight="1">
      <c r="A303" s="208" t="str">
        <f t="shared" si="306"/>
        <v>ok</v>
      </c>
      <c r="B303" s="151"/>
      <c r="C303" s="409"/>
      <c r="D303" s="151"/>
      <c r="E303" s="154"/>
      <c r="F303" s="154"/>
      <c r="G303" s="151"/>
      <c r="H303" s="364"/>
      <c r="I303" s="430" t="s">
        <v>2239</v>
      </c>
      <c r="J303" s="171" t="s">
        <v>640</v>
      </c>
      <c r="K303" s="247" t="s">
        <v>2173</v>
      </c>
      <c r="L303" s="431" t="s">
        <v>642</v>
      </c>
      <c r="M303" s="163" t="s">
        <v>345</v>
      </c>
      <c r="N303" s="177"/>
      <c r="O303" s="229"/>
      <c r="P303" s="416"/>
      <c r="Q303" s="155"/>
      <c r="R303" s="155"/>
      <c r="S303" s="161"/>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209"/>
      <c r="CT303" s="209"/>
      <c r="CU303" s="375"/>
      <c r="CV303" s="156"/>
      <c r="CW303" s="155"/>
      <c r="CX303" s="155"/>
      <c r="CY303" s="155"/>
      <c r="CZ303" s="157"/>
      <c r="DA303" s="152"/>
      <c r="DB303" s="152"/>
      <c r="DC303" s="153"/>
      <c r="DD303" s="798" t="s">
        <v>2457</v>
      </c>
      <c r="DE303" s="798" t="s">
        <v>2458</v>
      </c>
      <c r="DF303" s="799" t="s">
        <v>2448</v>
      </c>
      <c r="DG303" s="175"/>
      <c r="DH303" s="202" t="s">
        <v>477</v>
      </c>
      <c r="DI303" s="158">
        <v>45985</v>
      </c>
      <c r="DJ303" s="429">
        <v>2</v>
      </c>
      <c r="DK303" s="1006" t="s">
        <v>477</v>
      </c>
      <c r="DL303" s="240">
        <v>1750000</v>
      </c>
      <c r="DM303" s="189">
        <f t="shared" si="307"/>
        <v>3780000.0000000005</v>
      </c>
      <c r="DN303" s="446">
        <v>0.08</v>
      </c>
      <c r="DO303" s="281">
        <f t="shared" si="308"/>
        <v>3500000</v>
      </c>
      <c r="DP303" s="159">
        <v>46030</v>
      </c>
      <c r="DQ303" s="152"/>
      <c r="DR303" s="152"/>
      <c r="DS303" s="155"/>
      <c r="DT303" s="155"/>
      <c r="DU303" s="155"/>
      <c r="DV303" s="155"/>
      <c r="DW303" s="155"/>
      <c r="DX303" s="155"/>
      <c r="DY303" s="155"/>
      <c r="DZ303" s="155"/>
      <c r="EA303" s="155"/>
      <c r="EB303" s="155"/>
      <c r="EC303" s="155"/>
      <c r="ED303" s="155"/>
      <c r="EE303" s="155"/>
      <c r="EF303" s="155"/>
      <c r="EG303" s="155"/>
      <c r="EH303" s="155"/>
      <c r="EI303" s="155"/>
      <c r="EJ303" s="155"/>
      <c r="EK303" s="155"/>
      <c r="EL303" s="155"/>
      <c r="EM303" s="155"/>
      <c r="EN303" s="155"/>
      <c r="EO303" s="152"/>
      <c r="EP303" s="151"/>
      <c r="EQ303" s="153"/>
      <c r="ER303" s="153"/>
      <c r="ES303" s="153"/>
      <c r="ET303" s="153"/>
      <c r="EU303" s="152"/>
      <c r="EV303" s="152"/>
      <c r="EW303" s="152"/>
      <c r="EX303" s="152"/>
      <c r="EY303" s="151"/>
      <c r="EZ303" s="155"/>
      <c r="FA303" s="155"/>
      <c r="FB303" s="155"/>
      <c r="FC303" s="204"/>
      <c r="FD303" s="204"/>
      <c r="FE303" s="204"/>
      <c r="FF303" s="204"/>
      <c r="FG303" s="204"/>
      <c r="FH303" s="204"/>
    </row>
    <row r="304" spans="1:164" s="202" customFormat="1" ht="14" hidden="1" customHeight="1">
      <c r="A304" s="208" t="str">
        <f t="shared" si="306"/>
        <v>ok</v>
      </c>
      <c r="B304" s="151"/>
      <c r="C304" s="409"/>
      <c r="D304" s="151"/>
      <c r="E304" s="154"/>
      <c r="F304" s="154"/>
      <c r="G304" s="151"/>
      <c r="H304" s="364"/>
      <c r="I304" s="430" t="s">
        <v>2239</v>
      </c>
      <c r="J304" s="171" t="s">
        <v>640</v>
      </c>
      <c r="K304" s="247" t="s">
        <v>2173</v>
      </c>
      <c r="L304" s="431" t="s">
        <v>642</v>
      </c>
      <c r="M304" s="163" t="s">
        <v>345</v>
      </c>
      <c r="N304" s="177"/>
      <c r="O304" s="229"/>
      <c r="P304" s="416"/>
      <c r="Q304" s="155"/>
      <c r="R304" s="155"/>
      <c r="S304" s="161"/>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209"/>
      <c r="CT304" s="209"/>
      <c r="CU304" s="375"/>
      <c r="CV304" s="156"/>
      <c r="CW304" s="155"/>
      <c r="CX304" s="155"/>
      <c r="CY304" s="155"/>
      <c r="CZ304" s="157"/>
      <c r="DA304" s="152"/>
      <c r="DB304" s="152"/>
      <c r="DC304" s="153"/>
      <c r="DD304" s="798" t="s">
        <v>2457</v>
      </c>
      <c r="DE304" s="798" t="s">
        <v>2458</v>
      </c>
      <c r="DF304" s="799" t="s">
        <v>2449</v>
      </c>
      <c r="DG304" s="175"/>
      <c r="DH304" s="202" t="s">
        <v>477</v>
      </c>
      <c r="DI304" s="158">
        <v>45985</v>
      </c>
      <c r="DJ304" s="429">
        <v>1</v>
      </c>
      <c r="DK304" s="1006" t="s">
        <v>477</v>
      </c>
      <c r="DL304" s="240">
        <v>5550000</v>
      </c>
      <c r="DM304" s="189">
        <f t="shared" si="307"/>
        <v>5994000</v>
      </c>
      <c r="DN304" s="446">
        <v>0.08</v>
      </c>
      <c r="DO304" s="281">
        <f t="shared" si="308"/>
        <v>5550000</v>
      </c>
      <c r="DP304" s="159">
        <v>46030</v>
      </c>
      <c r="DQ304" s="152"/>
      <c r="DR304" s="152"/>
      <c r="DS304" s="155"/>
      <c r="DT304" s="155"/>
      <c r="DU304" s="155"/>
      <c r="DV304" s="155"/>
      <c r="DW304" s="155"/>
      <c r="DX304" s="155"/>
      <c r="DY304" s="155"/>
      <c r="DZ304" s="155"/>
      <c r="EA304" s="155"/>
      <c r="EB304" s="155"/>
      <c r="EC304" s="155"/>
      <c r="ED304" s="155"/>
      <c r="EE304" s="155"/>
      <c r="EF304" s="155"/>
      <c r="EG304" s="155"/>
      <c r="EH304" s="155"/>
      <c r="EI304" s="155"/>
      <c r="EJ304" s="155"/>
      <c r="EK304" s="155"/>
      <c r="EL304" s="155"/>
      <c r="EM304" s="155"/>
      <c r="EN304" s="155"/>
      <c r="EO304" s="152"/>
      <c r="EP304" s="151"/>
      <c r="EQ304" s="153"/>
      <c r="ER304" s="153"/>
      <c r="ES304" s="153"/>
      <c r="ET304" s="153"/>
      <c r="EU304" s="152"/>
      <c r="EV304" s="152"/>
      <c r="EW304" s="152"/>
      <c r="EX304" s="152"/>
      <c r="EY304" s="151"/>
      <c r="EZ304" s="155"/>
      <c r="FA304" s="155"/>
      <c r="FB304" s="155"/>
      <c r="FC304" s="204"/>
      <c r="FD304" s="204"/>
      <c r="FE304" s="204"/>
      <c r="FF304" s="204"/>
      <c r="FG304" s="204"/>
      <c r="FH304" s="204"/>
    </row>
    <row r="305" spans="1:164" s="202" customFormat="1" ht="14" hidden="1" customHeight="1">
      <c r="A305" s="208" t="str">
        <f t="shared" si="306"/>
        <v>ok</v>
      </c>
      <c r="B305" s="151"/>
      <c r="C305" s="409"/>
      <c r="D305" s="151"/>
      <c r="E305" s="154"/>
      <c r="F305" s="154"/>
      <c r="G305" s="151"/>
      <c r="H305" s="364"/>
      <c r="I305" s="430" t="s">
        <v>2239</v>
      </c>
      <c r="J305" s="171" t="s">
        <v>640</v>
      </c>
      <c r="K305" s="247" t="s">
        <v>2173</v>
      </c>
      <c r="L305" s="431" t="s">
        <v>642</v>
      </c>
      <c r="M305" s="163" t="s">
        <v>345</v>
      </c>
      <c r="N305" s="177"/>
      <c r="O305" s="229"/>
      <c r="P305" s="416"/>
      <c r="Q305" s="155"/>
      <c r="R305" s="155"/>
      <c r="S305" s="161"/>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209"/>
      <c r="CT305" s="209"/>
      <c r="CU305" s="375"/>
      <c r="CV305" s="156"/>
      <c r="CW305" s="155"/>
      <c r="CX305" s="155"/>
      <c r="CY305" s="155"/>
      <c r="CZ305" s="157"/>
      <c r="DA305" s="152"/>
      <c r="DB305" s="152"/>
      <c r="DC305" s="153"/>
      <c r="DD305" s="798" t="s">
        <v>2457</v>
      </c>
      <c r="DE305" s="798" t="s">
        <v>2458</v>
      </c>
      <c r="DF305" s="799" t="s">
        <v>2450</v>
      </c>
      <c r="DG305" s="175"/>
      <c r="DH305" s="202" t="s">
        <v>477</v>
      </c>
      <c r="DI305" s="158">
        <v>45985</v>
      </c>
      <c r="DJ305" s="429">
        <v>1</v>
      </c>
      <c r="DK305" s="1006" t="s">
        <v>477</v>
      </c>
      <c r="DL305" s="240">
        <v>615000</v>
      </c>
      <c r="DM305" s="189">
        <f t="shared" si="307"/>
        <v>664200</v>
      </c>
      <c r="DN305" s="446">
        <v>0.08</v>
      </c>
      <c r="DO305" s="281">
        <f t="shared" si="308"/>
        <v>615000</v>
      </c>
      <c r="DP305" s="159">
        <v>46030</v>
      </c>
      <c r="DQ305" s="152"/>
      <c r="DR305" s="152"/>
      <c r="DS305" s="155"/>
      <c r="DT305" s="155"/>
      <c r="DU305" s="155"/>
      <c r="DV305" s="155"/>
      <c r="DW305" s="155"/>
      <c r="DX305" s="155"/>
      <c r="DY305" s="155"/>
      <c r="DZ305" s="155"/>
      <c r="EA305" s="155"/>
      <c r="EB305" s="155"/>
      <c r="EC305" s="155"/>
      <c r="ED305" s="155"/>
      <c r="EE305" s="155"/>
      <c r="EF305" s="155"/>
      <c r="EG305" s="155"/>
      <c r="EH305" s="155"/>
      <c r="EI305" s="155"/>
      <c r="EJ305" s="155"/>
      <c r="EK305" s="155"/>
      <c r="EL305" s="155"/>
      <c r="EM305" s="155"/>
      <c r="EN305" s="155"/>
      <c r="EO305" s="152"/>
      <c r="EP305" s="151"/>
      <c r="EQ305" s="153"/>
      <c r="ER305" s="153"/>
      <c r="ES305" s="153"/>
      <c r="ET305" s="153"/>
      <c r="EU305" s="152"/>
      <c r="EV305" s="152"/>
      <c r="EW305" s="152"/>
      <c r="EX305" s="152"/>
      <c r="EY305" s="151"/>
      <c r="EZ305" s="155"/>
      <c r="FA305" s="155"/>
      <c r="FB305" s="155"/>
      <c r="FC305" s="204"/>
      <c r="FD305" s="204"/>
      <c r="FE305" s="204"/>
      <c r="FF305" s="204"/>
      <c r="FG305" s="204"/>
      <c r="FH305" s="204"/>
    </row>
    <row r="306" spans="1:164" s="202" customFormat="1" ht="14" hidden="1" customHeight="1">
      <c r="A306" s="208" t="str">
        <f t="shared" si="306"/>
        <v>ok</v>
      </c>
      <c r="B306" s="151"/>
      <c r="C306" s="409"/>
      <c r="D306" s="151"/>
      <c r="E306" s="154"/>
      <c r="F306" s="154"/>
      <c r="G306" s="151"/>
      <c r="H306" s="364"/>
      <c r="I306" s="430" t="s">
        <v>2239</v>
      </c>
      <c r="J306" s="171" t="s">
        <v>640</v>
      </c>
      <c r="K306" s="247" t="s">
        <v>2173</v>
      </c>
      <c r="L306" s="431" t="s">
        <v>642</v>
      </c>
      <c r="M306" s="163" t="s">
        <v>345</v>
      </c>
      <c r="N306" s="177"/>
      <c r="O306" s="229"/>
      <c r="P306" s="416"/>
      <c r="Q306" s="155"/>
      <c r="R306" s="155"/>
      <c r="S306" s="161"/>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209"/>
      <c r="CT306" s="209"/>
      <c r="CU306" s="375"/>
      <c r="CV306" s="156"/>
      <c r="CW306" s="155"/>
      <c r="CX306" s="155"/>
      <c r="CY306" s="155"/>
      <c r="CZ306" s="157"/>
      <c r="DA306" s="152"/>
      <c r="DB306" s="152"/>
      <c r="DC306" s="153"/>
      <c r="DD306" s="798" t="s">
        <v>2457</v>
      </c>
      <c r="DE306" s="798" t="s">
        <v>2458</v>
      </c>
      <c r="DF306" s="799" t="s">
        <v>2451</v>
      </c>
      <c r="DG306" s="175"/>
      <c r="DH306" s="202" t="s">
        <v>477</v>
      </c>
      <c r="DI306" s="158">
        <v>45985</v>
      </c>
      <c r="DJ306" s="429">
        <v>1</v>
      </c>
      <c r="DK306" s="1006" t="s">
        <v>477</v>
      </c>
      <c r="DL306" s="240">
        <v>1265000</v>
      </c>
      <c r="DM306" s="189">
        <f t="shared" si="307"/>
        <v>1366200</v>
      </c>
      <c r="DN306" s="446">
        <v>0.08</v>
      </c>
      <c r="DO306" s="281">
        <f t="shared" si="308"/>
        <v>1265000</v>
      </c>
      <c r="DP306" s="159">
        <v>46030</v>
      </c>
      <c r="DQ306" s="152"/>
      <c r="DR306" s="152"/>
      <c r="DS306" s="155"/>
      <c r="DT306" s="155"/>
      <c r="DU306" s="155"/>
      <c r="DV306" s="155"/>
      <c r="DW306" s="155"/>
      <c r="DX306" s="155"/>
      <c r="DY306" s="155"/>
      <c r="DZ306" s="155"/>
      <c r="EA306" s="155"/>
      <c r="EB306" s="155"/>
      <c r="EC306" s="155"/>
      <c r="ED306" s="155"/>
      <c r="EE306" s="155"/>
      <c r="EF306" s="155"/>
      <c r="EG306" s="155"/>
      <c r="EH306" s="155"/>
      <c r="EI306" s="155"/>
      <c r="EJ306" s="155"/>
      <c r="EK306" s="155"/>
      <c r="EL306" s="155"/>
      <c r="EM306" s="155"/>
      <c r="EN306" s="155"/>
      <c r="EO306" s="152"/>
      <c r="EP306" s="151"/>
      <c r="EQ306" s="153"/>
      <c r="ER306" s="153"/>
      <c r="ES306" s="153"/>
      <c r="ET306" s="153"/>
      <c r="EU306" s="152"/>
      <c r="EV306" s="152"/>
      <c r="EW306" s="152"/>
      <c r="EX306" s="152"/>
      <c r="EY306" s="151"/>
      <c r="EZ306" s="155"/>
      <c r="FA306" s="155"/>
      <c r="FB306" s="155"/>
      <c r="FC306" s="204"/>
      <c r="FD306" s="204"/>
      <c r="FE306" s="204"/>
      <c r="FF306" s="204"/>
      <c r="FG306" s="204"/>
      <c r="FH306" s="204"/>
    </row>
    <row r="307" spans="1:164" s="202" customFormat="1" ht="14" hidden="1" customHeight="1">
      <c r="A307" s="208" t="str">
        <f t="shared" si="306"/>
        <v>ok</v>
      </c>
      <c r="B307" s="151"/>
      <c r="C307" s="409"/>
      <c r="D307" s="151"/>
      <c r="E307" s="154"/>
      <c r="F307" s="154"/>
      <c r="G307" s="151"/>
      <c r="H307" s="364"/>
      <c r="I307" s="430" t="s">
        <v>2239</v>
      </c>
      <c r="J307" s="171" t="s">
        <v>640</v>
      </c>
      <c r="K307" s="247" t="s">
        <v>2173</v>
      </c>
      <c r="L307" s="431" t="s">
        <v>642</v>
      </c>
      <c r="M307" s="163" t="s">
        <v>345</v>
      </c>
      <c r="N307" s="177"/>
      <c r="O307" s="229"/>
      <c r="P307" s="416"/>
      <c r="Q307" s="155"/>
      <c r="R307" s="155"/>
      <c r="S307" s="161"/>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209"/>
      <c r="CT307" s="209"/>
      <c r="CU307" s="375"/>
      <c r="CV307" s="156"/>
      <c r="CW307" s="155"/>
      <c r="CX307" s="155"/>
      <c r="CY307" s="155"/>
      <c r="CZ307" s="157"/>
      <c r="DA307" s="152"/>
      <c r="DB307" s="152"/>
      <c r="DC307" s="153"/>
      <c r="DD307" s="798" t="s">
        <v>2457</v>
      </c>
      <c r="DE307" s="798" t="s">
        <v>2458</v>
      </c>
      <c r="DF307" s="799" t="s">
        <v>2452</v>
      </c>
      <c r="DG307" s="175"/>
      <c r="DH307" s="202" t="s">
        <v>477</v>
      </c>
      <c r="DI307" s="158">
        <v>45985</v>
      </c>
      <c r="DJ307" s="429">
        <v>1</v>
      </c>
      <c r="DK307" s="1006" t="s">
        <v>477</v>
      </c>
      <c r="DL307" s="240">
        <v>1650000</v>
      </c>
      <c r="DM307" s="189">
        <f t="shared" si="307"/>
        <v>1782000.0000000002</v>
      </c>
      <c r="DN307" s="446">
        <v>0.08</v>
      </c>
      <c r="DO307" s="281">
        <f t="shared" si="308"/>
        <v>1650000</v>
      </c>
      <c r="DP307" s="159">
        <v>46030</v>
      </c>
      <c r="DQ307" s="152"/>
      <c r="DR307" s="152"/>
      <c r="DS307" s="155"/>
      <c r="DT307" s="155"/>
      <c r="DU307" s="155"/>
      <c r="DV307" s="155"/>
      <c r="DW307" s="155"/>
      <c r="DX307" s="155"/>
      <c r="DY307" s="155"/>
      <c r="DZ307" s="155"/>
      <c r="EA307" s="155"/>
      <c r="EB307" s="155"/>
      <c r="EC307" s="155"/>
      <c r="ED307" s="155"/>
      <c r="EE307" s="155"/>
      <c r="EF307" s="155"/>
      <c r="EG307" s="155"/>
      <c r="EH307" s="155"/>
      <c r="EI307" s="155"/>
      <c r="EJ307" s="155"/>
      <c r="EK307" s="155"/>
      <c r="EL307" s="155"/>
      <c r="EM307" s="155"/>
      <c r="EN307" s="155"/>
      <c r="EO307" s="152"/>
      <c r="EP307" s="151"/>
      <c r="EQ307" s="153"/>
      <c r="ER307" s="153"/>
      <c r="ES307" s="153"/>
      <c r="ET307" s="153"/>
      <c r="EU307" s="152"/>
      <c r="EV307" s="152"/>
      <c r="EW307" s="152"/>
      <c r="EX307" s="152"/>
      <c r="EY307" s="151"/>
      <c r="EZ307" s="155"/>
      <c r="FA307" s="155"/>
      <c r="FB307" s="155"/>
      <c r="FC307" s="204"/>
      <c r="FD307" s="204"/>
      <c r="FE307" s="204"/>
      <c r="FF307" s="204"/>
      <c r="FG307" s="204"/>
      <c r="FH307" s="204"/>
    </row>
    <row r="308" spans="1:164" s="202" customFormat="1" ht="14" hidden="1" customHeight="1">
      <c r="A308" s="208" t="str">
        <f t="shared" si="306"/>
        <v>ok</v>
      </c>
      <c r="B308" s="151"/>
      <c r="C308" s="409"/>
      <c r="D308" s="151"/>
      <c r="E308" s="154"/>
      <c r="F308" s="154"/>
      <c r="G308" s="151"/>
      <c r="H308" s="364"/>
      <c r="I308" s="430" t="s">
        <v>2239</v>
      </c>
      <c r="J308" s="171" t="s">
        <v>640</v>
      </c>
      <c r="K308" s="247" t="s">
        <v>2173</v>
      </c>
      <c r="L308" s="431" t="s">
        <v>642</v>
      </c>
      <c r="M308" s="163" t="s">
        <v>345</v>
      </c>
      <c r="N308" s="177"/>
      <c r="O308" s="229"/>
      <c r="P308" s="416"/>
      <c r="Q308" s="155"/>
      <c r="R308" s="155"/>
      <c r="S308" s="161"/>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209"/>
      <c r="CT308" s="209"/>
      <c r="CU308" s="375"/>
      <c r="CV308" s="156"/>
      <c r="CW308" s="155"/>
      <c r="CX308" s="155"/>
      <c r="CY308" s="155"/>
      <c r="CZ308" s="157"/>
      <c r="DA308" s="152"/>
      <c r="DB308" s="152"/>
      <c r="DC308" s="153"/>
      <c r="DD308" s="798" t="s">
        <v>2457</v>
      </c>
      <c r="DE308" s="798" t="s">
        <v>2458</v>
      </c>
      <c r="DF308" s="799" t="s">
        <v>2453</v>
      </c>
      <c r="DG308" s="175"/>
      <c r="DH308" s="202" t="s">
        <v>477</v>
      </c>
      <c r="DI308" s="158">
        <v>45985</v>
      </c>
      <c r="DJ308" s="429">
        <v>1</v>
      </c>
      <c r="DK308" s="1006" t="s">
        <v>477</v>
      </c>
      <c r="DL308" s="240">
        <v>2250000</v>
      </c>
      <c r="DM308" s="189">
        <f t="shared" si="307"/>
        <v>2430000</v>
      </c>
      <c r="DN308" s="446">
        <v>0.08</v>
      </c>
      <c r="DO308" s="281">
        <f t="shared" si="308"/>
        <v>2250000</v>
      </c>
      <c r="DP308" s="159">
        <v>46030</v>
      </c>
      <c r="DQ308" s="152"/>
      <c r="DR308" s="152"/>
      <c r="DS308" s="155"/>
      <c r="DT308" s="155"/>
      <c r="DU308" s="155"/>
      <c r="DV308" s="155"/>
      <c r="DW308" s="155"/>
      <c r="DX308" s="155"/>
      <c r="DY308" s="155"/>
      <c r="DZ308" s="155"/>
      <c r="EA308" s="155"/>
      <c r="EB308" s="155"/>
      <c r="EC308" s="155"/>
      <c r="ED308" s="155"/>
      <c r="EE308" s="155"/>
      <c r="EF308" s="155"/>
      <c r="EG308" s="155"/>
      <c r="EH308" s="155"/>
      <c r="EI308" s="155"/>
      <c r="EJ308" s="155"/>
      <c r="EK308" s="155"/>
      <c r="EL308" s="155"/>
      <c r="EM308" s="155"/>
      <c r="EN308" s="155"/>
      <c r="EO308" s="152"/>
      <c r="EP308" s="151"/>
      <c r="EQ308" s="153"/>
      <c r="ER308" s="153"/>
      <c r="ES308" s="153"/>
      <c r="ET308" s="153"/>
      <c r="EU308" s="152"/>
      <c r="EV308" s="152"/>
      <c r="EW308" s="152"/>
      <c r="EX308" s="152"/>
      <c r="EY308" s="151"/>
      <c r="EZ308" s="155"/>
      <c r="FA308" s="155"/>
      <c r="FB308" s="155"/>
      <c r="FC308" s="204"/>
      <c r="FD308" s="204"/>
      <c r="FE308" s="204"/>
      <c r="FF308" s="204"/>
      <c r="FG308" s="204"/>
      <c r="FH308" s="204"/>
    </row>
    <row r="309" spans="1:164" s="202" customFormat="1" ht="14" hidden="1" customHeight="1">
      <c r="A309" s="208" t="str">
        <f t="shared" si="306"/>
        <v>ok</v>
      </c>
      <c r="B309" s="151"/>
      <c r="C309" s="409"/>
      <c r="D309" s="151"/>
      <c r="E309" s="154"/>
      <c r="F309" s="154"/>
      <c r="G309" s="151"/>
      <c r="H309" s="364"/>
      <c r="I309" s="430" t="s">
        <v>2239</v>
      </c>
      <c r="J309" s="171" t="s">
        <v>640</v>
      </c>
      <c r="K309" s="247" t="s">
        <v>2173</v>
      </c>
      <c r="L309" s="431" t="s">
        <v>642</v>
      </c>
      <c r="M309" s="163" t="s">
        <v>345</v>
      </c>
      <c r="N309" s="177"/>
      <c r="O309" s="229"/>
      <c r="P309" s="416"/>
      <c r="Q309" s="155"/>
      <c r="R309" s="155"/>
      <c r="S309" s="161"/>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209"/>
      <c r="CT309" s="209"/>
      <c r="CU309" s="375"/>
      <c r="CV309" s="156"/>
      <c r="CW309" s="155"/>
      <c r="CX309" s="155"/>
      <c r="CY309" s="155"/>
      <c r="CZ309" s="157"/>
      <c r="DA309" s="152"/>
      <c r="DB309" s="152"/>
      <c r="DC309" s="153"/>
      <c r="DD309" s="798" t="s">
        <v>2457</v>
      </c>
      <c r="DE309" s="798" t="s">
        <v>2458</v>
      </c>
      <c r="DF309" s="799" t="s">
        <v>2454</v>
      </c>
      <c r="DG309" s="175"/>
      <c r="DH309" s="202" t="s">
        <v>477</v>
      </c>
      <c r="DI309" s="158">
        <v>45985</v>
      </c>
      <c r="DJ309" s="429">
        <v>1</v>
      </c>
      <c r="DK309" s="1006" t="s">
        <v>477</v>
      </c>
      <c r="DL309" s="240">
        <v>1450000</v>
      </c>
      <c r="DM309" s="189">
        <f t="shared" si="307"/>
        <v>1566000</v>
      </c>
      <c r="DN309" s="446">
        <v>0.08</v>
      </c>
      <c r="DO309" s="281">
        <f t="shared" si="308"/>
        <v>1450000</v>
      </c>
      <c r="DP309" s="159">
        <v>46030</v>
      </c>
      <c r="DQ309" s="152"/>
      <c r="DR309" s="152"/>
      <c r="DS309" s="155"/>
      <c r="DT309" s="155"/>
      <c r="DU309" s="155"/>
      <c r="DV309" s="155"/>
      <c r="DW309" s="155"/>
      <c r="DX309" s="155"/>
      <c r="DY309" s="155"/>
      <c r="DZ309" s="155"/>
      <c r="EA309" s="155"/>
      <c r="EB309" s="155"/>
      <c r="EC309" s="155"/>
      <c r="ED309" s="155"/>
      <c r="EE309" s="155"/>
      <c r="EF309" s="155"/>
      <c r="EG309" s="155"/>
      <c r="EH309" s="155"/>
      <c r="EI309" s="155"/>
      <c r="EJ309" s="155"/>
      <c r="EK309" s="155"/>
      <c r="EL309" s="155"/>
      <c r="EM309" s="155"/>
      <c r="EN309" s="155"/>
      <c r="EO309" s="152"/>
      <c r="EP309" s="151"/>
      <c r="EQ309" s="153"/>
      <c r="ER309" s="153"/>
      <c r="ES309" s="153"/>
      <c r="ET309" s="153"/>
      <c r="EU309" s="152"/>
      <c r="EV309" s="152"/>
      <c r="EW309" s="152"/>
      <c r="EX309" s="152"/>
      <c r="EY309" s="151"/>
      <c r="EZ309" s="155"/>
      <c r="FA309" s="155"/>
      <c r="FB309" s="155"/>
      <c r="FC309" s="204"/>
      <c r="FD309" s="204"/>
      <c r="FE309" s="204"/>
      <c r="FF309" s="204"/>
      <c r="FG309" s="204"/>
      <c r="FH309" s="204"/>
    </row>
    <row r="310" spans="1:164" s="202" customFormat="1" ht="14" hidden="1" customHeight="1">
      <c r="A310" s="208" t="str">
        <f t="shared" si="306"/>
        <v>ok</v>
      </c>
      <c r="B310" s="151"/>
      <c r="C310" s="409"/>
      <c r="D310" s="151"/>
      <c r="E310" s="154"/>
      <c r="F310" s="154"/>
      <c r="G310" s="151"/>
      <c r="H310" s="364"/>
      <c r="I310" s="430" t="s">
        <v>2239</v>
      </c>
      <c r="J310" s="171" t="s">
        <v>640</v>
      </c>
      <c r="K310" s="247" t="s">
        <v>2173</v>
      </c>
      <c r="L310" s="431" t="s">
        <v>642</v>
      </c>
      <c r="M310" s="163" t="s">
        <v>345</v>
      </c>
      <c r="N310" s="177"/>
      <c r="O310" s="229"/>
      <c r="P310" s="416"/>
      <c r="Q310" s="155"/>
      <c r="R310" s="155"/>
      <c r="S310" s="161"/>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209"/>
      <c r="CT310" s="209"/>
      <c r="CU310" s="375"/>
      <c r="CV310" s="156"/>
      <c r="CW310" s="155"/>
      <c r="CX310" s="155"/>
      <c r="CY310" s="155"/>
      <c r="CZ310" s="157"/>
      <c r="DA310" s="152"/>
      <c r="DB310" s="152"/>
      <c r="DC310" s="153"/>
      <c r="DD310" s="798" t="s">
        <v>2457</v>
      </c>
      <c r="DE310" s="798" t="s">
        <v>2458</v>
      </c>
      <c r="DF310" s="799" t="s">
        <v>2455</v>
      </c>
      <c r="DG310" s="175"/>
      <c r="DH310" s="202" t="s">
        <v>477</v>
      </c>
      <c r="DI310" s="158">
        <v>45985</v>
      </c>
      <c r="DJ310" s="429">
        <v>1</v>
      </c>
      <c r="DK310" s="1006" t="s">
        <v>477</v>
      </c>
      <c r="DL310" s="240">
        <v>600000</v>
      </c>
      <c r="DM310" s="189">
        <f t="shared" si="307"/>
        <v>648000</v>
      </c>
      <c r="DN310" s="446">
        <v>0.08</v>
      </c>
      <c r="DO310" s="281">
        <f t="shared" si="308"/>
        <v>600000</v>
      </c>
      <c r="DP310" s="159">
        <v>46030</v>
      </c>
      <c r="DQ310" s="152"/>
      <c r="DR310" s="152"/>
      <c r="DS310" s="155"/>
      <c r="DT310" s="155"/>
      <c r="DU310" s="155"/>
      <c r="DV310" s="155"/>
      <c r="DW310" s="155"/>
      <c r="DX310" s="155"/>
      <c r="DY310" s="155"/>
      <c r="DZ310" s="155"/>
      <c r="EA310" s="155"/>
      <c r="EB310" s="155"/>
      <c r="EC310" s="155"/>
      <c r="ED310" s="155"/>
      <c r="EE310" s="155"/>
      <c r="EF310" s="155"/>
      <c r="EG310" s="155"/>
      <c r="EH310" s="155"/>
      <c r="EI310" s="155"/>
      <c r="EJ310" s="155"/>
      <c r="EK310" s="155"/>
      <c r="EL310" s="155"/>
      <c r="EM310" s="155"/>
      <c r="EN310" s="155"/>
      <c r="EO310" s="152"/>
      <c r="EP310" s="151"/>
      <c r="EQ310" s="153"/>
      <c r="ER310" s="153"/>
      <c r="ES310" s="153"/>
      <c r="ET310" s="153"/>
      <c r="EU310" s="152"/>
      <c r="EV310" s="152"/>
      <c r="EW310" s="152"/>
      <c r="EX310" s="152"/>
      <c r="EY310" s="151"/>
      <c r="EZ310" s="155"/>
      <c r="FA310" s="155"/>
      <c r="FB310" s="155"/>
      <c r="FC310" s="204"/>
      <c r="FD310" s="204"/>
      <c r="FE310" s="204"/>
      <c r="FF310" s="204"/>
      <c r="FG310" s="204"/>
      <c r="FH310" s="204"/>
    </row>
    <row r="311" spans="1:164" s="202" customFormat="1" ht="14" hidden="1" customHeight="1">
      <c r="A311" s="208" t="str">
        <f t="shared" si="306"/>
        <v>ok</v>
      </c>
      <c r="B311" s="151"/>
      <c r="C311" s="409"/>
      <c r="D311" s="151"/>
      <c r="E311" s="154"/>
      <c r="F311" s="154"/>
      <c r="G311" s="151"/>
      <c r="H311" s="364"/>
      <c r="I311" s="430" t="s">
        <v>2239</v>
      </c>
      <c r="J311" s="171" t="s">
        <v>640</v>
      </c>
      <c r="K311" s="247" t="s">
        <v>2173</v>
      </c>
      <c r="L311" s="431" t="s">
        <v>642</v>
      </c>
      <c r="M311" s="163" t="s">
        <v>345</v>
      </c>
      <c r="N311" s="177"/>
      <c r="O311" s="229"/>
      <c r="P311" s="416"/>
      <c r="Q311" s="155"/>
      <c r="R311" s="155"/>
      <c r="S311" s="161"/>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209"/>
      <c r="CT311" s="209"/>
      <c r="CU311" s="375"/>
      <c r="CV311" s="156"/>
      <c r="CW311" s="155"/>
      <c r="CX311" s="155"/>
      <c r="CY311" s="155"/>
      <c r="CZ311" s="157"/>
      <c r="DA311" s="152"/>
      <c r="DB311" s="152"/>
      <c r="DC311" s="153"/>
      <c r="DD311" s="798" t="s">
        <v>2457</v>
      </c>
      <c r="DE311" s="798" t="s">
        <v>2458</v>
      </c>
      <c r="DF311" s="799" t="s">
        <v>2456</v>
      </c>
      <c r="DG311" s="175"/>
      <c r="DH311" s="202" t="s">
        <v>477</v>
      </c>
      <c r="DI311" s="158">
        <v>45985</v>
      </c>
      <c r="DJ311" s="429">
        <v>1</v>
      </c>
      <c r="DK311" s="1006" t="s">
        <v>477</v>
      </c>
      <c r="DL311" s="240">
        <v>605000</v>
      </c>
      <c r="DM311" s="189">
        <f t="shared" si="307"/>
        <v>653400</v>
      </c>
      <c r="DN311" s="446">
        <v>0.08</v>
      </c>
      <c r="DO311" s="281">
        <f t="shared" si="308"/>
        <v>605000</v>
      </c>
      <c r="DP311" s="159">
        <v>46030</v>
      </c>
      <c r="DQ311" s="152"/>
      <c r="DR311" s="152"/>
      <c r="DS311" s="155"/>
      <c r="DT311" s="155"/>
      <c r="DU311" s="155"/>
      <c r="DV311" s="155"/>
      <c r="DW311" s="155"/>
      <c r="DX311" s="155"/>
      <c r="DY311" s="155"/>
      <c r="DZ311" s="155"/>
      <c r="EA311" s="155"/>
      <c r="EB311" s="155"/>
      <c r="EC311" s="155"/>
      <c r="ED311" s="155"/>
      <c r="EE311" s="155"/>
      <c r="EF311" s="155"/>
      <c r="EG311" s="155"/>
      <c r="EH311" s="155"/>
      <c r="EI311" s="155"/>
      <c r="EJ311" s="155"/>
      <c r="EK311" s="155"/>
      <c r="EL311" s="155"/>
      <c r="EM311" s="155"/>
      <c r="EN311" s="155"/>
      <c r="EO311" s="152"/>
      <c r="EP311" s="151"/>
      <c r="EQ311" s="153"/>
      <c r="ER311" s="153"/>
      <c r="ES311" s="153"/>
      <c r="ET311" s="153"/>
      <c r="EU311" s="152"/>
      <c r="EV311" s="152"/>
      <c r="EW311" s="152"/>
      <c r="EX311" s="152"/>
      <c r="EY311" s="151"/>
      <c r="EZ311" s="155"/>
      <c r="FA311" s="155"/>
      <c r="FB311" s="155"/>
      <c r="FC311" s="204"/>
      <c r="FD311" s="204"/>
      <c r="FE311" s="204"/>
      <c r="FF311" s="204"/>
      <c r="FG311" s="204"/>
      <c r="FH311" s="204"/>
    </row>
    <row r="312" spans="1:164" s="202" customFormat="1" ht="14" customHeight="1">
      <c r="A312" s="208" t="str">
        <f t="shared" si="306"/>
        <v>Hiện</v>
      </c>
      <c r="B312" s="151" t="str">
        <f t="shared" ref="B312" si="309">EY312</f>
        <v>Thiếu</v>
      </c>
      <c r="C312" s="409">
        <f t="shared" ref="C312" si="310">EW312</f>
        <v>3</v>
      </c>
      <c r="D312" s="154" t="s">
        <v>435</v>
      </c>
      <c r="E312" s="154">
        <f>C312*DL312*1.1</f>
        <v>495000.00000000006</v>
      </c>
      <c r="F312" s="154"/>
      <c r="G312" s="151"/>
      <c r="H312" s="364"/>
      <c r="I312" s="1548" t="s">
        <v>2310</v>
      </c>
      <c r="J312" s="423" t="s">
        <v>700</v>
      </c>
      <c r="K312" s="759" t="s">
        <v>2311</v>
      </c>
      <c r="L312" s="760" t="s">
        <v>535</v>
      </c>
      <c r="M312" s="163" t="s">
        <v>345</v>
      </c>
      <c r="N312" s="177"/>
      <c r="O312" s="701">
        <v>5</v>
      </c>
      <c r="P312" s="416"/>
      <c r="Q312" s="155"/>
      <c r="R312" s="155"/>
      <c r="S312" s="161"/>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v>5</v>
      </c>
      <c r="BX312" s="162"/>
      <c r="BY312" s="162">
        <v>0</v>
      </c>
      <c r="BZ312" s="162">
        <v>0</v>
      </c>
      <c r="CA312" s="162">
        <v>0</v>
      </c>
      <c r="CB312" s="162">
        <v>0</v>
      </c>
      <c r="CC312" s="162">
        <v>0</v>
      </c>
      <c r="CD312" s="162">
        <v>0</v>
      </c>
      <c r="CE312" s="162">
        <f>VLOOKUP(I312,[120]REV33!$A:$O,11,0)</f>
        <v>0</v>
      </c>
      <c r="CF312" s="162">
        <f>VLOOKUP(I312,[120]REV33!$A:$O,12,0)</f>
        <v>0</v>
      </c>
      <c r="CG312" s="162"/>
      <c r="CH312" s="162"/>
      <c r="CI312" s="162"/>
      <c r="CJ312" s="162"/>
      <c r="CK312" s="162"/>
      <c r="CL312" s="162"/>
      <c r="CM312" s="162"/>
      <c r="CN312" s="162"/>
      <c r="CO312" s="162">
        <v>3</v>
      </c>
      <c r="CP312" s="162">
        <v>0</v>
      </c>
      <c r="CQ312" s="162">
        <v>0</v>
      </c>
      <c r="CR312" s="162">
        <v>0</v>
      </c>
      <c r="CS312" s="209">
        <f>Q312+S312+U312+W312+Y312+AA312+AC312+AE312+AG312+AI312+AK312+AM312+AO312+AQ312+AS312+AU312+AW312+AY312+BA312+BC312+BE312+BG312+BI312+BK312+BM312+BO312+BQ312+BS312+BU312+BW312+BY312+CA312+CC312+CE312+CG312+CI312+CK312+CM312+CO312+CQ312</f>
        <v>8</v>
      </c>
      <c r="CT312" s="209">
        <f>R312+T312+V312+X312+Z312+AB312+AD312+AF312+AH312+AJ312+AL312+AN312+AP312+AR312+AT312+AV312+AX312+AZ312+BB312+BD312+BF312+BH312+BJ312+BL312+BN312+BP312+BR312+BT312+BV312+BX312+BZ312+CB312+CD312+CF312+CH312+CJ312+CL312+CN312+CP312+CR312</f>
        <v>0</v>
      </c>
      <c r="CU312" s="375" t="s">
        <v>2598</v>
      </c>
      <c r="CV312" s="156"/>
      <c r="CW312" s="155"/>
      <c r="CX312" s="155"/>
      <c r="CY312" s="155"/>
      <c r="CZ312" s="157"/>
      <c r="DA312" s="152">
        <f t="shared" ref="DA312:DA314" si="311">IF(CS312&gt;CW312,CS312-CW312,"0")</f>
        <v>8</v>
      </c>
      <c r="DB312" s="152" t="str">
        <f t="shared" ref="DB312:DB314" si="312">IF(CT312&gt;CX312,CT312-CX312,"0")</f>
        <v>0</v>
      </c>
      <c r="DC312" s="153"/>
      <c r="DD312" s="158" t="s">
        <v>374</v>
      </c>
      <c r="DE312" s="156" t="s">
        <v>435</v>
      </c>
      <c r="DF312" s="247" t="s">
        <v>2338</v>
      </c>
      <c r="DG312" s="175">
        <v>304</v>
      </c>
      <c r="DH312" s="156" t="s">
        <v>477</v>
      </c>
      <c r="DI312" s="158" t="s">
        <v>374</v>
      </c>
      <c r="DJ312" s="429">
        <v>5</v>
      </c>
      <c r="DK312" s="242" t="s">
        <v>477</v>
      </c>
      <c r="DL312" s="189">
        <v>150000</v>
      </c>
      <c r="DM312" s="181">
        <f t="shared" ref="DM312:DM314" si="313">DL312*DJ312*1.1</f>
        <v>825000.00000000012</v>
      </c>
      <c r="DN312" s="446">
        <f t="shared" ref="DN312:DN314" si="314">(DM312-DO312)/DO312</f>
        <v>0.10000000000000016</v>
      </c>
      <c r="DO312" s="195">
        <f t="shared" ref="DO312:DO314" si="315">DL312*DJ312</f>
        <v>750000</v>
      </c>
      <c r="DP312" s="159">
        <v>45995</v>
      </c>
      <c r="DQ312" s="152">
        <f>SUMIF($I:$I,I312,$DJ:$DJ)</f>
        <v>5</v>
      </c>
      <c r="DR312" s="152">
        <f>SUMIF($I:$I,I312,$DK:$DK)</f>
        <v>0</v>
      </c>
      <c r="DS312" s="155"/>
      <c r="DT312" s="155"/>
      <c r="DU312" s="155"/>
      <c r="DV312" s="155"/>
      <c r="DW312" s="155"/>
      <c r="DX312" s="155"/>
      <c r="DY312" s="155"/>
      <c r="DZ312" s="155"/>
      <c r="EA312" s="155"/>
      <c r="EB312" s="155"/>
      <c r="EC312" s="155"/>
      <c r="ED312" s="155"/>
      <c r="EE312" s="155"/>
      <c r="EF312" s="155"/>
      <c r="EG312" s="155"/>
      <c r="EH312" s="155"/>
      <c r="EI312" s="155"/>
      <c r="EJ312" s="155"/>
      <c r="EK312" s="155"/>
      <c r="EL312" s="155"/>
      <c r="EM312" s="155"/>
      <c r="EN312" s="155"/>
      <c r="EO312" s="152">
        <f>SUMIF($I:$I,I312,$EC:$EC)</f>
        <v>0</v>
      </c>
      <c r="EP312" s="151">
        <f>SUMIF($I:$I,I312,$ED:$ED)</f>
        <v>0</v>
      </c>
      <c r="EQ312" s="153"/>
      <c r="ER312" s="153"/>
      <c r="ES312" s="153"/>
      <c r="ET312" s="153"/>
      <c r="EU312" s="152">
        <f t="shared" ref="EU312:EU314" si="316">DQ312+EO312</f>
        <v>5</v>
      </c>
      <c r="EV312" s="152">
        <f t="shared" ref="EV312:EV314" si="317">DR312+EP312</f>
        <v>0</v>
      </c>
      <c r="EW312" s="152">
        <f t="shared" ref="EW312:EW314" si="318">DA312-EU312</f>
        <v>3</v>
      </c>
      <c r="EX312" s="152">
        <f t="shared" ref="EX312:EX314" si="319">DB312-EV312</f>
        <v>0</v>
      </c>
      <c r="EY312" s="151" t="str">
        <f t="shared" ref="EY312:EY314" si="320">IF(EW312&lt;0,"Thừa",IF(EW312=0,"Đủ","Thiếu"))</f>
        <v>Thiếu</v>
      </c>
      <c r="EZ312" s="155"/>
      <c r="FA312" s="155"/>
      <c r="FB312" s="155"/>
      <c r="FC312" s="204"/>
      <c r="FD312" s="204"/>
      <c r="FE312" s="204"/>
      <c r="FF312" s="204"/>
      <c r="FG312" s="204"/>
      <c r="FH312" s="204"/>
    </row>
    <row r="313" spans="1:164" s="202" customFormat="1" ht="14.5" hidden="1" customHeight="1">
      <c r="A313" s="208" t="str">
        <f t="shared" si="306"/>
        <v>Hiện</v>
      </c>
      <c r="B313" s="151" t="str">
        <f t="shared" ref="B313:B314" si="321">EY313</f>
        <v>Đủ</v>
      </c>
      <c r="C313" s="409">
        <f t="shared" ref="C313:C314" si="322">EW313</f>
        <v>0</v>
      </c>
      <c r="D313" s="151"/>
      <c r="E313" s="154"/>
      <c r="F313" s="154"/>
      <c r="G313" s="151"/>
      <c r="H313" s="364"/>
      <c r="I313" s="430" t="s">
        <v>2553</v>
      </c>
      <c r="J313" s="423" t="s">
        <v>2554</v>
      </c>
      <c r="K313" s="759" t="s">
        <v>2555</v>
      </c>
      <c r="L313" s="760" t="s">
        <v>2556</v>
      </c>
      <c r="M313" s="163" t="s">
        <v>345</v>
      </c>
      <c r="N313" s="177"/>
      <c r="O313" s="229">
        <v>5</v>
      </c>
      <c r="P313" s="416"/>
      <c r="Q313" s="155"/>
      <c r="R313" s="155"/>
      <c r="S313" s="161"/>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229">
        <v>20</v>
      </c>
      <c r="CH313" s="162"/>
      <c r="CI313" s="162"/>
      <c r="CJ313" s="162"/>
      <c r="CK313" s="162"/>
      <c r="CL313" s="162"/>
      <c r="CM313" s="162"/>
      <c r="CN313" s="162"/>
      <c r="CO313" s="162">
        <v>0</v>
      </c>
      <c r="CP313" s="162">
        <v>0</v>
      </c>
      <c r="CQ313" s="162">
        <v>0</v>
      </c>
      <c r="CR313" s="162">
        <v>0</v>
      </c>
      <c r="CS313" s="209">
        <f>Q313+S313+U313+W313+Y313+AA313+AC313+AE313+AG313+AI313+AK313+AM313+AO313+AQ313+AS313+AU313+AW313+AY313+BA313+BC313+BE313+BG313+BI313+BK313+BM313+BO313+BQ313+BS313+BU313+BW313+BY313+CA313+CC313+CE313+CG313+CI313+CK313+CM313+CO313+CQ313</f>
        <v>20</v>
      </c>
      <c r="CT313" s="209">
        <f>R313+T313+V313+X313+Z313+AB313+AD313+AF313+AH313+AJ313+AL313+AN313+AP313+AR313+AT313+AV313+AX313+AZ313+BB313+BD313+BF313+BH313+BJ313+BL313+BN313+BP313+BR313+BT313+BV313+BX313+BZ313+CB313+CD313+CF313+CH313+CJ313+CL313+CN313+CP313+CR313</f>
        <v>0</v>
      </c>
      <c r="CU313" s="375" t="s">
        <v>2560</v>
      </c>
      <c r="CV313" s="156"/>
      <c r="CW313" s="155"/>
      <c r="CX313" s="155"/>
      <c r="CY313" s="155"/>
      <c r="CZ313" s="157"/>
      <c r="DA313" s="152">
        <f t="shared" si="311"/>
        <v>20</v>
      </c>
      <c r="DB313" s="152" t="str">
        <f t="shared" si="312"/>
        <v>0</v>
      </c>
      <c r="DC313" s="153"/>
      <c r="DD313" s="158" t="s">
        <v>2563</v>
      </c>
      <c r="DE313" s="156" t="s">
        <v>2562</v>
      </c>
      <c r="DF313" s="759" t="s">
        <v>2555</v>
      </c>
      <c r="DG313" s="175"/>
      <c r="DH313" s="156" t="s">
        <v>477</v>
      </c>
      <c r="DI313" s="158">
        <v>46008</v>
      </c>
      <c r="DJ313" s="429">
        <v>20</v>
      </c>
      <c r="DK313" s="240" t="s">
        <v>477</v>
      </c>
      <c r="DL313" s="195">
        <v>20000</v>
      </c>
      <c r="DM313" s="181">
        <f t="shared" si="313"/>
        <v>440000.00000000006</v>
      </c>
      <c r="DN313" s="446">
        <f t="shared" si="314"/>
        <v>0.10000000000000014</v>
      </c>
      <c r="DO313" s="195">
        <f t="shared" si="315"/>
        <v>400000</v>
      </c>
      <c r="DP313" s="159">
        <v>46008</v>
      </c>
      <c r="DQ313" s="152">
        <f>SUMIF($I:$I,I313,$DJ:$DJ)</f>
        <v>20</v>
      </c>
      <c r="DR313" s="152">
        <f>SUMIF($I:$I,I313,$DK:$DK)</f>
        <v>0</v>
      </c>
      <c r="DS313" s="155"/>
      <c r="DT313" s="155"/>
      <c r="DU313" s="155"/>
      <c r="DV313" s="155"/>
      <c r="DW313" s="155"/>
      <c r="DX313" s="155"/>
      <c r="DY313" s="155"/>
      <c r="DZ313" s="155"/>
      <c r="EA313" s="155"/>
      <c r="EB313" s="155"/>
      <c r="EC313" s="155"/>
      <c r="ED313" s="155"/>
      <c r="EE313" s="155"/>
      <c r="EF313" s="155"/>
      <c r="EG313" s="155"/>
      <c r="EH313" s="155"/>
      <c r="EI313" s="155"/>
      <c r="EJ313" s="155"/>
      <c r="EK313" s="155"/>
      <c r="EL313" s="155"/>
      <c r="EM313" s="155"/>
      <c r="EN313" s="155"/>
      <c r="EO313" s="152">
        <f>SUMIF($I:$I,I313,$EC:$EC)</f>
        <v>0</v>
      </c>
      <c r="EP313" s="151">
        <f>SUMIF($I:$I,I313,$ED:$ED)</f>
        <v>0</v>
      </c>
      <c r="EQ313" s="153"/>
      <c r="ER313" s="153"/>
      <c r="ES313" s="153"/>
      <c r="ET313" s="153"/>
      <c r="EU313" s="152">
        <f t="shared" si="316"/>
        <v>20</v>
      </c>
      <c r="EV313" s="152">
        <f t="shared" si="317"/>
        <v>0</v>
      </c>
      <c r="EW313" s="152">
        <f t="shared" si="318"/>
        <v>0</v>
      </c>
      <c r="EX313" s="152">
        <f t="shared" si="319"/>
        <v>0</v>
      </c>
      <c r="EY313" s="151" t="str">
        <f t="shared" si="320"/>
        <v>Đủ</v>
      </c>
      <c r="EZ313" s="155"/>
      <c r="FA313" s="155"/>
      <c r="FB313" s="155"/>
      <c r="FC313" s="204"/>
      <c r="FD313" s="204"/>
      <c r="FE313" s="204"/>
      <c r="FF313" s="204"/>
      <c r="FG313" s="204"/>
      <c r="FH313" s="204"/>
    </row>
    <row r="314" spans="1:164" s="202" customFormat="1" ht="14" hidden="1" customHeight="1">
      <c r="A314" s="208" t="str">
        <f t="shared" si="306"/>
        <v>Hiện</v>
      </c>
      <c r="B314" s="151" t="str">
        <f t="shared" si="321"/>
        <v>Đủ</v>
      </c>
      <c r="C314" s="409">
        <f t="shared" si="322"/>
        <v>0</v>
      </c>
      <c r="D314" s="151"/>
      <c r="E314" s="154"/>
      <c r="F314" s="154"/>
      <c r="G314" s="151"/>
      <c r="H314" s="364"/>
      <c r="I314" s="430" t="s">
        <v>2557</v>
      </c>
      <c r="J314" s="423" t="s">
        <v>2554</v>
      </c>
      <c r="K314" s="759" t="s">
        <v>2558</v>
      </c>
      <c r="L314" s="760" t="s">
        <v>2556</v>
      </c>
      <c r="M314" s="163" t="s">
        <v>345</v>
      </c>
      <c r="N314" s="177"/>
      <c r="O314" s="229">
        <v>4</v>
      </c>
      <c r="P314" s="416"/>
      <c r="Q314" s="155"/>
      <c r="R314" s="155"/>
      <c r="S314" s="161"/>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229">
        <v>4</v>
      </c>
      <c r="CH314" s="162"/>
      <c r="CI314" s="162"/>
      <c r="CJ314" s="162"/>
      <c r="CK314" s="162"/>
      <c r="CL314" s="162"/>
      <c r="CM314" s="162"/>
      <c r="CN314" s="162"/>
      <c r="CO314" s="162">
        <v>0</v>
      </c>
      <c r="CP314" s="162">
        <v>0</v>
      </c>
      <c r="CQ314" s="162">
        <v>0</v>
      </c>
      <c r="CR314" s="162">
        <v>0</v>
      </c>
      <c r="CS314" s="209">
        <f>Q314+S314+U314+W314+Y314+AA314+AC314+AE314+AG314+AI314+AK314+AM314+AO314+AQ314+AS314+AU314+AW314+AY314+BA314+BC314+BE314+BG314+BI314+BK314+BM314+BO314+BQ314+BS314+BU314+BW314+BY314+CA314+CC314+CE314+CG314+CI314+CK314+CM314+CO314+CQ314</f>
        <v>4</v>
      </c>
      <c r="CT314" s="209">
        <f>R314+T314+V314+X314+Z314+AB314+AD314+AF314+AH314+AJ314+AL314+AN314+AP314+AR314+AT314+AV314+AX314+AZ314+BB314+BD314+BF314+BH314+BJ314+BL314+BN314+BP314+BR314+BT314+BV314+BX314+BZ314+CB314+CD314+CF314+CH314+CJ314+CL314+CN314+CP314+CR314</f>
        <v>0</v>
      </c>
      <c r="CU314" s="375" t="s">
        <v>2560</v>
      </c>
      <c r="CV314" s="156"/>
      <c r="CW314" s="155"/>
      <c r="CX314" s="155"/>
      <c r="CY314" s="155"/>
      <c r="CZ314" s="157"/>
      <c r="DA314" s="152">
        <f t="shared" si="311"/>
        <v>4</v>
      </c>
      <c r="DB314" s="152" t="str">
        <f t="shared" si="312"/>
        <v>0</v>
      </c>
      <c r="DC314" s="153"/>
      <c r="DD314" s="158" t="s">
        <v>2563</v>
      </c>
      <c r="DE314" s="156" t="s">
        <v>2562</v>
      </c>
      <c r="DF314" s="759" t="s">
        <v>2558</v>
      </c>
      <c r="DG314" s="175"/>
      <c r="DH314" s="156" t="s">
        <v>477</v>
      </c>
      <c r="DI314" s="158">
        <v>46008</v>
      </c>
      <c r="DJ314" s="429">
        <v>4</v>
      </c>
      <c r="DK314" s="240" t="s">
        <v>477</v>
      </c>
      <c r="DL314" s="195">
        <v>20000</v>
      </c>
      <c r="DM314" s="181">
        <f t="shared" si="313"/>
        <v>88000</v>
      </c>
      <c r="DN314" s="446">
        <f t="shared" si="314"/>
        <v>0.1</v>
      </c>
      <c r="DO314" s="195">
        <f t="shared" si="315"/>
        <v>80000</v>
      </c>
      <c r="DP314" s="159">
        <v>46008</v>
      </c>
      <c r="DQ314" s="152">
        <f>SUMIF($I:$I,I314,$DJ:$DJ)</f>
        <v>4</v>
      </c>
      <c r="DR314" s="152">
        <f>SUMIF($I:$I,I314,$DK:$DK)</f>
        <v>0</v>
      </c>
      <c r="DS314" s="155"/>
      <c r="DT314" s="155"/>
      <c r="DU314" s="155"/>
      <c r="DV314" s="155"/>
      <c r="DW314" s="155"/>
      <c r="DX314" s="155"/>
      <c r="DY314" s="155"/>
      <c r="DZ314" s="155"/>
      <c r="EA314" s="155"/>
      <c r="EB314" s="155"/>
      <c r="EC314" s="155"/>
      <c r="ED314" s="155"/>
      <c r="EE314" s="155"/>
      <c r="EF314" s="155"/>
      <c r="EG314" s="155"/>
      <c r="EH314" s="155"/>
      <c r="EI314" s="155"/>
      <c r="EJ314" s="155"/>
      <c r="EK314" s="155"/>
      <c r="EL314" s="155"/>
      <c r="EM314" s="155"/>
      <c r="EN314" s="155"/>
      <c r="EO314" s="152">
        <f>SUMIF($I:$I,I314,$EC:$EC)</f>
        <v>0</v>
      </c>
      <c r="EP314" s="151">
        <f>SUMIF($I:$I,I314,$ED:$ED)</f>
        <v>0</v>
      </c>
      <c r="EQ314" s="153"/>
      <c r="ER314" s="153"/>
      <c r="ES314" s="153"/>
      <c r="ET314" s="153"/>
      <c r="EU314" s="152">
        <f t="shared" si="316"/>
        <v>4</v>
      </c>
      <c r="EV314" s="152">
        <f t="shared" si="317"/>
        <v>0</v>
      </c>
      <c r="EW314" s="152">
        <f t="shared" si="318"/>
        <v>0</v>
      </c>
      <c r="EX314" s="152">
        <f t="shared" si="319"/>
        <v>0</v>
      </c>
      <c r="EY314" s="151" t="str">
        <f t="shared" si="320"/>
        <v>Đủ</v>
      </c>
      <c r="EZ314" s="155"/>
      <c r="FA314" s="155"/>
      <c r="FB314" s="155"/>
      <c r="FC314" s="204"/>
      <c r="FD314" s="204"/>
      <c r="FE314" s="204"/>
      <c r="FF314" s="204"/>
      <c r="FG314" s="204"/>
      <c r="FH314" s="204"/>
    </row>
    <row r="315" spans="1:164" s="201" customFormat="1" ht="14" hidden="1" customHeight="1">
      <c r="A315" s="278"/>
      <c r="B315" s="284"/>
      <c r="C315" s="284"/>
      <c r="D315" s="284"/>
      <c r="E315" s="284"/>
      <c r="F315" s="284"/>
      <c r="G315" s="284"/>
      <c r="H315" s="284"/>
      <c r="I315" s="285" t="s">
        <v>84</v>
      </c>
      <c r="J315" s="286" t="s">
        <v>103</v>
      </c>
      <c r="K315" s="70"/>
      <c r="L315" s="287"/>
      <c r="M315" s="69"/>
      <c r="N315" s="69"/>
      <c r="O315" s="70"/>
      <c r="P315" s="288"/>
      <c r="Q315" s="289"/>
      <c r="R315" s="290"/>
      <c r="S315" s="290"/>
      <c r="T315" s="290"/>
      <c r="U315" s="290"/>
      <c r="V315" s="290"/>
      <c r="W315" s="290"/>
      <c r="X315" s="290"/>
      <c r="Y315" s="290"/>
      <c r="Z315" s="290"/>
      <c r="AA315" s="290"/>
      <c r="AB315" s="290"/>
      <c r="AC315" s="290"/>
      <c r="AD315" s="290"/>
      <c r="AE315" s="290"/>
      <c r="AF315" s="290"/>
      <c r="AG315" s="290"/>
      <c r="AH315" s="290"/>
      <c r="AI315" s="290"/>
      <c r="AJ315" s="290"/>
      <c r="AK315" s="290"/>
      <c r="AL315" s="290"/>
      <c r="AM315" s="290"/>
      <c r="AN315" s="290"/>
      <c r="AO315" s="291"/>
      <c r="AP315" s="291"/>
      <c r="AQ315" s="290"/>
      <c r="AR315" s="290"/>
      <c r="AS315" s="290"/>
      <c r="AT315" s="290"/>
      <c r="AU315" s="290"/>
      <c r="AV315" s="290"/>
      <c r="AW315" s="290"/>
      <c r="AX315" s="290"/>
      <c r="AY315" s="291"/>
      <c r="AZ315" s="291"/>
      <c r="BA315" s="290"/>
      <c r="BB315" s="290"/>
      <c r="BC315" s="290"/>
      <c r="BD315" s="290"/>
      <c r="BE315" s="290"/>
      <c r="BF315" s="290"/>
      <c r="BG315" s="290"/>
      <c r="BH315" s="290"/>
      <c r="BI315" s="290"/>
      <c r="BJ315" s="290"/>
      <c r="BK315" s="290"/>
      <c r="BL315" s="290"/>
      <c r="BM315" s="290"/>
      <c r="BN315" s="290"/>
      <c r="BO315" s="290"/>
      <c r="BP315" s="290"/>
      <c r="BQ315" s="290"/>
      <c r="BR315" s="290"/>
      <c r="BS315" s="290"/>
      <c r="BT315" s="290"/>
      <c r="BU315" s="290"/>
      <c r="BV315" s="290"/>
      <c r="BW315" s="761"/>
      <c r="BX315" s="761"/>
      <c r="BY315" s="761"/>
      <c r="BZ315" s="761"/>
      <c r="CA315" s="761"/>
      <c r="CB315" s="761"/>
      <c r="CC315" s="761"/>
      <c r="CD315" s="761"/>
      <c r="CE315" s="761"/>
      <c r="CF315" s="761"/>
      <c r="CG315" s="761"/>
      <c r="CH315" s="761"/>
      <c r="CI315" s="761"/>
      <c r="CJ315" s="761"/>
      <c r="CK315" s="761"/>
      <c r="CL315" s="761"/>
      <c r="CM315" s="761"/>
      <c r="CN315" s="761"/>
      <c r="CO315" s="761"/>
      <c r="CP315" s="761"/>
      <c r="CQ315" s="761"/>
      <c r="CR315" s="761"/>
      <c r="CS315" s="292">
        <f t="shared" ref="CS315:DX315" si="323">SUM(CS316:CS453)</f>
        <v>180990.102724</v>
      </c>
      <c r="CT315" s="292">
        <f t="shared" si="323"/>
        <v>167233.81346800004</v>
      </c>
      <c r="CU315" s="292">
        <f t="shared" si="323"/>
        <v>0</v>
      </c>
      <c r="CV315" s="292">
        <f t="shared" si="323"/>
        <v>0</v>
      </c>
      <c r="CW315" s="292">
        <f t="shared" si="323"/>
        <v>14559.671200000001</v>
      </c>
      <c r="CX315" s="292">
        <f t="shared" si="323"/>
        <v>6861.4896000000008</v>
      </c>
      <c r="CY315" s="292">
        <f t="shared" si="323"/>
        <v>0</v>
      </c>
      <c r="CZ315" s="292">
        <f t="shared" si="323"/>
        <v>0</v>
      </c>
      <c r="DA315" s="292">
        <f t="shared" si="323"/>
        <v>166430.43152400001</v>
      </c>
      <c r="DB315" s="292">
        <f t="shared" si="323"/>
        <v>160372.32386799998</v>
      </c>
      <c r="DC315" s="292">
        <f t="shared" si="323"/>
        <v>91588</v>
      </c>
      <c r="DD315" s="292">
        <f t="shared" si="323"/>
        <v>0</v>
      </c>
      <c r="DE315" s="292">
        <f t="shared" si="323"/>
        <v>0</v>
      </c>
      <c r="DF315" s="292">
        <f t="shared" si="323"/>
        <v>0</v>
      </c>
      <c r="DG315" s="292">
        <f t="shared" si="323"/>
        <v>0</v>
      </c>
      <c r="DH315" s="292">
        <f t="shared" si="323"/>
        <v>165254.09999999995</v>
      </c>
      <c r="DI315" s="292">
        <f t="shared" si="323"/>
        <v>13277274</v>
      </c>
      <c r="DJ315" s="999">
        <f t="shared" si="323"/>
        <v>169496.55</v>
      </c>
      <c r="DK315" s="292">
        <f t="shared" si="323"/>
        <v>174616.49999999994</v>
      </c>
      <c r="DL315" s="292">
        <f t="shared" si="323"/>
        <v>28795267.850000009</v>
      </c>
      <c r="DM315" s="292">
        <f t="shared" si="323"/>
        <v>5427433117.3678799</v>
      </c>
      <c r="DN315" s="292">
        <f t="shared" si="323"/>
        <v>30.839999999999947</v>
      </c>
      <c r="DO315" s="292">
        <f t="shared" si="323"/>
        <v>4949333931.8798904</v>
      </c>
      <c r="DP315" s="292">
        <f t="shared" si="323"/>
        <v>14980870</v>
      </c>
      <c r="DQ315" s="292">
        <f t="shared" si="323"/>
        <v>172817.55</v>
      </c>
      <c r="DR315" s="292">
        <f t="shared" si="323"/>
        <v>186254.41999999995</v>
      </c>
      <c r="DS315" s="292">
        <f t="shared" si="323"/>
        <v>0</v>
      </c>
      <c r="DT315" s="292">
        <f t="shared" si="323"/>
        <v>0</v>
      </c>
      <c r="DU315" s="292">
        <f t="shared" si="323"/>
        <v>0</v>
      </c>
      <c r="DV315" s="292">
        <f t="shared" si="323"/>
        <v>0</v>
      </c>
      <c r="DW315" s="292">
        <f t="shared" si="323"/>
        <v>0</v>
      </c>
      <c r="DX315" s="292">
        <f t="shared" si="323"/>
        <v>0</v>
      </c>
      <c r="DY315" s="292">
        <f t="shared" ref="DY315:EZ315" si="324">SUM(DY316:DY453)</f>
        <v>0</v>
      </c>
      <c r="DZ315" s="292">
        <f t="shared" si="324"/>
        <v>0</v>
      </c>
      <c r="EA315" s="292">
        <f t="shared" si="324"/>
        <v>0</v>
      </c>
      <c r="EB315" s="292">
        <f t="shared" si="324"/>
        <v>0</v>
      </c>
      <c r="EC315" s="292">
        <f t="shared" si="324"/>
        <v>0</v>
      </c>
      <c r="ED315" s="292">
        <f t="shared" si="324"/>
        <v>0</v>
      </c>
      <c r="EE315" s="292">
        <f t="shared" si="324"/>
        <v>0</v>
      </c>
      <c r="EF315" s="292">
        <f t="shared" si="324"/>
        <v>0</v>
      </c>
      <c r="EG315" s="292">
        <f t="shared" si="324"/>
        <v>0</v>
      </c>
      <c r="EH315" s="292">
        <f t="shared" si="324"/>
        <v>0</v>
      </c>
      <c r="EI315" s="292">
        <f t="shared" si="324"/>
        <v>0</v>
      </c>
      <c r="EJ315" s="292">
        <f t="shared" si="324"/>
        <v>0</v>
      </c>
      <c r="EK315" s="292">
        <f t="shared" si="324"/>
        <v>0</v>
      </c>
      <c r="EL315" s="292">
        <f t="shared" si="324"/>
        <v>0</v>
      </c>
      <c r="EM315" s="292">
        <f t="shared" si="324"/>
        <v>0</v>
      </c>
      <c r="EN315" s="292">
        <f t="shared" si="324"/>
        <v>0</v>
      </c>
      <c r="EO315" s="292">
        <f t="shared" si="324"/>
        <v>0</v>
      </c>
      <c r="EP315" s="292">
        <f t="shared" si="324"/>
        <v>0</v>
      </c>
      <c r="EQ315" s="292">
        <f t="shared" si="324"/>
        <v>0</v>
      </c>
      <c r="ER315" s="292">
        <f t="shared" si="324"/>
        <v>0</v>
      </c>
      <c r="ES315" s="292">
        <f t="shared" si="324"/>
        <v>0</v>
      </c>
      <c r="ET315" s="292">
        <f t="shared" si="324"/>
        <v>0</v>
      </c>
      <c r="EU315" s="292">
        <f t="shared" si="324"/>
        <v>169496.55</v>
      </c>
      <c r="EV315" s="292">
        <f t="shared" si="324"/>
        <v>174616.49999999997</v>
      </c>
      <c r="EW315" s="292">
        <f t="shared" si="324"/>
        <v>-3066.1184759999996</v>
      </c>
      <c r="EX315" s="292">
        <f t="shared" si="324"/>
        <v>-14244.176132000008</v>
      </c>
      <c r="EY315" s="292">
        <f t="shared" si="324"/>
        <v>0</v>
      </c>
      <c r="EZ315" s="292">
        <f t="shared" si="324"/>
        <v>0</v>
      </c>
      <c r="FA315" s="264"/>
      <c r="FB315" s="264"/>
      <c r="FC315" s="203"/>
      <c r="FD315" s="203"/>
      <c r="FE315" s="203"/>
      <c r="FF315" s="203"/>
      <c r="FG315" s="203"/>
      <c r="FH315" s="203"/>
    </row>
    <row r="316" spans="1:164" s="155" customFormat="1" ht="14" hidden="1" customHeight="1">
      <c r="A316" s="208" t="str">
        <f t="shared" ref="A316:A347" si="325">IF(I316=I315,"ok","Hiện")</f>
        <v>Hiện</v>
      </c>
      <c r="B316" s="151" t="str">
        <f t="shared" ref="B316:B379" si="326">EY316</f>
        <v>Đủ</v>
      </c>
      <c r="C316" s="409">
        <f t="shared" si="236"/>
        <v>0</v>
      </c>
      <c r="D316" s="154" t="s">
        <v>435</v>
      </c>
      <c r="E316" s="154">
        <f>C316*DL316*1.1</f>
        <v>0</v>
      </c>
      <c r="F316" s="154"/>
      <c r="G316" s="151"/>
      <c r="H316" s="364"/>
      <c r="I316" s="163" t="s">
        <v>750</v>
      </c>
      <c r="J316" s="164" t="s">
        <v>751</v>
      </c>
      <c r="K316" s="171" t="s">
        <v>752</v>
      </c>
      <c r="L316" s="171" t="s">
        <v>753</v>
      </c>
      <c r="M316" s="163" t="s">
        <v>345</v>
      </c>
      <c r="N316" s="173">
        <v>0</v>
      </c>
      <c r="O316" s="419">
        <v>144</v>
      </c>
      <c r="P316" s="205"/>
      <c r="S316" s="161"/>
      <c r="T316" s="162"/>
      <c r="U316" s="162"/>
      <c r="V316" s="162"/>
      <c r="W316" s="162"/>
      <c r="X316" s="162"/>
      <c r="Y316" s="162"/>
      <c r="Z316" s="162"/>
      <c r="AA316" s="162"/>
      <c r="AB316" s="162"/>
      <c r="AC316" s="162"/>
      <c r="AD316" s="162"/>
      <c r="AE316" s="162"/>
      <c r="AF316" s="162"/>
      <c r="AG316" s="162"/>
      <c r="AH316" s="162"/>
      <c r="AI316" s="162"/>
      <c r="AJ316" s="162"/>
      <c r="AK316" s="162">
        <v>162</v>
      </c>
      <c r="AL316" s="162">
        <v>0</v>
      </c>
      <c r="AM316" s="162"/>
      <c r="AN316" s="162"/>
      <c r="AO316" s="162">
        <v>0</v>
      </c>
      <c r="AP316" s="162">
        <v>0</v>
      </c>
      <c r="AQ316" s="162">
        <v>0</v>
      </c>
      <c r="AR316" s="162">
        <v>0</v>
      </c>
      <c r="AS316" s="162">
        <v>0</v>
      </c>
      <c r="AT316" s="162">
        <v>0</v>
      </c>
      <c r="AU316" s="162">
        <v>0</v>
      </c>
      <c r="AV316" s="162">
        <v>0</v>
      </c>
      <c r="AW316" s="162">
        <v>0</v>
      </c>
      <c r="AX316" s="162">
        <v>0</v>
      </c>
      <c r="AY316" s="162">
        <v>0</v>
      </c>
      <c r="AZ316" s="162">
        <v>0</v>
      </c>
      <c r="BA316" s="162"/>
      <c r="BB316" s="162"/>
      <c r="BC316" s="162">
        <v>0</v>
      </c>
      <c r="BD316" s="162">
        <v>0</v>
      </c>
      <c r="BE316" s="162">
        <v>0</v>
      </c>
      <c r="BF316" s="162">
        <v>0</v>
      </c>
      <c r="BG316" s="162">
        <v>0</v>
      </c>
      <c r="BH316" s="162">
        <v>0</v>
      </c>
      <c r="BI316" s="162">
        <v>0</v>
      </c>
      <c r="BJ316" s="162">
        <v>0</v>
      </c>
      <c r="BK316" s="162">
        <v>0</v>
      </c>
      <c r="BL316" s="162">
        <v>0</v>
      </c>
      <c r="BM316" s="162">
        <v>0</v>
      </c>
      <c r="BN316" s="162">
        <v>0</v>
      </c>
      <c r="BO316" s="162"/>
      <c r="BP316" s="162"/>
      <c r="BQ316" s="162">
        <v>0</v>
      </c>
      <c r="BR316" s="162">
        <v>0</v>
      </c>
      <c r="BS316" s="162">
        <v>0</v>
      </c>
      <c r="BT316" s="162">
        <v>0</v>
      </c>
      <c r="BU316" s="162">
        <v>0</v>
      </c>
      <c r="BV316" s="162">
        <v>0</v>
      </c>
      <c r="BW316" s="162"/>
      <c r="BX316" s="162"/>
      <c r="BY316" s="162">
        <v>0</v>
      </c>
      <c r="BZ316" s="162">
        <v>0</v>
      </c>
      <c r="CA316" s="162">
        <v>0</v>
      </c>
      <c r="CB316" s="162">
        <v>0</v>
      </c>
      <c r="CC316" s="162">
        <v>0</v>
      </c>
      <c r="CD316" s="162">
        <v>0</v>
      </c>
      <c r="CE316" s="162">
        <f>VLOOKUP(I316,[120]REV33!$A:$O,11,0)</f>
        <v>0</v>
      </c>
      <c r="CF316" s="162">
        <f>VLOOKUP(I316,[120]REV33!$A:$O,12,0)</f>
        <v>0</v>
      </c>
      <c r="CG316" s="162"/>
      <c r="CH316" s="162"/>
      <c r="CI316" s="162"/>
      <c r="CJ316" s="162"/>
      <c r="CK316" s="162"/>
      <c r="CL316" s="162"/>
      <c r="CM316" s="162"/>
      <c r="CN316" s="162"/>
      <c r="CO316" s="162">
        <v>0</v>
      </c>
      <c r="CP316" s="162">
        <v>0</v>
      </c>
      <c r="CQ316" s="162">
        <v>0</v>
      </c>
      <c r="CR316" s="162">
        <v>0</v>
      </c>
      <c r="CS316" s="209">
        <f>Q316+S316+U316+W316+Y316+AA316+AC316+AE316+AG316+AI316+AK316+AM316+AO316+AQ316+AS316+AU316+AW316+AY316+BA316+BC316+BE316+BG316+BI316+BK316+BM316+BO316+BQ316+BS316+BU316+BW316+BY316+CA316+CC316+CE316+CG316+CI316+CK316+CM316+CO316+CQ316</f>
        <v>162</v>
      </c>
      <c r="CT316" s="209">
        <f>R316+T316+V316+X316+Z316+AB316+AD316+AF316+AH316+AJ316+AL316+AN316+AP316+AR316+AT316+AV316+AX316+AZ316+BB316+BD316+BF316+BH316+BJ316+BL316+BN316+BP316+BR316+BT316+BV316+BX316+BZ316+CB316+CD316+CF316+CH316+CJ316+CL316+CN316+CP316+CR316</f>
        <v>0</v>
      </c>
      <c r="CU316" s="206" t="s">
        <v>1000</v>
      </c>
      <c r="CV316" s="156"/>
      <c r="CZ316" s="157"/>
      <c r="DA316" s="152">
        <f t="shared" ref="DA316:DA379" si="327">IF(CS316&gt;CW316,CS316-CW316,"0")</f>
        <v>162</v>
      </c>
      <c r="DB316" s="152" t="str">
        <f t="shared" ref="DB316:DB379" si="328">IF(CT316&gt;CX316,CT316-CX316,"0")</f>
        <v>0</v>
      </c>
      <c r="DC316" s="153"/>
      <c r="DD316" s="158" t="s">
        <v>2212</v>
      </c>
      <c r="DE316" s="156" t="s">
        <v>435</v>
      </c>
      <c r="DF316" s="174" t="s">
        <v>1183</v>
      </c>
      <c r="DG316" s="175" t="s">
        <v>1184</v>
      </c>
      <c r="DH316" s="240" t="s">
        <v>477</v>
      </c>
      <c r="DI316" s="187">
        <v>45940</v>
      </c>
      <c r="DJ316" s="429">
        <v>162</v>
      </c>
      <c r="DK316" s="240" t="s">
        <v>477</v>
      </c>
      <c r="DL316" s="189">
        <v>1480</v>
      </c>
      <c r="DM316" s="181">
        <f t="shared" ref="DM316:DM347" si="329">DL316*DJ316*1.1</f>
        <v>263736</v>
      </c>
      <c r="DN316" s="446">
        <f t="shared" ref="DN316:DN347" si="330">(DM316-DO316)/DO316</f>
        <v>0.1</v>
      </c>
      <c r="DO316" s="160">
        <f t="shared" ref="DO316:DO347" si="331">DL316*DJ316</f>
        <v>239760</v>
      </c>
      <c r="DP316" s="159">
        <v>45954</v>
      </c>
      <c r="DQ316" s="152">
        <f>SUMIF($I:$I,I316,$DJ:$DJ)</f>
        <v>162</v>
      </c>
      <c r="DR316" s="152">
        <f>SUMIF($I:$I,I316,$DK:$DK)</f>
        <v>0</v>
      </c>
      <c r="EO316" s="152">
        <f>SUMIF($I:$I,I316,$EC:$EC)</f>
        <v>0</v>
      </c>
      <c r="EP316" s="151">
        <f>SUMIF($I:$I,I316,$ED:$ED)</f>
        <v>0</v>
      </c>
      <c r="EQ316" s="153"/>
      <c r="ER316" s="153"/>
      <c r="ES316" s="153"/>
      <c r="ET316" s="153"/>
      <c r="EU316" s="152">
        <f t="shared" ref="EU316:EU379" si="332">DQ316+EO316</f>
        <v>162</v>
      </c>
      <c r="EV316" s="152">
        <f t="shared" ref="EV316:EV379" si="333">DR316+EP316</f>
        <v>0</v>
      </c>
      <c r="EW316" s="152">
        <f t="shared" ref="EW316:EW379" si="334">DA316-EU316</f>
        <v>0</v>
      </c>
      <c r="EX316" s="152">
        <f t="shared" ref="EX316:EX379" si="335">DB316-EV316</f>
        <v>0</v>
      </c>
      <c r="EY316" s="151" t="str">
        <f t="shared" ref="EY316:EY379" si="336">IF(EW316&lt;0,"Thừa",IF(EW316=0,"Đủ","Thiếu"))</f>
        <v>Đủ</v>
      </c>
    </row>
    <row r="317" spans="1:164" s="155" customFormat="1" ht="14" hidden="1" customHeight="1">
      <c r="A317" s="208" t="str">
        <f t="shared" si="325"/>
        <v>Hiện</v>
      </c>
      <c r="B317" s="151" t="str">
        <f t="shared" si="326"/>
        <v>Đủ</v>
      </c>
      <c r="C317" s="409">
        <f t="shared" si="236"/>
        <v>0</v>
      </c>
      <c r="D317" s="154" t="s">
        <v>435</v>
      </c>
      <c r="E317" s="154">
        <f>C317*DL317*1.1</f>
        <v>0</v>
      </c>
      <c r="F317" s="154"/>
      <c r="G317" s="151"/>
      <c r="H317" s="364"/>
      <c r="I317" s="163" t="s">
        <v>754</v>
      </c>
      <c r="J317" s="164" t="s">
        <v>751</v>
      </c>
      <c r="K317" s="171" t="s">
        <v>755</v>
      </c>
      <c r="L317" s="171" t="s">
        <v>753</v>
      </c>
      <c r="M317" s="163" t="s">
        <v>345</v>
      </c>
      <c r="N317" s="173">
        <v>0</v>
      </c>
      <c r="O317" s="419">
        <v>104</v>
      </c>
      <c r="P317" s="205"/>
      <c r="S317" s="161"/>
      <c r="T317" s="162"/>
      <c r="U317" s="162"/>
      <c r="V317" s="162"/>
      <c r="W317" s="162"/>
      <c r="X317" s="162"/>
      <c r="Y317" s="162"/>
      <c r="Z317" s="162"/>
      <c r="AA317" s="162"/>
      <c r="AB317" s="162"/>
      <c r="AC317" s="162"/>
      <c r="AD317" s="162"/>
      <c r="AE317" s="162"/>
      <c r="AF317" s="162"/>
      <c r="AG317" s="162"/>
      <c r="AH317" s="162"/>
      <c r="AI317" s="162"/>
      <c r="AJ317" s="162"/>
      <c r="AK317" s="162">
        <v>128</v>
      </c>
      <c r="AL317" s="162">
        <v>0</v>
      </c>
      <c r="AM317" s="162"/>
      <c r="AN317" s="162"/>
      <c r="AO317" s="162">
        <v>0</v>
      </c>
      <c r="AP317" s="162">
        <v>0</v>
      </c>
      <c r="AQ317" s="162">
        <v>0</v>
      </c>
      <c r="AR317" s="162">
        <v>0</v>
      </c>
      <c r="AS317" s="162">
        <v>0</v>
      </c>
      <c r="AT317" s="162">
        <v>0</v>
      </c>
      <c r="AU317" s="162">
        <v>0</v>
      </c>
      <c r="AV317" s="162">
        <v>0</v>
      </c>
      <c r="AW317" s="162">
        <v>0</v>
      </c>
      <c r="AX317" s="162">
        <v>0</v>
      </c>
      <c r="AY317" s="162">
        <v>0</v>
      </c>
      <c r="AZ317" s="162">
        <v>0</v>
      </c>
      <c r="BA317" s="162"/>
      <c r="BB317" s="162"/>
      <c r="BC317" s="162">
        <v>0</v>
      </c>
      <c r="BD317" s="162">
        <v>0</v>
      </c>
      <c r="BE317" s="162">
        <v>0</v>
      </c>
      <c r="BF317" s="162">
        <v>0</v>
      </c>
      <c r="BG317" s="162">
        <v>0</v>
      </c>
      <c r="BH317" s="162">
        <v>0</v>
      </c>
      <c r="BI317" s="162">
        <v>0</v>
      </c>
      <c r="BJ317" s="162">
        <v>0</v>
      </c>
      <c r="BK317" s="162">
        <v>0</v>
      </c>
      <c r="BL317" s="162">
        <v>0</v>
      </c>
      <c r="BM317" s="162">
        <v>0</v>
      </c>
      <c r="BN317" s="162">
        <v>0</v>
      </c>
      <c r="BO317" s="162"/>
      <c r="BP317" s="162"/>
      <c r="BQ317" s="162">
        <v>0</v>
      </c>
      <c r="BR317" s="162">
        <v>0</v>
      </c>
      <c r="BS317" s="162">
        <v>0</v>
      </c>
      <c r="BT317" s="162">
        <v>0</v>
      </c>
      <c r="BU317" s="162">
        <v>0</v>
      </c>
      <c r="BV317" s="162">
        <v>0</v>
      </c>
      <c r="BW317" s="162"/>
      <c r="BX317" s="162"/>
      <c r="BY317" s="162">
        <v>0</v>
      </c>
      <c r="BZ317" s="162">
        <v>0</v>
      </c>
      <c r="CA317" s="162">
        <v>0</v>
      </c>
      <c r="CB317" s="162">
        <v>0</v>
      </c>
      <c r="CC317" s="162">
        <v>0</v>
      </c>
      <c r="CD317" s="162">
        <v>0</v>
      </c>
      <c r="CE317" s="162">
        <f>VLOOKUP(I317,[120]REV33!$A:$O,11,0)</f>
        <v>0</v>
      </c>
      <c r="CF317" s="162">
        <f>VLOOKUP(I317,[120]REV33!$A:$O,12,0)</f>
        <v>0</v>
      </c>
      <c r="CG317" s="162"/>
      <c r="CH317" s="162"/>
      <c r="CI317" s="162"/>
      <c r="CJ317" s="162"/>
      <c r="CK317" s="162"/>
      <c r="CL317" s="162"/>
      <c r="CM317" s="162"/>
      <c r="CN317" s="162"/>
      <c r="CO317" s="162">
        <v>0</v>
      </c>
      <c r="CP317" s="162">
        <v>0</v>
      </c>
      <c r="CQ317" s="162">
        <v>0</v>
      </c>
      <c r="CR317" s="162">
        <v>0</v>
      </c>
      <c r="CS317" s="209">
        <f>Q317+S317+U317+W317+Y317+AA317+AC317+AE317+AG317+AI317+AK317+AM317+AO317+AQ317+AS317+AU317+AW317+AY317+BA317+BC317+BE317+BG317+BI317+BK317+BM317+BO317+BQ317+BS317+BU317+BW317+BY317+CA317+CC317+CE317+CG317+CI317+CK317+CM317+CO317+CQ317</f>
        <v>128</v>
      </c>
      <c r="CT317" s="209">
        <f>R317+T317+V317+X317+Z317+AB317+AD317+AF317+AH317+AJ317+AL317+AN317+AP317+AR317+AT317+AV317+AX317+AZ317+BB317+BD317+BF317+BH317+BJ317+BL317+BN317+BP317+BR317+BT317+BV317+BX317+BZ317+CB317+CD317+CF317+CH317+CJ317+CL317+CN317+CP317+CR317</f>
        <v>0</v>
      </c>
      <c r="CU317" s="206" t="s">
        <v>1000</v>
      </c>
      <c r="CV317" s="156"/>
      <c r="CZ317" s="157"/>
      <c r="DA317" s="152">
        <f t="shared" si="327"/>
        <v>128</v>
      </c>
      <c r="DB317" s="152" t="str">
        <f t="shared" si="328"/>
        <v>0</v>
      </c>
      <c r="DC317" s="153"/>
      <c r="DD317" s="158" t="s">
        <v>2212</v>
      </c>
      <c r="DE317" s="156" t="s">
        <v>435</v>
      </c>
      <c r="DF317" s="174" t="s">
        <v>1185</v>
      </c>
      <c r="DG317" s="175" t="s">
        <v>1184</v>
      </c>
      <c r="DH317" s="240" t="s">
        <v>477</v>
      </c>
      <c r="DI317" s="187">
        <v>45940</v>
      </c>
      <c r="DJ317" s="429">
        <v>128</v>
      </c>
      <c r="DK317" s="240" t="s">
        <v>477</v>
      </c>
      <c r="DL317" s="189">
        <v>1830</v>
      </c>
      <c r="DM317" s="181">
        <f t="shared" si="329"/>
        <v>257664.00000000003</v>
      </c>
      <c r="DN317" s="446">
        <f t="shared" si="330"/>
        <v>0.10000000000000013</v>
      </c>
      <c r="DO317" s="160">
        <f t="shared" si="331"/>
        <v>234240</v>
      </c>
      <c r="DP317" s="159">
        <v>45954</v>
      </c>
      <c r="DQ317" s="152">
        <f>SUMIF($I:$I,I317,$DJ:$DJ)</f>
        <v>128</v>
      </c>
      <c r="DR317" s="152">
        <f>SUMIF($I:$I,I317,$DK:$DK)</f>
        <v>0</v>
      </c>
      <c r="EO317" s="152">
        <f>SUMIF($I:$I,I317,$EC:$EC)</f>
        <v>0</v>
      </c>
      <c r="EP317" s="151">
        <f>SUMIF($I:$I,I317,$ED:$ED)</f>
        <v>0</v>
      </c>
      <c r="EQ317" s="153"/>
      <c r="ER317" s="153"/>
      <c r="ES317" s="153"/>
      <c r="ET317" s="153"/>
      <c r="EU317" s="152">
        <f t="shared" si="332"/>
        <v>128</v>
      </c>
      <c r="EV317" s="152">
        <f t="shared" si="333"/>
        <v>0</v>
      </c>
      <c r="EW317" s="152">
        <f t="shared" si="334"/>
        <v>0</v>
      </c>
      <c r="EX317" s="152">
        <f t="shared" si="335"/>
        <v>0</v>
      </c>
      <c r="EY317" s="151" t="str">
        <f t="shared" si="336"/>
        <v>Đủ</v>
      </c>
    </row>
    <row r="318" spans="1:164" s="155" customFormat="1" ht="14" hidden="1" customHeight="1">
      <c r="A318" s="208" t="str">
        <f t="shared" si="325"/>
        <v>Hiện</v>
      </c>
      <c r="B318" s="151" t="str">
        <f t="shared" si="326"/>
        <v>Đủ</v>
      </c>
      <c r="C318" s="409">
        <f t="shared" si="236"/>
        <v>0</v>
      </c>
      <c r="D318" s="154" t="s">
        <v>435</v>
      </c>
      <c r="E318" s="154">
        <f>C318*DL318*1.1</f>
        <v>0</v>
      </c>
      <c r="F318" s="154"/>
      <c r="G318" s="151"/>
      <c r="H318" s="364"/>
      <c r="I318" s="163" t="s">
        <v>756</v>
      </c>
      <c r="J318" s="164" t="s">
        <v>751</v>
      </c>
      <c r="K318" s="171" t="s">
        <v>757</v>
      </c>
      <c r="L318" s="171" t="s">
        <v>753</v>
      </c>
      <c r="M318" s="163" t="s">
        <v>345</v>
      </c>
      <c r="N318" s="173">
        <v>0</v>
      </c>
      <c r="O318" s="419">
        <v>624</v>
      </c>
      <c r="P318" s="205"/>
      <c r="S318" s="161"/>
      <c r="T318" s="162"/>
      <c r="U318" s="162"/>
      <c r="V318" s="162"/>
      <c r="W318" s="162"/>
      <c r="X318" s="162"/>
      <c r="Y318" s="162"/>
      <c r="Z318" s="162"/>
      <c r="AA318" s="162"/>
      <c r="AB318" s="162"/>
      <c r="AC318" s="162"/>
      <c r="AD318" s="162"/>
      <c r="AE318" s="162"/>
      <c r="AF318" s="162"/>
      <c r="AG318" s="162"/>
      <c r="AH318" s="162"/>
      <c r="AI318" s="162"/>
      <c r="AJ318" s="162"/>
      <c r="AK318" s="162">
        <v>662</v>
      </c>
      <c r="AL318" s="162">
        <v>0</v>
      </c>
      <c r="AM318" s="162"/>
      <c r="AN318" s="162"/>
      <c r="AO318" s="162">
        <v>0</v>
      </c>
      <c r="AP318" s="162">
        <v>0</v>
      </c>
      <c r="AQ318" s="162">
        <v>0</v>
      </c>
      <c r="AR318" s="162">
        <v>0</v>
      </c>
      <c r="AS318" s="162">
        <v>0</v>
      </c>
      <c r="AT318" s="162">
        <v>0</v>
      </c>
      <c r="AU318" s="162">
        <v>0</v>
      </c>
      <c r="AV318" s="162">
        <v>0</v>
      </c>
      <c r="AW318" s="162">
        <v>0</v>
      </c>
      <c r="AX318" s="162">
        <v>0</v>
      </c>
      <c r="AY318" s="162">
        <v>0</v>
      </c>
      <c r="AZ318" s="162">
        <v>0</v>
      </c>
      <c r="BA318" s="162"/>
      <c r="BB318" s="162"/>
      <c r="BC318" s="162">
        <v>0</v>
      </c>
      <c r="BD318" s="162">
        <v>0</v>
      </c>
      <c r="BE318" s="162">
        <v>0</v>
      </c>
      <c r="BF318" s="162">
        <v>0</v>
      </c>
      <c r="BG318" s="162">
        <v>0</v>
      </c>
      <c r="BH318" s="162">
        <v>0</v>
      </c>
      <c r="BI318" s="162">
        <v>0</v>
      </c>
      <c r="BJ318" s="162">
        <v>0</v>
      </c>
      <c r="BK318" s="162">
        <v>0</v>
      </c>
      <c r="BL318" s="162">
        <v>0</v>
      </c>
      <c r="BM318" s="162">
        <v>0</v>
      </c>
      <c r="BN318" s="162">
        <v>0</v>
      </c>
      <c r="BO318" s="162"/>
      <c r="BP318" s="162"/>
      <c r="BQ318" s="162">
        <v>0</v>
      </c>
      <c r="BR318" s="162">
        <v>0</v>
      </c>
      <c r="BS318" s="162">
        <v>0</v>
      </c>
      <c r="BT318" s="162">
        <v>0</v>
      </c>
      <c r="BU318" s="162">
        <v>0</v>
      </c>
      <c r="BV318" s="162">
        <v>0</v>
      </c>
      <c r="BW318" s="162"/>
      <c r="BX318" s="162"/>
      <c r="BY318" s="162">
        <v>0</v>
      </c>
      <c r="BZ318" s="162">
        <v>0</v>
      </c>
      <c r="CA318" s="162">
        <v>0</v>
      </c>
      <c r="CB318" s="162">
        <v>0</v>
      </c>
      <c r="CC318" s="162">
        <v>0</v>
      </c>
      <c r="CD318" s="162">
        <v>0</v>
      </c>
      <c r="CE318" s="162">
        <f>VLOOKUP(I318,[120]REV33!$A:$O,11,0)</f>
        <v>0</v>
      </c>
      <c r="CF318" s="162">
        <f>VLOOKUP(I318,[120]REV33!$A:$O,12,0)</f>
        <v>0</v>
      </c>
      <c r="CG318" s="162"/>
      <c r="CH318" s="162"/>
      <c r="CI318" s="162"/>
      <c r="CJ318" s="162"/>
      <c r="CK318" s="162"/>
      <c r="CL318" s="162"/>
      <c r="CM318" s="162"/>
      <c r="CN318" s="162"/>
      <c r="CO318" s="162">
        <v>0</v>
      </c>
      <c r="CP318" s="162">
        <v>0</v>
      </c>
      <c r="CQ318" s="162">
        <v>0</v>
      </c>
      <c r="CR318" s="162">
        <v>0</v>
      </c>
      <c r="CS318" s="209">
        <f>Q318+S318+U318+W318+Y318+AA318+AC318+AE318+AG318+AI318+AK318+AM318+AO318+AQ318+AS318+AU318+AW318+AY318+BA318+BC318+BE318+BG318+BI318+BK318+BM318+BO318+BQ318+BS318+BU318+BW318+BY318+CA318+CC318+CE318+CG318+CI318+CK318+CM318+CO318+CQ318</f>
        <v>662</v>
      </c>
      <c r="CT318" s="209">
        <f>R318+T318+V318+X318+Z318+AB318+AD318+AF318+AH318+AJ318+AL318+AN318+AP318+AR318+AT318+AV318+AX318+AZ318+BB318+BD318+BF318+BH318+BJ318+BL318+BN318+BP318+BR318+BT318+BV318+BX318+BZ318+CB318+CD318+CF318+CH318+CJ318+CL318+CN318+CP318+CR318</f>
        <v>0</v>
      </c>
      <c r="CU318" s="206" t="s">
        <v>1000</v>
      </c>
      <c r="CV318" s="156"/>
      <c r="CZ318" s="157"/>
      <c r="DA318" s="152">
        <f t="shared" si="327"/>
        <v>662</v>
      </c>
      <c r="DB318" s="152" t="str">
        <f t="shared" si="328"/>
        <v>0</v>
      </c>
      <c r="DC318" s="153"/>
      <c r="DD318" s="158" t="s">
        <v>2212</v>
      </c>
      <c r="DE318" s="156" t="s">
        <v>435</v>
      </c>
      <c r="DF318" s="174" t="s">
        <v>1186</v>
      </c>
      <c r="DG318" s="175" t="s">
        <v>1184</v>
      </c>
      <c r="DH318" s="240" t="s">
        <v>477</v>
      </c>
      <c r="DI318" s="187">
        <v>45940</v>
      </c>
      <c r="DJ318" s="429">
        <v>662</v>
      </c>
      <c r="DK318" s="240" t="s">
        <v>477</v>
      </c>
      <c r="DL318" s="189">
        <v>2180</v>
      </c>
      <c r="DM318" s="181">
        <f t="shared" si="329"/>
        <v>1587476.0000000002</v>
      </c>
      <c r="DN318" s="446">
        <f t="shared" si="330"/>
        <v>0.10000000000000016</v>
      </c>
      <c r="DO318" s="160">
        <f t="shared" si="331"/>
        <v>1443160</v>
      </c>
      <c r="DP318" s="159">
        <v>45954</v>
      </c>
      <c r="DQ318" s="152">
        <f>SUMIF($I:$I,I318,$DJ:$DJ)</f>
        <v>662</v>
      </c>
      <c r="DR318" s="152">
        <f>SUMIF($I:$I,I318,$DK:$DK)</f>
        <v>0</v>
      </c>
      <c r="EO318" s="152">
        <f>SUMIF($I:$I,I318,$EC:$EC)</f>
        <v>0</v>
      </c>
      <c r="EP318" s="151">
        <f>SUMIF($I:$I,I318,$ED:$ED)</f>
        <v>0</v>
      </c>
      <c r="EQ318" s="153"/>
      <c r="ER318" s="153"/>
      <c r="ES318" s="153"/>
      <c r="ET318" s="153"/>
      <c r="EU318" s="152">
        <f t="shared" si="332"/>
        <v>662</v>
      </c>
      <c r="EV318" s="152">
        <f t="shared" si="333"/>
        <v>0</v>
      </c>
      <c r="EW318" s="152">
        <f t="shared" si="334"/>
        <v>0</v>
      </c>
      <c r="EX318" s="152">
        <f t="shared" si="335"/>
        <v>0</v>
      </c>
      <c r="EY318" s="151" t="str">
        <f t="shared" si="336"/>
        <v>Đủ</v>
      </c>
    </row>
    <row r="319" spans="1:164" s="155" customFormat="1" ht="14" hidden="1" customHeight="1">
      <c r="A319" s="208" t="str">
        <f t="shared" si="325"/>
        <v>Hiện</v>
      </c>
      <c r="B319" s="151" t="str">
        <f t="shared" si="326"/>
        <v>Đủ</v>
      </c>
      <c r="C319" s="409">
        <f t="shared" si="236"/>
        <v>0</v>
      </c>
      <c r="D319" s="154" t="s">
        <v>435</v>
      </c>
      <c r="E319" s="154">
        <f>C319*DL319*1.1</f>
        <v>0</v>
      </c>
      <c r="F319" s="154"/>
      <c r="G319" s="151"/>
      <c r="H319" s="364"/>
      <c r="I319" s="163" t="s">
        <v>758</v>
      </c>
      <c r="J319" s="164" t="s">
        <v>751</v>
      </c>
      <c r="K319" s="171" t="s">
        <v>759</v>
      </c>
      <c r="L319" s="171" t="s">
        <v>753</v>
      </c>
      <c r="M319" s="163" t="s">
        <v>345</v>
      </c>
      <c r="N319" s="173">
        <v>0</v>
      </c>
      <c r="O319" s="419">
        <v>152</v>
      </c>
      <c r="P319" s="205"/>
      <c r="S319" s="161"/>
      <c r="T319" s="162"/>
      <c r="U319" s="162"/>
      <c r="V319" s="162"/>
      <c r="W319" s="162"/>
      <c r="X319" s="162"/>
      <c r="Y319" s="162"/>
      <c r="Z319" s="162"/>
      <c r="AA319" s="162"/>
      <c r="AB319" s="162"/>
      <c r="AC319" s="162"/>
      <c r="AD319" s="162"/>
      <c r="AE319" s="162"/>
      <c r="AF319" s="162"/>
      <c r="AG319" s="162"/>
      <c r="AH319" s="162"/>
      <c r="AI319" s="162"/>
      <c r="AJ319" s="162"/>
      <c r="AK319" s="162">
        <v>162</v>
      </c>
      <c r="AL319" s="162">
        <v>0</v>
      </c>
      <c r="AM319" s="162"/>
      <c r="AN319" s="162"/>
      <c r="AO319" s="162">
        <v>0</v>
      </c>
      <c r="AP319" s="162">
        <v>0</v>
      </c>
      <c r="AQ319" s="162">
        <v>0</v>
      </c>
      <c r="AR319" s="162">
        <v>0</v>
      </c>
      <c r="AS319" s="162">
        <v>0</v>
      </c>
      <c r="AT319" s="162">
        <v>0</v>
      </c>
      <c r="AU319" s="162">
        <v>0</v>
      </c>
      <c r="AV319" s="162">
        <v>0</v>
      </c>
      <c r="AW319" s="162">
        <v>0</v>
      </c>
      <c r="AX319" s="162">
        <v>0</v>
      </c>
      <c r="AY319" s="162">
        <v>0</v>
      </c>
      <c r="AZ319" s="162">
        <v>0</v>
      </c>
      <c r="BA319" s="162"/>
      <c r="BB319" s="162"/>
      <c r="BC319" s="162">
        <v>0</v>
      </c>
      <c r="BD319" s="162">
        <v>0</v>
      </c>
      <c r="BE319" s="162">
        <v>0</v>
      </c>
      <c r="BF319" s="162">
        <v>0</v>
      </c>
      <c r="BG319" s="162">
        <v>0</v>
      </c>
      <c r="BH319" s="162">
        <v>0</v>
      </c>
      <c r="BI319" s="162">
        <v>0</v>
      </c>
      <c r="BJ319" s="162">
        <v>0</v>
      </c>
      <c r="BK319" s="162">
        <v>0</v>
      </c>
      <c r="BL319" s="162">
        <v>0</v>
      </c>
      <c r="BM319" s="162">
        <v>0</v>
      </c>
      <c r="BN319" s="162">
        <v>0</v>
      </c>
      <c r="BO319" s="162"/>
      <c r="BP319" s="162"/>
      <c r="BQ319" s="162">
        <v>0</v>
      </c>
      <c r="BR319" s="162">
        <v>0</v>
      </c>
      <c r="BS319" s="162">
        <v>0</v>
      </c>
      <c r="BT319" s="162">
        <v>0</v>
      </c>
      <c r="BU319" s="162">
        <v>0</v>
      </c>
      <c r="BV319" s="162">
        <v>0</v>
      </c>
      <c r="BW319" s="162"/>
      <c r="BX319" s="162"/>
      <c r="BY319" s="162">
        <v>0</v>
      </c>
      <c r="BZ319" s="162">
        <v>0</v>
      </c>
      <c r="CA319" s="162">
        <v>0</v>
      </c>
      <c r="CB319" s="162">
        <v>0</v>
      </c>
      <c r="CC319" s="162">
        <v>0</v>
      </c>
      <c r="CD319" s="162">
        <v>0</v>
      </c>
      <c r="CE319" s="162">
        <f>VLOOKUP(I319,[120]REV33!$A:$O,11,0)</f>
        <v>0</v>
      </c>
      <c r="CF319" s="162">
        <f>VLOOKUP(I319,[120]REV33!$A:$O,12,0)</f>
        <v>0</v>
      </c>
      <c r="CG319" s="162"/>
      <c r="CH319" s="162"/>
      <c r="CI319" s="162"/>
      <c r="CJ319" s="162"/>
      <c r="CK319" s="162"/>
      <c r="CL319" s="162"/>
      <c r="CM319" s="162"/>
      <c r="CN319" s="162"/>
      <c r="CO319" s="162">
        <v>0</v>
      </c>
      <c r="CP319" s="162">
        <v>0</v>
      </c>
      <c r="CQ319" s="162">
        <v>0</v>
      </c>
      <c r="CR319" s="162">
        <v>0</v>
      </c>
      <c r="CS319" s="209">
        <f>Q319+S319+U319+W319+Y319+AA319+AC319+AE319+AG319+AI319+AK319+AM319+AO319+AQ319+AS319+AU319+AW319+AY319+BA319+BC319+BE319+BG319+BI319+BK319+BM319+BO319+BQ319+BS319+BU319+BW319+BY319+CA319+CC319+CE319+CG319+CI319+CK319+CM319+CO319+CQ319</f>
        <v>162</v>
      </c>
      <c r="CT319" s="209">
        <f>R319+T319+V319+X319+Z319+AB319+AD319+AF319+AH319+AJ319+AL319+AN319+AP319+AR319+AT319+AV319+AX319+AZ319+BB319+BD319+BF319+BH319+BJ319+BL319+BN319+BP319+BR319+BT319+BV319+BX319+BZ319+CB319+CD319+CF319+CH319+CJ319+CL319+CN319+CP319+CR319</f>
        <v>0</v>
      </c>
      <c r="CU319" s="206" t="s">
        <v>1000</v>
      </c>
      <c r="CV319" s="156"/>
      <c r="CZ319" s="157"/>
      <c r="DA319" s="152">
        <f t="shared" si="327"/>
        <v>162</v>
      </c>
      <c r="DB319" s="152" t="str">
        <f t="shared" si="328"/>
        <v>0</v>
      </c>
      <c r="DC319" s="153"/>
      <c r="DD319" s="158" t="s">
        <v>2212</v>
      </c>
      <c r="DE319" s="156" t="s">
        <v>435</v>
      </c>
      <c r="DF319" s="174" t="s">
        <v>1187</v>
      </c>
      <c r="DG319" s="175" t="s">
        <v>1184</v>
      </c>
      <c r="DH319" s="240" t="s">
        <v>477</v>
      </c>
      <c r="DI319" s="187">
        <v>45940</v>
      </c>
      <c r="DJ319" s="429">
        <v>162</v>
      </c>
      <c r="DK319" s="240" t="s">
        <v>477</v>
      </c>
      <c r="DL319" s="189">
        <v>2180</v>
      </c>
      <c r="DM319" s="181">
        <f t="shared" si="329"/>
        <v>388476.00000000006</v>
      </c>
      <c r="DN319" s="446">
        <f t="shared" si="330"/>
        <v>0.10000000000000016</v>
      </c>
      <c r="DO319" s="160">
        <f t="shared" si="331"/>
        <v>353160</v>
      </c>
      <c r="DP319" s="159">
        <v>45954</v>
      </c>
      <c r="DQ319" s="152">
        <f>SUMIF($I:$I,I319,$DJ:$DJ)</f>
        <v>162</v>
      </c>
      <c r="DR319" s="152">
        <f>SUMIF($I:$I,I319,$DK:$DK)</f>
        <v>0</v>
      </c>
      <c r="EO319" s="152">
        <f>SUMIF($I:$I,I319,$EC:$EC)</f>
        <v>0</v>
      </c>
      <c r="EP319" s="151">
        <f>SUMIF($I:$I,I319,$ED:$ED)</f>
        <v>0</v>
      </c>
      <c r="EQ319" s="153"/>
      <c r="ER319" s="153"/>
      <c r="ES319" s="153"/>
      <c r="ET319" s="153"/>
      <c r="EU319" s="152">
        <f t="shared" si="332"/>
        <v>162</v>
      </c>
      <c r="EV319" s="152">
        <f t="shared" si="333"/>
        <v>0</v>
      </c>
      <c r="EW319" s="152">
        <f t="shared" si="334"/>
        <v>0</v>
      </c>
      <c r="EX319" s="152">
        <f t="shared" si="335"/>
        <v>0</v>
      </c>
      <c r="EY319" s="151" t="str">
        <f t="shared" si="336"/>
        <v>Đủ</v>
      </c>
    </row>
    <row r="320" spans="1:164" s="155" customFormat="1" ht="14" hidden="1" customHeight="1">
      <c r="A320" s="208" t="str">
        <f t="shared" si="325"/>
        <v>Hiện</v>
      </c>
      <c r="B320" s="151" t="str">
        <f t="shared" si="326"/>
        <v>Đủ</v>
      </c>
      <c r="C320" s="409">
        <f t="shared" si="236"/>
        <v>0</v>
      </c>
      <c r="D320" s="154" t="s">
        <v>435</v>
      </c>
      <c r="E320" s="154">
        <f>C320*DL320*1.1</f>
        <v>0</v>
      </c>
      <c r="F320" s="154"/>
      <c r="G320" s="151"/>
      <c r="H320" s="364"/>
      <c r="I320" s="163" t="s">
        <v>760</v>
      </c>
      <c r="J320" s="164" t="s">
        <v>751</v>
      </c>
      <c r="K320" s="171" t="s">
        <v>761</v>
      </c>
      <c r="L320" s="171" t="s">
        <v>753</v>
      </c>
      <c r="M320" s="163" t="s">
        <v>345</v>
      </c>
      <c r="N320" s="173">
        <v>0</v>
      </c>
      <c r="O320" s="419">
        <v>40</v>
      </c>
      <c r="P320" s="205"/>
      <c r="S320" s="161"/>
      <c r="T320" s="162"/>
      <c r="U320" s="162"/>
      <c r="V320" s="162"/>
      <c r="W320" s="162"/>
      <c r="X320" s="162"/>
      <c r="Y320" s="162"/>
      <c r="Z320" s="162"/>
      <c r="AA320" s="162"/>
      <c r="AB320" s="162"/>
      <c r="AC320" s="162"/>
      <c r="AD320" s="162"/>
      <c r="AE320" s="162"/>
      <c r="AF320" s="162"/>
      <c r="AG320" s="162"/>
      <c r="AH320" s="162"/>
      <c r="AI320" s="162"/>
      <c r="AJ320" s="162"/>
      <c r="AK320" s="162">
        <v>50</v>
      </c>
      <c r="AL320" s="162">
        <v>0</v>
      </c>
      <c r="AM320" s="162"/>
      <c r="AN320" s="162"/>
      <c r="AO320" s="162">
        <v>0</v>
      </c>
      <c r="AP320" s="162">
        <v>0</v>
      </c>
      <c r="AQ320" s="162">
        <v>0</v>
      </c>
      <c r="AR320" s="162">
        <v>0</v>
      </c>
      <c r="AS320" s="162">
        <v>0</v>
      </c>
      <c r="AT320" s="162">
        <v>0</v>
      </c>
      <c r="AU320" s="162">
        <v>0</v>
      </c>
      <c r="AV320" s="162">
        <v>0</v>
      </c>
      <c r="AW320" s="162">
        <v>0</v>
      </c>
      <c r="AX320" s="162">
        <v>0</v>
      </c>
      <c r="AY320" s="162">
        <v>0</v>
      </c>
      <c r="AZ320" s="162">
        <v>0</v>
      </c>
      <c r="BA320" s="162"/>
      <c r="BB320" s="162"/>
      <c r="BC320" s="162">
        <v>0</v>
      </c>
      <c r="BD320" s="162">
        <v>0</v>
      </c>
      <c r="BE320" s="162">
        <v>0</v>
      </c>
      <c r="BF320" s="162">
        <v>0</v>
      </c>
      <c r="BG320" s="162">
        <v>0</v>
      </c>
      <c r="BH320" s="162">
        <v>0</v>
      </c>
      <c r="BI320" s="162">
        <v>0</v>
      </c>
      <c r="BJ320" s="162">
        <v>0</v>
      </c>
      <c r="BK320" s="162">
        <v>0</v>
      </c>
      <c r="BL320" s="162">
        <v>0</v>
      </c>
      <c r="BM320" s="162">
        <v>0</v>
      </c>
      <c r="BN320" s="162">
        <v>0</v>
      </c>
      <c r="BO320" s="162"/>
      <c r="BP320" s="162"/>
      <c r="BQ320" s="162">
        <v>0</v>
      </c>
      <c r="BR320" s="162">
        <v>0</v>
      </c>
      <c r="BS320" s="162">
        <v>0</v>
      </c>
      <c r="BT320" s="162">
        <v>0</v>
      </c>
      <c r="BU320" s="162">
        <v>0</v>
      </c>
      <c r="BV320" s="162">
        <v>0</v>
      </c>
      <c r="BW320" s="162"/>
      <c r="BX320" s="162"/>
      <c r="BY320" s="162">
        <v>0</v>
      </c>
      <c r="BZ320" s="162">
        <v>0</v>
      </c>
      <c r="CA320" s="162">
        <v>0</v>
      </c>
      <c r="CB320" s="162">
        <v>0</v>
      </c>
      <c r="CC320" s="162">
        <v>0</v>
      </c>
      <c r="CD320" s="162">
        <v>0</v>
      </c>
      <c r="CE320" s="162">
        <f>VLOOKUP(I320,[120]REV33!$A:$O,11,0)</f>
        <v>0</v>
      </c>
      <c r="CF320" s="162">
        <f>VLOOKUP(I320,[120]REV33!$A:$O,12,0)</f>
        <v>0</v>
      </c>
      <c r="CG320" s="162"/>
      <c r="CH320" s="162"/>
      <c r="CI320" s="162"/>
      <c r="CJ320" s="162"/>
      <c r="CK320" s="162"/>
      <c r="CL320" s="162"/>
      <c r="CM320" s="162"/>
      <c r="CN320" s="162"/>
      <c r="CO320" s="162">
        <v>0</v>
      </c>
      <c r="CP320" s="162">
        <v>0</v>
      </c>
      <c r="CQ320" s="162">
        <v>0</v>
      </c>
      <c r="CR320" s="162">
        <v>0</v>
      </c>
      <c r="CS320" s="209">
        <f>Q320+S320+U320+W320+Y320+AA320+AC320+AE320+AG320+AI320+AK320+AM320+AO320+AQ320+AS320+AU320+AW320+AY320+BA320+BC320+BE320+BG320+BI320+BK320+BM320+BO320+BQ320+BS320+BU320+BW320+BY320+CA320+CC320+CE320+CG320+CI320+CK320+CM320+CO320+CQ320</f>
        <v>50</v>
      </c>
      <c r="CT320" s="209">
        <f>R320+T320+V320+X320+Z320+AB320+AD320+AF320+AH320+AJ320+AL320+AN320+AP320+AR320+AT320+AV320+AX320+AZ320+BB320+BD320+BF320+BH320+BJ320+BL320+BN320+BP320+BR320+BT320+BV320+BX320+BZ320+CB320+CD320+CF320+CH320+CJ320+CL320+CN320+CP320+CR320</f>
        <v>0</v>
      </c>
      <c r="CU320" s="206" t="s">
        <v>1000</v>
      </c>
      <c r="CV320" s="156"/>
      <c r="CZ320" s="157"/>
      <c r="DA320" s="152">
        <f t="shared" si="327"/>
        <v>50</v>
      </c>
      <c r="DB320" s="152" t="str">
        <f t="shared" si="328"/>
        <v>0</v>
      </c>
      <c r="DC320" s="153"/>
      <c r="DD320" s="158" t="s">
        <v>2212</v>
      </c>
      <c r="DE320" s="156" t="s">
        <v>435</v>
      </c>
      <c r="DF320" s="174" t="s">
        <v>1188</v>
      </c>
      <c r="DG320" s="175" t="s">
        <v>1189</v>
      </c>
      <c r="DH320" s="240" t="s">
        <v>477</v>
      </c>
      <c r="DI320" s="187">
        <v>45940</v>
      </c>
      <c r="DJ320" s="429">
        <v>50</v>
      </c>
      <c r="DK320" s="240" t="s">
        <v>477</v>
      </c>
      <c r="DL320" s="189">
        <v>7520</v>
      </c>
      <c r="DM320" s="181">
        <f t="shared" si="329"/>
        <v>413600.00000000006</v>
      </c>
      <c r="DN320" s="446">
        <f t="shared" si="330"/>
        <v>0.10000000000000016</v>
      </c>
      <c r="DO320" s="160">
        <f t="shared" si="331"/>
        <v>376000</v>
      </c>
      <c r="DP320" s="159">
        <v>45954</v>
      </c>
      <c r="DQ320" s="152">
        <f>SUMIF($I:$I,I320,$DJ:$DJ)</f>
        <v>50</v>
      </c>
      <c r="DR320" s="152">
        <f>SUMIF($I:$I,I320,$DK:$DK)</f>
        <v>0</v>
      </c>
      <c r="EO320" s="152">
        <f>SUMIF($I:$I,I320,$EC:$EC)</f>
        <v>0</v>
      </c>
      <c r="EP320" s="151">
        <f>SUMIF($I:$I,I320,$ED:$ED)</f>
        <v>0</v>
      </c>
      <c r="EQ320" s="153"/>
      <c r="ER320" s="153"/>
      <c r="ES320" s="153"/>
      <c r="ET320" s="153"/>
      <c r="EU320" s="152">
        <f t="shared" si="332"/>
        <v>50</v>
      </c>
      <c r="EV320" s="152">
        <f t="shared" si="333"/>
        <v>0</v>
      </c>
      <c r="EW320" s="152">
        <f t="shared" si="334"/>
        <v>0</v>
      </c>
      <c r="EX320" s="152">
        <f t="shared" si="335"/>
        <v>0</v>
      </c>
      <c r="EY320" s="151" t="str">
        <f t="shared" si="336"/>
        <v>Đủ</v>
      </c>
    </row>
    <row r="321" spans="1:155" s="155" customFormat="1" ht="14" hidden="1" customHeight="1">
      <c r="A321" s="208" t="str">
        <f t="shared" si="325"/>
        <v>Hiện</v>
      </c>
      <c r="B321" s="151" t="str">
        <f t="shared" si="326"/>
        <v>Đủ</v>
      </c>
      <c r="C321" s="409">
        <f t="shared" si="236"/>
        <v>0</v>
      </c>
      <c r="D321" s="154" t="s">
        <v>435</v>
      </c>
      <c r="E321" s="154">
        <f>C321*DL321*1.1</f>
        <v>0</v>
      </c>
      <c r="F321" s="154"/>
      <c r="G321" s="151"/>
      <c r="H321" s="364"/>
      <c r="I321" s="163" t="s">
        <v>762</v>
      </c>
      <c r="J321" s="164" t="s">
        <v>751</v>
      </c>
      <c r="K321" s="171" t="s">
        <v>763</v>
      </c>
      <c r="L321" s="171" t="s">
        <v>753</v>
      </c>
      <c r="M321" s="163" t="s">
        <v>345</v>
      </c>
      <c r="N321" s="173">
        <v>0</v>
      </c>
      <c r="O321" s="419">
        <v>2588</v>
      </c>
      <c r="P321" s="205"/>
      <c r="S321" s="161"/>
      <c r="T321" s="162"/>
      <c r="U321" s="162"/>
      <c r="V321" s="162"/>
      <c r="W321" s="162"/>
      <c r="X321" s="162"/>
      <c r="Y321" s="162"/>
      <c r="Z321" s="162"/>
      <c r="AA321" s="162"/>
      <c r="AB321" s="162"/>
      <c r="AC321" s="162"/>
      <c r="AD321" s="162"/>
      <c r="AE321" s="162"/>
      <c r="AF321" s="162"/>
      <c r="AG321" s="162"/>
      <c r="AH321" s="162"/>
      <c r="AI321" s="162"/>
      <c r="AJ321" s="162"/>
      <c r="AK321" s="162">
        <v>2736</v>
      </c>
      <c r="AL321" s="162">
        <v>0</v>
      </c>
      <c r="AM321" s="162"/>
      <c r="AN321" s="162"/>
      <c r="AO321" s="162">
        <v>0</v>
      </c>
      <c r="AP321" s="162">
        <v>0</v>
      </c>
      <c r="AQ321" s="162">
        <v>0</v>
      </c>
      <c r="AR321" s="162">
        <v>0</v>
      </c>
      <c r="AS321" s="162">
        <v>0</v>
      </c>
      <c r="AT321" s="162">
        <v>0</v>
      </c>
      <c r="AU321" s="162">
        <v>0</v>
      </c>
      <c r="AV321" s="162">
        <v>0</v>
      </c>
      <c r="AW321" s="162">
        <v>0</v>
      </c>
      <c r="AX321" s="162">
        <v>0</v>
      </c>
      <c r="AY321" s="162">
        <v>0</v>
      </c>
      <c r="AZ321" s="162">
        <v>0</v>
      </c>
      <c r="BA321" s="162"/>
      <c r="BB321" s="162"/>
      <c r="BC321" s="162">
        <v>0</v>
      </c>
      <c r="BD321" s="162">
        <v>0</v>
      </c>
      <c r="BE321" s="162">
        <v>0</v>
      </c>
      <c r="BF321" s="162">
        <v>0</v>
      </c>
      <c r="BG321" s="162">
        <v>0</v>
      </c>
      <c r="BH321" s="162">
        <v>0</v>
      </c>
      <c r="BI321" s="162">
        <v>0</v>
      </c>
      <c r="BJ321" s="162">
        <v>0</v>
      </c>
      <c r="BK321" s="162">
        <v>0</v>
      </c>
      <c r="BL321" s="162">
        <v>0</v>
      </c>
      <c r="BM321" s="162">
        <v>0</v>
      </c>
      <c r="BN321" s="162">
        <v>0</v>
      </c>
      <c r="BO321" s="162"/>
      <c r="BP321" s="162"/>
      <c r="BQ321" s="162">
        <v>0</v>
      </c>
      <c r="BR321" s="162">
        <v>0</v>
      </c>
      <c r="BS321" s="162">
        <v>0</v>
      </c>
      <c r="BT321" s="162">
        <v>0</v>
      </c>
      <c r="BU321" s="162">
        <v>0</v>
      </c>
      <c r="BV321" s="162">
        <v>0</v>
      </c>
      <c r="BW321" s="162"/>
      <c r="BX321" s="162"/>
      <c r="BY321" s="162">
        <v>0</v>
      </c>
      <c r="BZ321" s="162">
        <v>0</v>
      </c>
      <c r="CA321" s="162">
        <v>0</v>
      </c>
      <c r="CB321" s="162">
        <v>0</v>
      </c>
      <c r="CC321" s="162">
        <v>0</v>
      </c>
      <c r="CD321" s="162">
        <v>0</v>
      </c>
      <c r="CE321" s="162">
        <f>VLOOKUP(I321,[120]REV33!$A:$O,11,0)</f>
        <v>0</v>
      </c>
      <c r="CF321" s="162">
        <f>VLOOKUP(I321,[120]REV33!$A:$O,12,0)</f>
        <v>0</v>
      </c>
      <c r="CG321" s="162"/>
      <c r="CH321" s="162"/>
      <c r="CI321" s="162"/>
      <c r="CJ321" s="162"/>
      <c r="CK321" s="162"/>
      <c r="CL321" s="162"/>
      <c r="CM321" s="162"/>
      <c r="CN321" s="162"/>
      <c r="CO321" s="162">
        <v>0</v>
      </c>
      <c r="CP321" s="162">
        <v>0</v>
      </c>
      <c r="CQ321" s="162">
        <v>0</v>
      </c>
      <c r="CR321" s="162">
        <v>0</v>
      </c>
      <c r="CS321" s="209">
        <f>Q321+S321+U321+W321+Y321+AA321+AC321+AE321+AG321+AI321+AK321+AM321+AO321+AQ321+AS321+AU321+AW321+AY321+BA321+BC321+BE321+BG321+BI321+BK321+BM321+BO321+BQ321+BS321+BU321+BW321+BY321+CA321+CC321+CE321+CG321+CI321+CK321+CM321+CO321+CQ321</f>
        <v>2736</v>
      </c>
      <c r="CT321" s="209">
        <f>R321+T321+V321+X321+Z321+AB321+AD321+AF321+AH321+AJ321+AL321+AN321+AP321+AR321+AT321+AV321+AX321+AZ321+BB321+BD321+BF321+BH321+BJ321+BL321+BN321+BP321+BR321+BT321+BV321+BX321+BZ321+CB321+CD321+CF321+CH321+CJ321+CL321+CN321+CP321+CR321</f>
        <v>0</v>
      </c>
      <c r="CU321" s="206" t="s">
        <v>1000</v>
      </c>
      <c r="CV321" s="156"/>
      <c r="CZ321" s="157"/>
      <c r="DA321" s="152">
        <f t="shared" si="327"/>
        <v>2736</v>
      </c>
      <c r="DB321" s="152" t="str">
        <f t="shared" si="328"/>
        <v>0</v>
      </c>
      <c r="DC321" s="153"/>
      <c r="DD321" s="158" t="s">
        <v>2212</v>
      </c>
      <c r="DE321" s="156" t="s">
        <v>435</v>
      </c>
      <c r="DF321" s="174" t="s">
        <v>1190</v>
      </c>
      <c r="DG321" s="175" t="s">
        <v>1191</v>
      </c>
      <c r="DH321" s="240" t="s">
        <v>477</v>
      </c>
      <c r="DI321" s="187">
        <v>45940</v>
      </c>
      <c r="DJ321" s="429">
        <v>2736</v>
      </c>
      <c r="DK321" s="240" t="s">
        <v>477</v>
      </c>
      <c r="DL321" s="189">
        <v>4820</v>
      </c>
      <c r="DM321" s="181">
        <f t="shared" si="329"/>
        <v>14506272.000000002</v>
      </c>
      <c r="DN321" s="446">
        <f t="shared" si="330"/>
        <v>0.10000000000000014</v>
      </c>
      <c r="DO321" s="160">
        <f t="shared" si="331"/>
        <v>13187520</v>
      </c>
      <c r="DP321" s="159">
        <v>45954</v>
      </c>
      <c r="DQ321" s="152">
        <f>SUMIF($I:$I,I321,$DJ:$DJ)</f>
        <v>2736</v>
      </c>
      <c r="DR321" s="152">
        <f>SUMIF($I:$I,I321,$DK:$DK)</f>
        <v>0</v>
      </c>
      <c r="EO321" s="152">
        <f>SUMIF($I:$I,I321,$EC:$EC)</f>
        <v>0</v>
      </c>
      <c r="EP321" s="151">
        <f>SUMIF($I:$I,I321,$ED:$ED)</f>
        <v>0</v>
      </c>
      <c r="EQ321" s="153"/>
      <c r="ER321" s="153"/>
      <c r="ES321" s="153"/>
      <c r="ET321" s="153"/>
      <c r="EU321" s="152">
        <f t="shared" si="332"/>
        <v>2736</v>
      </c>
      <c r="EV321" s="152">
        <f t="shared" si="333"/>
        <v>0</v>
      </c>
      <c r="EW321" s="152">
        <f t="shared" si="334"/>
        <v>0</v>
      </c>
      <c r="EX321" s="152">
        <f t="shared" si="335"/>
        <v>0</v>
      </c>
      <c r="EY321" s="151" t="str">
        <f t="shared" si="336"/>
        <v>Đủ</v>
      </c>
    </row>
    <row r="322" spans="1:155" s="155" customFormat="1" ht="14" hidden="1" customHeight="1">
      <c r="A322" s="208" t="str">
        <f t="shared" si="325"/>
        <v>Hiện</v>
      </c>
      <c r="B322" s="151" t="str">
        <f t="shared" si="326"/>
        <v>Đủ</v>
      </c>
      <c r="C322" s="409">
        <f t="shared" si="236"/>
        <v>0</v>
      </c>
      <c r="D322" s="154" t="s">
        <v>435</v>
      </c>
      <c r="E322" s="154">
        <f>C322*DL322*1.1</f>
        <v>0</v>
      </c>
      <c r="F322" s="154"/>
      <c r="G322" s="151"/>
      <c r="H322" s="364"/>
      <c r="I322" s="163" t="s">
        <v>764</v>
      </c>
      <c r="J322" s="164" t="s">
        <v>751</v>
      </c>
      <c r="K322" s="171" t="s">
        <v>765</v>
      </c>
      <c r="L322" s="171" t="s">
        <v>753</v>
      </c>
      <c r="M322" s="163" t="s">
        <v>345</v>
      </c>
      <c r="N322" s="173">
        <v>0</v>
      </c>
      <c r="O322" s="419">
        <v>136</v>
      </c>
      <c r="P322" s="205"/>
      <c r="S322" s="161"/>
      <c r="T322" s="162"/>
      <c r="U322" s="162"/>
      <c r="V322" s="162"/>
      <c r="W322" s="162"/>
      <c r="X322" s="162"/>
      <c r="Y322" s="162"/>
      <c r="Z322" s="162"/>
      <c r="AA322" s="162"/>
      <c r="AB322" s="162"/>
      <c r="AC322" s="162"/>
      <c r="AD322" s="162"/>
      <c r="AE322" s="162"/>
      <c r="AF322" s="162"/>
      <c r="AG322" s="162"/>
      <c r="AH322" s="162"/>
      <c r="AI322" s="162"/>
      <c r="AJ322" s="162"/>
      <c r="AK322" s="162">
        <v>160</v>
      </c>
      <c r="AL322" s="162">
        <v>0</v>
      </c>
      <c r="AM322" s="162"/>
      <c r="AN322" s="162"/>
      <c r="AO322" s="162">
        <v>0</v>
      </c>
      <c r="AP322" s="162">
        <v>0</v>
      </c>
      <c r="AQ322" s="162">
        <v>0</v>
      </c>
      <c r="AR322" s="162">
        <v>0</v>
      </c>
      <c r="AS322" s="162">
        <v>0</v>
      </c>
      <c r="AT322" s="162">
        <v>0</v>
      </c>
      <c r="AU322" s="162">
        <v>0</v>
      </c>
      <c r="AV322" s="162">
        <v>0</v>
      </c>
      <c r="AW322" s="162">
        <v>0</v>
      </c>
      <c r="AX322" s="162">
        <v>0</v>
      </c>
      <c r="AY322" s="162">
        <v>0</v>
      </c>
      <c r="AZ322" s="162">
        <v>0</v>
      </c>
      <c r="BA322" s="162"/>
      <c r="BB322" s="162"/>
      <c r="BC322" s="162">
        <v>0</v>
      </c>
      <c r="BD322" s="162">
        <v>0</v>
      </c>
      <c r="BE322" s="162">
        <v>0</v>
      </c>
      <c r="BF322" s="162">
        <v>0</v>
      </c>
      <c r="BG322" s="162">
        <v>0</v>
      </c>
      <c r="BH322" s="162">
        <v>0</v>
      </c>
      <c r="BI322" s="162">
        <v>0</v>
      </c>
      <c r="BJ322" s="162">
        <v>0</v>
      </c>
      <c r="BK322" s="162">
        <v>0</v>
      </c>
      <c r="BL322" s="162">
        <v>0</v>
      </c>
      <c r="BM322" s="162">
        <v>0</v>
      </c>
      <c r="BN322" s="162">
        <v>0</v>
      </c>
      <c r="BO322" s="162"/>
      <c r="BP322" s="162"/>
      <c r="BQ322" s="162">
        <v>0</v>
      </c>
      <c r="BR322" s="162">
        <v>0</v>
      </c>
      <c r="BS322" s="162">
        <v>0</v>
      </c>
      <c r="BT322" s="162">
        <v>0</v>
      </c>
      <c r="BU322" s="162">
        <v>0</v>
      </c>
      <c r="BV322" s="162">
        <v>0</v>
      </c>
      <c r="BW322" s="162"/>
      <c r="BX322" s="162"/>
      <c r="BY322" s="162">
        <v>0</v>
      </c>
      <c r="BZ322" s="162">
        <v>0</v>
      </c>
      <c r="CA322" s="162">
        <v>0</v>
      </c>
      <c r="CB322" s="162">
        <v>0</v>
      </c>
      <c r="CC322" s="162">
        <v>0</v>
      </c>
      <c r="CD322" s="162">
        <v>0</v>
      </c>
      <c r="CE322" s="162">
        <f>VLOOKUP(I322,[120]REV33!$A:$O,11,0)</f>
        <v>0</v>
      </c>
      <c r="CF322" s="162">
        <f>VLOOKUP(I322,[120]REV33!$A:$O,12,0)</f>
        <v>0</v>
      </c>
      <c r="CG322" s="162"/>
      <c r="CH322" s="162"/>
      <c r="CI322" s="162"/>
      <c r="CJ322" s="162"/>
      <c r="CK322" s="162"/>
      <c r="CL322" s="162"/>
      <c r="CM322" s="162"/>
      <c r="CN322" s="162"/>
      <c r="CO322" s="162">
        <v>0</v>
      </c>
      <c r="CP322" s="162">
        <v>0</v>
      </c>
      <c r="CQ322" s="162">
        <v>0</v>
      </c>
      <c r="CR322" s="162">
        <v>0</v>
      </c>
      <c r="CS322" s="209">
        <f>Q322+S322+U322+W322+Y322+AA322+AC322+AE322+AG322+AI322+AK322+AM322+AO322+AQ322+AS322+AU322+AW322+AY322+BA322+BC322+BE322+BG322+BI322+BK322+BM322+BO322+BQ322+BS322+BU322+BW322+BY322+CA322+CC322+CE322+CG322+CI322+CK322+CM322+CO322+CQ322</f>
        <v>160</v>
      </c>
      <c r="CT322" s="209">
        <f>R322+T322+V322+X322+Z322+AB322+AD322+AF322+AH322+AJ322+AL322+AN322+AP322+AR322+AT322+AV322+AX322+AZ322+BB322+BD322+BF322+BH322+BJ322+BL322+BN322+BP322+BR322+BT322+BV322+BX322+BZ322+CB322+CD322+CF322+CH322+CJ322+CL322+CN322+CP322+CR322</f>
        <v>0</v>
      </c>
      <c r="CU322" s="206" t="s">
        <v>1000</v>
      </c>
      <c r="CV322" s="156"/>
      <c r="CZ322" s="157"/>
      <c r="DA322" s="152">
        <f t="shared" si="327"/>
        <v>160</v>
      </c>
      <c r="DB322" s="152" t="str">
        <f t="shared" si="328"/>
        <v>0</v>
      </c>
      <c r="DC322" s="153"/>
      <c r="DD322" s="158" t="s">
        <v>2212</v>
      </c>
      <c r="DE322" s="156" t="s">
        <v>435</v>
      </c>
      <c r="DF322" s="174" t="s">
        <v>1192</v>
      </c>
      <c r="DG322" s="175" t="s">
        <v>1184</v>
      </c>
      <c r="DH322" s="240" t="s">
        <v>477</v>
      </c>
      <c r="DI322" s="187">
        <v>45940</v>
      </c>
      <c r="DJ322" s="429">
        <v>160</v>
      </c>
      <c r="DK322" s="240" t="s">
        <v>477</v>
      </c>
      <c r="DL322" s="189">
        <v>3140</v>
      </c>
      <c r="DM322" s="181">
        <f t="shared" si="329"/>
        <v>552640</v>
      </c>
      <c r="DN322" s="446">
        <f t="shared" si="330"/>
        <v>0.1</v>
      </c>
      <c r="DO322" s="160">
        <f t="shared" si="331"/>
        <v>502400</v>
      </c>
      <c r="DP322" s="159">
        <v>45954</v>
      </c>
      <c r="DQ322" s="152">
        <f>SUMIF($I:$I,I322,$DJ:$DJ)</f>
        <v>160</v>
      </c>
      <c r="DR322" s="152">
        <f>SUMIF($I:$I,I322,$DK:$DK)</f>
        <v>0</v>
      </c>
      <c r="EO322" s="152">
        <f>SUMIF($I:$I,I322,$EC:$EC)</f>
        <v>0</v>
      </c>
      <c r="EP322" s="151">
        <f>SUMIF($I:$I,I322,$ED:$ED)</f>
        <v>0</v>
      </c>
      <c r="EQ322" s="153"/>
      <c r="ER322" s="153"/>
      <c r="ES322" s="153"/>
      <c r="ET322" s="153"/>
      <c r="EU322" s="152">
        <f t="shared" si="332"/>
        <v>160</v>
      </c>
      <c r="EV322" s="152">
        <f t="shared" si="333"/>
        <v>0</v>
      </c>
      <c r="EW322" s="152">
        <f t="shared" si="334"/>
        <v>0</v>
      </c>
      <c r="EX322" s="152">
        <f t="shared" si="335"/>
        <v>0</v>
      </c>
      <c r="EY322" s="151" t="str">
        <f t="shared" si="336"/>
        <v>Đủ</v>
      </c>
    </row>
    <row r="323" spans="1:155" s="155" customFormat="1" ht="14" customHeight="1">
      <c r="A323" s="208" t="str">
        <f t="shared" si="325"/>
        <v>Hiện</v>
      </c>
      <c r="B323" s="151" t="str">
        <f t="shared" si="326"/>
        <v>Thiếu</v>
      </c>
      <c r="C323" s="409">
        <f t="shared" si="236"/>
        <v>70</v>
      </c>
      <c r="D323" s="154" t="s">
        <v>435</v>
      </c>
      <c r="E323" s="154">
        <f>C323*DL323*1.1</f>
        <v>241780.00000000003</v>
      </c>
      <c r="F323" s="154"/>
      <c r="G323" s="151"/>
      <c r="H323" s="364"/>
      <c r="I323" s="163" t="s">
        <v>766</v>
      </c>
      <c r="J323" s="164" t="s">
        <v>751</v>
      </c>
      <c r="K323" s="171" t="s">
        <v>767</v>
      </c>
      <c r="L323" s="171" t="s">
        <v>753</v>
      </c>
      <c r="M323" s="163" t="s">
        <v>345</v>
      </c>
      <c r="N323" s="173">
        <v>0</v>
      </c>
      <c r="O323" s="419">
        <v>28</v>
      </c>
      <c r="P323" s="205"/>
      <c r="S323" s="161"/>
      <c r="T323" s="162"/>
      <c r="U323" s="162"/>
      <c r="V323" s="162"/>
      <c r="W323" s="162"/>
      <c r="X323" s="162"/>
      <c r="Y323" s="162"/>
      <c r="Z323" s="162"/>
      <c r="AA323" s="162"/>
      <c r="AB323" s="162"/>
      <c r="AC323" s="162"/>
      <c r="AD323" s="162"/>
      <c r="AE323" s="162"/>
      <c r="AF323" s="162"/>
      <c r="AG323" s="162"/>
      <c r="AH323" s="162"/>
      <c r="AI323" s="162"/>
      <c r="AJ323" s="162"/>
      <c r="AK323" s="162">
        <v>42</v>
      </c>
      <c r="AL323" s="162">
        <v>0</v>
      </c>
      <c r="AM323" s="162"/>
      <c r="AN323" s="162"/>
      <c r="AO323" s="162">
        <v>0</v>
      </c>
      <c r="AP323" s="162">
        <v>0</v>
      </c>
      <c r="AQ323" s="162">
        <v>0</v>
      </c>
      <c r="AR323" s="162">
        <v>0</v>
      </c>
      <c r="AS323" s="162">
        <v>0</v>
      </c>
      <c r="AT323" s="162">
        <v>0</v>
      </c>
      <c r="AU323" s="162">
        <v>0</v>
      </c>
      <c r="AV323" s="162">
        <v>0</v>
      </c>
      <c r="AW323" s="162">
        <v>0</v>
      </c>
      <c r="AX323" s="162">
        <v>0</v>
      </c>
      <c r="AY323" s="162">
        <v>0</v>
      </c>
      <c r="AZ323" s="162">
        <v>0</v>
      </c>
      <c r="BA323" s="162"/>
      <c r="BB323" s="162"/>
      <c r="BC323" s="162">
        <v>0</v>
      </c>
      <c r="BD323" s="162">
        <v>0</v>
      </c>
      <c r="BE323" s="162">
        <v>0</v>
      </c>
      <c r="BF323" s="162">
        <v>0</v>
      </c>
      <c r="BG323" s="162">
        <v>0</v>
      </c>
      <c r="BH323" s="162">
        <v>0</v>
      </c>
      <c r="BI323" s="162">
        <v>0</v>
      </c>
      <c r="BJ323" s="162">
        <v>0</v>
      </c>
      <c r="BK323" s="162">
        <v>0</v>
      </c>
      <c r="BL323" s="162">
        <v>0</v>
      </c>
      <c r="BM323" s="162">
        <v>0</v>
      </c>
      <c r="BN323" s="162">
        <v>0</v>
      </c>
      <c r="BO323" s="162"/>
      <c r="BP323" s="162"/>
      <c r="BQ323" s="162">
        <v>0</v>
      </c>
      <c r="BR323" s="162">
        <v>0</v>
      </c>
      <c r="BS323" s="162">
        <v>0</v>
      </c>
      <c r="BT323" s="162">
        <v>0</v>
      </c>
      <c r="BU323" s="162">
        <v>0</v>
      </c>
      <c r="BV323" s="162">
        <v>0</v>
      </c>
      <c r="BW323" s="162"/>
      <c r="BX323" s="162"/>
      <c r="BY323" s="162">
        <v>0</v>
      </c>
      <c r="BZ323" s="162">
        <v>0</v>
      </c>
      <c r="CA323" s="162">
        <v>0</v>
      </c>
      <c r="CB323" s="162">
        <v>0</v>
      </c>
      <c r="CC323" s="162">
        <v>0</v>
      </c>
      <c r="CD323" s="162">
        <v>0</v>
      </c>
      <c r="CE323" s="162">
        <f>VLOOKUP(I323,[120]REV33!$A:$O,11,0)</f>
        <v>0</v>
      </c>
      <c r="CF323" s="162">
        <f>VLOOKUP(I323,[120]REV33!$A:$O,12,0)</f>
        <v>0</v>
      </c>
      <c r="CG323" s="162"/>
      <c r="CH323" s="162"/>
      <c r="CI323" s="162"/>
      <c r="CJ323" s="162"/>
      <c r="CK323" s="162"/>
      <c r="CL323" s="162"/>
      <c r="CM323" s="162"/>
      <c r="CN323" s="162"/>
      <c r="CO323" s="162">
        <v>70</v>
      </c>
      <c r="CP323" s="162">
        <v>0</v>
      </c>
      <c r="CQ323" s="162">
        <v>0</v>
      </c>
      <c r="CR323" s="162">
        <v>0</v>
      </c>
      <c r="CS323" s="209">
        <f>Q323+S323+U323+W323+Y323+AA323+AC323+AE323+AG323+AI323+AK323+AM323+AO323+AQ323+AS323+AU323+AW323+AY323+BA323+BC323+BE323+BG323+BI323+BK323+BM323+BO323+BQ323+BS323+BU323+BW323+BY323+CA323+CC323+CE323+CG323+CI323+CK323+CM323+CO323+CQ323</f>
        <v>112</v>
      </c>
      <c r="CT323" s="209">
        <f>R323+T323+V323+X323+Z323+AB323+AD323+AF323+AH323+AJ323+AL323+AN323+AP323+AR323+AT323+AV323+AX323+AZ323+BB323+BD323+BF323+BH323+BJ323+BL323+BN323+BP323+BR323+BT323+BV323+BX323+BZ323+CB323+CD323+CF323+CH323+CJ323+CL323+CN323+CP323+CR323</f>
        <v>0</v>
      </c>
      <c r="CU323" s="206" t="s">
        <v>2599</v>
      </c>
      <c r="CV323" s="156"/>
      <c r="CZ323" s="157"/>
      <c r="DA323" s="152">
        <f t="shared" si="327"/>
        <v>112</v>
      </c>
      <c r="DB323" s="152" t="str">
        <f t="shared" si="328"/>
        <v>0</v>
      </c>
      <c r="DC323" s="153"/>
      <c r="DD323" s="158" t="s">
        <v>2212</v>
      </c>
      <c r="DE323" s="156" t="s">
        <v>435</v>
      </c>
      <c r="DF323" s="174" t="s">
        <v>1192</v>
      </c>
      <c r="DG323" s="175" t="s">
        <v>1184</v>
      </c>
      <c r="DH323" s="240" t="s">
        <v>477</v>
      </c>
      <c r="DI323" s="187">
        <v>45940</v>
      </c>
      <c r="DJ323" s="429">
        <v>42</v>
      </c>
      <c r="DK323" s="240" t="s">
        <v>477</v>
      </c>
      <c r="DL323" s="189">
        <v>3140</v>
      </c>
      <c r="DM323" s="181">
        <f t="shared" si="329"/>
        <v>145068</v>
      </c>
      <c r="DN323" s="446">
        <f t="shared" si="330"/>
        <v>0.1</v>
      </c>
      <c r="DO323" s="160">
        <f t="shared" si="331"/>
        <v>131880</v>
      </c>
      <c r="DP323" s="159">
        <v>45954</v>
      </c>
      <c r="DQ323" s="152">
        <f>SUMIF($I:$I,I323,$DJ:$DJ)</f>
        <v>42</v>
      </c>
      <c r="DR323" s="152">
        <f>SUMIF($I:$I,I323,$DK:$DK)</f>
        <v>0</v>
      </c>
      <c r="EO323" s="152">
        <f>SUMIF($I:$I,I323,$EC:$EC)</f>
        <v>0</v>
      </c>
      <c r="EP323" s="151">
        <f>SUMIF($I:$I,I323,$ED:$ED)</f>
        <v>0</v>
      </c>
      <c r="EQ323" s="153"/>
      <c r="ER323" s="153"/>
      <c r="ES323" s="153"/>
      <c r="ET323" s="153"/>
      <c r="EU323" s="152">
        <f t="shared" si="332"/>
        <v>42</v>
      </c>
      <c r="EV323" s="152">
        <f t="shared" si="333"/>
        <v>0</v>
      </c>
      <c r="EW323" s="152">
        <f t="shared" si="334"/>
        <v>70</v>
      </c>
      <c r="EX323" s="152">
        <f t="shared" si="335"/>
        <v>0</v>
      </c>
      <c r="EY323" s="151" t="str">
        <f t="shared" si="336"/>
        <v>Thiếu</v>
      </c>
    </row>
    <row r="324" spans="1:155" s="155" customFormat="1" ht="14" hidden="1" customHeight="1">
      <c r="A324" s="208" t="str">
        <f t="shared" si="325"/>
        <v>Hiện</v>
      </c>
      <c r="B324" s="151" t="str">
        <f t="shared" si="326"/>
        <v>Đủ</v>
      </c>
      <c r="C324" s="409">
        <f t="shared" si="236"/>
        <v>0</v>
      </c>
      <c r="D324" s="154" t="s">
        <v>435</v>
      </c>
      <c r="E324" s="154">
        <f>C324*DL324*1.1</f>
        <v>0</v>
      </c>
      <c r="F324" s="154"/>
      <c r="G324" s="151"/>
      <c r="H324" s="364"/>
      <c r="I324" s="163" t="s">
        <v>768</v>
      </c>
      <c r="J324" s="164" t="s">
        <v>751</v>
      </c>
      <c r="K324" s="171" t="s">
        <v>769</v>
      </c>
      <c r="L324" s="171" t="s">
        <v>753</v>
      </c>
      <c r="M324" s="163" t="s">
        <v>345</v>
      </c>
      <c r="N324" s="173">
        <v>0</v>
      </c>
      <c r="O324" s="419">
        <v>320</v>
      </c>
      <c r="P324" s="205"/>
      <c r="S324" s="161"/>
      <c r="T324" s="162"/>
      <c r="U324" s="162"/>
      <c r="V324" s="162"/>
      <c r="W324" s="162"/>
      <c r="X324" s="162"/>
      <c r="Y324" s="162"/>
      <c r="Z324" s="162"/>
      <c r="AA324" s="162"/>
      <c r="AB324" s="162"/>
      <c r="AC324" s="162"/>
      <c r="AD324" s="162"/>
      <c r="AE324" s="162"/>
      <c r="AF324" s="162"/>
      <c r="AG324" s="162"/>
      <c r="AH324" s="162"/>
      <c r="AI324" s="162"/>
      <c r="AJ324" s="162"/>
      <c r="AK324" s="162">
        <v>340</v>
      </c>
      <c r="AL324" s="162">
        <v>0</v>
      </c>
      <c r="AM324" s="162"/>
      <c r="AN324" s="162"/>
      <c r="AO324" s="162">
        <v>0</v>
      </c>
      <c r="AP324" s="162">
        <v>0</v>
      </c>
      <c r="AQ324" s="162">
        <v>0</v>
      </c>
      <c r="AR324" s="162">
        <v>0</v>
      </c>
      <c r="AS324" s="162">
        <v>0</v>
      </c>
      <c r="AT324" s="162">
        <v>0</v>
      </c>
      <c r="AU324" s="162">
        <v>0</v>
      </c>
      <c r="AV324" s="162">
        <v>0</v>
      </c>
      <c r="AW324" s="162">
        <v>0</v>
      </c>
      <c r="AX324" s="162">
        <v>0</v>
      </c>
      <c r="AY324" s="162">
        <v>0</v>
      </c>
      <c r="AZ324" s="162">
        <v>0</v>
      </c>
      <c r="BA324" s="162"/>
      <c r="BB324" s="162"/>
      <c r="BC324" s="162">
        <v>0</v>
      </c>
      <c r="BD324" s="162">
        <v>0</v>
      </c>
      <c r="BE324" s="162">
        <v>0</v>
      </c>
      <c r="BF324" s="162">
        <v>0</v>
      </c>
      <c r="BG324" s="162">
        <v>0</v>
      </c>
      <c r="BH324" s="162">
        <v>0</v>
      </c>
      <c r="BI324" s="162">
        <v>0</v>
      </c>
      <c r="BJ324" s="162">
        <v>0</v>
      </c>
      <c r="BK324" s="162">
        <v>0</v>
      </c>
      <c r="BL324" s="162">
        <v>0</v>
      </c>
      <c r="BM324" s="162">
        <v>0</v>
      </c>
      <c r="BN324" s="162">
        <v>0</v>
      </c>
      <c r="BO324" s="162"/>
      <c r="BP324" s="162"/>
      <c r="BQ324" s="162">
        <v>0</v>
      </c>
      <c r="BR324" s="162">
        <v>0</v>
      </c>
      <c r="BS324" s="162">
        <v>0</v>
      </c>
      <c r="BT324" s="162">
        <v>0</v>
      </c>
      <c r="BU324" s="162">
        <v>0</v>
      </c>
      <c r="BV324" s="162">
        <v>0</v>
      </c>
      <c r="BW324" s="162"/>
      <c r="BX324" s="162"/>
      <c r="BY324" s="162">
        <v>0</v>
      </c>
      <c r="BZ324" s="162">
        <v>0</v>
      </c>
      <c r="CA324" s="162">
        <v>0</v>
      </c>
      <c r="CB324" s="162">
        <v>0</v>
      </c>
      <c r="CC324" s="162">
        <v>0</v>
      </c>
      <c r="CD324" s="162">
        <v>0</v>
      </c>
      <c r="CE324" s="162">
        <f>VLOOKUP(I324,[120]REV33!$A:$O,11,0)</f>
        <v>0</v>
      </c>
      <c r="CF324" s="162">
        <f>VLOOKUP(I324,[120]REV33!$A:$O,12,0)</f>
        <v>0</v>
      </c>
      <c r="CG324" s="162"/>
      <c r="CH324" s="162"/>
      <c r="CI324" s="162"/>
      <c r="CJ324" s="162"/>
      <c r="CK324" s="162"/>
      <c r="CL324" s="162"/>
      <c r="CM324" s="162"/>
      <c r="CN324" s="162"/>
      <c r="CO324" s="162">
        <v>0</v>
      </c>
      <c r="CP324" s="162">
        <v>0</v>
      </c>
      <c r="CQ324" s="162">
        <v>0</v>
      </c>
      <c r="CR324" s="162">
        <v>0</v>
      </c>
      <c r="CS324" s="209">
        <f>Q324+S324+U324+W324+Y324+AA324+AC324+AE324+AG324+AI324+AK324+AM324+AO324+AQ324+AS324+AU324+AW324+AY324+BA324+BC324+BE324+BG324+BI324+BK324+BM324+BO324+BQ324+BS324+BU324+BW324+BY324+CA324+CC324+CE324+CG324+CI324+CK324+CM324+CO324+CQ324</f>
        <v>340</v>
      </c>
      <c r="CT324" s="209">
        <f>R324+T324+V324+X324+Z324+AB324+AD324+AF324+AH324+AJ324+AL324+AN324+AP324+AR324+AT324+AV324+AX324+AZ324+BB324+BD324+BF324+BH324+BJ324+BL324+BN324+BP324+BR324+BT324+BV324+BX324+BZ324+CB324+CD324+CF324+CH324+CJ324+CL324+CN324+CP324+CR324</f>
        <v>0</v>
      </c>
      <c r="CU324" s="206" t="s">
        <v>1000</v>
      </c>
      <c r="CV324" s="156"/>
      <c r="CZ324" s="157"/>
      <c r="DA324" s="152">
        <f t="shared" si="327"/>
        <v>340</v>
      </c>
      <c r="DB324" s="152" t="str">
        <f t="shared" si="328"/>
        <v>0</v>
      </c>
      <c r="DC324" s="153"/>
      <c r="DD324" s="158" t="s">
        <v>2212</v>
      </c>
      <c r="DE324" s="156" t="s">
        <v>435</v>
      </c>
      <c r="DF324" s="174" t="s">
        <v>1193</v>
      </c>
      <c r="DG324" s="175" t="s">
        <v>1184</v>
      </c>
      <c r="DH324" s="240" t="s">
        <v>477</v>
      </c>
      <c r="DI324" s="187">
        <v>45940</v>
      </c>
      <c r="DJ324" s="429">
        <v>340</v>
      </c>
      <c r="DK324" s="240" t="s">
        <v>477</v>
      </c>
      <c r="DL324" s="189">
        <v>3640</v>
      </c>
      <c r="DM324" s="181">
        <f t="shared" si="329"/>
        <v>1361360</v>
      </c>
      <c r="DN324" s="446">
        <f t="shared" si="330"/>
        <v>0.1</v>
      </c>
      <c r="DO324" s="160">
        <f t="shared" si="331"/>
        <v>1237600</v>
      </c>
      <c r="DP324" s="159">
        <v>45954</v>
      </c>
      <c r="DQ324" s="152">
        <f>SUMIF($I:$I,I324,$DJ:$DJ)</f>
        <v>340</v>
      </c>
      <c r="DR324" s="152">
        <f>SUMIF($I:$I,I324,$DK:$DK)</f>
        <v>0</v>
      </c>
      <c r="EO324" s="152">
        <f>SUMIF($I:$I,I324,$EC:$EC)</f>
        <v>0</v>
      </c>
      <c r="EP324" s="151">
        <f>SUMIF($I:$I,I324,$ED:$ED)</f>
        <v>0</v>
      </c>
      <c r="EQ324" s="153"/>
      <c r="ER324" s="153"/>
      <c r="ES324" s="153"/>
      <c r="ET324" s="153"/>
      <c r="EU324" s="152">
        <f t="shared" si="332"/>
        <v>340</v>
      </c>
      <c r="EV324" s="152">
        <f t="shared" si="333"/>
        <v>0</v>
      </c>
      <c r="EW324" s="152">
        <f t="shared" si="334"/>
        <v>0</v>
      </c>
      <c r="EX324" s="152">
        <f t="shared" si="335"/>
        <v>0</v>
      </c>
      <c r="EY324" s="151" t="str">
        <f t="shared" si="336"/>
        <v>Đủ</v>
      </c>
    </row>
    <row r="325" spans="1:155" s="155" customFormat="1" ht="14" hidden="1" customHeight="1">
      <c r="A325" s="208" t="str">
        <f t="shared" si="325"/>
        <v>Hiện</v>
      </c>
      <c r="B325" s="151" t="str">
        <f t="shared" si="326"/>
        <v>Đủ</v>
      </c>
      <c r="C325" s="409">
        <f t="shared" si="236"/>
        <v>0</v>
      </c>
      <c r="D325" s="154" t="s">
        <v>435</v>
      </c>
      <c r="E325" s="154">
        <f>C325*DL325*1.1</f>
        <v>0</v>
      </c>
      <c r="F325" s="154"/>
      <c r="G325" s="151"/>
      <c r="H325" s="364"/>
      <c r="I325" s="163" t="s">
        <v>770</v>
      </c>
      <c r="J325" s="164" t="s">
        <v>751</v>
      </c>
      <c r="K325" s="171" t="s">
        <v>771</v>
      </c>
      <c r="L325" s="171" t="s">
        <v>753</v>
      </c>
      <c r="M325" s="163" t="s">
        <v>345</v>
      </c>
      <c r="N325" s="173">
        <v>0</v>
      </c>
      <c r="O325" s="419">
        <v>56</v>
      </c>
      <c r="P325" s="205"/>
      <c r="S325" s="161"/>
      <c r="T325" s="162"/>
      <c r="U325" s="162"/>
      <c r="V325" s="162"/>
      <c r="W325" s="162"/>
      <c r="X325" s="162"/>
      <c r="Y325" s="162"/>
      <c r="Z325" s="162"/>
      <c r="AA325" s="162"/>
      <c r="AB325" s="162"/>
      <c r="AC325" s="162"/>
      <c r="AD325" s="162"/>
      <c r="AE325" s="162"/>
      <c r="AF325" s="162"/>
      <c r="AG325" s="162"/>
      <c r="AH325" s="162"/>
      <c r="AI325" s="162"/>
      <c r="AJ325" s="162"/>
      <c r="AK325" s="162">
        <v>64</v>
      </c>
      <c r="AL325" s="162">
        <v>0</v>
      </c>
      <c r="AM325" s="162"/>
      <c r="AN325" s="162"/>
      <c r="AO325" s="162">
        <v>0</v>
      </c>
      <c r="AP325" s="162">
        <v>0</v>
      </c>
      <c r="AQ325" s="162">
        <v>0</v>
      </c>
      <c r="AR325" s="162">
        <v>0</v>
      </c>
      <c r="AS325" s="162">
        <v>0</v>
      </c>
      <c r="AT325" s="162">
        <v>0</v>
      </c>
      <c r="AU325" s="162">
        <v>0</v>
      </c>
      <c r="AV325" s="162">
        <v>0</v>
      </c>
      <c r="AW325" s="162">
        <v>0</v>
      </c>
      <c r="AX325" s="162">
        <v>0</v>
      </c>
      <c r="AY325" s="162">
        <v>0</v>
      </c>
      <c r="AZ325" s="162">
        <v>0</v>
      </c>
      <c r="BA325" s="162"/>
      <c r="BB325" s="162"/>
      <c r="BC325" s="162">
        <v>0</v>
      </c>
      <c r="BD325" s="162">
        <v>0</v>
      </c>
      <c r="BE325" s="162">
        <v>0</v>
      </c>
      <c r="BF325" s="162">
        <v>0</v>
      </c>
      <c r="BG325" s="162">
        <v>0</v>
      </c>
      <c r="BH325" s="162">
        <v>0</v>
      </c>
      <c r="BI325" s="162">
        <v>0</v>
      </c>
      <c r="BJ325" s="162">
        <v>0</v>
      </c>
      <c r="BK325" s="162">
        <v>0</v>
      </c>
      <c r="BL325" s="162">
        <v>0</v>
      </c>
      <c r="BM325" s="162">
        <v>0</v>
      </c>
      <c r="BN325" s="162">
        <v>0</v>
      </c>
      <c r="BO325" s="162"/>
      <c r="BP325" s="162"/>
      <c r="BQ325" s="162">
        <v>0</v>
      </c>
      <c r="BR325" s="162">
        <v>0</v>
      </c>
      <c r="BS325" s="162">
        <v>0</v>
      </c>
      <c r="BT325" s="162">
        <v>0</v>
      </c>
      <c r="BU325" s="162">
        <v>0</v>
      </c>
      <c r="BV325" s="162">
        <v>0</v>
      </c>
      <c r="BW325" s="162"/>
      <c r="BX325" s="162"/>
      <c r="BY325" s="162">
        <v>0</v>
      </c>
      <c r="BZ325" s="162">
        <v>0</v>
      </c>
      <c r="CA325" s="162">
        <v>0</v>
      </c>
      <c r="CB325" s="162">
        <v>0</v>
      </c>
      <c r="CC325" s="162">
        <v>0</v>
      </c>
      <c r="CD325" s="162">
        <v>0</v>
      </c>
      <c r="CE325" s="162">
        <f>VLOOKUP(I325,[120]REV33!$A:$O,11,0)</f>
        <v>0</v>
      </c>
      <c r="CF325" s="162">
        <f>VLOOKUP(I325,[120]REV33!$A:$O,12,0)</f>
        <v>0</v>
      </c>
      <c r="CG325" s="162"/>
      <c r="CH325" s="162"/>
      <c r="CI325" s="162"/>
      <c r="CJ325" s="162"/>
      <c r="CK325" s="162"/>
      <c r="CL325" s="162"/>
      <c r="CM325" s="162"/>
      <c r="CN325" s="162"/>
      <c r="CO325" s="162">
        <v>0</v>
      </c>
      <c r="CP325" s="162">
        <v>0</v>
      </c>
      <c r="CQ325" s="162">
        <v>0</v>
      </c>
      <c r="CR325" s="162">
        <v>0</v>
      </c>
      <c r="CS325" s="209">
        <f>Q325+S325+U325+W325+Y325+AA325+AC325+AE325+AG325+AI325+AK325+AM325+AO325+AQ325+AS325+AU325+AW325+AY325+BA325+BC325+BE325+BG325+BI325+BK325+BM325+BO325+BQ325+BS325+BU325+BW325+BY325+CA325+CC325+CE325+CG325+CI325+CK325+CM325+CO325+CQ325</f>
        <v>64</v>
      </c>
      <c r="CT325" s="209">
        <f>R325+T325+V325+X325+Z325+AB325+AD325+AF325+AH325+AJ325+AL325+AN325+AP325+AR325+AT325+AV325+AX325+AZ325+BB325+BD325+BF325+BH325+BJ325+BL325+BN325+BP325+BR325+BT325+BV325+BX325+BZ325+CB325+CD325+CF325+CH325+CJ325+CL325+CN325+CP325+CR325</f>
        <v>0</v>
      </c>
      <c r="CU325" s="206" t="s">
        <v>1000</v>
      </c>
      <c r="CV325" s="156"/>
      <c r="CZ325" s="157"/>
      <c r="DA325" s="152">
        <f t="shared" si="327"/>
        <v>64</v>
      </c>
      <c r="DB325" s="152" t="str">
        <f t="shared" si="328"/>
        <v>0</v>
      </c>
      <c r="DC325" s="153"/>
      <c r="DD325" s="158" t="s">
        <v>2212</v>
      </c>
      <c r="DE325" s="156" t="s">
        <v>435</v>
      </c>
      <c r="DF325" s="174" t="s">
        <v>1193</v>
      </c>
      <c r="DG325" s="175" t="s">
        <v>1184</v>
      </c>
      <c r="DH325" s="240" t="s">
        <v>477</v>
      </c>
      <c r="DI325" s="187">
        <v>45940</v>
      </c>
      <c r="DJ325" s="429">
        <v>64</v>
      </c>
      <c r="DK325" s="240" t="s">
        <v>477</v>
      </c>
      <c r="DL325" s="189">
        <v>3640</v>
      </c>
      <c r="DM325" s="181">
        <f t="shared" si="329"/>
        <v>256256.00000000003</v>
      </c>
      <c r="DN325" s="446">
        <f t="shared" si="330"/>
        <v>0.10000000000000013</v>
      </c>
      <c r="DO325" s="160">
        <f t="shared" si="331"/>
        <v>232960</v>
      </c>
      <c r="DP325" s="159">
        <v>45954</v>
      </c>
      <c r="DQ325" s="152">
        <f>SUMIF($I:$I,I325,$DJ:$DJ)</f>
        <v>64</v>
      </c>
      <c r="DR325" s="152">
        <f>SUMIF($I:$I,I325,$DK:$DK)</f>
        <v>0</v>
      </c>
      <c r="EO325" s="152">
        <f>SUMIF($I:$I,I325,$EC:$EC)</f>
        <v>0</v>
      </c>
      <c r="EP325" s="151">
        <f>SUMIF($I:$I,I325,$ED:$ED)</f>
        <v>0</v>
      </c>
      <c r="EQ325" s="153"/>
      <c r="ER325" s="153"/>
      <c r="ES325" s="153"/>
      <c r="ET325" s="153"/>
      <c r="EU325" s="152">
        <f t="shared" si="332"/>
        <v>64</v>
      </c>
      <c r="EV325" s="152">
        <f t="shared" si="333"/>
        <v>0</v>
      </c>
      <c r="EW325" s="152">
        <f t="shared" si="334"/>
        <v>0</v>
      </c>
      <c r="EX325" s="152">
        <f t="shared" si="335"/>
        <v>0</v>
      </c>
      <c r="EY325" s="151" t="str">
        <f t="shared" si="336"/>
        <v>Đủ</v>
      </c>
    </row>
    <row r="326" spans="1:155" s="155" customFormat="1" ht="14" hidden="1" customHeight="1">
      <c r="A326" s="208" t="str">
        <f t="shared" si="325"/>
        <v>Hiện</v>
      </c>
      <c r="B326" s="151" t="str">
        <f t="shared" si="326"/>
        <v>Đủ</v>
      </c>
      <c r="C326" s="409">
        <f t="shared" si="236"/>
        <v>0</v>
      </c>
      <c r="D326" s="154" t="s">
        <v>435</v>
      </c>
      <c r="E326" s="154">
        <f>C326*DL326*1.1</f>
        <v>0</v>
      </c>
      <c r="F326" s="154"/>
      <c r="G326" s="151"/>
      <c r="H326" s="364"/>
      <c r="I326" s="163" t="s">
        <v>772</v>
      </c>
      <c r="J326" s="164" t="s">
        <v>751</v>
      </c>
      <c r="K326" s="171" t="s">
        <v>773</v>
      </c>
      <c r="L326" s="171" t="s">
        <v>753</v>
      </c>
      <c r="M326" s="163" t="s">
        <v>345</v>
      </c>
      <c r="N326" s="173">
        <v>0</v>
      </c>
      <c r="O326" s="419">
        <v>80</v>
      </c>
      <c r="P326" s="205"/>
      <c r="S326" s="161"/>
      <c r="T326" s="162"/>
      <c r="U326" s="162"/>
      <c r="V326" s="162"/>
      <c r="W326" s="162"/>
      <c r="X326" s="162"/>
      <c r="Y326" s="162"/>
      <c r="Z326" s="162"/>
      <c r="AA326" s="162"/>
      <c r="AB326" s="162"/>
      <c r="AC326" s="162"/>
      <c r="AD326" s="162"/>
      <c r="AE326" s="162"/>
      <c r="AF326" s="162"/>
      <c r="AG326" s="162"/>
      <c r="AH326" s="162"/>
      <c r="AI326" s="162"/>
      <c r="AJ326" s="162"/>
      <c r="AK326" s="162">
        <v>90</v>
      </c>
      <c r="AL326" s="162">
        <v>0</v>
      </c>
      <c r="AM326" s="162"/>
      <c r="AN326" s="162"/>
      <c r="AO326" s="162">
        <v>0</v>
      </c>
      <c r="AP326" s="162">
        <v>0</v>
      </c>
      <c r="AQ326" s="162">
        <v>0</v>
      </c>
      <c r="AR326" s="162">
        <v>0</v>
      </c>
      <c r="AS326" s="162">
        <v>0</v>
      </c>
      <c r="AT326" s="162">
        <v>0</v>
      </c>
      <c r="AU326" s="162">
        <v>0</v>
      </c>
      <c r="AV326" s="162">
        <v>0</v>
      </c>
      <c r="AW326" s="162">
        <v>0</v>
      </c>
      <c r="AX326" s="162">
        <v>0</v>
      </c>
      <c r="AY326" s="162">
        <v>0</v>
      </c>
      <c r="AZ326" s="162">
        <v>0</v>
      </c>
      <c r="BA326" s="162"/>
      <c r="BB326" s="162"/>
      <c r="BC326" s="162">
        <v>0</v>
      </c>
      <c r="BD326" s="162">
        <v>0</v>
      </c>
      <c r="BE326" s="162">
        <v>0</v>
      </c>
      <c r="BF326" s="162">
        <v>0</v>
      </c>
      <c r="BG326" s="162">
        <v>0</v>
      </c>
      <c r="BH326" s="162">
        <v>0</v>
      </c>
      <c r="BI326" s="162">
        <v>0</v>
      </c>
      <c r="BJ326" s="162">
        <v>0</v>
      </c>
      <c r="BK326" s="162">
        <v>0</v>
      </c>
      <c r="BL326" s="162">
        <v>0</v>
      </c>
      <c r="BM326" s="162">
        <v>0</v>
      </c>
      <c r="BN326" s="162">
        <v>0</v>
      </c>
      <c r="BO326" s="162"/>
      <c r="BP326" s="162"/>
      <c r="BQ326" s="162">
        <v>0</v>
      </c>
      <c r="BR326" s="162">
        <v>0</v>
      </c>
      <c r="BS326" s="162">
        <v>0</v>
      </c>
      <c r="BT326" s="162">
        <v>0</v>
      </c>
      <c r="BU326" s="162">
        <v>0</v>
      </c>
      <c r="BV326" s="162">
        <v>0</v>
      </c>
      <c r="BW326" s="162"/>
      <c r="BX326" s="162"/>
      <c r="BY326" s="162">
        <v>0</v>
      </c>
      <c r="BZ326" s="162">
        <v>0</v>
      </c>
      <c r="CA326" s="162">
        <v>0</v>
      </c>
      <c r="CB326" s="162">
        <v>0</v>
      </c>
      <c r="CC326" s="162">
        <v>0</v>
      </c>
      <c r="CD326" s="162">
        <v>0</v>
      </c>
      <c r="CE326" s="162">
        <f>VLOOKUP(I326,[120]REV33!$A:$O,11,0)</f>
        <v>0</v>
      </c>
      <c r="CF326" s="162">
        <f>VLOOKUP(I326,[120]REV33!$A:$O,12,0)</f>
        <v>0</v>
      </c>
      <c r="CG326" s="162"/>
      <c r="CH326" s="162"/>
      <c r="CI326" s="162"/>
      <c r="CJ326" s="162"/>
      <c r="CK326" s="162"/>
      <c r="CL326" s="162"/>
      <c r="CM326" s="162"/>
      <c r="CN326" s="162"/>
      <c r="CO326" s="162">
        <v>0</v>
      </c>
      <c r="CP326" s="162">
        <v>0</v>
      </c>
      <c r="CQ326" s="162">
        <v>0</v>
      </c>
      <c r="CR326" s="162">
        <v>0</v>
      </c>
      <c r="CS326" s="209">
        <f>Q326+S326+U326+W326+Y326+AA326+AC326+AE326+AG326+AI326+AK326+AM326+AO326+AQ326+AS326+AU326+AW326+AY326+BA326+BC326+BE326+BG326+BI326+BK326+BM326+BO326+BQ326+BS326+BU326+BW326+BY326+CA326+CC326+CE326+CG326+CI326+CK326+CM326+CO326+CQ326</f>
        <v>90</v>
      </c>
      <c r="CT326" s="209">
        <f>R326+T326+V326+X326+Z326+AB326+AD326+AF326+AH326+AJ326+AL326+AN326+AP326+AR326+AT326+AV326+AX326+AZ326+BB326+BD326+BF326+BH326+BJ326+BL326+BN326+BP326+BR326+BT326+BV326+BX326+BZ326+CB326+CD326+CF326+CH326+CJ326+CL326+CN326+CP326+CR326</f>
        <v>0</v>
      </c>
      <c r="CU326" s="206" t="s">
        <v>1000</v>
      </c>
      <c r="CV326" s="156"/>
      <c r="CZ326" s="157"/>
      <c r="DA326" s="152">
        <f t="shared" si="327"/>
        <v>90</v>
      </c>
      <c r="DB326" s="152" t="str">
        <f t="shared" si="328"/>
        <v>0</v>
      </c>
      <c r="DC326" s="153"/>
      <c r="DD326" s="158" t="s">
        <v>2212</v>
      </c>
      <c r="DE326" s="156" t="s">
        <v>435</v>
      </c>
      <c r="DF326" s="174" t="s">
        <v>1194</v>
      </c>
      <c r="DG326" s="175" t="s">
        <v>1189</v>
      </c>
      <c r="DH326" s="240" t="s">
        <v>477</v>
      </c>
      <c r="DI326" s="187">
        <v>45940</v>
      </c>
      <c r="DJ326" s="429">
        <v>90</v>
      </c>
      <c r="DK326" s="240" t="s">
        <v>477</v>
      </c>
      <c r="DL326" s="189">
        <v>13650</v>
      </c>
      <c r="DM326" s="181">
        <f t="shared" si="329"/>
        <v>1351350</v>
      </c>
      <c r="DN326" s="446">
        <f t="shared" si="330"/>
        <v>0.1</v>
      </c>
      <c r="DO326" s="160">
        <f t="shared" si="331"/>
        <v>1228500</v>
      </c>
      <c r="DP326" s="159">
        <v>45954</v>
      </c>
      <c r="DQ326" s="152">
        <f>SUMIF($I:$I,I326,$DJ:$DJ)</f>
        <v>90</v>
      </c>
      <c r="DR326" s="152">
        <f>SUMIF($I:$I,I326,$DK:$DK)</f>
        <v>0</v>
      </c>
      <c r="EO326" s="152">
        <f>SUMIF($I:$I,I326,$EC:$EC)</f>
        <v>0</v>
      </c>
      <c r="EP326" s="151">
        <f>SUMIF($I:$I,I326,$ED:$ED)</f>
        <v>0</v>
      </c>
      <c r="EQ326" s="153"/>
      <c r="ER326" s="153"/>
      <c r="ES326" s="153"/>
      <c r="ET326" s="153"/>
      <c r="EU326" s="152">
        <f t="shared" si="332"/>
        <v>90</v>
      </c>
      <c r="EV326" s="152">
        <f t="shared" si="333"/>
        <v>0</v>
      </c>
      <c r="EW326" s="152">
        <f t="shared" si="334"/>
        <v>0</v>
      </c>
      <c r="EX326" s="152">
        <f t="shared" si="335"/>
        <v>0</v>
      </c>
      <c r="EY326" s="151" t="str">
        <f t="shared" si="336"/>
        <v>Đủ</v>
      </c>
    </row>
    <row r="327" spans="1:155" s="155" customFormat="1" ht="14" hidden="1" customHeight="1">
      <c r="A327" s="208" t="str">
        <f t="shared" si="325"/>
        <v>Hiện</v>
      </c>
      <c r="B327" s="151" t="str">
        <f t="shared" si="326"/>
        <v>Đủ</v>
      </c>
      <c r="C327" s="409">
        <f t="shared" si="236"/>
        <v>0</v>
      </c>
      <c r="D327" s="154" t="s">
        <v>435</v>
      </c>
      <c r="E327" s="154">
        <f>C327*DL327*1.1</f>
        <v>0</v>
      </c>
      <c r="F327" s="154"/>
      <c r="G327" s="151"/>
      <c r="H327" s="364"/>
      <c r="I327" s="163" t="s">
        <v>774</v>
      </c>
      <c r="J327" s="164" t="s">
        <v>751</v>
      </c>
      <c r="K327" s="171" t="s">
        <v>775</v>
      </c>
      <c r="L327" s="171" t="s">
        <v>753</v>
      </c>
      <c r="M327" s="163" t="s">
        <v>345</v>
      </c>
      <c r="N327" s="173">
        <v>0</v>
      </c>
      <c r="O327" s="419">
        <v>40</v>
      </c>
      <c r="P327" s="205"/>
      <c r="S327" s="161"/>
      <c r="T327" s="162"/>
      <c r="U327" s="162"/>
      <c r="V327" s="162"/>
      <c r="W327" s="162"/>
      <c r="X327" s="162"/>
      <c r="Y327" s="162"/>
      <c r="Z327" s="162"/>
      <c r="AA327" s="162"/>
      <c r="AB327" s="162"/>
      <c r="AC327" s="162"/>
      <c r="AD327" s="162"/>
      <c r="AE327" s="162"/>
      <c r="AF327" s="162"/>
      <c r="AG327" s="162"/>
      <c r="AH327" s="162"/>
      <c r="AI327" s="162"/>
      <c r="AJ327" s="162"/>
      <c r="AK327" s="162">
        <v>50</v>
      </c>
      <c r="AL327" s="162">
        <v>0</v>
      </c>
      <c r="AM327" s="162"/>
      <c r="AN327" s="162"/>
      <c r="AO327" s="162">
        <v>0</v>
      </c>
      <c r="AP327" s="162">
        <v>0</v>
      </c>
      <c r="AQ327" s="162">
        <v>0</v>
      </c>
      <c r="AR327" s="162">
        <v>0</v>
      </c>
      <c r="AS327" s="162">
        <v>0</v>
      </c>
      <c r="AT327" s="162">
        <v>0</v>
      </c>
      <c r="AU327" s="162">
        <v>0</v>
      </c>
      <c r="AV327" s="162">
        <v>0</v>
      </c>
      <c r="AW327" s="162">
        <v>0</v>
      </c>
      <c r="AX327" s="162">
        <v>0</v>
      </c>
      <c r="AY327" s="162">
        <v>0</v>
      </c>
      <c r="AZ327" s="162">
        <v>0</v>
      </c>
      <c r="BA327" s="162"/>
      <c r="BB327" s="162"/>
      <c r="BC327" s="162">
        <v>0</v>
      </c>
      <c r="BD327" s="162">
        <v>0</v>
      </c>
      <c r="BE327" s="162">
        <v>0</v>
      </c>
      <c r="BF327" s="162">
        <v>0</v>
      </c>
      <c r="BG327" s="162">
        <v>0</v>
      </c>
      <c r="BH327" s="162">
        <v>0</v>
      </c>
      <c r="BI327" s="162">
        <v>0</v>
      </c>
      <c r="BJ327" s="162">
        <v>0</v>
      </c>
      <c r="BK327" s="162">
        <v>0</v>
      </c>
      <c r="BL327" s="162">
        <v>0</v>
      </c>
      <c r="BM327" s="162">
        <v>0</v>
      </c>
      <c r="BN327" s="162">
        <v>0</v>
      </c>
      <c r="BO327" s="162"/>
      <c r="BP327" s="162"/>
      <c r="BQ327" s="162">
        <v>0</v>
      </c>
      <c r="BR327" s="162">
        <v>0</v>
      </c>
      <c r="BS327" s="162">
        <v>0</v>
      </c>
      <c r="BT327" s="162">
        <v>0</v>
      </c>
      <c r="BU327" s="162">
        <v>0</v>
      </c>
      <c r="BV327" s="162">
        <v>0</v>
      </c>
      <c r="BW327" s="162"/>
      <c r="BX327" s="162"/>
      <c r="BY327" s="162">
        <v>0</v>
      </c>
      <c r="BZ327" s="162">
        <v>0</v>
      </c>
      <c r="CA327" s="162">
        <v>0</v>
      </c>
      <c r="CB327" s="162">
        <v>0</v>
      </c>
      <c r="CC327" s="162">
        <v>0</v>
      </c>
      <c r="CD327" s="162">
        <v>0</v>
      </c>
      <c r="CE327" s="162">
        <f>VLOOKUP(I327,[120]REV33!$A:$O,11,0)</f>
        <v>0</v>
      </c>
      <c r="CF327" s="162">
        <f>VLOOKUP(I327,[120]REV33!$A:$O,12,0)</f>
        <v>0</v>
      </c>
      <c r="CG327" s="162"/>
      <c r="CH327" s="162"/>
      <c r="CI327" s="162"/>
      <c r="CJ327" s="162"/>
      <c r="CK327" s="162"/>
      <c r="CL327" s="162"/>
      <c r="CM327" s="162"/>
      <c r="CN327" s="162"/>
      <c r="CO327" s="162">
        <v>0</v>
      </c>
      <c r="CP327" s="162">
        <v>0</v>
      </c>
      <c r="CQ327" s="162">
        <v>0</v>
      </c>
      <c r="CR327" s="162">
        <v>0</v>
      </c>
      <c r="CS327" s="209">
        <f>Q327+S327+U327+W327+Y327+AA327+AC327+AE327+AG327+AI327+AK327+AM327+AO327+AQ327+AS327+AU327+AW327+AY327+BA327+BC327+BE327+BG327+BI327+BK327+BM327+BO327+BQ327+BS327+BU327+BW327+BY327+CA327+CC327+CE327+CG327+CI327+CK327+CM327+CO327+CQ327</f>
        <v>50</v>
      </c>
      <c r="CT327" s="209">
        <f>R327+T327+V327+X327+Z327+AB327+AD327+AF327+AH327+AJ327+AL327+AN327+AP327+AR327+AT327+AV327+AX327+AZ327+BB327+BD327+BF327+BH327+BJ327+BL327+BN327+BP327+BR327+BT327+BV327+BX327+BZ327+CB327+CD327+CF327+CH327+CJ327+CL327+CN327+CP327+CR327</f>
        <v>0</v>
      </c>
      <c r="CU327" s="206" t="s">
        <v>1000</v>
      </c>
      <c r="CV327" s="156"/>
      <c r="CZ327" s="157"/>
      <c r="DA327" s="152">
        <f t="shared" si="327"/>
        <v>50</v>
      </c>
      <c r="DB327" s="152" t="str">
        <f t="shared" si="328"/>
        <v>0</v>
      </c>
      <c r="DC327" s="153"/>
      <c r="DD327" s="158" t="s">
        <v>2212</v>
      </c>
      <c r="DE327" s="156" t="s">
        <v>435</v>
      </c>
      <c r="DF327" s="174" t="s">
        <v>1195</v>
      </c>
      <c r="DG327" s="175" t="s">
        <v>1184</v>
      </c>
      <c r="DH327" s="240" t="s">
        <v>477</v>
      </c>
      <c r="DI327" s="187">
        <v>45940</v>
      </c>
      <c r="DJ327" s="429">
        <v>50</v>
      </c>
      <c r="DK327" s="240" t="s">
        <v>477</v>
      </c>
      <c r="DL327" s="189">
        <v>7210</v>
      </c>
      <c r="DM327" s="181">
        <f t="shared" si="329"/>
        <v>396550.00000000006</v>
      </c>
      <c r="DN327" s="446">
        <f t="shared" si="330"/>
        <v>0.10000000000000016</v>
      </c>
      <c r="DO327" s="160">
        <f t="shared" si="331"/>
        <v>360500</v>
      </c>
      <c r="DP327" s="159">
        <v>45954</v>
      </c>
      <c r="DQ327" s="152">
        <f>SUMIF($I:$I,I327,$DJ:$DJ)</f>
        <v>50</v>
      </c>
      <c r="DR327" s="152">
        <f>SUMIF($I:$I,I327,$DK:$DK)</f>
        <v>0</v>
      </c>
      <c r="EO327" s="152">
        <f>SUMIF($I:$I,I327,$EC:$EC)</f>
        <v>0</v>
      </c>
      <c r="EP327" s="151">
        <f>SUMIF($I:$I,I327,$ED:$ED)</f>
        <v>0</v>
      </c>
      <c r="EQ327" s="153"/>
      <c r="ER327" s="153"/>
      <c r="ES327" s="153"/>
      <c r="ET327" s="153"/>
      <c r="EU327" s="152">
        <f t="shared" si="332"/>
        <v>50</v>
      </c>
      <c r="EV327" s="152">
        <f t="shared" si="333"/>
        <v>0</v>
      </c>
      <c r="EW327" s="152">
        <f t="shared" si="334"/>
        <v>0</v>
      </c>
      <c r="EX327" s="152">
        <f t="shared" si="335"/>
        <v>0</v>
      </c>
      <c r="EY327" s="151" t="str">
        <f t="shared" si="336"/>
        <v>Đủ</v>
      </c>
    </row>
    <row r="328" spans="1:155" s="155" customFormat="1" ht="14" hidden="1" customHeight="1">
      <c r="A328" s="208" t="str">
        <f t="shared" si="325"/>
        <v>Hiện</v>
      </c>
      <c r="B328" s="151" t="str">
        <f t="shared" si="326"/>
        <v>Đủ</v>
      </c>
      <c r="C328" s="409">
        <f t="shared" si="236"/>
        <v>0</v>
      </c>
      <c r="D328" s="154" t="s">
        <v>435</v>
      </c>
      <c r="E328" s="154">
        <f>C328*DL328*1.1</f>
        <v>0</v>
      </c>
      <c r="F328" s="154"/>
      <c r="G328" s="151"/>
      <c r="H328" s="364"/>
      <c r="I328" s="163" t="s">
        <v>776</v>
      </c>
      <c r="J328" s="164" t="s">
        <v>751</v>
      </c>
      <c r="K328" s="171" t="s">
        <v>777</v>
      </c>
      <c r="L328" s="171" t="s">
        <v>753</v>
      </c>
      <c r="M328" s="163" t="s">
        <v>345</v>
      </c>
      <c r="N328" s="173">
        <v>0</v>
      </c>
      <c r="O328" s="419">
        <v>3108</v>
      </c>
      <c r="P328" s="205"/>
      <c r="S328" s="161"/>
      <c r="T328" s="162"/>
      <c r="U328" s="162"/>
      <c r="V328" s="162"/>
      <c r="W328" s="162"/>
      <c r="X328" s="162"/>
      <c r="Y328" s="162"/>
      <c r="Z328" s="162"/>
      <c r="AA328" s="162"/>
      <c r="AB328" s="162"/>
      <c r="AC328" s="162"/>
      <c r="AD328" s="162"/>
      <c r="AE328" s="162"/>
      <c r="AF328" s="162"/>
      <c r="AG328" s="162"/>
      <c r="AH328" s="162"/>
      <c r="AI328" s="162"/>
      <c r="AJ328" s="162"/>
      <c r="AK328" s="162">
        <v>3268</v>
      </c>
      <c r="AL328" s="162">
        <v>0</v>
      </c>
      <c r="AM328" s="162"/>
      <c r="AN328" s="162"/>
      <c r="AO328" s="162">
        <v>0</v>
      </c>
      <c r="AP328" s="162">
        <v>0</v>
      </c>
      <c r="AQ328" s="162">
        <v>0</v>
      </c>
      <c r="AR328" s="162">
        <v>0</v>
      </c>
      <c r="AS328" s="162">
        <v>0</v>
      </c>
      <c r="AT328" s="162">
        <v>0</v>
      </c>
      <c r="AU328" s="162">
        <v>0</v>
      </c>
      <c r="AV328" s="162">
        <v>0</v>
      </c>
      <c r="AW328" s="162">
        <v>0</v>
      </c>
      <c r="AX328" s="162">
        <v>0</v>
      </c>
      <c r="AY328" s="162">
        <v>0</v>
      </c>
      <c r="AZ328" s="162">
        <v>0</v>
      </c>
      <c r="BA328" s="162"/>
      <c r="BB328" s="162"/>
      <c r="BC328" s="162">
        <v>0</v>
      </c>
      <c r="BD328" s="162">
        <v>0</v>
      </c>
      <c r="BE328" s="162">
        <v>0</v>
      </c>
      <c r="BF328" s="162">
        <v>0</v>
      </c>
      <c r="BG328" s="162">
        <v>0</v>
      </c>
      <c r="BH328" s="162">
        <v>0</v>
      </c>
      <c r="BI328" s="162">
        <v>0</v>
      </c>
      <c r="BJ328" s="162">
        <v>0</v>
      </c>
      <c r="BK328" s="162">
        <v>0</v>
      </c>
      <c r="BL328" s="162">
        <v>0</v>
      </c>
      <c r="BM328" s="162">
        <v>0</v>
      </c>
      <c r="BN328" s="162">
        <v>0</v>
      </c>
      <c r="BO328" s="162"/>
      <c r="BP328" s="162"/>
      <c r="BQ328" s="162">
        <v>0</v>
      </c>
      <c r="BR328" s="162">
        <v>0</v>
      </c>
      <c r="BS328" s="162">
        <v>0</v>
      </c>
      <c r="BT328" s="162">
        <v>0</v>
      </c>
      <c r="BU328" s="162">
        <v>0</v>
      </c>
      <c r="BV328" s="162">
        <v>0</v>
      </c>
      <c r="BW328" s="162"/>
      <c r="BX328" s="162"/>
      <c r="BY328" s="162">
        <v>0</v>
      </c>
      <c r="BZ328" s="162">
        <v>0</v>
      </c>
      <c r="CA328" s="162">
        <v>0</v>
      </c>
      <c r="CB328" s="162">
        <v>0</v>
      </c>
      <c r="CC328" s="162">
        <v>0</v>
      </c>
      <c r="CD328" s="162">
        <v>0</v>
      </c>
      <c r="CE328" s="162">
        <f>VLOOKUP(I328,[120]REV33!$A:$O,11,0)</f>
        <v>0</v>
      </c>
      <c r="CF328" s="162">
        <f>VLOOKUP(I328,[120]REV33!$A:$O,12,0)</f>
        <v>0</v>
      </c>
      <c r="CG328" s="162"/>
      <c r="CH328" s="162"/>
      <c r="CI328" s="162"/>
      <c r="CJ328" s="162"/>
      <c r="CK328" s="162"/>
      <c r="CL328" s="162"/>
      <c r="CM328" s="162"/>
      <c r="CN328" s="162"/>
      <c r="CO328" s="162">
        <v>0</v>
      </c>
      <c r="CP328" s="162">
        <v>0</v>
      </c>
      <c r="CQ328" s="162">
        <v>0</v>
      </c>
      <c r="CR328" s="162">
        <v>0</v>
      </c>
      <c r="CS328" s="209">
        <f>Q328+S328+U328+W328+Y328+AA328+AC328+AE328+AG328+AI328+AK328+AM328+AO328+AQ328+AS328+AU328+AW328+AY328+BA328+BC328+BE328+BG328+BI328+BK328+BM328+BO328+BQ328+BS328+BU328+BW328+BY328+CA328+CC328+CE328+CG328+CI328+CK328+CM328+CO328+CQ328</f>
        <v>3268</v>
      </c>
      <c r="CT328" s="209">
        <f>R328+T328+V328+X328+Z328+AB328+AD328+AF328+AH328+AJ328+AL328+AN328+AP328+AR328+AT328+AV328+AX328+AZ328+BB328+BD328+BF328+BH328+BJ328+BL328+BN328+BP328+BR328+BT328+BV328+BX328+BZ328+CB328+CD328+CF328+CH328+CJ328+CL328+CN328+CP328+CR328</f>
        <v>0</v>
      </c>
      <c r="CU328" s="206" t="s">
        <v>1000</v>
      </c>
      <c r="CV328" s="156"/>
      <c r="CZ328" s="157"/>
      <c r="DA328" s="152">
        <f t="shared" si="327"/>
        <v>3268</v>
      </c>
      <c r="DB328" s="152" t="str">
        <f t="shared" si="328"/>
        <v>0</v>
      </c>
      <c r="DC328" s="153"/>
      <c r="DD328" s="158" t="s">
        <v>2212</v>
      </c>
      <c r="DE328" s="156" t="s">
        <v>435</v>
      </c>
      <c r="DF328" s="174" t="s">
        <v>1195</v>
      </c>
      <c r="DG328" s="175" t="s">
        <v>1184</v>
      </c>
      <c r="DH328" s="240" t="s">
        <v>477</v>
      </c>
      <c r="DI328" s="187">
        <v>45940</v>
      </c>
      <c r="DJ328" s="429">
        <v>3268</v>
      </c>
      <c r="DK328" s="240" t="s">
        <v>477</v>
      </c>
      <c r="DL328" s="189">
        <v>7210</v>
      </c>
      <c r="DM328" s="181">
        <f t="shared" si="329"/>
        <v>25918508.000000004</v>
      </c>
      <c r="DN328" s="446">
        <f t="shared" si="330"/>
        <v>0.10000000000000016</v>
      </c>
      <c r="DO328" s="160">
        <f t="shared" si="331"/>
        <v>23562280</v>
      </c>
      <c r="DP328" s="159">
        <v>45954</v>
      </c>
      <c r="DQ328" s="152">
        <f>SUMIF($I:$I,I328,$DJ:$DJ)</f>
        <v>3268</v>
      </c>
      <c r="DR328" s="152">
        <f>SUMIF($I:$I,I328,$DK:$DK)</f>
        <v>0</v>
      </c>
      <c r="EO328" s="152">
        <f>SUMIF($I:$I,I328,$EC:$EC)</f>
        <v>0</v>
      </c>
      <c r="EP328" s="151">
        <f>SUMIF($I:$I,I328,$ED:$ED)</f>
        <v>0</v>
      </c>
      <c r="EQ328" s="153"/>
      <c r="ER328" s="153"/>
      <c r="ES328" s="153"/>
      <c r="ET328" s="153"/>
      <c r="EU328" s="152">
        <f t="shared" si="332"/>
        <v>3268</v>
      </c>
      <c r="EV328" s="152">
        <f t="shared" si="333"/>
        <v>0</v>
      </c>
      <c r="EW328" s="152">
        <f t="shared" si="334"/>
        <v>0</v>
      </c>
      <c r="EX328" s="152">
        <f t="shared" si="335"/>
        <v>0</v>
      </c>
      <c r="EY328" s="151" t="str">
        <f t="shared" si="336"/>
        <v>Đủ</v>
      </c>
    </row>
    <row r="329" spans="1:155" s="155" customFormat="1" ht="14" hidden="1" customHeight="1">
      <c r="A329" s="208" t="str">
        <f t="shared" si="325"/>
        <v>Hiện</v>
      </c>
      <c r="B329" s="151" t="str">
        <f t="shared" si="326"/>
        <v>Đủ</v>
      </c>
      <c r="C329" s="409">
        <f t="shared" si="236"/>
        <v>0</v>
      </c>
      <c r="D329" s="154" t="s">
        <v>435</v>
      </c>
      <c r="E329" s="154">
        <f>C329*DL329*1.1</f>
        <v>0</v>
      </c>
      <c r="F329" s="154"/>
      <c r="G329" s="151"/>
      <c r="H329" s="364"/>
      <c r="I329" s="163" t="s">
        <v>778</v>
      </c>
      <c r="J329" s="164" t="s">
        <v>751</v>
      </c>
      <c r="K329" s="171" t="s">
        <v>779</v>
      </c>
      <c r="L329" s="171" t="s">
        <v>753</v>
      </c>
      <c r="M329" s="163" t="s">
        <v>345</v>
      </c>
      <c r="N329" s="173">
        <v>0</v>
      </c>
      <c r="O329" s="419">
        <v>2700</v>
      </c>
      <c r="P329" s="205"/>
      <c r="S329" s="161"/>
      <c r="T329" s="162"/>
      <c r="U329" s="162"/>
      <c r="V329" s="162"/>
      <c r="W329" s="162"/>
      <c r="X329" s="162"/>
      <c r="Y329" s="162"/>
      <c r="Z329" s="162"/>
      <c r="AA329" s="162"/>
      <c r="AB329" s="162"/>
      <c r="AC329" s="162"/>
      <c r="AD329" s="162"/>
      <c r="AE329" s="162"/>
      <c r="AF329" s="162"/>
      <c r="AG329" s="162"/>
      <c r="AH329" s="162"/>
      <c r="AI329" s="162"/>
      <c r="AJ329" s="162"/>
      <c r="AK329" s="162">
        <v>2876</v>
      </c>
      <c r="AL329" s="162">
        <v>0</v>
      </c>
      <c r="AM329" s="162"/>
      <c r="AN329" s="162"/>
      <c r="AO329" s="162">
        <v>0</v>
      </c>
      <c r="AP329" s="162">
        <v>0</v>
      </c>
      <c r="AQ329" s="162">
        <v>0</v>
      </c>
      <c r="AR329" s="162">
        <v>0</v>
      </c>
      <c r="AS329" s="162">
        <v>0</v>
      </c>
      <c r="AT329" s="162">
        <v>0</v>
      </c>
      <c r="AU329" s="162">
        <v>0</v>
      </c>
      <c r="AV329" s="162">
        <v>0</v>
      </c>
      <c r="AW329" s="162">
        <v>0</v>
      </c>
      <c r="AX329" s="162">
        <v>0</v>
      </c>
      <c r="AY329" s="162">
        <v>0</v>
      </c>
      <c r="AZ329" s="162">
        <v>0</v>
      </c>
      <c r="BA329" s="162"/>
      <c r="BB329" s="162"/>
      <c r="BC329" s="162">
        <v>0</v>
      </c>
      <c r="BD329" s="162">
        <v>0</v>
      </c>
      <c r="BE329" s="162">
        <v>0</v>
      </c>
      <c r="BF329" s="162">
        <v>0</v>
      </c>
      <c r="BG329" s="162">
        <v>0</v>
      </c>
      <c r="BH329" s="162">
        <v>0</v>
      </c>
      <c r="BI329" s="162">
        <v>0</v>
      </c>
      <c r="BJ329" s="162">
        <v>0</v>
      </c>
      <c r="BK329" s="162">
        <v>0</v>
      </c>
      <c r="BL329" s="162">
        <v>0</v>
      </c>
      <c r="BM329" s="162">
        <v>0</v>
      </c>
      <c r="BN329" s="162">
        <v>0</v>
      </c>
      <c r="BO329" s="162"/>
      <c r="BP329" s="162"/>
      <c r="BQ329" s="162">
        <v>0</v>
      </c>
      <c r="BR329" s="162">
        <v>0</v>
      </c>
      <c r="BS329" s="162">
        <v>0</v>
      </c>
      <c r="BT329" s="162">
        <v>0</v>
      </c>
      <c r="BU329" s="162">
        <v>0</v>
      </c>
      <c r="BV329" s="162">
        <v>0</v>
      </c>
      <c r="BW329" s="162"/>
      <c r="BX329" s="162"/>
      <c r="BY329" s="162">
        <v>0</v>
      </c>
      <c r="BZ329" s="162">
        <v>0</v>
      </c>
      <c r="CA329" s="162">
        <v>0</v>
      </c>
      <c r="CB329" s="162">
        <v>0</v>
      </c>
      <c r="CC329" s="162">
        <v>0</v>
      </c>
      <c r="CD329" s="162">
        <v>0</v>
      </c>
      <c r="CE329" s="162">
        <f>VLOOKUP(I329,[120]REV33!$A:$O,11,0)</f>
        <v>0</v>
      </c>
      <c r="CF329" s="162">
        <f>VLOOKUP(I329,[120]REV33!$A:$O,12,0)</f>
        <v>0</v>
      </c>
      <c r="CG329" s="162"/>
      <c r="CH329" s="162"/>
      <c r="CI329" s="162"/>
      <c r="CJ329" s="162"/>
      <c r="CK329" s="162"/>
      <c r="CL329" s="162"/>
      <c r="CM329" s="162"/>
      <c r="CN329" s="162"/>
      <c r="CO329" s="162">
        <v>0</v>
      </c>
      <c r="CP329" s="162">
        <v>0</v>
      </c>
      <c r="CQ329" s="162">
        <v>0</v>
      </c>
      <c r="CR329" s="162">
        <v>0</v>
      </c>
      <c r="CS329" s="209">
        <f>Q329+S329+U329+W329+Y329+AA329+AC329+AE329+AG329+AI329+AK329+AM329+AO329+AQ329+AS329+AU329+AW329+AY329+BA329+BC329+BE329+BG329+BI329+BK329+BM329+BO329+BQ329+BS329+BU329+BW329+BY329+CA329+CC329+CE329+CG329+CI329+CK329+CM329+CO329+CQ329</f>
        <v>2876</v>
      </c>
      <c r="CT329" s="209">
        <f>R329+T329+V329+X329+Z329+AB329+AD329+AF329+AH329+AJ329+AL329+AN329+AP329+AR329+AT329+AV329+AX329+AZ329+BB329+BD329+BF329+BH329+BJ329+BL329+BN329+BP329+BR329+BT329+BV329+BX329+BZ329+CB329+CD329+CF329+CH329+CJ329+CL329+CN329+CP329+CR329</f>
        <v>0</v>
      </c>
      <c r="CU329" s="206" t="s">
        <v>1000</v>
      </c>
      <c r="CV329" s="156"/>
      <c r="CZ329" s="157"/>
      <c r="DA329" s="152">
        <f t="shared" si="327"/>
        <v>2876</v>
      </c>
      <c r="DB329" s="152" t="str">
        <f t="shared" si="328"/>
        <v>0</v>
      </c>
      <c r="DC329" s="153"/>
      <c r="DD329" s="158" t="s">
        <v>2212</v>
      </c>
      <c r="DE329" s="156" t="s">
        <v>435</v>
      </c>
      <c r="DF329" s="174" t="s">
        <v>1196</v>
      </c>
      <c r="DG329" s="175" t="s">
        <v>1184</v>
      </c>
      <c r="DH329" s="240" t="s">
        <v>477</v>
      </c>
      <c r="DI329" s="187">
        <v>45940</v>
      </c>
      <c r="DJ329" s="429">
        <v>2876</v>
      </c>
      <c r="DK329" s="240" t="s">
        <v>477</v>
      </c>
      <c r="DL329" s="189">
        <v>8190</v>
      </c>
      <c r="DM329" s="181">
        <f t="shared" si="329"/>
        <v>25909884.000000004</v>
      </c>
      <c r="DN329" s="446">
        <f t="shared" si="330"/>
        <v>0.10000000000000016</v>
      </c>
      <c r="DO329" s="160">
        <f t="shared" si="331"/>
        <v>23554440</v>
      </c>
      <c r="DP329" s="159">
        <v>45954</v>
      </c>
      <c r="DQ329" s="152">
        <f>SUMIF($I:$I,I329,$DJ:$DJ)</f>
        <v>2876</v>
      </c>
      <c r="DR329" s="152">
        <f>SUMIF($I:$I,I329,$DK:$DK)</f>
        <v>0</v>
      </c>
      <c r="EO329" s="152">
        <f>SUMIF($I:$I,I329,$EC:$EC)</f>
        <v>0</v>
      </c>
      <c r="EP329" s="151">
        <f>SUMIF($I:$I,I329,$ED:$ED)</f>
        <v>0</v>
      </c>
      <c r="EQ329" s="153"/>
      <c r="ER329" s="153"/>
      <c r="ES329" s="153"/>
      <c r="ET329" s="153"/>
      <c r="EU329" s="152">
        <f t="shared" si="332"/>
        <v>2876</v>
      </c>
      <c r="EV329" s="152">
        <f t="shared" si="333"/>
        <v>0</v>
      </c>
      <c r="EW329" s="152">
        <f t="shared" si="334"/>
        <v>0</v>
      </c>
      <c r="EX329" s="152">
        <f t="shared" si="335"/>
        <v>0</v>
      </c>
      <c r="EY329" s="151" t="str">
        <f t="shared" si="336"/>
        <v>Đủ</v>
      </c>
    </row>
    <row r="330" spans="1:155" s="155" customFormat="1" ht="14" hidden="1" customHeight="1">
      <c r="A330" s="208" t="str">
        <f t="shared" si="325"/>
        <v>Hiện</v>
      </c>
      <c r="B330" s="151" t="str">
        <f t="shared" si="326"/>
        <v>Đủ</v>
      </c>
      <c r="C330" s="409">
        <f t="shared" si="236"/>
        <v>0</v>
      </c>
      <c r="D330" s="154" t="s">
        <v>435</v>
      </c>
      <c r="E330" s="154">
        <f>C330*DL330*1.1</f>
        <v>0</v>
      </c>
      <c r="F330" s="154"/>
      <c r="G330" s="151"/>
      <c r="H330" s="364"/>
      <c r="I330" s="163" t="s">
        <v>780</v>
      </c>
      <c r="J330" s="164" t="s">
        <v>751</v>
      </c>
      <c r="K330" s="171" t="s">
        <v>781</v>
      </c>
      <c r="L330" s="171" t="s">
        <v>753</v>
      </c>
      <c r="M330" s="163" t="s">
        <v>345</v>
      </c>
      <c r="N330" s="173">
        <v>0</v>
      </c>
      <c r="O330" s="419">
        <v>8888</v>
      </c>
      <c r="P330" s="205"/>
      <c r="S330" s="161"/>
      <c r="T330" s="162"/>
      <c r="U330" s="162"/>
      <c r="V330" s="162"/>
      <c r="W330" s="162"/>
      <c r="X330" s="162"/>
      <c r="Y330" s="162"/>
      <c r="Z330" s="162"/>
      <c r="AA330" s="162"/>
      <c r="AB330" s="162"/>
      <c r="AC330" s="162"/>
      <c r="AD330" s="162"/>
      <c r="AE330" s="162"/>
      <c r="AF330" s="162"/>
      <c r="AG330" s="162"/>
      <c r="AH330" s="162"/>
      <c r="AI330" s="162"/>
      <c r="AJ330" s="162"/>
      <c r="AK330" s="162">
        <v>9358</v>
      </c>
      <c r="AL330" s="162">
        <v>0</v>
      </c>
      <c r="AM330" s="162"/>
      <c r="AN330" s="162"/>
      <c r="AO330" s="162">
        <v>0</v>
      </c>
      <c r="AP330" s="162">
        <v>0</v>
      </c>
      <c r="AQ330" s="162">
        <v>0</v>
      </c>
      <c r="AR330" s="162">
        <v>0</v>
      </c>
      <c r="AS330" s="162">
        <v>0</v>
      </c>
      <c r="AT330" s="162">
        <v>0</v>
      </c>
      <c r="AU330" s="162">
        <v>0</v>
      </c>
      <c r="AV330" s="162">
        <v>0</v>
      </c>
      <c r="AW330" s="162">
        <v>0</v>
      </c>
      <c r="AX330" s="162">
        <v>0</v>
      </c>
      <c r="AY330" s="162">
        <v>0</v>
      </c>
      <c r="AZ330" s="162">
        <v>0</v>
      </c>
      <c r="BA330" s="162"/>
      <c r="BB330" s="162"/>
      <c r="BC330" s="162">
        <v>0</v>
      </c>
      <c r="BD330" s="162">
        <v>0</v>
      </c>
      <c r="BE330" s="162">
        <v>0</v>
      </c>
      <c r="BF330" s="162">
        <v>0</v>
      </c>
      <c r="BG330" s="162">
        <v>0</v>
      </c>
      <c r="BH330" s="162">
        <v>0</v>
      </c>
      <c r="BI330" s="162">
        <v>0</v>
      </c>
      <c r="BJ330" s="162">
        <v>0</v>
      </c>
      <c r="BK330" s="162">
        <v>0</v>
      </c>
      <c r="BL330" s="162">
        <v>0</v>
      </c>
      <c r="BM330" s="162">
        <v>0</v>
      </c>
      <c r="BN330" s="162">
        <v>0</v>
      </c>
      <c r="BO330" s="162"/>
      <c r="BP330" s="162"/>
      <c r="BQ330" s="162">
        <v>0</v>
      </c>
      <c r="BR330" s="162">
        <v>0</v>
      </c>
      <c r="BS330" s="162">
        <v>0</v>
      </c>
      <c r="BT330" s="162">
        <v>0</v>
      </c>
      <c r="BU330" s="162">
        <v>0</v>
      </c>
      <c r="BV330" s="162">
        <v>0</v>
      </c>
      <c r="BW330" s="162"/>
      <c r="BX330" s="162"/>
      <c r="BY330" s="162">
        <v>0</v>
      </c>
      <c r="BZ330" s="162">
        <v>0</v>
      </c>
      <c r="CA330" s="162">
        <v>0</v>
      </c>
      <c r="CB330" s="162">
        <v>0</v>
      </c>
      <c r="CC330" s="162">
        <v>0</v>
      </c>
      <c r="CD330" s="162">
        <v>0</v>
      </c>
      <c r="CE330" s="162">
        <f>VLOOKUP(I330,[120]REV33!$A:$O,11,0)</f>
        <v>0</v>
      </c>
      <c r="CF330" s="162">
        <f>VLOOKUP(I330,[120]REV33!$A:$O,12,0)</f>
        <v>0</v>
      </c>
      <c r="CG330" s="162"/>
      <c r="CH330" s="162"/>
      <c r="CI330" s="162"/>
      <c r="CJ330" s="162"/>
      <c r="CK330" s="162"/>
      <c r="CL330" s="162"/>
      <c r="CM330" s="162"/>
      <c r="CN330" s="162"/>
      <c r="CO330" s="162">
        <v>0</v>
      </c>
      <c r="CP330" s="162">
        <v>0</v>
      </c>
      <c r="CQ330" s="162">
        <v>0</v>
      </c>
      <c r="CR330" s="162">
        <v>0</v>
      </c>
      <c r="CS330" s="209">
        <f>Q330+S330+U330+W330+Y330+AA330+AC330+AE330+AG330+AI330+AK330+AM330+AO330+AQ330+AS330+AU330+AW330+AY330+BA330+BC330+BE330+BG330+BI330+BK330+BM330+BO330+BQ330+BS330+BU330+BW330+BY330+CA330+CC330+CE330+CG330+CI330+CK330+CM330+CO330+CQ330</f>
        <v>9358</v>
      </c>
      <c r="CT330" s="209">
        <f>R330+T330+V330+X330+Z330+AB330+AD330+AF330+AH330+AJ330+AL330+AN330+AP330+AR330+AT330+AV330+AX330+AZ330+BB330+BD330+BF330+BH330+BJ330+BL330+BN330+BP330+BR330+BT330+BV330+BX330+BZ330+CB330+CD330+CF330+CH330+CJ330+CL330+CN330+CP330+CR330</f>
        <v>0</v>
      </c>
      <c r="CU330" s="206" t="s">
        <v>1000</v>
      </c>
      <c r="CV330" s="156"/>
      <c r="CZ330" s="157"/>
      <c r="DA330" s="152">
        <f t="shared" si="327"/>
        <v>9358</v>
      </c>
      <c r="DB330" s="152" t="str">
        <f t="shared" si="328"/>
        <v>0</v>
      </c>
      <c r="DC330" s="153"/>
      <c r="DD330" s="158" t="s">
        <v>2212</v>
      </c>
      <c r="DE330" s="156" t="s">
        <v>435</v>
      </c>
      <c r="DF330" s="174" t="s">
        <v>1196</v>
      </c>
      <c r="DG330" s="175" t="s">
        <v>1184</v>
      </c>
      <c r="DH330" s="240" t="s">
        <v>477</v>
      </c>
      <c r="DI330" s="187">
        <v>45940</v>
      </c>
      <c r="DJ330" s="429">
        <v>9358</v>
      </c>
      <c r="DK330" s="240" t="s">
        <v>477</v>
      </c>
      <c r="DL330" s="189">
        <v>8190</v>
      </c>
      <c r="DM330" s="181">
        <f t="shared" si="329"/>
        <v>84306222</v>
      </c>
      <c r="DN330" s="446">
        <f t="shared" si="330"/>
        <v>0.1</v>
      </c>
      <c r="DO330" s="160">
        <f t="shared" si="331"/>
        <v>76642020</v>
      </c>
      <c r="DP330" s="159">
        <v>45954</v>
      </c>
      <c r="DQ330" s="152">
        <f>SUMIF($I:$I,I330,$DJ:$DJ)</f>
        <v>9358</v>
      </c>
      <c r="DR330" s="152">
        <f>SUMIF($I:$I,I330,$DK:$DK)</f>
        <v>0</v>
      </c>
      <c r="EO330" s="152">
        <f>SUMIF($I:$I,I330,$EC:$EC)</f>
        <v>0</v>
      </c>
      <c r="EP330" s="151">
        <f>SUMIF($I:$I,I330,$ED:$ED)</f>
        <v>0</v>
      </c>
      <c r="EQ330" s="153"/>
      <c r="ER330" s="153"/>
      <c r="ES330" s="153"/>
      <c r="ET330" s="153"/>
      <c r="EU330" s="152">
        <f t="shared" si="332"/>
        <v>9358</v>
      </c>
      <c r="EV330" s="152">
        <f t="shared" si="333"/>
        <v>0</v>
      </c>
      <c r="EW330" s="152">
        <f t="shared" si="334"/>
        <v>0</v>
      </c>
      <c r="EX330" s="152">
        <f t="shared" si="335"/>
        <v>0</v>
      </c>
      <c r="EY330" s="151" t="str">
        <f t="shared" si="336"/>
        <v>Đủ</v>
      </c>
    </row>
    <row r="331" spans="1:155" s="155" customFormat="1" ht="14" hidden="1" customHeight="1">
      <c r="A331" s="208" t="str">
        <f t="shared" si="325"/>
        <v>Hiện</v>
      </c>
      <c r="B331" s="151" t="str">
        <f t="shared" si="326"/>
        <v>Đủ</v>
      </c>
      <c r="C331" s="409">
        <f t="shared" si="236"/>
        <v>0</v>
      </c>
      <c r="D331" s="154" t="s">
        <v>435</v>
      </c>
      <c r="E331" s="154">
        <f>C331*DL331*1.1</f>
        <v>0</v>
      </c>
      <c r="F331" s="154"/>
      <c r="G331" s="151"/>
      <c r="H331" s="364"/>
      <c r="I331" s="163" t="s">
        <v>782</v>
      </c>
      <c r="J331" s="164" t="s">
        <v>751</v>
      </c>
      <c r="K331" s="171" t="s">
        <v>783</v>
      </c>
      <c r="L331" s="171" t="s">
        <v>753</v>
      </c>
      <c r="M331" s="163" t="s">
        <v>345</v>
      </c>
      <c r="N331" s="173">
        <v>0</v>
      </c>
      <c r="O331" s="419">
        <v>40</v>
      </c>
      <c r="P331" s="205"/>
      <c r="S331" s="161"/>
      <c r="T331" s="162"/>
      <c r="U331" s="162"/>
      <c r="V331" s="162"/>
      <c r="W331" s="162"/>
      <c r="X331" s="162"/>
      <c r="Y331" s="162"/>
      <c r="Z331" s="162"/>
      <c r="AA331" s="162"/>
      <c r="AB331" s="162"/>
      <c r="AC331" s="162"/>
      <c r="AD331" s="162"/>
      <c r="AE331" s="162"/>
      <c r="AF331" s="162"/>
      <c r="AG331" s="162"/>
      <c r="AH331" s="162"/>
      <c r="AI331" s="162"/>
      <c r="AJ331" s="162"/>
      <c r="AK331" s="162">
        <v>50</v>
      </c>
      <c r="AL331" s="162">
        <v>0</v>
      </c>
      <c r="AM331" s="162"/>
      <c r="AN331" s="162"/>
      <c r="AO331" s="162">
        <v>0</v>
      </c>
      <c r="AP331" s="162">
        <v>0</v>
      </c>
      <c r="AQ331" s="162">
        <v>0</v>
      </c>
      <c r="AR331" s="162">
        <v>0</v>
      </c>
      <c r="AS331" s="162">
        <v>0</v>
      </c>
      <c r="AT331" s="162">
        <v>0</v>
      </c>
      <c r="AU331" s="162">
        <v>0</v>
      </c>
      <c r="AV331" s="162">
        <v>0</v>
      </c>
      <c r="AW331" s="162">
        <v>0</v>
      </c>
      <c r="AX331" s="162">
        <v>0</v>
      </c>
      <c r="AY331" s="162">
        <v>0</v>
      </c>
      <c r="AZ331" s="162">
        <v>0</v>
      </c>
      <c r="BA331" s="162"/>
      <c r="BB331" s="162"/>
      <c r="BC331" s="162">
        <v>0</v>
      </c>
      <c r="BD331" s="162">
        <v>0</v>
      </c>
      <c r="BE331" s="162">
        <v>0</v>
      </c>
      <c r="BF331" s="162">
        <v>0</v>
      </c>
      <c r="BG331" s="162">
        <v>0</v>
      </c>
      <c r="BH331" s="162">
        <v>0</v>
      </c>
      <c r="BI331" s="162">
        <v>0</v>
      </c>
      <c r="BJ331" s="162">
        <v>0</v>
      </c>
      <c r="BK331" s="162">
        <v>0</v>
      </c>
      <c r="BL331" s="162">
        <v>0</v>
      </c>
      <c r="BM331" s="162">
        <v>0</v>
      </c>
      <c r="BN331" s="162">
        <v>0</v>
      </c>
      <c r="BO331" s="162"/>
      <c r="BP331" s="162"/>
      <c r="BQ331" s="162">
        <v>0</v>
      </c>
      <c r="BR331" s="162">
        <v>0</v>
      </c>
      <c r="BS331" s="162">
        <v>0</v>
      </c>
      <c r="BT331" s="162">
        <v>0</v>
      </c>
      <c r="BU331" s="162">
        <v>0</v>
      </c>
      <c r="BV331" s="162">
        <v>0</v>
      </c>
      <c r="BW331" s="162"/>
      <c r="BX331" s="162"/>
      <c r="BY331" s="162">
        <v>0</v>
      </c>
      <c r="BZ331" s="162">
        <v>0</v>
      </c>
      <c r="CA331" s="162">
        <v>0</v>
      </c>
      <c r="CB331" s="162">
        <v>0</v>
      </c>
      <c r="CC331" s="162">
        <v>0</v>
      </c>
      <c r="CD331" s="162">
        <v>0</v>
      </c>
      <c r="CE331" s="162">
        <f>VLOOKUP(I331,[120]REV33!$A:$O,11,0)</f>
        <v>0</v>
      </c>
      <c r="CF331" s="162">
        <f>VLOOKUP(I331,[120]REV33!$A:$O,12,0)</f>
        <v>0</v>
      </c>
      <c r="CG331" s="162"/>
      <c r="CH331" s="162"/>
      <c r="CI331" s="162"/>
      <c r="CJ331" s="162"/>
      <c r="CK331" s="162"/>
      <c r="CL331" s="162"/>
      <c r="CM331" s="162"/>
      <c r="CN331" s="162"/>
      <c r="CO331" s="162">
        <v>0</v>
      </c>
      <c r="CP331" s="162">
        <v>0</v>
      </c>
      <c r="CQ331" s="162">
        <v>0</v>
      </c>
      <c r="CR331" s="162">
        <v>0</v>
      </c>
      <c r="CS331" s="209">
        <f>Q331+S331+U331+W331+Y331+AA331+AC331+AE331+AG331+AI331+AK331+AM331+AO331+AQ331+AS331+AU331+AW331+AY331+BA331+BC331+BE331+BG331+BI331+BK331+BM331+BO331+BQ331+BS331+BU331+BW331+BY331+CA331+CC331+CE331+CG331+CI331+CK331+CM331+CO331+CQ331</f>
        <v>50</v>
      </c>
      <c r="CT331" s="209">
        <f>R331+T331+V331+X331+Z331+AB331+AD331+AF331+AH331+AJ331+AL331+AN331+AP331+AR331+AT331+AV331+AX331+AZ331+BB331+BD331+BF331+BH331+BJ331+BL331+BN331+BP331+BR331+BT331+BV331+BX331+BZ331+CB331+CD331+CF331+CH331+CJ331+CL331+CN331+CP331+CR331</f>
        <v>0</v>
      </c>
      <c r="CU331" s="206" t="s">
        <v>1000</v>
      </c>
      <c r="CV331" s="156"/>
      <c r="CZ331" s="157"/>
      <c r="DA331" s="152">
        <f t="shared" si="327"/>
        <v>50</v>
      </c>
      <c r="DB331" s="152" t="str">
        <f t="shared" si="328"/>
        <v>0</v>
      </c>
      <c r="DC331" s="153"/>
      <c r="DD331" s="158" t="s">
        <v>2212</v>
      </c>
      <c r="DE331" s="156" t="s">
        <v>435</v>
      </c>
      <c r="DF331" s="174" t="s">
        <v>1197</v>
      </c>
      <c r="DG331" s="175" t="s">
        <v>1198</v>
      </c>
      <c r="DH331" s="240" t="s">
        <v>477</v>
      </c>
      <c r="DI331" s="187">
        <v>45940</v>
      </c>
      <c r="DJ331" s="429">
        <v>50</v>
      </c>
      <c r="DK331" s="240" t="s">
        <v>477</v>
      </c>
      <c r="DL331" s="189">
        <v>9730</v>
      </c>
      <c r="DM331" s="181">
        <f t="shared" si="329"/>
        <v>535150</v>
      </c>
      <c r="DN331" s="446">
        <f t="shared" si="330"/>
        <v>0.1</v>
      </c>
      <c r="DO331" s="160">
        <f t="shared" si="331"/>
        <v>486500</v>
      </c>
      <c r="DP331" s="159">
        <v>45954</v>
      </c>
      <c r="DQ331" s="152">
        <f>SUMIF($I:$I,I331,$DJ:$DJ)</f>
        <v>50</v>
      </c>
      <c r="DR331" s="152">
        <f>SUMIF($I:$I,I331,$DK:$DK)</f>
        <v>0</v>
      </c>
      <c r="EO331" s="152">
        <f>SUMIF($I:$I,I331,$EC:$EC)</f>
        <v>0</v>
      </c>
      <c r="EP331" s="151">
        <f>SUMIF($I:$I,I331,$ED:$ED)</f>
        <v>0</v>
      </c>
      <c r="EQ331" s="153"/>
      <c r="ER331" s="153"/>
      <c r="ES331" s="153"/>
      <c r="ET331" s="153"/>
      <c r="EU331" s="152">
        <f t="shared" si="332"/>
        <v>50</v>
      </c>
      <c r="EV331" s="152">
        <f t="shared" si="333"/>
        <v>0</v>
      </c>
      <c r="EW331" s="152">
        <f t="shared" si="334"/>
        <v>0</v>
      </c>
      <c r="EX331" s="152">
        <f t="shared" si="335"/>
        <v>0</v>
      </c>
      <c r="EY331" s="151" t="str">
        <f t="shared" si="336"/>
        <v>Đủ</v>
      </c>
    </row>
    <row r="332" spans="1:155" s="155" customFormat="1" ht="14" hidden="1" customHeight="1">
      <c r="A332" s="208" t="str">
        <f t="shared" si="325"/>
        <v>Hiện</v>
      </c>
      <c r="B332" s="151" t="str">
        <f t="shared" si="326"/>
        <v>Đủ</v>
      </c>
      <c r="C332" s="409">
        <f t="shared" si="236"/>
        <v>0</v>
      </c>
      <c r="D332" s="154" t="s">
        <v>435</v>
      </c>
      <c r="E332" s="154">
        <f>C332*DL332*1.1</f>
        <v>0</v>
      </c>
      <c r="F332" s="154"/>
      <c r="G332" s="151"/>
      <c r="H332" s="364"/>
      <c r="I332" s="163" t="s">
        <v>784</v>
      </c>
      <c r="J332" s="164" t="s">
        <v>751</v>
      </c>
      <c r="K332" s="171" t="s">
        <v>785</v>
      </c>
      <c r="L332" s="171" t="s">
        <v>753</v>
      </c>
      <c r="M332" s="163" t="s">
        <v>345</v>
      </c>
      <c r="N332" s="173">
        <v>0</v>
      </c>
      <c r="O332" s="419">
        <v>328</v>
      </c>
      <c r="P332" s="205"/>
      <c r="S332" s="161"/>
      <c r="T332" s="162"/>
      <c r="U332" s="162"/>
      <c r="V332" s="162"/>
      <c r="W332" s="162"/>
      <c r="X332" s="162"/>
      <c r="Y332" s="162"/>
      <c r="Z332" s="162"/>
      <c r="AA332" s="162"/>
      <c r="AB332" s="162"/>
      <c r="AC332" s="162"/>
      <c r="AD332" s="162"/>
      <c r="AE332" s="162"/>
      <c r="AF332" s="162"/>
      <c r="AG332" s="162"/>
      <c r="AH332" s="162"/>
      <c r="AI332" s="162"/>
      <c r="AJ332" s="162"/>
      <c r="AK332" s="162">
        <v>350</v>
      </c>
      <c r="AL332" s="162">
        <v>0</v>
      </c>
      <c r="AM332" s="162"/>
      <c r="AN332" s="162"/>
      <c r="AO332" s="162">
        <v>0</v>
      </c>
      <c r="AP332" s="162">
        <v>0</v>
      </c>
      <c r="AQ332" s="162">
        <v>0</v>
      </c>
      <c r="AR332" s="162">
        <v>0</v>
      </c>
      <c r="AS332" s="162">
        <v>0</v>
      </c>
      <c r="AT332" s="162">
        <v>0</v>
      </c>
      <c r="AU332" s="162">
        <v>0</v>
      </c>
      <c r="AV332" s="162">
        <v>0</v>
      </c>
      <c r="AW332" s="162">
        <v>0</v>
      </c>
      <c r="AX332" s="162">
        <v>0</v>
      </c>
      <c r="AY332" s="162">
        <v>0</v>
      </c>
      <c r="AZ332" s="162">
        <v>0</v>
      </c>
      <c r="BA332" s="162"/>
      <c r="BB332" s="162"/>
      <c r="BC332" s="162">
        <v>0</v>
      </c>
      <c r="BD332" s="162">
        <v>0</v>
      </c>
      <c r="BE332" s="162">
        <v>0</v>
      </c>
      <c r="BF332" s="162">
        <v>0</v>
      </c>
      <c r="BG332" s="162">
        <v>0</v>
      </c>
      <c r="BH332" s="162">
        <v>0</v>
      </c>
      <c r="BI332" s="162">
        <v>0</v>
      </c>
      <c r="BJ332" s="162">
        <v>0</v>
      </c>
      <c r="BK332" s="162">
        <v>0</v>
      </c>
      <c r="BL332" s="162">
        <v>0</v>
      </c>
      <c r="BM332" s="162">
        <v>0</v>
      </c>
      <c r="BN332" s="162">
        <v>0</v>
      </c>
      <c r="BO332" s="162"/>
      <c r="BP332" s="162"/>
      <c r="BQ332" s="162">
        <v>0</v>
      </c>
      <c r="BR332" s="162">
        <v>0</v>
      </c>
      <c r="BS332" s="162">
        <v>0</v>
      </c>
      <c r="BT332" s="162">
        <v>0</v>
      </c>
      <c r="BU332" s="162">
        <v>0</v>
      </c>
      <c r="BV332" s="162">
        <v>0</v>
      </c>
      <c r="BW332" s="162"/>
      <c r="BX332" s="162"/>
      <c r="BY332" s="162">
        <v>0</v>
      </c>
      <c r="BZ332" s="162">
        <v>0</v>
      </c>
      <c r="CA332" s="162">
        <v>0</v>
      </c>
      <c r="CB332" s="162">
        <v>0</v>
      </c>
      <c r="CC332" s="162">
        <v>0</v>
      </c>
      <c r="CD332" s="162">
        <v>0</v>
      </c>
      <c r="CE332" s="162">
        <f>VLOOKUP(I332,[120]REV33!$A:$O,11,0)</f>
        <v>0</v>
      </c>
      <c r="CF332" s="162">
        <f>VLOOKUP(I332,[120]REV33!$A:$O,12,0)</f>
        <v>0</v>
      </c>
      <c r="CG332" s="162"/>
      <c r="CH332" s="162"/>
      <c r="CI332" s="162"/>
      <c r="CJ332" s="162"/>
      <c r="CK332" s="162"/>
      <c r="CL332" s="162"/>
      <c r="CM332" s="162"/>
      <c r="CN332" s="162"/>
      <c r="CO332" s="162">
        <v>0</v>
      </c>
      <c r="CP332" s="162">
        <v>0</v>
      </c>
      <c r="CQ332" s="162">
        <v>0</v>
      </c>
      <c r="CR332" s="162">
        <v>0</v>
      </c>
      <c r="CS332" s="209">
        <f>Q332+S332+U332+W332+Y332+AA332+AC332+AE332+AG332+AI332+AK332+AM332+AO332+AQ332+AS332+AU332+AW332+AY332+BA332+BC332+BE332+BG332+BI332+BK332+BM332+BO332+BQ332+BS332+BU332+BW332+BY332+CA332+CC332+CE332+CG332+CI332+CK332+CM332+CO332+CQ332</f>
        <v>350</v>
      </c>
      <c r="CT332" s="209">
        <f>R332+T332+V332+X332+Z332+AB332+AD332+AF332+AH332+AJ332+AL332+AN332+AP332+AR332+AT332+AV332+AX332+AZ332+BB332+BD332+BF332+BH332+BJ332+BL332+BN332+BP332+BR332+BT332+BV332+BX332+BZ332+CB332+CD332+CF332+CH332+CJ332+CL332+CN332+CP332+CR332</f>
        <v>0</v>
      </c>
      <c r="CU332" s="206" t="s">
        <v>1000</v>
      </c>
      <c r="CV332" s="156"/>
      <c r="CZ332" s="157"/>
      <c r="DA332" s="152">
        <f t="shared" si="327"/>
        <v>350</v>
      </c>
      <c r="DB332" s="152" t="str">
        <f t="shared" si="328"/>
        <v>0</v>
      </c>
      <c r="DC332" s="153"/>
      <c r="DD332" s="158" t="s">
        <v>2212</v>
      </c>
      <c r="DE332" s="156" t="s">
        <v>435</v>
      </c>
      <c r="DF332" s="174" t="s">
        <v>1199</v>
      </c>
      <c r="DG332" s="175" t="s">
        <v>1200</v>
      </c>
      <c r="DH332" s="240" t="s">
        <v>477</v>
      </c>
      <c r="DI332" s="187">
        <v>45940</v>
      </c>
      <c r="DJ332" s="429">
        <v>350</v>
      </c>
      <c r="DK332" s="240" t="s">
        <v>477</v>
      </c>
      <c r="DL332" s="189">
        <v>34000</v>
      </c>
      <c r="DM332" s="181">
        <f t="shared" si="329"/>
        <v>13090000.000000002</v>
      </c>
      <c r="DN332" s="446">
        <f t="shared" si="330"/>
        <v>0.10000000000000016</v>
      </c>
      <c r="DO332" s="160">
        <f t="shared" si="331"/>
        <v>11900000</v>
      </c>
      <c r="DP332" s="159">
        <v>45954</v>
      </c>
      <c r="DQ332" s="152">
        <f>SUMIF($I:$I,I332,$DJ:$DJ)</f>
        <v>350</v>
      </c>
      <c r="DR332" s="152">
        <f>SUMIF($I:$I,I332,$DK:$DK)</f>
        <v>0</v>
      </c>
      <c r="EO332" s="152">
        <f>SUMIF($I:$I,I332,$EC:$EC)</f>
        <v>0</v>
      </c>
      <c r="EP332" s="151">
        <f>SUMIF($I:$I,I332,$ED:$ED)</f>
        <v>0</v>
      </c>
      <c r="EQ332" s="153"/>
      <c r="ER332" s="153"/>
      <c r="ES332" s="153"/>
      <c r="ET332" s="153"/>
      <c r="EU332" s="152">
        <f t="shared" si="332"/>
        <v>350</v>
      </c>
      <c r="EV332" s="152">
        <f t="shared" si="333"/>
        <v>0</v>
      </c>
      <c r="EW332" s="152">
        <f t="shared" si="334"/>
        <v>0</v>
      </c>
      <c r="EX332" s="152">
        <f t="shared" si="335"/>
        <v>0</v>
      </c>
      <c r="EY332" s="151" t="str">
        <f t="shared" si="336"/>
        <v>Đủ</v>
      </c>
    </row>
    <row r="333" spans="1:155" s="155" customFormat="1" ht="14" hidden="1" customHeight="1">
      <c r="A333" s="208" t="str">
        <f t="shared" si="325"/>
        <v>Hiện</v>
      </c>
      <c r="B333" s="151" t="str">
        <f t="shared" si="326"/>
        <v>Đủ</v>
      </c>
      <c r="C333" s="409">
        <f t="shared" si="236"/>
        <v>0</v>
      </c>
      <c r="D333" s="154" t="s">
        <v>435</v>
      </c>
      <c r="E333" s="154">
        <f>C333*DL333*1.1</f>
        <v>0</v>
      </c>
      <c r="F333" s="154"/>
      <c r="G333" s="151"/>
      <c r="H333" s="364"/>
      <c r="I333" s="163" t="s">
        <v>786</v>
      </c>
      <c r="J333" s="164" t="s">
        <v>751</v>
      </c>
      <c r="K333" s="171" t="s">
        <v>787</v>
      </c>
      <c r="L333" s="171" t="s">
        <v>753</v>
      </c>
      <c r="M333" s="163" t="s">
        <v>345</v>
      </c>
      <c r="N333" s="173">
        <v>0</v>
      </c>
      <c r="O333" s="419">
        <v>512</v>
      </c>
      <c r="P333" s="205"/>
      <c r="S333" s="161"/>
      <c r="T333" s="162"/>
      <c r="U333" s="162"/>
      <c r="V333" s="162"/>
      <c r="W333" s="162"/>
      <c r="X333" s="162"/>
      <c r="Y333" s="162"/>
      <c r="Z333" s="162"/>
      <c r="AA333" s="162"/>
      <c r="AB333" s="162"/>
      <c r="AC333" s="162"/>
      <c r="AD333" s="162"/>
      <c r="AE333" s="162"/>
      <c r="AF333" s="162"/>
      <c r="AG333" s="162"/>
      <c r="AH333" s="162"/>
      <c r="AI333" s="162"/>
      <c r="AJ333" s="162"/>
      <c r="AK333" s="162">
        <v>544</v>
      </c>
      <c r="AL333" s="162">
        <v>0</v>
      </c>
      <c r="AM333" s="162"/>
      <c r="AN333" s="162"/>
      <c r="AO333" s="162">
        <v>0</v>
      </c>
      <c r="AP333" s="162">
        <v>0</v>
      </c>
      <c r="AQ333" s="162">
        <v>0</v>
      </c>
      <c r="AR333" s="162">
        <v>0</v>
      </c>
      <c r="AS333" s="162">
        <v>0</v>
      </c>
      <c r="AT333" s="162">
        <v>0</v>
      </c>
      <c r="AU333" s="162">
        <v>0</v>
      </c>
      <c r="AV333" s="162">
        <v>0</v>
      </c>
      <c r="AW333" s="162">
        <v>0</v>
      </c>
      <c r="AX333" s="162">
        <v>0</v>
      </c>
      <c r="AY333" s="162">
        <v>0</v>
      </c>
      <c r="AZ333" s="162">
        <v>0</v>
      </c>
      <c r="BA333" s="162"/>
      <c r="BB333" s="162"/>
      <c r="BC333" s="162">
        <v>0</v>
      </c>
      <c r="BD333" s="162">
        <v>0</v>
      </c>
      <c r="BE333" s="162">
        <v>0</v>
      </c>
      <c r="BF333" s="162">
        <v>0</v>
      </c>
      <c r="BG333" s="162">
        <v>0</v>
      </c>
      <c r="BH333" s="162">
        <v>0</v>
      </c>
      <c r="BI333" s="162">
        <v>0</v>
      </c>
      <c r="BJ333" s="162">
        <v>0</v>
      </c>
      <c r="BK333" s="162">
        <v>0</v>
      </c>
      <c r="BL333" s="162">
        <v>0</v>
      </c>
      <c r="BM333" s="162">
        <v>0</v>
      </c>
      <c r="BN333" s="162">
        <v>0</v>
      </c>
      <c r="BO333" s="162"/>
      <c r="BP333" s="162"/>
      <c r="BQ333" s="162">
        <v>0</v>
      </c>
      <c r="BR333" s="162">
        <v>0</v>
      </c>
      <c r="BS333" s="162">
        <v>0</v>
      </c>
      <c r="BT333" s="162">
        <v>0</v>
      </c>
      <c r="BU333" s="162">
        <v>0</v>
      </c>
      <c r="BV333" s="162">
        <v>0</v>
      </c>
      <c r="BW333" s="162"/>
      <c r="BX333" s="162"/>
      <c r="BY333" s="162">
        <v>0</v>
      </c>
      <c r="BZ333" s="162">
        <v>0</v>
      </c>
      <c r="CA333" s="162">
        <v>0</v>
      </c>
      <c r="CB333" s="162">
        <v>0</v>
      </c>
      <c r="CC333" s="162">
        <v>0</v>
      </c>
      <c r="CD333" s="162">
        <v>0</v>
      </c>
      <c r="CE333" s="162">
        <f>VLOOKUP(I333,[120]REV33!$A:$O,11,0)</f>
        <v>0</v>
      </c>
      <c r="CF333" s="162">
        <f>VLOOKUP(I333,[120]REV33!$A:$O,12,0)</f>
        <v>0</v>
      </c>
      <c r="CG333" s="162"/>
      <c r="CH333" s="162"/>
      <c r="CI333" s="162"/>
      <c r="CJ333" s="162"/>
      <c r="CK333" s="162"/>
      <c r="CL333" s="162"/>
      <c r="CM333" s="162"/>
      <c r="CN333" s="162"/>
      <c r="CO333" s="162">
        <v>0</v>
      </c>
      <c r="CP333" s="162">
        <v>0</v>
      </c>
      <c r="CQ333" s="162">
        <v>0</v>
      </c>
      <c r="CR333" s="162">
        <v>0</v>
      </c>
      <c r="CS333" s="209">
        <f>Q333+S333+U333+W333+Y333+AA333+AC333+AE333+AG333+AI333+AK333+AM333+AO333+AQ333+AS333+AU333+AW333+AY333+BA333+BC333+BE333+BG333+BI333+BK333+BM333+BO333+BQ333+BS333+BU333+BW333+BY333+CA333+CC333+CE333+CG333+CI333+CK333+CM333+CO333+CQ333</f>
        <v>544</v>
      </c>
      <c r="CT333" s="209">
        <f>R333+T333+V333+X333+Z333+AB333+AD333+AF333+AH333+AJ333+AL333+AN333+AP333+AR333+AT333+AV333+AX333+AZ333+BB333+BD333+BF333+BH333+BJ333+BL333+BN333+BP333+BR333+BT333+BV333+BX333+BZ333+CB333+CD333+CF333+CH333+CJ333+CL333+CN333+CP333+CR333</f>
        <v>0</v>
      </c>
      <c r="CU333" s="206" t="s">
        <v>1000</v>
      </c>
      <c r="CV333" s="156"/>
      <c r="CZ333" s="157"/>
      <c r="DA333" s="152">
        <f t="shared" si="327"/>
        <v>544</v>
      </c>
      <c r="DB333" s="152" t="str">
        <f t="shared" si="328"/>
        <v>0</v>
      </c>
      <c r="DC333" s="153"/>
      <c r="DD333" s="158" t="s">
        <v>2212</v>
      </c>
      <c r="DE333" s="156" t="s">
        <v>435</v>
      </c>
      <c r="DF333" s="174" t="s">
        <v>1197</v>
      </c>
      <c r="DG333" s="175" t="s">
        <v>1184</v>
      </c>
      <c r="DH333" s="240" t="s">
        <v>477</v>
      </c>
      <c r="DI333" s="187">
        <v>45940</v>
      </c>
      <c r="DJ333" s="429">
        <v>544</v>
      </c>
      <c r="DK333" s="240" t="s">
        <v>477</v>
      </c>
      <c r="DL333" s="189">
        <v>9100</v>
      </c>
      <c r="DM333" s="181">
        <f t="shared" si="329"/>
        <v>5445440</v>
      </c>
      <c r="DN333" s="446">
        <f t="shared" si="330"/>
        <v>0.1</v>
      </c>
      <c r="DO333" s="160">
        <f t="shared" si="331"/>
        <v>4950400</v>
      </c>
      <c r="DP333" s="159">
        <v>45954</v>
      </c>
      <c r="DQ333" s="152">
        <f>SUMIF($I:$I,I333,$DJ:$DJ)</f>
        <v>544</v>
      </c>
      <c r="DR333" s="152">
        <f>SUMIF($I:$I,I333,$DK:$DK)</f>
        <v>0</v>
      </c>
      <c r="EO333" s="152">
        <f>SUMIF($I:$I,I333,$EC:$EC)</f>
        <v>0</v>
      </c>
      <c r="EP333" s="151">
        <f>SUMIF($I:$I,I333,$ED:$ED)</f>
        <v>0</v>
      </c>
      <c r="EQ333" s="153"/>
      <c r="ER333" s="153"/>
      <c r="ES333" s="153"/>
      <c r="ET333" s="153"/>
      <c r="EU333" s="152">
        <f t="shared" si="332"/>
        <v>544</v>
      </c>
      <c r="EV333" s="152">
        <f t="shared" si="333"/>
        <v>0</v>
      </c>
      <c r="EW333" s="152">
        <f t="shared" si="334"/>
        <v>0</v>
      </c>
      <c r="EX333" s="152">
        <f t="shared" si="335"/>
        <v>0</v>
      </c>
      <c r="EY333" s="151" t="str">
        <f t="shared" si="336"/>
        <v>Đủ</v>
      </c>
    </row>
    <row r="334" spans="1:155" s="155" customFormat="1" ht="14" hidden="1" customHeight="1">
      <c r="A334" s="208" t="str">
        <f t="shared" si="325"/>
        <v>Hiện</v>
      </c>
      <c r="B334" s="151" t="str">
        <f t="shared" si="326"/>
        <v>Đủ</v>
      </c>
      <c r="C334" s="409">
        <f t="shared" si="236"/>
        <v>0</v>
      </c>
      <c r="D334" s="154" t="s">
        <v>435</v>
      </c>
      <c r="E334" s="154">
        <f>C334*DL334*1.1</f>
        <v>0</v>
      </c>
      <c r="F334" s="154"/>
      <c r="G334" s="151"/>
      <c r="H334" s="364"/>
      <c r="I334" s="163" t="s">
        <v>788</v>
      </c>
      <c r="J334" s="164" t="s">
        <v>751</v>
      </c>
      <c r="K334" s="171" t="s">
        <v>789</v>
      </c>
      <c r="L334" s="171" t="s">
        <v>753</v>
      </c>
      <c r="M334" s="163" t="s">
        <v>345</v>
      </c>
      <c r="N334" s="173">
        <v>0</v>
      </c>
      <c r="O334" s="419">
        <v>160</v>
      </c>
      <c r="P334" s="205"/>
      <c r="S334" s="161"/>
      <c r="T334" s="162"/>
      <c r="U334" s="162"/>
      <c r="V334" s="162"/>
      <c r="W334" s="162"/>
      <c r="X334" s="162"/>
      <c r="Y334" s="162"/>
      <c r="Z334" s="162"/>
      <c r="AA334" s="162"/>
      <c r="AB334" s="162"/>
      <c r="AC334" s="162"/>
      <c r="AD334" s="162"/>
      <c r="AE334" s="162"/>
      <c r="AF334" s="162"/>
      <c r="AG334" s="162"/>
      <c r="AH334" s="162"/>
      <c r="AI334" s="162"/>
      <c r="AJ334" s="162"/>
      <c r="AK334" s="162">
        <v>170</v>
      </c>
      <c r="AL334" s="162">
        <v>0</v>
      </c>
      <c r="AM334" s="162"/>
      <c r="AN334" s="162"/>
      <c r="AO334" s="162">
        <v>0</v>
      </c>
      <c r="AP334" s="162">
        <v>0</v>
      </c>
      <c r="AQ334" s="162">
        <v>0</v>
      </c>
      <c r="AR334" s="162">
        <v>0</v>
      </c>
      <c r="AS334" s="162">
        <v>0</v>
      </c>
      <c r="AT334" s="162">
        <v>0</v>
      </c>
      <c r="AU334" s="162">
        <v>0</v>
      </c>
      <c r="AV334" s="162">
        <v>0</v>
      </c>
      <c r="AW334" s="162">
        <v>0</v>
      </c>
      <c r="AX334" s="162">
        <v>0</v>
      </c>
      <c r="AY334" s="162">
        <v>0</v>
      </c>
      <c r="AZ334" s="162">
        <v>0</v>
      </c>
      <c r="BA334" s="162"/>
      <c r="BB334" s="162"/>
      <c r="BC334" s="162">
        <v>0</v>
      </c>
      <c r="BD334" s="162">
        <v>0</v>
      </c>
      <c r="BE334" s="162">
        <v>0</v>
      </c>
      <c r="BF334" s="162">
        <v>0</v>
      </c>
      <c r="BG334" s="162">
        <v>0</v>
      </c>
      <c r="BH334" s="162">
        <v>0</v>
      </c>
      <c r="BI334" s="162">
        <v>0</v>
      </c>
      <c r="BJ334" s="162">
        <v>0</v>
      </c>
      <c r="BK334" s="162">
        <v>0</v>
      </c>
      <c r="BL334" s="162">
        <v>0</v>
      </c>
      <c r="BM334" s="162">
        <v>0</v>
      </c>
      <c r="BN334" s="162">
        <v>0</v>
      </c>
      <c r="BO334" s="162"/>
      <c r="BP334" s="162"/>
      <c r="BQ334" s="162">
        <v>0</v>
      </c>
      <c r="BR334" s="162">
        <v>0</v>
      </c>
      <c r="BS334" s="162">
        <v>0</v>
      </c>
      <c r="BT334" s="162">
        <v>0</v>
      </c>
      <c r="BU334" s="162">
        <v>0</v>
      </c>
      <c r="BV334" s="162">
        <v>0</v>
      </c>
      <c r="BW334" s="162"/>
      <c r="BX334" s="162"/>
      <c r="BY334" s="162">
        <v>0</v>
      </c>
      <c r="BZ334" s="162">
        <v>0</v>
      </c>
      <c r="CA334" s="162">
        <v>0</v>
      </c>
      <c r="CB334" s="162">
        <v>0</v>
      </c>
      <c r="CC334" s="162">
        <v>0</v>
      </c>
      <c r="CD334" s="162">
        <v>0</v>
      </c>
      <c r="CE334" s="162">
        <f>VLOOKUP(I334,[120]REV33!$A:$O,11,0)</f>
        <v>0</v>
      </c>
      <c r="CF334" s="162">
        <f>VLOOKUP(I334,[120]REV33!$A:$O,12,0)</f>
        <v>0</v>
      </c>
      <c r="CG334" s="162"/>
      <c r="CH334" s="162"/>
      <c r="CI334" s="162"/>
      <c r="CJ334" s="162"/>
      <c r="CK334" s="162"/>
      <c r="CL334" s="162"/>
      <c r="CM334" s="162"/>
      <c r="CN334" s="162"/>
      <c r="CO334" s="162">
        <v>0</v>
      </c>
      <c r="CP334" s="162">
        <v>0</v>
      </c>
      <c r="CQ334" s="162">
        <v>0</v>
      </c>
      <c r="CR334" s="162">
        <v>0</v>
      </c>
      <c r="CS334" s="209">
        <f>Q334+S334+U334+W334+Y334+AA334+AC334+AE334+AG334+AI334+AK334+AM334+AO334+AQ334+AS334+AU334+AW334+AY334+BA334+BC334+BE334+BG334+BI334+BK334+BM334+BO334+BQ334+BS334+BU334+BW334+BY334+CA334+CC334+CE334+CG334+CI334+CK334+CM334+CO334+CQ334</f>
        <v>170</v>
      </c>
      <c r="CT334" s="209">
        <f>R334+T334+V334+X334+Z334+AB334+AD334+AF334+AH334+AJ334+AL334+AN334+AP334+AR334+AT334+AV334+AX334+AZ334+BB334+BD334+BF334+BH334+BJ334+BL334+BN334+BP334+BR334+BT334+BV334+BX334+BZ334+CB334+CD334+CF334+CH334+CJ334+CL334+CN334+CP334+CR334</f>
        <v>0</v>
      </c>
      <c r="CU334" s="206" t="s">
        <v>1000</v>
      </c>
      <c r="CV334" s="156"/>
      <c r="CZ334" s="157"/>
      <c r="DA334" s="152">
        <f t="shared" si="327"/>
        <v>170</v>
      </c>
      <c r="DB334" s="152" t="str">
        <f t="shared" si="328"/>
        <v>0</v>
      </c>
      <c r="DC334" s="153"/>
      <c r="DD334" s="158" t="s">
        <v>2212</v>
      </c>
      <c r="DE334" s="156" t="s">
        <v>435</v>
      </c>
      <c r="DF334" s="174" t="s">
        <v>1201</v>
      </c>
      <c r="DG334" s="175" t="s">
        <v>1198</v>
      </c>
      <c r="DH334" s="240" t="s">
        <v>477</v>
      </c>
      <c r="DI334" s="187">
        <v>45940</v>
      </c>
      <c r="DJ334" s="429">
        <v>170</v>
      </c>
      <c r="DK334" s="240" t="s">
        <v>477</v>
      </c>
      <c r="DL334" s="189">
        <v>10850</v>
      </c>
      <c r="DM334" s="181">
        <f t="shared" si="329"/>
        <v>2028950.0000000002</v>
      </c>
      <c r="DN334" s="446">
        <f t="shared" si="330"/>
        <v>0.10000000000000013</v>
      </c>
      <c r="DO334" s="160">
        <f t="shared" si="331"/>
        <v>1844500</v>
      </c>
      <c r="DP334" s="159">
        <v>45954</v>
      </c>
      <c r="DQ334" s="152">
        <f>SUMIF($I:$I,I334,$DJ:$DJ)</f>
        <v>170</v>
      </c>
      <c r="DR334" s="152">
        <f>SUMIF($I:$I,I334,$DK:$DK)</f>
        <v>0</v>
      </c>
      <c r="EO334" s="152">
        <f>SUMIF($I:$I,I334,$EC:$EC)</f>
        <v>0</v>
      </c>
      <c r="EP334" s="151">
        <f>SUMIF($I:$I,I334,$ED:$ED)</f>
        <v>0</v>
      </c>
      <c r="EQ334" s="153"/>
      <c r="ER334" s="153"/>
      <c r="ES334" s="153"/>
      <c r="ET334" s="153"/>
      <c r="EU334" s="152">
        <f t="shared" si="332"/>
        <v>170</v>
      </c>
      <c r="EV334" s="152">
        <f t="shared" si="333"/>
        <v>0</v>
      </c>
      <c r="EW334" s="152">
        <f t="shared" si="334"/>
        <v>0</v>
      </c>
      <c r="EX334" s="152">
        <f t="shared" si="335"/>
        <v>0</v>
      </c>
      <c r="EY334" s="151" t="str">
        <f t="shared" si="336"/>
        <v>Đủ</v>
      </c>
    </row>
    <row r="335" spans="1:155" s="155" customFormat="1" ht="14" hidden="1" customHeight="1">
      <c r="A335" s="208" t="str">
        <f t="shared" si="325"/>
        <v>Hiện</v>
      </c>
      <c r="B335" s="151" t="str">
        <f t="shared" si="326"/>
        <v>Đủ</v>
      </c>
      <c r="C335" s="409">
        <f t="shared" si="236"/>
        <v>0</v>
      </c>
      <c r="D335" s="154" t="s">
        <v>435</v>
      </c>
      <c r="E335" s="154">
        <f>C335*DL335*1.1</f>
        <v>0</v>
      </c>
      <c r="F335" s="154"/>
      <c r="G335" s="151"/>
      <c r="H335" s="364"/>
      <c r="I335" s="163" t="s">
        <v>790</v>
      </c>
      <c r="J335" s="164" t="s">
        <v>751</v>
      </c>
      <c r="K335" s="171" t="s">
        <v>791</v>
      </c>
      <c r="L335" s="171" t="s">
        <v>753</v>
      </c>
      <c r="M335" s="163" t="s">
        <v>345</v>
      </c>
      <c r="N335" s="173">
        <v>0</v>
      </c>
      <c r="O335" s="419">
        <v>160</v>
      </c>
      <c r="P335" s="205"/>
      <c r="S335" s="161"/>
      <c r="T335" s="162"/>
      <c r="U335" s="162"/>
      <c r="V335" s="162"/>
      <c r="W335" s="162"/>
      <c r="X335" s="162"/>
      <c r="Y335" s="162"/>
      <c r="Z335" s="162"/>
      <c r="AA335" s="162"/>
      <c r="AB335" s="162"/>
      <c r="AC335" s="162"/>
      <c r="AD335" s="162"/>
      <c r="AE335" s="162"/>
      <c r="AF335" s="162"/>
      <c r="AG335" s="162"/>
      <c r="AH335" s="162"/>
      <c r="AI335" s="162"/>
      <c r="AJ335" s="162"/>
      <c r="AK335" s="162">
        <v>170</v>
      </c>
      <c r="AL335" s="162">
        <v>0</v>
      </c>
      <c r="AM335" s="162"/>
      <c r="AN335" s="162"/>
      <c r="AO335" s="162">
        <v>0</v>
      </c>
      <c r="AP335" s="162">
        <v>0</v>
      </c>
      <c r="AQ335" s="162">
        <v>0</v>
      </c>
      <c r="AR335" s="162">
        <v>0</v>
      </c>
      <c r="AS335" s="162">
        <v>0</v>
      </c>
      <c r="AT335" s="162">
        <v>0</v>
      </c>
      <c r="AU335" s="162">
        <v>0</v>
      </c>
      <c r="AV335" s="162">
        <v>0</v>
      </c>
      <c r="AW335" s="162">
        <v>0</v>
      </c>
      <c r="AX335" s="162">
        <v>0</v>
      </c>
      <c r="AY335" s="162">
        <v>0</v>
      </c>
      <c r="AZ335" s="162">
        <v>0</v>
      </c>
      <c r="BA335" s="162"/>
      <c r="BB335" s="162"/>
      <c r="BC335" s="162">
        <v>0</v>
      </c>
      <c r="BD335" s="162">
        <v>0</v>
      </c>
      <c r="BE335" s="162">
        <v>0</v>
      </c>
      <c r="BF335" s="162">
        <v>0</v>
      </c>
      <c r="BG335" s="162">
        <v>0</v>
      </c>
      <c r="BH335" s="162">
        <v>0</v>
      </c>
      <c r="BI335" s="162">
        <v>0</v>
      </c>
      <c r="BJ335" s="162">
        <v>0</v>
      </c>
      <c r="BK335" s="162">
        <v>0</v>
      </c>
      <c r="BL335" s="162">
        <v>0</v>
      </c>
      <c r="BM335" s="162">
        <v>0</v>
      </c>
      <c r="BN335" s="162">
        <v>0</v>
      </c>
      <c r="BO335" s="162"/>
      <c r="BP335" s="162"/>
      <c r="BQ335" s="162">
        <v>0</v>
      </c>
      <c r="BR335" s="162">
        <v>0</v>
      </c>
      <c r="BS335" s="162">
        <v>0</v>
      </c>
      <c r="BT335" s="162">
        <v>0</v>
      </c>
      <c r="BU335" s="162">
        <v>0</v>
      </c>
      <c r="BV335" s="162">
        <v>0</v>
      </c>
      <c r="BW335" s="162"/>
      <c r="BX335" s="162"/>
      <c r="BY335" s="162">
        <v>0</v>
      </c>
      <c r="BZ335" s="162">
        <v>0</v>
      </c>
      <c r="CA335" s="162">
        <v>0</v>
      </c>
      <c r="CB335" s="162">
        <v>0</v>
      </c>
      <c r="CC335" s="162">
        <v>0</v>
      </c>
      <c r="CD335" s="162">
        <v>0</v>
      </c>
      <c r="CE335" s="162">
        <f>VLOOKUP(I335,[120]REV33!$A:$O,11,0)</f>
        <v>0</v>
      </c>
      <c r="CF335" s="162">
        <f>VLOOKUP(I335,[120]REV33!$A:$O,12,0)</f>
        <v>0</v>
      </c>
      <c r="CG335" s="162"/>
      <c r="CH335" s="162"/>
      <c r="CI335" s="162"/>
      <c r="CJ335" s="162"/>
      <c r="CK335" s="162"/>
      <c r="CL335" s="162"/>
      <c r="CM335" s="162"/>
      <c r="CN335" s="162"/>
      <c r="CO335" s="162">
        <v>0</v>
      </c>
      <c r="CP335" s="162">
        <v>0</v>
      </c>
      <c r="CQ335" s="162">
        <v>0</v>
      </c>
      <c r="CR335" s="162">
        <v>0</v>
      </c>
      <c r="CS335" s="209">
        <f>Q335+S335+U335+W335+Y335+AA335+AC335+AE335+AG335+AI335+AK335+AM335+AO335+AQ335+AS335+AU335+AW335+AY335+BA335+BC335+BE335+BG335+BI335+BK335+BM335+BO335+BQ335+BS335+BU335+BW335+BY335+CA335+CC335+CE335+CG335+CI335+CK335+CM335+CO335+CQ335</f>
        <v>170</v>
      </c>
      <c r="CT335" s="209">
        <f>R335+T335+V335+X335+Z335+AB335+AD335+AF335+AH335+AJ335+AL335+AN335+AP335+AR335+AT335+AV335+AX335+AZ335+BB335+BD335+BF335+BH335+BJ335+BL335+BN335+BP335+BR335+BT335+BV335+BX335+BZ335+CB335+CD335+CF335+CH335+CJ335+CL335+CN335+CP335+CR335</f>
        <v>0</v>
      </c>
      <c r="CU335" s="206" t="s">
        <v>1000</v>
      </c>
      <c r="CV335" s="156"/>
      <c r="CZ335" s="157"/>
      <c r="DA335" s="152">
        <f t="shared" si="327"/>
        <v>170</v>
      </c>
      <c r="DB335" s="152" t="str">
        <f t="shared" si="328"/>
        <v>0</v>
      </c>
      <c r="DC335" s="153"/>
      <c r="DD335" s="158" t="s">
        <v>2212</v>
      </c>
      <c r="DE335" s="156" t="s">
        <v>435</v>
      </c>
      <c r="DF335" s="174" t="s">
        <v>1201</v>
      </c>
      <c r="DG335" s="175" t="s">
        <v>1184</v>
      </c>
      <c r="DH335" s="240" t="s">
        <v>477</v>
      </c>
      <c r="DI335" s="187">
        <v>45940</v>
      </c>
      <c r="DJ335" s="429">
        <v>170</v>
      </c>
      <c r="DK335" s="240" t="s">
        <v>477</v>
      </c>
      <c r="DL335" s="189">
        <v>9100</v>
      </c>
      <c r="DM335" s="181">
        <f t="shared" si="329"/>
        <v>1701700.0000000002</v>
      </c>
      <c r="DN335" s="446">
        <f t="shared" si="330"/>
        <v>0.10000000000000014</v>
      </c>
      <c r="DO335" s="160">
        <f t="shared" si="331"/>
        <v>1547000</v>
      </c>
      <c r="DP335" s="159">
        <v>45954</v>
      </c>
      <c r="DQ335" s="152">
        <f>SUMIF($I:$I,I335,$DJ:$DJ)</f>
        <v>170</v>
      </c>
      <c r="DR335" s="152">
        <f>SUMIF($I:$I,I335,$DK:$DK)</f>
        <v>0</v>
      </c>
      <c r="EO335" s="152">
        <f>SUMIF($I:$I,I335,$EC:$EC)</f>
        <v>0</v>
      </c>
      <c r="EP335" s="151">
        <f>SUMIF($I:$I,I335,$ED:$ED)</f>
        <v>0</v>
      </c>
      <c r="EQ335" s="153"/>
      <c r="ER335" s="153"/>
      <c r="ES335" s="153"/>
      <c r="ET335" s="153"/>
      <c r="EU335" s="152">
        <f t="shared" si="332"/>
        <v>170</v>
      </c>
      <c r="EV335" s="152">
        <f t="shared" si="333"/>
        <v>0</v>
      </c>
      <c r="EW335" s="152">
        <f t="shared" si="334"/>
        <v>0</v>
      </c>
      <c r="EX335" s="152">
        <f t="shared" si="335"/>
        <v>0</v>
      </c>
      <c r="EY335" s="151" t="str">
        <f t="shared" si="336"/>
        <v>Đủ</v>
      </c>
    </row>
    <row r="336" spans="1:155" s="155" customFormat="1" ht="14" hidden="1" customHeight="1">
      <c r="A336" s="208" t="str">
        <f t="shared" si="325"/>
        <v>Hiện</v>
      </c>
      <c r="B336" s="151" t="str">
        <f t="shared" si="326"/>
        <v>Đủ</v>
      </c>
      <c r="C336" s="409">
        <f t="shared" si="236"/>
        <v>0</v>
      </c>
      <c r="D336" s="154" t="s">
        <v>435</v>
      </c>
      <c r="E336" s="154">
        <f>C336*DL336*1.1</f>
        <v>0</v>
      </c>
      <c r="F336" s="154"/>
      <c r="G336" s="151"/>
      <c r="H336" s="364"/>
      <c r="I336" s="163" t="s">
        <v>792</v>
      </c>
      <c r="J336" s="164" t="s">
        <v>751</v>
      </c>
      <c r="K336" s="171" t="s">
        <v>793</v>
      </c>
      <c r="L336" s="171" t="s">
        <v>753</v>
      </c>
      <c r="M336" s="163" t="s">
        <v>345</v>
      </c>
      <c r="N336" s="173">
        <v>0</v>
      </c>
      <c r="O336" s="419">
        <v>192</v>
      </c>
      <c r="P336" s="205"/>
      <c r="S336" s="161"/>
      <c r="T336" s="162"/>
      <c r="U336" s="162"/>
      <c r="V336" s="162"/>
      <c r="W336" s="162"/>
      <c r="X336" s="162"/>
      <c r="Y336" s="162"/>
      <c r="Z336" s="162"/>
      <c r="AA336" s="162"/>
      <c r="AB336" s="162"/>
      <c r="AC336" s="162"/>
      <c r="AD336" s="162"/>
      <c r="AE336" s="162"/>
      <c r="AF336" s="162"/>
      <c r="AG336" s="162"/>
      <c r="AH336" s="162"/>
      <c r="AI336" s="162"/>
      <c r="AJ336" s="162"/>
      <c r="AK336" s="162">
        <v>204</v>
      </c>
      <c r="AL336" s="162">
        <v>0</v>
      </c>
      <c r="AM336" s="162"/>
      <c r="AN336" s="162"/>
      <c r="AO336" s="162">
        <v>0</v>
      </c>
      <c r="AP336" s="162">
        <v>0</v>
      </c>
      <c r="AQ336" s="162">
        <v>0</v>
      </c>
      <c r="AR336" s="162">
        <v>0</v>
      </c>
      <c r="AS336" s="162">
        <v>0</v>
      </c>
      <c r="AT336" s="162">
        <v>0</v>
      </c>
      <c r="AU336" s="162">
        <v>0</v>
      </c>
      <c r="AV336" s="162">
        <v>0</v>
      </c>
      <c r="AW336" s="162">
        <v>0</v>
      </c>
      <c r="AX336" s="162">
        <v>0</v>
      </c>
      <c r="AY336" s="162">
        <v>0</v>
      </c>
      <c r="AZ336" s="162">
        <v>0</v>
      </c>
      <c r="BA336" s="162"/>
      <c r="BB336" s="162"/>
      <c r="BC336" s="162">
        <v>0</v>
      </c>
      <c r="BD336" s="162">
        <v>0</v>
      </c>
      <c r="BE336" s="162">
        <v>0</v>
      </c>
      <c r="BF336" s="162">
        <v>0</v>
      </c>
      <c r="BG336" s="162">
        <v>0</v>
      </c>
      <c r="BH336" s="162">
        <v>0</v>
      </c>
      <c r="BI336" s="162">
        <v>0</v>
      </c>
      <c r="BJ336" s="162">
        <v>0</v>
      </c>
      <c r="BK336" s="162">
        <v>0</v>
      </c>
      <c r="BL336" s="162">
        <v>0</v>
      </c>
      <c r="BM336" s="162">
        <v>0</v>
      </c>
      <c r="BN336" s="162">
        <v>0</v>
      </c>
      <c r="BO336" s="162"/>
      <c r="BP336" s="162"/>
      <c r="BQ336" s="162">
        <v>0</v>
      </c>
      <c r="BR336" s="162">
        <v>0</v>
      </c>
      <c r="BS336" s="162">
        <v>0</v>
      </c>
      <c r="BT336" s="162">
        <v>0</v>
      </c>
      <c r="BU336" s="162">
        <v>0</v>
      </c>
      <c r="BV336" s="162">
        <v>0</v>
      </c>
      <c r="BW336" s="162"/>
      <c r="BX336" s="162"/>
      <c r="BY336" s="162">
        <v>0</v>
      </c>
      <c r="BZ336" s="162">
        <v>0</v>
      </c>
      <c r="CA336" s="162">
        <v>0</v>
      </c>
      <c r="CB336" s="162">
        <v>0</v>
      </c>
      <c r="CC336" s="162">
        <v>0</v>
      </c>
      <c r="CD336" s="162">
        <v>0</v>
      </c>
      <c r="CE336" s="162">
        <f>VLOOKUP(I336,[120]REV33!$A:$O,11,0)</f>
        <v>0</v>
      </c>
      <c r="CF336" s="162">
        <f>VLOOKUP(I336,[120]REV33!$A:$O,12,0)</f>
        <v>0</v>
      </c>
      <c r="CG336" s="162"/>
      <c r="CH336" s="162"/>
      <c r="CI336" s="162"/>
      <c r="CJ336" s="162"/>
      <c r="CK336" s="162"/>
      <c r="CL336" s="162"/>
      <c r="CM336" s="162"/>
      <c r="CN336" s="162"/>
      <c r="CO336" s="162">
        <v>0</v>
      </c>
      <c r="CP336" s="162">
        <v>0</v>
      </c>
      <c r="CQ336" s="162">
        <v>0</v>
      </c>
      <c r="CR336" s="162">
        <v>0</v>
      </c>
      <c r="CS336" s="209">
        <f>Q336+S336+U336+W336+Y336+AA336+AC336+AE336+AG336+AI336+AK336+AM336+AO336+AQ336+AS336+AU336+AW336+AY336+BA336+BC336+BE336+BG336+BI336+BK336+BM336+BO336+BQ336+BS336+BU336+BW336+BY336+CA336+CC336+CE336+CG336+CI336+CK336+CM336+CO336+CQ336</f>
        <v>204</v>
      </c>
      <c r="CT336" s="209">
        <f>R336+T336+V336+X336+Z336+AB336+AD336+AF336+AH336+AJ336+AL336+AN336+AP336+AR336+AT336+AV336+AX336+AZ336+BB336+BD336+BF336+BH336+BJ336+BL336+BN336+BP336+BR336+BT336+BV336+BX336+BZ336+CB336+CD336+CF336+CH336+CJ336+CL336+CN336+CP336+CR336</f>
        <v>0</v>
      </c>
      <c r="CU336" s="206" t="s">
        <v>1000</v>
      </c>
      <c r="CV336" s="156"/>
      <c r="CZ336" s="157"/>
      <c r="DA336" s="152">
        <f t="shared" si="327"/>
        <v>204</v>
      </c>
      <c r="DB336" s="152" t="str">
        <f t="shared" si="328"/>
        <v>0</v>
      </c>
      <c r="DC336" s="153"/>
      <c r="DD336" s="158" t="s">
        <v>2212</v>
      </c>
      <c r="DE336" s="156" t="s">
        <v>435</v>
      </c>
      <c r="DF336" s="174" t="s">
        <v>1202</v>
      </c>
      <c r="DG336" s="175" t="s">
        <v>1198</v>
      </c>
      <c r="DH336" s="240" t="s">
        <v>477</v>
      </c>
      <c r="DI336" s="187">
        <v>45940</v>
      </c>
      <c r="DJ336" s="429">
        <v>204</v>
      </c>
      <c r="DK336" s="240" t="s">
        <v>477</v>
      </c>
      <c r="DL336" s="189">
        <v>21210</v>
      </c>
      <c r="DM336" s="181">
        <f t="shared" si="329"/>
        <v>4759524</v>
      </c>
      <c r="DN336" s="446">
        <f t="shared" si="330"/>
        <v>0.1</v>
      </c>
      <c r="DO336" s="160">
        <f t="shared" si="331"/>
        <v>4326840</v>
      </c>
      <c r="DP336" s="159">
        <v>45954</v>
      </c>
      <c r="DQ336" s="152">
        <f>SUMIF($I:$I,I336,$DJ:$DJ)</f>
        <v>204</v>
      </c>
      <c r="DR336" s="152">
        <f>SUMIF($I:$I,I336,$DK:$DK)</f>
        <v>0</v>
      </c>
      <c r="EO336" s="152">
        <f>SUMIF($I:$I,I336,$EC:$EC)</f>
        <v>0</v>
      </c>
      <c r="EP336" s="151">
        <f>SUMIF($I:$I,I336,$ED:$ED)</f>
        <v>0</v>
      </c>
      <c r="EQ336" s="153"/>
      <c r="ER336" s="153"/>
      <c r="ES336" s="153"/>
      <c r="ET336" s="153"/>
      <c r="EU336" s="152">
        <f t="shared" si="332"/>
        <v>204</v>
      </c>
      <c r="EV336" s="152">
        <f t="shared" si="333"/>
        <v>0</v>
      </c>
      <c r="EW336" s="152">
        <f t="shared" si="334"/>
        <v>0</v>
      </c>
      <c r="EX336" s="152">
        <f t="shared" si="335"/>
        <v>0</v>
      </c>
      <c r="EY336" s="151" t="str">
        <f t="shared" si="336"/>
        <v>Đủ</v>
      </c>
    </row>
    <row r="337" spans="1:155" s="155" customFormat="1" ht="14" hidden="1" customHeight="1">
      <c r="A337" s="208" t="str">
        <f t="shared" si="325"/>
        <v>Hiện</v>
      </c>
      <c r="B337" s="151" t="str">
        <f t="shared" si="326"/>
        <v>Đủ</v>
      </c>
      <c r="C337" s="409">
        <f t="shared" si="236"/>
        <v>0</v>
      </c>
      <c r="D337" s="154" t="s">
        <v>435</v>
      </c>
      <c r="E337" s="154">
        <f>C337*DL337*1.1</f>
        <v>0</v>
      </c>
      <c r="F337" s="154"/>
      <c r="G337" s="151"/>
      <c r="H337" s="364"/>
      <c r="I337" s="163" t="s">
        <v>794</v>
      </c>
      <c r="J337" s="164" t="s">
        <v>751</v>
      </c>
      <c r="K337" s="171" t="s">
        <v>795</v>
      </c>
      <c r="L337" s="171" t="s">
        <v>796</v>
      </c>
      <c r="M337" s="163" t="s">
        <v>345</v>
      </c>
      <c r="N337" s="173">
        <v>0</v>
      </c>
      <c r="O337" s="419">
        <v>80</v>
      </c>
      <c r="P337" s="205"/>
      <c r="S337" s="161"/>
      <c r="T337" s="162"/>
      <c r="U337" s="162"/>
      <c r="V337" s="162"/>
      <c r="W337" s="162"/>
      <c r="X337" s="162"/>
      <c r="Y337" s="162"/>
      <c r="Z337" s="162"/>
      <c r="AA337" s="162"/>
      <c r="AB337" s="162"/>
      <c r="AC337" s="162"/>
      <c r="AD337" s="162"/>
      <c r="AE337" s="162"/>
      <c r="AF337" s="162"/>
      <c r="AG337" s="162"/>
      <c r="AH337" s="162"/>
      <c r="AI337" s="162"/>
      <c r="AJ337" s="162"/>
      <c r="AK337" s="162">
        <v>90</v>
      </c>
      <c r="AL337" s="162">
        <v>0</v>
      </c>
      <c r="AM337" s="162"/>
      <c r="AN337" s="162"/>
      <c r="AO337" s="162">
        <v>0</v>
      </c>
      <c r="AP337" s="162">
        <v>0</v>
      </c>
      <c r="AQ337" s="162">
        <v>0</v>
      </c>
      <c r="AR337" s="162">
        <v>0</v>
      </c>
      <c r="AS337" s="162">
        <v>0</v>
      </c>
      <c r="AT337" s="162">
        <v>0</v>
      </c>
      <c r="AU337" s="162">
        <v>0</v>
      </c>
      <c r="AV337" s="162">
        <v>0</v>
      </c>
      <c r="AW337" s="162">
        <v>0</v>
      </c>
      <c r="AX337" s="162">
        <v>0</v>
      </c>
      <c r="AY337" s="162">
        <v>0</v>
      </c>
      <c r="AZ337" s="162">
        <v>0</v>
      </c>
      <c r="BA337" s="162"/>
      <c r="BB337" s="162"/>
      <c r="BC337" s="162">
        <v>0</v>
      </c>
      <c r="BD337" s="162">
        <v>0</v>
      </c>
      <c r="BE337" s="162">
        <v>0</v>
      </c>
      <c r="BF337" s="162">
        <v>0</v>
      </c>
      <c r="BG337" s="162">
        <v>0</v>
      </c>
      <c r="BH337" s="162">
        <v>0</v>
      </c>
      <c r="BI337" s="162">
        <v>0</v>
      </c>
      <c r="BJ337" s="162">
        <v>0</v>
      </c>
      <c r="BK337" s="162">
        <v>0</v>
      </c>
      <c r="BL337" s="162">
        <v>0</v>
      </c>
      <c r="BM337" s="162">
        <v>0</v>
      </c>
      <c r="BN337" s="162">
        <v>0</v>
      </c>
      <c r="BO337" s="162"/>
      <c r="BP337" s="162"/>
      <c r="BQ337" s="162">
        <v>0</v>
      </c>
      <c r="BR337" s="162">
        <v>0</v>
      </c>
      <c r="BS337" s="162">
        <v>0</v>
      </c>
      <c r="BT337" s="162">
        <v>0</v>
      </c>
      <c r="BU337" s="162">
        <v>0</v>
      </c>
      <c r="BV337" s="162">
        <v>0</v>
      </c>
      <c r="BW337" s="162"/>
      <c r="BX337" s="162"/>
      <c r="BY337" s="162">
        <v>0</v>
      </c>
      <c r="BZ337" s="162">
        <v>0</v>
      </c>
      <c r="CA337" s="162">
        <v>0</v>
      </c>
      <c r="CB337" s="162">
        <v>0</v>
      </c>
      <c r="CC337" s="162">
        <v>0</v>
      </c>
      <c r="CD337" s="162">
        <v>0</v>
      </c>
      <c r="CE337" s="162">
        <f>VLOOKUP(I337,[120]REV33!$A:$O,11,0)</f>
        <v>0</v>
      </c>
      <c r="CF337" s="162">
        <f>VLOOKUP(I337,[120]REV33!$A:$O,12,0)</f>
        <v>0</v>
      </c>
      <c r="CG337" s="162"/>
      <c r="CH337" s="162"/>
      <c r="CI337" s="162"/>
      <c r="CJ337" s="162"/>
      <c r="CK337" s="162"/>
      <c r="CL337" s="162"/>
      <c r="CM337" s="162"/>
      <c r="CN337" s="162"/>
      <c r="CO337" s="162">
        <v>0</v>
      </c>
      <c r="CP337" s="162">
        <v>0</v>
      </c>
      <c r="CQ337" s="162">
        <v>0</v>
      </c>
      <c r="CR337" s="162">
        <v>0</v>
      </c>
      <c r="CS337" s="209">
        <f>Q337+S337+U337+W337+Y337+AA337+AC337+AE337+AG337+AI337+AK337+AM337+AO337+AQ337+AS337+AU337+AW337+AY337+BA337+BC337+BE337+BG337+BI337+BK337+BM337+BO337+BQ337+BS337+BU337+BW337+BY337+CA337+CC337+CE337+CG337+CI337+CK337+CM337+CO337+CQ337</f>
        <v>90</v>
      </c>
      <c r="CT337" s="209">
        <f>R337+T337+V337+X337+Z337+AB337+AD337+AF337+AH337+AJ337+AL337+AN337+AP337+AR337+AT337+AV337+AX337+AZ337+BB337+BD337+BF337+BH337+BJ337+BL337+BN337+BP337+BR337+BT337+BV337+BX337+BZ337+CB337+CD337+CF337+CH337+CJ337+CL337+CN337+CP337+CR337</f>
        <v>0</v>
      </c>
      <c r="CU337" s="206" t="s">
        <v>1000</v>
      </c>
      <c r="CV337" s="156"/>
      <c r="CZ337" s="157"/>
      <c r="DA337" s="152">
        <f t="shared" si="327"/>
        <v>90</v>
      </c>
      <c r="DB337" s="152" t="str">
        <f t="shared" si="328"/>
        <v>0</v>
      </c>
      <c r="DC337" s="153"/>
      <c r="DD337" s="158" t="s">
        <v>2212</v>
      </c>
      <c r="DE337" s="156" t="s">
        <v>435</v>
      </c>
      <c r="DF337" s="174" t="s">
        <v>1203</v>
      </c>
      <c r="DG337" s="175" t="s">
        <v>1204</v>
      </c>
      <c r="DH337" s="240" t="s">
        <v>477</v>
      </c>
      <c r="DI337" s="187">
        <v>45940</v>
      </c>
      <c r="DJ337" s="429">
        <v>90</v>
      </c>
      <c r="DK337" s="240" t="s">
        <v>477</v>
      </c>
      <c r="DL337" s="189">
        <v>41850</v>
      </c>
      <c r="DM337" s="181">
        <f t="shared" si="329"/>
        <v>4143150.0000000005</v>
      </c>
      <c r="DN337" s="446">
        <f t="shared" si="330"/>
        <v>0.10000000000000013</v>
      </c>
      <c r="DO337" s="160">
        <f t="shared" si="331"/>
        <v>3766500</v>
      </c>
      <c r="DP337" s="159">
        <v>45954</v>
      </c>
      <c r="DQ337" s="152">
        <f>SUMIF($I:$I,I337,$DJ:$DJ)</f>
        <v>90</v>
      </c>
      <c r="DR337" s="152">
        <f>SUMIF($I:$I,I337,$DK:$DK)</f>
        <v>0</v>
      </c>
      <c r="EO337" s="152">
        <f>SUMIF($I:$I,I337,$EC:$EC)</f>
        <v>0</v>
      </c>
      <c r="EP337" s="151">
        <f>SUMIF($I:$I,I337,$ED:$ED)</f>
        <v>0</v>
      </c>
      <c r="EQ337" s="153"/>
      <c r="ER337" s="153"/>
      <c r="ES337" s="153"/>
      <c r="ET337" s="153"/>
      <c r="EU337" s="152">
        <f t="shared" si="332"/>
        <v>90</v>
      </c>
      <c r="EV337" s="152">
        <f t="shared" si="333"/>
        <v>0</v>
      </c>
      <c r="EW337" s="152">
        <f t="shared" si="334"/>
        <v>0</v>
      </c>
      <c r="EX337" s="152">
        <f t="shared" si="335"/>
        <v>0</v>
      </c>
      <c r="EY337" s="151" t="str">
        <f t="shared" si="336"/>
        <v>Đủ</v>
      </c>
    </row>
    <row r="338" spans="1:155" s="155" customFormat="1" ht="14" hidden="1" customHeight="1">
      <c r="A338" s="208" t="str">
        <f t="shared" si="325"/>
        <v>Hiện</v>
      </c>
      <c r="B338" s="151" t="str">
        <f t="shared" si="326"/>
        <v>Đủ</v>
      </c>
      <c r="C338" s="409">
        <f t="shared" si="236"/>
        <v>0</v>
      </c>
      <c r="D338" s="154" t="s">
        <v>435</v>
      </c>
      <c r="E338" s="154">
        <f>C338*DL338*1.1</f>
        <v>0</v>
      </c>
      <c r="F338" s="154"/>
      <c r="G338" s="151"/>
      <c r="H338" s="364"/>
      <c r="I338" s="163" t="s">
        <v>797</v>
      </c>
      <c r="J338" s="164" t="s">
        <v>751</v>
      </c>
      <c r="K338" s="171" t="s">
        <v>798</v>
      </c>
      <c r="L338" s="171" t="s">
        <v>753</v>
      </c>
      <c r="M338" s="163" t="s">
        <v>345</v>
      </c>
      <c r="N338" s="173">
        <v>0</v>
      </c>
      <c r="O338" s="419">
        <v>80</v>
      </c>
      <c r="P338" s="205"/>
      <c r="S338" s="161"/>
      <c r="T338" s="162"/>
      <c r="U338" s="162"/>
      <c r="V338" s="162"/>
      <c r="W338" s="162"/>
      <c r="X338" s="162"/>
      <c r="Y338" s="162"/>
      <c r="Z338" s="162"/>
      <c r="AA338" s="162"/>
      <c r="AB338" s="162"/>
      <c r="AC338" s="162"/>
      <c r="AD338" s="162"/>
      <c r="AE338" s="162"/>
      <c r="AF338" s="162"/>
      <c r="AG338" s="162"/>
      <c r="AH338" s="162"/>
      <c r="AI338" s="162"/>
      <c r="AJ338" s="162"/>
      <c r="AK338" s="162">
        <v>90</v>
      </c>
      <c r="AL338" s="162">
        <v>0</v>
      </c>
      <c r="AM338" s="162"/>
      <c r="AN338" s="162"/>
      <c r="AO338" s="162">
        <v>0</v>
      </c>
      <c r="AP338" s="162">
        <v>0</v>
      </c>
      <c r="AQ338" s="162">
        <v>0</v>
      </c>
      <c r="AR338" s="162">
        <v>0</v>
      </c>
      <c r="AS338" s="162">
        <v>0</v>
      </c>
      <c r="AT338" s="162">
        <v>0</v>
      </c>
      <c r="AU338" s="162">
        <v>0</v>
      </c>
      <c r="AV338" s="162">
        <v>0</v>
      </c>
      <c r="AW338" s="162">
        <v>0</v>
      </c>
      <c r="AX338" s="162">
        <v>0</v>
      </c>
      <c r="AY338" s="162">
        <v>0</v>
      </c>
      <c r="AZ338" s="162">
        <v>0</v>
      </c>
      <c r="BA338" s="162"/>
      <c r="BB338" s="162"/>
      <c r="BC338" s="162">
        <v>0</v>
      </c>
      <c r="BD338" s="162">
        <v>0</v>
      </c>
      <c r="BE338" s="162">
        <v>0</v>
      </c>
      <c r="BF338" s="162">
        <v>0</v>
      </c>
      <c r="BG338" s="162">
        <v>0</v>
      </c>
      <c r="BH338" s="162">
        <v>0</v>
      </c>
      <c r="BI338" s="162">
        <v>0</v>
      </c>
      <c r="BJ338" s="162">
        <v>0</v>
      </c>
      <c r="BK338" s="162">
        <v>0</v>
      </c>
      <c r="BL338" s="162">
        <v>0</v>
      </c>
      <c r="BM338" s="162">
        <v>0</v>
      </c>
      <c r="BN338" s="162">
        <v>0</v>
      </c>
      <c r="BO338" s="162"/>
      <c r="BP338" s="162"/>
      <c r="BQ338" s="162">
        <v>0</v>
      </c>
      <c r="BR338" s="162">
        <v>0</v>
      </c>
      <c r="BS338" s="162">
        <v>0</v>
      </c>
      <c r="BT338" s="162">
        <v>0</v>
      </c>
      <c r="BU338" s="162">
        <v>0</v>
      </c>
      <c r="BV338" s="162">
        <v>0</v>
      </c>
      <c r="BW338" s="162"/>
      <c r="BX338" s="162"/>
      <c r="BY338" s="162">
        <v>0</v>
      </c>
      <c r="BZ338" s="162">
        <v>0</v>
      </c>
      <c r="CA338" s="162">
        <v>0</v>
      </c>
      <c r="CB338" s="162">
        <v>0</v>
      </c>
      <c r="CC338" s="162">
        <v>0</v>
      </c>
      <c r="CD338" s="162">
        <v>0</v>
      </c>
      <c r="CE338" s="162">
        <f>VLOOKUP(I338,[120]REV33!$A:$O,11,0)</f>
        <v>0</v>
      </c>
      <c r="CF338" s="162">
        <f>VLOOKUP(I338,[120]REV33!$A:$O,12,0)</f>
        <v>0</v>
      </c>
      <c r="CG338" s="162"/>
      <c r="CH338" s="162"/>
      <c r="CI338" s="162"/>
      <c r="CJ338" s="162"/>
      <c r="CK338" s="162"/>
      <c r="CL338" s="162"/>
      <c r="CM338" s="162"/>
      <c r="CN338" s="162"/>
      <c r="CO338" s="162">
        <v>0</v>
      </c>
      <c r="CP338" s="162">
        <v>0</v>
      </c>
      <c r="CQ338" s="162">
        <v>0</v>
      </c>
      <c r="CR338" s="162">
        <v>0</v>
      </c>
      <c r="CS338" s="209">
        <f>Q338+S338+U338+W338+Y338+AA338+AC338+AE338+AG338+AI338+AK338+AM338+AO338+AQ338+AS338+AU338+AW338+AY338+BA338+BC338+BE338+BG338+BI338+BK338+BM338+BO338+BQ338+BS338+BU338+BW338+BY338+CA338+CC338+CE338+CG338+CI338+CK338+CM338+CO338+CQ338</f>
        <v>90</v>
      </c>
      <c r="CT338" s="209">
        <f>R338+T338+V338+X338+Z338+AB338+AD338+AF338+AH338+AJ338+AL338+AN338+AP338+AR338+AT338+AV338+AX338+AZ338+BB338+BD338+BF338+BH338+BJ338+BL338+BN338+BP338+BR338+BT338+BV338+BX338+BZ338+CB338+CD338+CF338+CH338+CJ338+CL338+CN338+CP338+CR338</f>
        <v>0</v>
      </c>
      <c r="CU338" s="206" t="s">
        <v>1000</v>
      </c>
      <c r="CV338" s="156"/>
      <c r="CZ338" s="157"/>
      <c r="DA338" s="152">
        <f t="shared" si="327"/>
        <v>90</v>
      </c>
      <c r="DB338" s="152" t="str">
        <f t="shared" si="328"/>
        <v>0</v>
      </c>
      <c r="DC338" s="153"/>
      <c r="DD338" s="158" t="s">
        <v>2212</v>
      </c>
      <c r="DE338" s="156" t="s">
        <v>435</v>
      </c>
      <c r="DF338" s="174" t="s">
        <v>1202</v>
      </c>
      <c r="DG338" s="175" t="s">
        <v>1184</v>
      </c>
      <c r="DH338" s="240" t="s">
        <v>477</v>
      </c>
      <c r="DI338" s="187">
        <v>45940</v>
      </c>
      <c r="DJ338" s="429">
        <v>90</v>
      </c>
      <c r="DK338" s="240" t="s">
        <v>477</v>
      </c>
      <c r="DL338" s="189">
        <v>19530</v>
      </c>
      <c r="DM338" s="181">
        <f t="shared" si="329"/>
        <v>1933470.0000000002</v>
      </c>
      <c r="DN338" s="446">
        <f t="shared" si="330"/>
        <v>0.10000000000000013</v>
      </c>
      <c r="DO338" s="160">
        <f t="shared" si="331"/>
        <v>1757700</v>
      </c>
      <c r="DP338" s="159">
        <v>45954</v>
      </c>
      <c r="DQ338" s="152">
        <f>SUMIF($I:$I,I338,$DJ:$DJ)</f>
        <v>90</v>
      </c>
      <c r="DR338" s="152">
        <f>SUMIF($I:$I,I338,$DK:$DK)</f>
        <v>0</v>
      </c>
      <c r="EO338" s="152">
        <f>SUMIF($I:$I,I338,$EC:$EC)</f>
        <v>0</v>
      </c>
      <c r="EP338" s="151">
        <f>SUMIF($I:$I,I338,$ED:$ED)</f>
        <v>0</v>
      </c>
      <c r="EQ338" s="153"/>
      <c r="ER338" s="153"/>
      <c r="ES338" s="153"/>
      <c r="ET338" s="153"/>
      <c r="EU338" s="152">
        <f t="shared" si="332"/>
        <v>90</v>
      </c>
      <c r="EV338" s="152">
        <f t="shared" si="333"/>
        <v>0</v>
      </c>
      <c r="EW338" s="152">
        <f t="shared" si="334"/>
        <v>0</v>
      </c>
      <c r="EX338" s="152">
        <f t="shared" si="335"/>
        <v>0</v>
      </c>
      <c r="EY338" s="151" t="str">
        <f t="shared" si="336"/>
        <v>Đủ</v>
      </c>
    </row>
    <row r="339" spans="1:155" s="155" customFormat="1" ht="14" hidden="1" customHeight="1">
      <c r="A339" s="208" t="str">
        <f t="shared" si="325"/>
        <v>Hiện</v>
      </c>
      <c r="B339" s="151" t="str">
        <f t="shared" si="326"/>
        <v>Đủ</v>
      </c>
      <c r="C339" s="409">
        <f t="shared" si="236"/>
        <v>0</v>
      </c>
      <c r="D339" s="154" t="s">
        <v>435</v>
      </c>
      <c r="E339" s="154">
        <f>C339*DL339*1.1</f>
        <v>0</v>
      </c>
      <c r="F339" s="154"/>
      <c r="G339" s="151"/>
      <c r="H339" s="364"/>
      <c r="I339" s="163" t="s">
        <v>799</v>
      </c>
      <c r="J339" s="164" t="s">
        <v>751</v>
      </c>
      <c r="K339" s="171" t="s">
        <v>800</v>
      </c>
      <c r="L339" s="171" t="s">
        <v>753</v>
      </c>
      <c r="M339" s="163" t="s">
        <v>345</v>
      </c>
      <c r="N339" s="173">
        <v>0</v>
      </c>
      <c r="O339" s="419">
        <v>384</v>
      </c>
      <c r="P339" s="205"/>
      <c r="S339" s="161"/>
      <c r="T339" s="162"/>
      <c r="U339" s="162"/>
      <c r="V339" s="162"/>
      <c r="W339" s="162"/>
      <c r="X339" s="162"/>
      <c r="Y339" s="162"/>
      <c r="Z339" s="162"/>
      <c r="AA339" s="162"/>
      <c r="AB339" s="162"/>
      <c r="AC339" s="162"/>
      <c r="AD339" s="162"/>
      <c r="AE339" s="162"/>
      <c r="AF339" s="162"/>
      <c r="AG339" s="162"/>
      <c r="AH339" s="162"/>
      <c r="AI339" s="162"/>
      <c r="AJ339" s="162"/>
      <c r="AK339" s="162">
        <v>408</v>
      </c>
      <c r="AL339" s="162">
        <v>0</v>
      </c>
      <c r="AM339" s="162"/>
      <c r="AN339" s="162"/>
      <c r="AO339" s="162">
        <v>0</v>
      </c>
      <c r="AP339" s="162">
        <v>0</v>
      </c>
      <c r="AQ339" s="162">
        <v>0</v>
      </c>
      <c r="AR339" s="162">
        <v>0</v>
      </c>
      <c r="AS339" s="162">
        <v>0</v>
      </c>
      <c r="AT339" s="162">
        <v>0</v>
      </c>
      <c r="AU339" s="162">
        <v>0</v>
      </c>
      <c r="AV339" s="162">
        <v>0</v>
      </c>
      <c r="AW339" s="162">
        <v>0</v>
      </c>
      <c r="AX339" s="162">
        <v>0</v>
      </c>
      <c r="AY339" s="162">
        <v>0</v>
      </c>
      <c r="AZ339" s="162">
        <v>0</v>
      </c>
      <c r="BA339" s="162"/>
      <c r="BB339" s="162"/>
      <c r="BC339" s="162">
        <v>0</v>
      </c>
      <c r="BD339" s="162">
        <v>0</v>
      </c>
      <c r="BE339" s="162">
        <v>0</v>
      </c>
      <c r="BF339" s="162">
        <v>0</v>
      </c>
      <c r="BG339" s="162">
        <v>0</v>
      </c>
      <c r="BH339" s="162">
        <v>0</v>
      </c>
      <c r="BI339" s="162">
        <v>0</v>
      </c>
      <c r="BJ339" s="162">
        <v>0</v>
      </c>
      <c r="BK339" s="162">
        <v>0</v>
      </c>
      <c r="BL339" s="162">
        <v>0</v>
      </c>
      <c r="BM339" s="162">
        <v>0</v>
      </c>
      <c r="BN339" s="162">
        <v>0</v>
      </c>
      <c r="BO339" s="162"/>
      <c r="BP339" s="162"/>
      <c r="BQ339" s="162">
        <v>0</v>
      </c>
      <c r="BR339" s="162">
        <v>0</v>
      </c>
      <c r="BS339" s="162">
        <v>0</v>
      </c>
      <c r="BT339" s="162">
        <v>0</v>
      </c>
      <c r="BU339" s="162">
        <v>0</v>
      </c>
      <c r="BV339" s="162">
        <v>0</v>
      </c>
      <c r="BW339" s="162"/>
      <c r="BX339" s="162"/>
      <c r="BY339" s="162">
        <v>0</v>
      </c>
      <c r="BZ339" s="162">
        <v>0</v>
      </c>
      <c r="CA339" s="162">
        <v>0</v>
      </c>
      <c r="CB339" s="162">
        <v>0</v>
      </c>
      <c r="CC339" s="162">
        <v>0</v>
      </c>
      <c r="CD339" s="162">
        <v>0</v>
      </c>
      <c r="CE339" s="162">
        <f>VLOOKUP(I339,[120]REV33!$A:$O,11,0)</f>
        <v>0</v>
      </c>
      <c r="CF339" s="162">
        <f>VLOOKUP(I339,[120]REV33!$A:$O,12,0)</f>
        <v>0</v>
      </c>
      <c r="CG339" s="162"/>
      <c r="CH339" s="162"/>
      <c r="CI339" s="162"/>
      <c r="CJ339" s="162"/>
      <c r="CK339" s="162"/>
      <c r="CL339" s="162"/>
      <c r="CM339" s="162"/>
      <c r="CN339" s="162"/>
      <c r="CO339" s="162">
        <v>0</v>
      </c>
      <c r="CP339" s="162">
        <v>0</v>
      </c>
      <c r="CQ339" s="162">
        <v>0</v>
      </c>
      <c r="CR339" s="162">
        <v>0</v>
      </c>
      <c r="CS339" s="209">
        <f>Q339+S339+U339+W339+Y339+AA339+AC339+AE339+AG339+AI339+AK339+AM339+AO339+AQ339+AS339+AU339+AW339+AY339+BA339+BC339+BE339+BG339+BI339+BK339+BM339+BO339+BQ339+BS339+BU339+BW339+BY339+CA339+CC339+CE339+CG339+CI339+CK339+CM339+CO339+CQ339</f>
        <v>408</v>
      </c>
      <c r="CT339" s="209">
        <f>R339+T339+V339+X339+Z339+AB339+AD339+AF339+AH339+AJ339+AL339+AN339+AP339+AR339+AT339+AV339+AX339+AZ339+BB339+BD339+BF339+BH339+BJ339+BL339+BN339+BP339+BR339+BT339+BV339+BX339+BZ339+CB339+CD339+CF339+CH339+CJ339+CL339+CN339+CP339+CR339</f>
        <v>0</v>
      </c>
      <c r="CU339" s="206" t="s">
        <v>1000</v>
      </c>
      <c r="CV339" s="156"/>
      <c r="CZ339" s="157"/>
      <c r="DA339" s="152">
        <f t="shared" si="327"/>
        <v>408</v>
      </c>
      <c r="DB339" s="152" t="str">
        <f t="shared" si="328"/>
        <v>0</v>
      </c>
      <c r="DC339" s="153"/>
      <c r="DD339" s="158" t="s">
        <v>2212</v>
      </c>
      <c r="DE339" s="156" t="s">
        <v>435</v>
      </c>
      <c r="DF339" s="174" t="s">
        <v>1205</v>
      </c>
      <c r="DG339" s="175" t="s">
        <v>1184</v>
      </c>
      <c r="DH339" s="240" t="s">
        <v>477</v>
      </c>
      <c r="DI339" s="187">
        <v>45940</v>
      </c>
      <c r="DJ339" s="429">
        <v>408</v>
      </c>
      <c r="DK339" s="240" t="s">
        <v>477</v>
      </c>
      <c r="DL339" s="189">
        <v>21000</v>
      </c>
      <c r="DM339" s="181">
        <f t="shared" si="329"/>
        <v>9424800</v>
      </c>
      <c r="DN339" s="446">
        <f t="shared" si="330"/>
        <v>0.1</v>
      </c>
      <c r="DO339" s="160">
        <f t="shared" si="331"/>
        <v>8568000</v>
      </c>
      <c r="DP339" s="159">
        <v>45954</v>
      </c>
      <c r="DQ339" s="152">
        <f>SUMIF($I:$I,I339,$DJ:$DJ)</f>
        <v>408</v>
      </c>
      <c r="DR339" s="152">
        <f>SUMIF($I:$I,I339,$DK:$DK)</f>
        <v>0</v>
      </c>
      <c r="EO339" s="152">
        <f>SUMIF($I:$I,I339,$EC:$EC)</f>
        <v>0</v>
      </c>
      <c r="EP339" s="151">
        <f>SUMIF($I:$I,I339,$ED:$ED)</f>
        <v>0</v>
      </c>
      <c r="EQ339" s="153"/>
      <c r="ER339" s="153"/>
      <c r="ES339" s="153"/>
      <c r="ET339" s="153"/>
      <c r="EU339" s="152">
        <f t="shared" si="332"/>
        <v>408</v>
      </c>
      <c r="EV339" s="152">
        <f t="shared" si="333"/>
        <v>0</v>
      </c>
      <c r="EW339" s="152">
        <f t="shared" si="334"/>
        <v>0</v>
      </c>
      <c r="EX339" s="152">
        <f t="shared" si="335"/>
        <v>0</v>
      </c>
      <c r="EY339" s="151" t="str">
        <f t="shared" si="336"/>
        <v>Đủ</v>
      </c>
    </row>
    <row r="340" spans="1:155" s="155" customFormat="1" ht="14" hidden="1" customHeight="1">
      <c r="A340" s="208" t="str">
        <f t="shared" si="325"/>
        <v>Hiện</v>
      </c>
      <c r="B340" s="151" t="str">
        <f t="shared" si="326"/>
        <v>Đủ</v>
      </c>
      <c r="C340" s="409">
        <f t="shared" si="236"/>
        <v>0</v>
      </c>
      <c r="D340" s="154" t="s">
        <v>435</v>
      </c>
      <c r="E340" s="154">
        <f>C340*DL340*1.1</f>
        <v>0</v>
      </c>
      <c r="F340" s="154"/>
      <c r="G340" s="151"/>
      <c r="H340" s="364"/>
      <c r="I340" s="163" t="s">
        <v>801</v>
      </c>
      <c r="J340" s="164" t="s">
        <v>751</v>
      </c>
      <c r="K340" s="171" t="s">
        <v>802</v>
      </c>
      <c r="L340" s="171" t="s">
        <v>753</v>
      </c>
      <c r="M340" s="163" t="s">
        <v>345</v>
      </c>
      <c r="N340" s="173">
        <v>0</v>
      </c>
      <c r="O340" s="419">
        <v>80</v>
      </c>
      <c r="P340" s="205"/>
      <c r="S340" s="161"/>
      <c r="T340" s="162"/>
      <c r="U340" s="162"/>
      <c r="V340" s="162"/>
      <c r="W340" s="162"/>
      <c r="X340" s="162"/>
      <c r="Y340" s="162"/>
      <c r="Z340" s="162"/>
      <c r="AA340" s="162"/>
      <c r="AB340" s="162"/>
      <c r="AC340" s="162"/>
      <c r="AD340" s="162"/>
      <c r="AE340" s="162"/>
      <c r="AF340" s="162"/>
      <c r="AG340" s="162"/>
      <c r="AH340" s="162"/>
      <c r="AI340" s="162"/>
      <c r="AJ340" s="162"/>
      <c r="AK340" s="162">
        <v>90</v>
      </c>
      <c r="AL340" s="162">
        <v>0</v>
      </c>
      <c r="AM340" s="162"/>
      <c r="AN340" s="162"/>
      <c r="AO340" s="162">
        <v>0</v>
      </c>
      <c r="AP340" s="162">
        <v>0</v>
      </c>
      <c r="AQ340" s="162">
        <v>0</v>
      </c>
      <c r="AR340" s="162">
        <v>0</v>
      </c>
      <c r="AS340" s="162">
        <v>0</v>
      </c>
      <c r="AT340" s="162">
        <v>0</v>
      </c>
      <c r="AU340" s="162">
        <v>0</v>
      </c>
      <c r="AV340" s="162">
        <v>0</v>
      </c>
      <c r="AW340" s="162">
        <v>0</v>
      </c>
      <c r="AX340" s="162">
        <v>0</v>
      </c>
      <c r="AY340" s="162">
        <v>0</v>
      </c>
      <c r="AZ340" s="162">
        <v>0</v>
      </c>
      <c r="BA340" s="162"/>
      <c r="BB340" s="162"/>
      <c r="BC340" s="162">
        <v>0</v>
      </c>
      <c r="BD340" s="162">
        <v>0</v>
      </c>
      <c r="BE340" s="162">
        <v>0</v>
      </c>
      <c r="BF340" s="162">
        <v>0</v>
      </c>
      <c r="BG340" s="162">
        <v>0</v>
      </c>
      <c r="BH340" s="162">
        <v>0</v>
      </c>
      <c r="BI340" s="162">
        <v>0</v>
      </c>
      <c r="BJ340" s="162">
        <v>0</v>
      </c>
      <c r="BK340" s="162">
        <v>0</v>
      </c>
      <c r="BL340" s="162">
        <v>0</v>
      </c>
      <c r="BM340" s="162">
        <v>0</v>
      </c>
      <c r="BN340" s="162">
        <v>0</v>
      </c>
      <c r="BO340" s="162"/>
      <c r="BP340" s="162"/>
      <c r="BQ340" s="162">
        <v>0</v>
      </c>
      <c r="BR340" s="162">
        <v>0</v>
      </c>
      <c r="BS340" s="162">
        <v>0</v>
      </c>
      <c r="BT340" s="162">
        <v>0</v>
      </c>
      <c r="BU340" s="162">
        <v>0</v>
      </c>
      <c r="BV340" s="162">
        <v>0</v>
      </c>
      <c r="BW340" s="162"/>
      <c r="BX340" s="162"/>
      <c r="BY340" s="162">
        <v>0</v>
      </c>
      <c r="BZ340" s="162">
        <v>0</v>
      </c>
      <c r="CA340" s="162">
        <v>0</v>
      </c>
      <c r="CB340" s="162">
        <v>0</v>
      </c>
      <c r="CC340" s="162">
        <v>0</v>
      </c>
      <c r="CD340" s="162">
        <v>0</v>
      </c>
      <c r="CE340" s="162">
        <f>VLOOKUP(I340,[120]REV33!$A:$O,11,0)</f>
        <v>0</v>
      </c>
      <c r="CF340" s="162">
        <f>VLOOKUP(I340,[120]REV33!$A:$O,12,0)</f>
        <v>0</v>
      </c>
      <c r="CG340" s="162"/>
      <c r="CH340" s="162"/>
      <c r="CI340" s="162"/>
      <c r="CJ340" s="162"/>
      <c r="CK340" s="162"/>
      <c r="CL340" s="162"/>
      <c r="CM340" s="162"/>
      <c r="CN340" s="162"/>
      <c r="CO340" s="162">
        <v>0</v>
      </c>
      <c r="CP340" s="162">
        <v>0</v>
      </c>
      <c r="CQ340" s="162">
        <v>0</v>
      </c>
      <c r="CR340" s="162">
        <v>0</v>
      </c>
      <c r="CS340" s="209">
        <f>Q340+S340+U340+W340+Y340+AA340+AC340+AE340+AG340+AI340+AK340+AM340+AO340+AQ340+AS340+AU340+AW340+AY340+BA340+BC340+BE340+BG340+BI340+BK340+BM340+BO340+BQ340+BS340+BU340+BW340+BY340+CA340+CC340+CE340+CG340+CI340+CK340+CM340+CO340+CQ340</f>
        <v>90</v>
      </c>
      <c r="CT340" s="209">
        <f>R340+T340+V340+X340+Z340+AB340+AD340+AF340+AH340+AJ340+AL340+AN340+AP340+AR340+AT340+AV340+AX340+AZ340+BB340+BD340+BF340+BH340+BJ340+BL340+BN340+BP340+BR340+BT340+BV340+BX340+BZ340+CB340+CD340+CF340+CH340+CJ340+CL340+CN340+CP340+CR340</f>
        <v>0</v>
      </c>
      <c r="CU340" s="206" t="s">
        <v>1000</v>
      </c>
      <c r="CV340" s="156"/>
      <c r="CZ340" s="157"/>
      <c r="DA340" s="152">
        <f t="shared" si="327"/>
        <v>90</v>
      </c>
      <c r="DB340" s="152" t="str">
        <f t="shared" si="328"/>
        <v>0</v>
      </c>
      <c r="DC340" s="153"/>
      <c r="DD340" s="158" t="s">
        <v>2212</v>
      </c>
      <c r="DE340" s="156" t="s">
        <v>435</v>
      </c>
      <c r="DF340" s="174" t="s">
        <v>1206</v>
      </c>
      <c r="DG340" s="175" t="s">
        <v>1184</v>
      </c>
      <c r="DH340" s="240" t="s">
        <v>477</v>
      </c>
      <c r="DI340" s="187">
        <v>45940</v>
      </c>
      <c r="DJ340" s="429">
        <v>90</v>
      </c>
      <c r="DK340" s="240" t="s">
        <v>477</v>
      </c>
      <c r="DL340" s="189">
        <v>22400</v>
      </c>
      <c r="DM340" s="181">
        <f t="shared" si="329"/>
        <v>2217600</v>
      </c>
      <c r="DN340" s="446">
        <f t="shared" si="330"/>
        <v>0.1</v>
      </c>
      <c r="DO340" s="160">
        <f t="shared" si="331"/>
        <v>2016000</v>
      </c>
      <c r="DP340" s="159">
        <v>45954</v>
      </c>
      <c r="DQ340" s="152">
        <f>SUMIF($I:$I,I340,$DJ:$DJ)</f>
        <v>90</v>
      </c>
      <c r="DR340" s="152">
        <f>SUMIF($I:$I,I340,$DK:$DK)</f>
        <v>0</v>
      </c>
      <c r="EO340" s="152">
        <f>SUMIF($I:$I,I340,$EC:$EC)</f>
        <v>0</v>
      </c>
      <c r="EP340" s="151">
        <f>SUMIF($I:$I,I340,$ED:$ED)</f>
        <v>0</v>
      </c>
      <c r="EQ340" s="153"/>
      <c r="ER340" s="153"/>
      <c r="ES340" s="153"/>
      <c r="ET340" s="153"/>
      <c r="EU340" s="152">
        <f t="shared" si="332"/>
        <v>90</v>
      </c>
      <c r="EV340" s="152">
        <f t="shared" si="333"/>
        <v>0</v>
      </c>
      <c r="EW340" s="152">
        <f t="shared" si="334"/>
        <v>0</v>
      </c>
      <c r="EX340" s="152">
        <f t="shared" si="335"/>
        <v>0</v>
      </c>
      <c r="EY340" s="151" t="str">
        <f t="shared" si="336"/>
        <v>Đủ</v>
      </c>
    </row>
    <row r="341" spans="1:155" s="155" customFormat="1" ht="14" hidden="1" customHeight="1">
      <c r="A341" s="208" t="str">
        <f t="shared" si="325"/>
        <v>Hiện</v>
      </c>
      <c r="B341" s="151" t="str">
        <f t="shared" si="326"/>
        <v>Đủ</v>
      </c>
      <c r="C341" s="409">
        <f t="shared" si="236"/>
        <v>0</v>
      </c>
      <c r="D341" s="154" t="s">
        <v>435</v>
      </c>
      <c r="E341" s="154">
        <f>C341*DL341*1.1</f>
        <v>0</v>
      </c>
      <c r="F341" s="154"/>
      <c r="G341" s="151"/>
      <c r="H341" s="364"/>
      <c r="I341" s="163" t="s">
        <v>803</v>
      </c>
      <c r="J341" s="164" t="s">
        <v>751</v>
      </c>
      <c r="K341" s="171" t="s">
        <v>804</v>
      </c>
      <c r="L341" s="171" t="s">
        <v>796</v>
      </c>
      <c r="M341" s="163" t="s">
        <v>345</v>
      </c>
      <c r="N341" s="173">
        <v>0</v>
      </c>
      <c r="O341" s="419">
        <v>64</v>
      </c>
      <c r="P341" s="205"/>
      <c r="S341" s="161"/>
      <c r="T341" s="162"/>
      <c r="U341" s="162"/>
      <c r="V341" s="162"/>
      <c r="W341" s="162"/>
      <c r="X341" s="162"/>
      <c r="Y341" s="162"/>
      <c r="Z341" s="162"/>
      <c r="AA341" s="162"/>
      <c r="AB341" s="162"/>
      <c r="AC341" s="162"/>
      <c r="AD341" s="162"/>
      <c r="AE341" s="162"/>
      <c r="AF341" s="162"/>
      <c r="AG341" s="162"/>
      <c r="AH341" s="162"/>
      <c r="AI341" s="162"/>
      <c r="AJ341" s="162"/>
      <c r="AK341" s="162">
        <v>68</v>
      </c>
      <c r="AL341" s="162">
        <v>0</v>
      </c>
      <c r="AM341" s="162"/>
      <c r="AN341" s="162"/>
      <c r="AO341" s="162">
        <v>0</v>
      </c>
      <c r="AP341" s="162">
        <v>0</v>
      </c>
      <c r="AQ341" s="162">
        <v>0</v>
      </c>
      <c r="AR341" s="162">
        <v>0</v>
      </c>
      <c r="AS341" s="162">
        <v>0</v>
      </c>
      <c r="AT341" s="162">
        <v>0</v>
      </c>
      <c r="AU341" s="162">
        <v>0</v>
      </c>
      <c r="AV341" s="162">
        <v>0</v>
      </c>
      <c r="AW341" s="162">
        <v>0</v>
      </c>
      <c r="AX341" s="162">
        <v>0</v>
      </c>
      <c r="AY341" s="162">
        <v>0</v>
      </c>
      <c r="AZ341" s="162">
        <v>0</v>
      </c>
      <c r="BA341" s="162"/>
      <c r="BB341" s="162"/>
      <c r="BC341" s="162">
        <v>0</v>
      </c>
      <c r="BD341" s="162">
        <v>0</v>
      </c>
      <c r="BE341" s="162">
        <v>0</v>
      </c>
      <c r="BF341" s="162">
        <v>0</v>
      </c>
      <c r="BG341" s="162">
        <v>0</v>
      </c>
      <c r="BH341" s="162">
        <v>0</v>
      </c>
      <c r="BI341" s="162">
        <v>0</v>
      </c>
      <c r="BJ341" s="162">
        <v>0</v>
      </c>
      <c r="BK341" s="162">
        <v>0</v>
      </c>
      <c r="BL341" s="162">
        <v>0</v>
      </c>
      <c r="BM341" s="162">
        <v>0</v>
      </c>
      <c r="BN341" s="162">
        <v>0</v>
      </c>
      <c r="BO341" s="162"/>
      <c r="BP341" s="162"/>
      <c r="BQ341" s="162">
        <v>0</v>
      </c>
      <c r="BR341" s="162">
        <v>0</v>
      </c>
      <c r="BS341" s="162">
        <v>0</v>
      </c>
      <c r="BT341" s="162">
        <v>0</v>
      </c>
      <c r="BU341" s="162">
        <v>0</v>
      </c>
      <c r="BV341" s="162">
        <v>0</v>
      </c>
      <c r="BW341" s="162"/>
      <c r="BX341" s="162"/>
      <c r="BY341" s="162">
        <v>0</v>
      </c>
      <c r="BZ341" s="162">
        <v>0</v>
      </c>
      <c r="CA341" s="162">
        <v>0</v>
      </c>
      <c r="CB341" s="162">
        <v>0</v>
      </c>
      <c r="CC341" s="162">
        <v>0</v>
      </c>
      <c r="CD341" s="162">
        <v>0</v>
      </c>
      <c r="CE341" s="162">
        <f>VLOOKUP(I341,[120]REV33!$A:$O,11,0)</f>
        <v>0</v>
      </c>
      <c r="CF341" s="162">
        <f>VLOOKUP(I341,[120]REV33!$A:$O,12,0)</f>
        <v>0</v>
      </c>
      <c r="CG341" s="162"/>
      <c r="CH341" s="162"/>
      <c r="CI341" s="162"/>
      <c r="CJ341" s="162"/>
      <c r="CK341" s="162"/>
      <c r="CL341" s="162"/>
      <c r="CM341" s="162"/>
      <c r="CN341" s="162"/>
      <c r="CO341" s="162">
        <v>0</v>
      </c>
      <c r="CP341" s="162">
        <v>0</v>
      </c>
      <c r="CQ341" s="162">
        <v>0</v>
      </c>
      <c r="CR341" s="162">
        <v>0</v>
      </c>
      <c r="CS341" s="209">
        <f>Q341+S341+U341+W341+Y341+AA341+AC341+AE341+AG341+AI341+AK341+AM341+AO341+AQ341+AS341+AU341+AW341+AY341+BA341+BC341+BE341+BG341+BI341+BK341+BM341+BO341+BQ341+BS341+BU341+BW341+BY341+CA341+CC341+CE341+CG341+CI341+CK341+CM341+CO341+CQ341</f>
        <v>68</v>
      </c>
      <c r="CT341" s="209">
        <f>R341+T341+V341+X341+Z341+AB341+AD341+AF341+AH341+AJ341+AL341+AN341+AP341+AR341+AT341+AV341+AX341+AZ341+BB341+BD341+BF341+BH341+BJ341+BL341+BN341+BP341+BR341+BT341+BV341+BX341+BZ341+CB341+CD341+CF341+CH341+CJ341+CL341+CN341+CP341+CR341</f>
        <v>0</v>
      </c>
      <c r="CU341" s="206" t="s">
        <v>1000</v>
      </c>
      <c r="CV341" s="156"/>
      <c r="CZ341" s="157"/>
      <c r="DA341" s="152">
        <f t="shared" si="327"/>
        <v>68</v>
      </c>
      <c r="DB341" s="152" t="str">
        <f t="shared" si="328"/>
        <v>0</v>
      </c>
      <c r="DC341" s="153"/>
      <c r="DD341" s="158" t="s">
        <v>2212</v>
      </c>
      <c r="DE341" s="156" t="s">
        <v>435</v>
      </c>
      <c r="DF341" s="174" t="s">
        <v>1207</v>
      </c>
      <c r="DG341" s="175" t="s">
        <v>1208</v>
      </c>
      <c r="DH341" s="240" t="s">
        <v>477</v>
      </c>
      <c r="DI341" s="187">
        <v>45940</v>
      </c>
      <c r="DJ341" s="429">
        <v>68</v>
      </c>
      <c r="DK341" s="240" t="s">
        <v>477</v>
      </c>
      <c r="DL341" s="189">
        <v>29540</v>
      </c>
      <c r="DM341" s="181">
        <f t="shared" si="329"/>
        <v>2209592</v>
      </c>
      <c r="DN341" s="446">
        <f t="shared" si="330"/>
        <v>0.1</v>
      </c>
      <c r="DO341" s="160">
        <f t="shared" si="331"/>
        <v>2008720</v>
      </c>
      <c r="DP341" s="159">
        <v>45954</v>
      </c>
      <c r="DQ341" s="152">
        <f>SUMIF($I:$I,I341,$DJ:$DJ)</f>
        <v>68</v>
      </c>
      <c r="DR341" s="152">
        <f>SUMIF($I:$I,I341,$DK:$DK)</f>
        <v>0</v>
      </c>
      <c r="EO341" s="152">
        <f>SUMIF($I:$I,I341,$EC:$EC)</f>
        <v>0</v>
      </c>
      <c r="EP341" s="151">
        <f>SUMIF($I:$I,I341,$ED:$ED)</f>
        <v>0</v>
      </c>
      <c r="EQ341" s="153"/>
      <c r="ER341" s="153"/>
      <c r="ES341" s="153"/>
      <c r="ET341" s="153"/>
      <c r="EU341" s="152">
        <f t="shared" si="332"/>
        <v>68</v>
      </c>
      <c r="EV341" s="152">
        <f t="shared" si="333"/>
        <v>0</v>
      </c>
      <c r="EW341" s="152">
        <f t="shared" si="334"/>
        <v>0</v>
      </c>
      <c r="EX341" s="152">
        <f t="shared" si="335"/>
        <v>0</v>
      </c>
      <c r="EY341" s="151" t="str">
        <f t="shared" si="336"/>
        <v>Đủ</v>
      </c>
    </row>
    <row r="342" spans="1:155" s="155" customFormat="1" ht="14" hidden="1" customHeight="1">
      <c r="A342" s="208" t="str">
        <f t="shared" si="325"/>
        <v>Hiện</v>
      </c>
      <c r="B342" s="151" t="str">
        <f t="shared" si="326"/>
        <v>Đủ</v>
      </c>
      <c r="C342" s="409">
        <f t="shared" si="236"/>
        <v>0</v>
      </c>
      <c r="D342" s="154" t="s">
        <v>435</v>
      </c>
      <c r="E342" s="154">
        <f>C342*DL342*1.1</f>
        <v>0</v>
      </c>
      <c r="F342" s="154"/>
      <c r="G342" s="151"/>
      <c r="H342" s="364"/>
      <c r="I342" s="163" t="s">
        <v>805</v>
      </c>
      <c r="J342" s="164" t="s">
        <v>751</v>
      </c>
      <c r="K342" s="171" t="s">
        <v>806</v>
      </c>
      <c r="L342" s="171" t="s">
        <v>753</v>
      </c>
      <c r="M342" s="163" t="s">
        <v>345</v>
      </c>
      <c r="N342" s="173">
        <v>0</v>
      </c>
      <c r="O342" s="419">
        <v>96</v>
      </c>
      <c r="P342" s="205"/>
      <c r="S342" s="161"/>
      <c r="T342" s="162"/>
      <c r="U342" s="162"/>
      <c r="V342" s="162"/>
      <c r="W342" s="162"/>
      <c r="X342" s="162"/>
      <c r="Y342" s="162"/>
      <c r="Z342" s="162"/>
      <c r="AA342" s="162"/>
      <c r="AB342" s="162"/>
      <c r="AC342" s="162"/>
      <c r="AD342" s="162"/>
      <c r="AE342" s="162"/>
      <c r="AF342" s="162"/>
      <c r="AG342" s="162"/>
      <c r="AH342" s="162"/>
      <c r="AI342" s="162"/>
      <c r="AJ342" s="162"/>
      <c r="AK342" s="162">
        <v>102</v>
      </c>
      <c r="AL342" s="162">
        <v>0</v>
      </c>
      <c r="AM342" s="162"/>
      <c r="AN342" s="162"/>
      <c r="AO342" s="162">
        <v>0</v>
      </c>
      <c r="AP342" s="162">
        <v>0</v>
      </c>
      <c r="AQ342" s="162">
        <v>0</v>
      </c>
      <c r="AR342" s="162">
        <v>0</v>
      </c>
      <c r="AS342" s="162">
        <v>0</v>
      </c>
      <c r="AT342" s="162">
        <v>0</v>
      </c>
      <c r="AU342" s="162">
        <v>0</v>
      </c>
      <c r="AV342" s="162">
        <v>0</v>
      </c>
      <c r="AW342" s="162">
        <v>0</v>
      </c>
      <c r="AX342" s="162">
        <v>0</v>
      </c>
      <c r="AY342" s="162">
        <v>0</v>
      </c>
      <c r="AZ342" s="162">
        <v>0</v>
      </c>
      <c r="BA342" s="162"/>
      <c r="BB342" s="162"/>
      <c r="BC342" s="162">
        <v>0</v>
      </c>
      <c r="BD342" s="162">
        <v>0</v>
      </c>
      <c r="BE342" s="162">
        <v>0</v>
      </c>
      <c r="BF342" s="162">
        <v>0</v>
      </c>
      <c r="BG342" s="162">
        <v>0</v>
      </c>
      <c r="BH342" s="162">
        <v>0</v>
      </c>
      <c r="BI342" s="162">
        <v>0</v>
      </c>
      <c r="BJ342" s="162">
        <v>0</v>
      </c>
      <c r="BK342" s="162">
        <v>0</v>
      </c>
      <c r="BL342" s="162">
        <v>0</v>
      </c>
      <c r="BM342" s="162">
        <v>0</v>
      </c>
      <c r="BN342" s="162">
        <v>0</v>
      </c>
      <c r="BO342" s="162"/>
      <c r="BP342" s="162"/>
      <c r="BQ342" s="162">
        <v>0</v>
      </c>
      <c r="BR342" s="162">
        <v>0</v>
      </c>
      <c r="BS342" s="162">
        <v>0</v>
      </c>
      <c r="BT342" s="162">
        <v>0</v>
      </c>
      <c r="BU342" s="162">
        <v>0</v>
      </c>
      <c r="BV342" s="162">
        <v>0</v>
      </c>
      <c r="BW342" s="162"/>
      <c r="BX342" s="162"/>
      <c r="BY342" s="162">
        <v>0</v>
      </c>
      <c r="BZ342" s="162">
        <v>0</v>
      </c>
      <c r="CA342" s="162">
        <v>0</v>
      </c>
      <c r="CB342" s="162">
        <v>0</v>
      </c>
      <c r="CC342" s="162">
        <v>0</v>
      </c>
      <c r="CD342" s="162">
        <v>0</v>
      </c>
      <c r="CE342" s="162">
        <f>VLOOKUP(I342,[120]REV33!$A:$O,11,0)</f>
        <v>0</v>
      </c>
      <c r="CF342" s="162">
        <f>VLOOKUP(I342,[120]REV33!$A:$O,12,0)</f>
        <v>0</v>
      </c>
      <c r="CG342" s="162"/>
      <c r="CH342" s="162"/>
      <c r="CI342" s="162"/>
      <c r="CJ342" s="162"/>
      <c r="CK342" s="162"/>
      <c r="CL342" s="162"/>
      <c r="CM342" s="162"/>
      <c r="CN342" s="162"/>
      <c r="CO342" s="162">
        <v>0</v>
      </c>
      <c r="CP342" s="162">
        <v>0</v>
      </c>
      <c r="CQ342" s="162">
        <v>0</v>
      </c>
      <c r="CR342" s="162">
        <v>0</v>
      </c>
      <c r="CS342" s="209">
        <f>Q342+S342+U342+W342+Y342+AA342+AC342+AE342+AG342+AI342+AK342+AM342+AO342+AQ342+AS342+AU342+AW342+AY342+BA342+BC342+BE342+BG342+BI342+BK342+BM342+BO342+BQ342+BS342+BU342+BW342+BY342+CA342+CC342+CE342+CG342+CI342+CK342+CM342+CO342+CQ342</f>
        <v>102</v>
      </c>
      <c r="CT342" s="209">
        <f>R342+T342+V342+X342+Z342+AB342+AD342+AF342+AH342+AJ342+AL342+AN342+AP342+AR342+AT342+AV342+AX342+AZ342+BB342+BD342+BF342+BH342+BJ342+BL342+BN342+BP342+BR342+BT342+BV342+BX342+BZ342+CB342+CD342+CF342+CH342+CJ342+CL342+CN342+CP342+CR342</f>
        <v>0</v>
      </c>
      <c r="CU342" s="206" t="s">
        <v>1000</v>
      </c>
      <c r="CV342" s="156"/>
      <c r="CZ342" s="157"/>
      <c r="DA342" s="152">
        <f t="shared" si="327"/>
        <v>102</v>
      </c>
      <c r="DB342" s="152" t="str">
        <f t="shared" si="328"/>
        <v>0</v>
      </c>
      <c r="DC342" s="153"/>
      <c r="DD342" s="158" t="s">
        <v>2212</v>
      </c>
      <c r="DE342" s="156" t="s">
        <v>435</v>
      </c>
      <c r="DF342" s="174" t="s">
        <v>1209</v>
      </c>
      <c r="DG342" s="175" t="s">
        <v>1198</v>
      </c>
      <c r="DH342" s="240" t="s">
        <v>477</v>
      </c>
      <c r="DI342" s="187">
        <v>45940</v>
      </c>
      <c r="DJ342" s="429">
        <v>102</v>
      </c>
      <c r="DK342" s="240" t="s">
        <v>477</v>
      </c>
      <c r="DL342" s="189">
        <v>31220</v>
      </c>
      <c r="DM342" s="181">
        <f t="shared" si="329"/>
        <v>3502884.0000000005</v>
      </c>
      <c r="DN342" s="446">
        <f t="shared" si="330"/>
        <v>0.10000000000000014</v>
      </c>
      <c r="DO342" s="160">
        <f t="shared" si="331"/>
        <v>3184440</v>
      </c>
      <c r="DP342" s="159">
        <v>45954</v>
      </c>
      <c r="DQ342" s="152">
        <f>SUMIF($I:$I,I342,$DJ:$DJ)</f>
        <v>102</v>
      </c>
      <c r="DR342" s="152">
        <f>SUMIF($I:$I,I342,$DK:$DK)</f>
        <v>0</v>
      </c>
      <c r="EO342" s="152">
        <f>SUMIF($I:$I,I342,$EC:$EC)</f>
        <v>0</v>
      </c>
      <c r="EP342" s="151">
        <f>SUMIF($I:$I,I342,$ED:$ED)</f>
        <v>0</v>
      </c>
      <c r="EQ342" s="153"/>
      <c r="ER342" s="153"/>
      <c r="ES342" s="153"/>
      <c r="ET342" s="153"/>
      <c r="EU342" s="152">
        <f t="shared" si="332"/>
        <v>102</v>
      </c>
      <c r="EV342" s="152">
        <f t="shared" si="333"/>
        <v>0</v>
      </c>
      <c r="EW342" s="152">
        <f t="shared" si="334"/>
        <v>0</v>
      </c>
      <c r="EX342" s="152">
        <f t="shared" si="335"/>
        <v>0</v>
      </c>
      <c r="EY342" s="151" t="str">
        <f t="shared" si="336"/>
        <v>Đủ</v>
      </c>
    </row>
    <row r="343" spans="1:155" s="155" customFormat="1" ht="14" hidden="1" customHeight="1">
      <c r="A343" s="208" t="str">
        <f t="shared" si="325"/>
        <v>Hiện</v>
      </c>
      <c r="B343" s="151" t="str">
        <f t="shared" si="326"/>
        <v>Đủ</v>
      </c>
      <c r="C343" s="409">
        <f t="shared" si="236"/>
        <v>0</v>
      </c>
      <c r="D343" s="154" t="s">
        <v>435</v>
      </c>
      <c r="E343" s="154">
        <f>C343*DL343*1.1</f>
        <v>0</v>
      </c>
      <c r="F343" s="154"/>
      <c r="G343" s="151"/>
      <c r="H343" s="364"/>
      <c r="I343" s="163" t="s">
        <v>807</v>
      </c>
      <c r="J343" s="164" t="s">
        <v>751</v>
      </c>
      <c r="K343" s="171" t="s">
        <v>808</v>
      </c>
      <c r="L343" s="171" t="s">
        <v>753</v>
      </c>
      <c r="M343" s="163" t="s">
        <v>345</v>
      </c>
      <c r="N343" s="173">
        <v>0</v>
      </c>
      <c r="O343" s="419">
        <v>328</v>
      </c>
      <c r="P343" s="205"/>
      <c r="S343" s="161"/>
      <c r="T343" s="162"/>
      <c r="U343" s="162"/>
      <c r="V343" s="162"/>
      <c r="W343" s="162"/>
      <c r="X343" s="162"/>
      <c r="Y343" s="162"/>
      <c r="Z343" s="162"/>
      <c r="AA343" s="162"/>
      <c r="AB343" s="162"/>
      <c r="AC343" s="162"/>
      <c r="AD343" s="162"/>
      <c r="AE343" s="162"/>
      <c r="AF343" s="162"/>
      <c r="AG343" s="162"/>
      <c r="AH343" s="162"/>
      <c r="AI343" s="162"/>
      <c r="AJ343" s="162"/>
      <c r="AK343" s="162">
        <v>352</v>
      </c>
      <c r="AL343" s="162">
        <v>0</v>
      </c>
      <c r="AM343" s="162"/>
      <c r="AN343" s="162"/>
      <c r="AO343" s="162">
        <v>0</v>
      </c>
      <c r="AP343" s="162">
        <v>0</v>
      </c>
      <c r="AQ343" s="162">
        <v>0</v>
      </c>
      <c r="AR343" s="162">
        <v>0</v>
      </c>
      <c r="AS343" s="162">
        <v>0</v>
      </c>
      <c r="AT343" s="162">
        <v>0</v>
      </c>
      <c r="AU343" s="162">
        <v>0</v>
      </c>
      <c r="AV343" s="162">
        <v>0</v>
      </c>
      <c r="AW343" s="162">
        <v>0</v>
      </c>
      <c r="AX343" s="162">
        <v>0</v>
      </c>
      <c r="AY343" s="162">
        <v>0</v>
      </c>
      <c r="AZ343" s="162">
        <v>0</v>
      </c>
      <c r="BA343" s="162"/>
      <c r="BB343" s="162"/>
      <c r="BC343" s="162">
        <v>0</v>
      </c>
      <c r="BD343" s="162">
        <v>0</v>
      </c>
      <c r="BE343" s="162">
        <v>0</v>
      </c>
      <c r="BF343" s="162">
        <v>0</v>
      </c>
      <c r="BG343" s="162">
        <v>0</v>
      </c>
      <c r="BH343" s="162">
        <v>0</v>
      </c>
      <c r="BI343" s="162">
        <v>0</v>
      </c>
      <c r="BJ343" s="162">
        <v>0</v>
      </c>
      <c r="BK343" s="162">
        <v>0</v>
      </c>
      <c r="BL343" s="162">
        <v>0</v>
      </c>
      <c r="BM343" s="162">
        <v>0</v>
      </c>
      <c r="BN343" s="162">
        <v>0</v>
      </c>
      <c r="BO343" s="162"/>
      <c r="BP343" s="162"/>
      <c r="BQ343" s="162">
        <v>0</v>
      </c>
      <c r="BR343" s="162">
        <v>0</v>
      </c>
      <c r="BS343" s="162">
        <v>0</v>
      </c>
      <c r="BT343" s="162">
        <v>0</v>
      </c>
      <c r="BU343" s="162">
        <v>0</v>
      </c>
      <c r="BV343" s="162">
        <v>0</v>
      </c>
      <c r="BW343" s="162"/>
      <c r="BX343" s="162"/>
      <c r="BY343" s="162">
        <v>0</v>
      </c>
      <c r="BZ343" s="162">
        <v>0</v>
      </c>
      <c r="CA343" s="162">
        <v>0</v>
      </c>
      <c r="CB343" s="162">
        <v>0</v>
      </c>
      <c r="CC343" s="162">
        <v>0</v>
      </c>
      <c r="CD343" s="162">
        <v>0</v>
      </c>
      <c r="CE343" s="162">
        <f>VLOOKUP(I343,[120]REV33!$A:$O,11,0)</f>
        <v>0</v>
      </c>
      <c r="CF343" s="162">
        <f>VLOOKUP(I343,[120]REV33!$A:$O,12,0)</f>
        <v>0</v>
      </c>
      <c r="CG343" s="162"/>
      <c r="CH343" s="162"/>
      <c r="CI343" s="162"/>
      <c r="CJ343" s="162"/>
      <c r="CK343" s="162"/>
      <c r="CL343" s="162"/>
      <c r="CM343" s="162"/>
      <c r="CN343" s="162"/>
      <c r="CO343" s="162">
        <v>0</v>
      </c>
      <c r="CP343" s="162">
        <v>0</v>
      </c>
      <c r="CQ343" s="162">
        <v>0</v>
      </c>
      <c r="CR343" s="162">
        <v>0</v>
      </c>
      <c r="CS343" s="209">
        <f>Q343+S343+U343+W343+Y343+AA343+AC343+AE343+AG343+AI343+AK343+AM343+AO343+AQ343+AS343+AU343+AW343+AY343+BA343+BC343+BE343+BG343+BI343+BK343+BM343+BO343+BQ343+BS343+BU343+BW343+BY343+CA343+CC343+CE343+CG343+CI343+CK343+CM343+CO343+CQ343</f>
        <v>352</v>
      </c>
      <c r="CT343" s="209">
        <f>R343+T343+V343+X343+Z343+AB343+AD343+AF343+AH343+AJ343+AL343+AN343+AP343+AR343+AT343+AV343+AX343+AZ343+BB343+BD343+BF343+BH343+BJ343+BL343+BN343+BP343+BR343+BT343+BV343+BX343+BZ343+CB343+CD343+CF343+CH343+CJ343+CL343+CN343+CP343+CR343</f>
        <v>0</v>
      </c>
      <c r="CU343" s="206" t="s">
        <v>1000</v>
      </c>
      <c r="CV343" s="156"/>
      <c r="CZ343" s="157"/>
      <c r="DA343" s="152">
        <f t="shared" si="327"/>
        <v>352</v>
      </c>
      <c r="DB343" s="152" t="str">
        <f t="shared" si="328"/>
        <v>0</v>
      </c>
      <c r="DC343" s="153"/>
      <c r="DD343" s="158" t="s">
        <v>2212</v>
      </c>
      <c r="DE343" s="156" t="s">
        <v>435</v>
      </c>
      <c r="DF343" s="174" t="s">
        <v>1210</v>
      </c>
      <c r="DG343" s="175" t="s">
        <v>1184</v>
      </c>
      <c r="DH343" s="240" t="s">
        <v>477</v>
      </c>
      <c r="DI343" s="187">
        <v>45940</v>
      </c>
      <c r="DJ343" s="429">
        <v>352</v>
      </c>
      <c r="DK343" s="240" t="s">
        <v>477</v>
      </c>
      <c r="DL343" s="189">
        <v>12320</v>
      </c>
      <c r="DM343" s="181">
        <f t="shared" si="329"/>
        <v>4770304</v>
      </c>
      <c r="DN343" s="446">
        <f t="shared" si="330"/>
        <v>0.1</v>
      </c>
      <c r="DO343" s="160">
        <f t="shared" si="331"/>
        <v>4336640</v>
      </c>
      <c r="DP343" s="159">
        <v>45954</v>
      </c>
      <c r="DQ343" s="152">
        <f>SUMIF($I:$I,I343,$DJ:$DJ)</f>
        <v>352</v>
      </c>
      <c r="DR343" s="152">
        <f>SUMIF($I:$I,I343,$DK:$DK)</f>
        <v>0</v>
      </c>
      <c r="EO343" s="152">
        <f>SUMIF($I:$I,I343,$EC:$EC)</f>
        <v>0</v>
      </c>
      <c r="EP343" s="151">
        <f>SUMIF($I:$I,I343,$ED:$ED)</f>
        <v>0</v>
      </c>
      <c r="EQ343" s="153"/>
      <c r="ER343" s="153"/>
      <c r="ES343" s="153"/>
      <c r="ET343" s="153"/>
      <c r="EU343" s="152">
        <f t="shared" si="332"/>
        <v>352</v>
      </c>
      <c r="EV343" s="152">
        <f t="shared" si="333"/>
        <v>0</v>
      </c>
      <c r="EW343" s="152">
        <f t="shared" si="334"/>
        <v>0</v>
      </c>
      <c r="EX343" s="152">
        <f t="shared" si="335"/>
        <v>0</v>
      </c>
      <c r="EY343" s="151" t="str">
        <f t="shared" si="336"/>
        <v>Đủ</v>
      </c>
    </row>
    <row r="344" spans="1:155" s="155" customFormat="1" ht="14" customHeight="1">
      <c r="A344" s="208" t="str">
        <f t="shared" si="325"/>
        <v>Hiện</v>
      </c>
      <c r="B344" s="151" t="str">
        <f t="shared" si="326"/>
        <v>Thiếu</v>
      </c>
      <c r="C344" s="409">
        <f t="shared" si="236"/>
        <v>55</v>
      </c>
      <c r="D344" s="154" t="s">
        <v>435</v>
      </c>
      <c r="E344" s="154">
        <f>C344*DL344*1.1</f>
        <v>830060.00000000012</v>
      </c>
      <c r="F344" s="154"/>
      <c r="G344" s="151"/>
      <c r="H344" s="364"/>
      <c r="I344" s="163" t="s">
        <v>809</v>
      </c>
      <c r="J344" s="164" t="s">
        <v>751</v>
      </c>
      <c r="K344" s="171" t="s">
        <v>810</v>
      </c>
      <c r="L344" s="171" t="s">
        <v>753</v>
      </c>
      <c r="M344" s="163" t="s">
        <v>345</v>
      </c>
      <c r="N344" s="173">
        <v>0</v>
      </c>
      <c r="O344" s="419">
        <v>520</v>
      </c>
      <c r="P344" s="205"/>
      <c r="S344" s="161"/>
      <c r="T344" s="162"/>
      <c r="U344" s="162"/>
      <c r="V344" s="162"/>
      <c r="W344" s="162"/>
      <c r="X344" s="162"/>
      <c r="Y344" s="162"/>
      <c r="Z344" s="162"/>
      <c r="AA344" s="162"/>
      <c r="AB344" s="162"/>
      <c r="AC344" s="162"/>
      <c r="AD344" s="162"/>
      <c r="AE344" s="162"/>
      <c r="AF344" s="162"/>
      <c r="AG344" s="162"/>
      <c r="AH344" s="162"/>
      <c r="AI344" s="162"/>
      <c r="AJ344" s="162"/>
      <c r="AK344" s="162">
        <v>550</v>
      </c>
      <c r="AL344" s="162">
        <v>0</v>
      </c>
      <c r="AM344" s="162"/>
      <c r="AN344" s="162"/>
      <c r="AO344" s="162">
        <v>0</v>
      </c>
      <c r="AP344" s="162">
        <v>0</v>
      </c>
      <c r="AQ344" s="162">
        <v>0</v>
      </c>
      <c r="AR344" s="162">
        <v>0</v>
      </c>
      <c r="AS344" s="162">
        <v>0</v>
      </c>
      <c r="AT344" s="162">
        <v>0</v>
      </c>
      <c r="AU344" s="162">
        <v>0</v>
      </c>
      <c r="AV344" s="162">
        <v>0</v>
      </c>
      <c r="AW344" s="162">
        <v>0</v>
      </c>
      <c r="AX344" s="162">
        <v>0</v>
      </c>
      <c r="AY344" s="162">
        <v>0</v>
      </c>
      <c r="AZ344" s="162">
        <v>0</v>
      </c>
      <c r="BA344" s="162"/>
      <c r="BB344" s="162"/>
      <c r="BC344" s="162">
        <v>0</v>
      </c>
      <c r="BD344" s="162">
        <v>0</v>
      </c>
      <c r="BE344" s="162">
        <v>0</v>
      </c>
      <c r="BF344" s="162">
        <v>0</v>
      </c>
      <c r="BG344" s="162">
        <v>0</v>
      </c>
      <c r="BH344" s="162">
        <v>0</v>
      </c>
      <c r="BI344" s="162">
        <v>0</v>
      </c>
      <c r="BJ344" s="162">
        <v>0</v>
      </c>
      <c r="BK344" s="162">
        <v>0</v>
      </c>
      <c r="BL344" s="162">
        <v>0</v>
      </c>
      <c r="BM344" s="162">
        <v>0</v>
      </c>
      <c r="BN344" s="162">
        <v>0</v>
      </c>
      <c r="BO344" s="162"/>
      <c r="BP344" s="162"/>
      <c r="BQ344" s="162">
        <v>0</v>
      </c>
      <c r="BR344" s="162">
        <v>0</v>
      </c>
      <c r="BS344" s="162">
        <v>0</v>
      </c>
      <c r="BT344" s="162">
        <v>0</v>
      </c>
      <c r="BU344" s="162">
        <v>0</v>
      </c>
      <c r="BV344" s="162">
        <v>0</v>
      </c>
      <c r="BW344" s="162"/>
      <c r="BX344" s="162"/>
      <c r="BY344" s="162">
        <v>0</v>
      </c>
      <c r="BZ344" s="162">
        <v>0</v>
      </c>
      <c r="CA344" s="162">
        <v>0</v>
      </c>
      <c r="CB344" s="162">
        <v>0</v>
      </c>
      <c r="CC344" s="162">
        <v>0</v>
      </c>
      <c r="CD344" s="162">
        <v>0</v>
      </c>
      <c r="CE344" s="162">
        <f>VLOOKUP(I344,[120]REV33!$A:$O,11,0)</f>
        <v>0</v>
      </c>
      <c r="CF344" s="162">
        <f>VLOOKUP(I344,[120]REV33!$A:$O,12,0)</f>
        <v>0</v>
      </c>
      <c r="CG344" s="162"/>
      <c r="CH344" s="162"/>
      <c r="CI344" s="162"/>
      <c r="CJ344" s="162"/>
      <c r="CK344" s="162"/>
      <c r="CL344" s="162"/>
      <c r="CM344" s="162"/>
      <c r="CN344" s="162"/>
      <c r="CO344" s="162">
        <v>55</v>
      </c>
      <c r="CP344" s="162">
        <v>0</v>
      </c>
      <c r="CQ344" s="162">
        <v>0</v>
      </c>
      <c r="CR344" s="162">
        <v>0</v>
      </c>
      <c r="CS344" s="209">
        <f>Q344+S344+U344+W344+Y344+AA344+AC344+AE344+AG344+AI344+AK344+AM344+AO344+AQ344+AS344+AU344+AW344+AY344+BA344+BC344+BE344+BG344+BI344+BK344+BM344+BO344+BQ344+BS344+BU344+BW344+BY344+CA344+CC344+CE344+CG344+CI344+CK344+CM344+CO344+CQ344</f>
        <v>605</v>
      </c>
      <c r="CT344" s="209">
        <f>R344+T344+V344+X344+Z344+AB344+AD344+AF344+AH344+AJ344+AL344+AN344+AP344+AR344+AT344+AV344+AX344+AZ344+BB344+BD344+BF344+BH344+BJ344+BL344+BN344+BP344+BR344+BT344+BV344+BX344+BZ344+CB344+CD344+CF344+CH344+CJ344+CL344+CN344+CP344+CR344</f>
        <v>0</v>
      </c>
      <c r="CU344" s="206" t="s">
        <v>2599</v>
      </c>
      <c r="CV344" s="156"/>
      <c r="CZ344" s="157"/>
      <c r="DA344" s="152">
        <f t="shared" si="327"/>
        <v>605</v>
      </c>
      <c r="DB344" s="152" t="str">
        <f t="shared" si="328"/>
        <v>0</v>
      </c>
      <c r="DC344" s="153"/>
      <c r="DD344" s="158" t="s">
        <v>2212</v>
      </c>
      <c r="DE344" s="156" t="s">
        <v>435</v>
      </c>
      <c r="DF344" s="174" t="s">
        <v>1211</v>
      </c>
      <c r="DG344" s="175" t="s">
        <v>1184</v>
      </c>
      <c r="DH344" s="240" t="s">
        <v>477</v>
      </c>
      <c r="DI344" s="187">
        <v>45940</v>
      </c>
      <c r="DJ344" s="429">
        <v>550</v>
      </c>
      <c r="DK344" s="240" t="s">
        <v>477</v>
      </c>
      <c r="DL344" s="189">
        <v>13720</v>
      </c>
      <c r="DM344" s="181">
        <f t="shared" si="329"/>
        <v>8300600.0000000009</v>
      </c>
      <c r="DN344" s="446">
        <f t="shared" si="330"/>
        <v>0.10000000000000012</v>
      </c>
      <c r="DO344" s="160">
        <f t="shared" si="331"/>
        <v>7546000</v>
      </c>
      <c r="DP344" s="159">
        <v>45954</v>
      </c>
      <c r="DQ344" s="152">
        <f>SUMIF($I:$I,I344,$DJ:$DJ)</f>
        <v>550</v>
      </c>
      <c r="DR344" s="152">
        <f>SUMIF($I:$I,I344,$DK:$DK)</f>
        <v>0</v>
      </c>
      <c r="EO344" s="152">
        <f>SUMIF($I:$I,I344,$EC:$EC)</f>
        <v>0</v>
      </c>
      <c r="EP344" s="151">
        <f>SUMIF($I:$I,I344,$ED:$ED)</f>
        <v>0</v>
      </c>
      <c r="EQ344" s="153"/>
      <c r="ER344" s="153"/>
      <c r="ES344" s="153"/>
      <c r="ET344" s="153"/>
      <c r="EU344" s="152">
        <f t="shared" si="332"/>
        <v>550</v>
      </c>
      <c r="EV344" s="152">
        <f t="shared" si="333"/>
        <v>0</v>
      </c>
      <c r="EW344" s="152">
        <f t="shared" si="334"/>
        <v>55</v>
      </c>
      <c r="EX344" s="152">
        <f t="shared" si="335"/>
        <v>0</v>
      </c>
      <c r="EY344" s="151" t="str">
        <f t="shared" si="336"/>
        <v>Thiếu</v>
      </c>
    </row>
    <row r="345" spans="1:155" s="155" customFormat="1" ht="14" customHeight="1">
      <c r="A345" s="208" t="str">
        <f t="shared" si="325"/>
        <v>Hiện</v>
      </c>
      <c r="B345" s="151" t="str">
        <f t="shared" si="326"/>
        <v>Thiếu</v>
      </c>
      <c r="C345" s="409">
        <f t="shared" si="236"/>
        <v>1348</v>
      </c>
      <c r="D345" s="154" t="s">
        <v>2042</v>
      </c>
      <c r="E345" s="154"/>
      <c r="F345" s="154"/>
      <c r="G345" s="151"/>
      <c r="H345" s="364"/>
      <c r="I345" s="163" t="s">
        <v>811</v>
      </c>
      <c r="J345" s="164" t="s">
        <v>751</v>
      </c>
      <c r="K345" s="171" t="s">
        <v>812</v>
      </c>
      <c r="L345" s="171" t="s">
        <v>753</v>
      </c>
      <c r="M345" s="163" t="s">
        <v>345</v>
      </c>
      <c r="N345" s="173">
        <v>0</v>
      </c>
      <c r="O345" s="419">
        <v>1240</v>
      </c>
      <c r="P345" s="205"/>
      <c r="S345" s="161"/>
      <c r="T345" s="162"/>
      <c r="U345" s="162"/>
      <c r="V345" s="162"/>
      <c r="W345" s="162"/>
      <c r="X345" s="162"/>
      <c r="Y345" s="162"/>
      <c r="Z345" s="162"/>
      <c r="AA345" s="162"/>
      <c r="AB345" s="162"/>
      <c r="AC345" s="162"/>
      <c r="AD345" s="162"/>
      <c r="AE345" s="162"/>
      <c r="AF345" s="162"/>
      <c r="AG345" s="162"/>
      <c r="AH345" s="162"/>
      <c r="AI345" s="162"/>
      <c r="AJ345" s="162"/>
      <c r="AK345" s="162">
        <v>1310</v>
      </c>
      <c r="AL345" s="162">
        <v>0</v>
      </c>
      <c r="AM345" s="162"/>
      <c r="AN345" s="162"/>
      <c r="AO345" s="162">
        <v>0</v>
      </c>
      <c r="AP345" s="162">
        <v>0</v>
      </c>
      <c r="AQ345" s="162">
        <v>0</v>
      </c>
      <c r="AR345" s="162">
        <v>0</v>
      </c>
      <c r="AS345" s="162">
        <v>0</v>
      </c>
      <c r="AT345" s="162">
        <v>0</v>
      </c>
      <c r="AU345" s="162">
        <v>0</v>
      </c>
      <c r="AV345" s="162">
        <v>0</v>
      </c>
      <c r="AW345" s="162">
        <v>0</v>
      </c>
      <c r="AX345" s="162">
        <v>0</v>
      </c>
      <c r="AY345" s="162">
        <v>0</v>
      </c>
      <c r="AZ345" s="162">
        <v>0</v>
      </c>
      <c r="BA345" s="162"/>
      <c r="BB345" s="162"/>
      <c r="BC345" s="162">
        <v>0</v>
      </c>
      <c r="BD345" s="162">
        <v>0</v>
      </c>
      <c r="BE345" s="162">
        <v>0</v>
      </c>
      <c r="BF345" s="162">
        <v>0</v>
      </c>
      <c r="BG345" s="162">
        <v>0</v>
      </c>
      <c r="BH345" s="162">
        <v>0</v>
      </c>
      <c r="BI345" s="162">
        <v>0</v>
      </c>
      <c r="BJ345" s="162">
        <v>0</v>
      </c>
      <c r="BK345" s="162">
        <v>0</v>
      </c>
      <c r="BL345" s="162">
        <v>0</v>
      </c>
      <c r="BM345" s="162">
        <v>0</v>
      </c>
      <c r="BN345" s="162">
        <v>0</v>
      </c>
      <c r="BO345" s="162"/>
      <c r="BP345" s="162"/>
      <c r="BQ345" s="162">
        <v>0</v>
      </c>
      <c r="BR345" s="162">
        <v>0</v>
      </c>
      <c r="BS345" s="162">
        <v>0</v>
      </c>
      <c r="BT345" s="162">
        <v>0</v>
      </c>
      <c r="BU345" s="162">
        <v>0</v>
      </c>
      <c r="BV345" s="162">
        <v>0</v>
      </c>
      <c r="BW345" s="162"/>
      <c r="BX345" s="162"/>
      <c r="BY345" s="162">
        <v>0</v>
      </c>
      <c r="BZ345" s="162">
        <v>0</v>
      </c>
      <c r="CA345" s="162">
        <v>0</v>
      </c>
      <c r="CB345" s="162">
        <v>0</v>
      </c>
      <c r="CC345" s="162">
        <v>0</v>
      </c>
      <c r="CD345" s="162">
        <v>0</v>
      </c>
      <c r="CE345" s="162">
        <f>VLOOKUP(I345,[120]REV33!$A:$O,11,0)</f>
        <v>0</v>
      </c>
      <c r="CF345" s="162">
        <f>VLOOKUP(I345,[120]REV33!$A:$O,12,0)</f>
        <v>0</v>
      </c>
      <c r="CG345" s="162"/>
      <c r="CH345" s="162"/>
      <c r="CI345" s="162"/>
      <c r="CJ345" s="162"/>
      <c r="CK345" s="162"/>
      <c r="CL345" s="162"/>
      <c r="CM345" s="162"/>
      <c r="CN345" s="162"/>
      <c r="CO345" s="162">
        <v>0</v>
      </c>
      <c r="CP345" s="162">
        <v>0</v>
      </c>
      <c r="CQ345" s="162">
        <v>1348</v>
      </c>
      <c r="CR345" s="162">
        <v>0</v>
      </c>
      <c r="CS345" s="209">
        <f>Q345+S345+U345+W345+Y345+AA345+AC345+AE345+AG345+AI345+AK345+AM345+AO345+AQ345+AS345+AU345+AW345+AY345+BA345+BC345+BE345+BG345+BI345+BK345+BM345+BO345+BQ345+BS345+BU345+BW345+BY345+CA345+CC345+CE345+CG345+CI345+CK345+CM345+CO345+CQ345</f>
        <v>2658</v>
      </c>
      <c r="CT345" s="209">
        <f>R345+T345+V345+X345+Z345+AB345+AD345+AF345+AH345+AJ345+AL345+AN345+AP345+AR345+AT345+AV345+AX345+AZ345+BB345+BD345+BF345+BH345+BJ345+BL345+BN345+BP345+BR345+BT345+BV345+BX345+BZ345+CB345+CD345+CF345+CH345+CJ345+CL345+CN345+CP345+CR345</f>
        <v>0</v>
      </c>
      <c r="CU345" s="206" t="s">
        <v>2872</v>
      </c>
      <c r="CV345" s="156"/>
      <c r="CZ345" s="157"/>
      <c r="DA345" s="152">
        <f t="shared" si="327"/>
        <v>2658</v>
      </c>
      <c r="DB345" s="152" t="str">
        <f t="shared" si="328"/>
        <v>0</v>
      </c>
      <c r="DC345" s="153"/>
      <c r="DD345" s="158" t="s">
        <v>2212</v>
      </c>
      <c r="DE345" s="156" t="s">
        <v>435</v>
      </c>
      <c r="DF345" s="174" t="s">
        <v>1212</v>
      </c>
      <c r="DG345" s="175" t="s">
        <v>1184</v>
      </c>
      <c r="DH345" s="240" t="s">
        <v>477</v>
      </c>
      <c r="DI345" s="187">
        <v>45940</v>
      </c>
      <c r="DJ345" s="429">
        <v>1310</v>
      </c>
      <c r="DK345" s="240" t="s">
        <v>477</v>
      </c>
      <c r="DL345" s="189">
        <v>15190</v>
      </c>
      <c r="DM345" s="181">
        <f t="shared" si="329"/>
        <v>21888790</v>
      </c>
      <c r="DN345" s="446">
        <f t="shared" si="330"/>
        <v>0.1</v>
      </c>
      <c r="DO345" s="160">
        <f t="shared" si="331"/>
        <v>19898900</v>
      </c>
      <c r="DP345" s="159">
        <v>45954</v>
      </c>
      <c r="DQ345" s="152">
        <f>SUMIF($I:$I,I345,$DJ:$DJ)</f>
        <v>1310</v>
      </c>
      <c r="DR345" s="152">
        <f>SUMIF($I:$I,I345,$DK:$DK)</f>
        <v>0</v>
      </c>
      <c r="EO345" s="152">
        <f>SUMIF($I:$I,I345,$EC:$EC)</f>
        <v>0</v>
      </c>
      <c r="EP345" s="151">
        <f>SUMIF($I:$I,I345,$ED:$ED)</f>
        <v>0</v>
      </c>
      <c r="EQ345" s="153"/>
      <c r="ER345" s="153"/>
      <c r="ES345" s="153"/>
      <c r="ET345" s="153"/>
      <c r="EU345" s="152">
        <f t="shared" si="332"/>
        <v>1310</v>
      </c>
      <c r="EV345" s="152">
        <f t="shared" si="333"/>
        <v>0</v>
      </c>
      <c r="EW345" s="152">
        <f t="shared" si="334"/>
        <v>1348</v>
      </c>
      <c r="EX345" s="152">
        <f t="shared" si="335"/>
        <v>0</v>
      </c>
      <c r="EY345" s="151" t="str">
        <f t="shared" si="336"/>
        <v>Thiếu</v>
      </c>
    </row>
    <row r="346" spans="1:155" s="155" customFormat="1" ht="14" hidden="1" customHeight="1">
      <c r="A346" s="208" t="str">
        <f t="shared" si="325"/>
        <v>Hiện</v>
      </c>
      <c r="B346" s="151" t="str">
        <f t="shared" si="326"/>
        <v>Đủ</v>
      </c>
      <c r="C346" s="409">
        <f t="shared" si="236"/>
        <v>0</v>
      </c>
      <c r="D346" s="154" t="s">
        <v>435</v>
      </c>
      <c r="E346" s="154">
        <f>C346*DL346*1.1</f>
        <v>0</v>
      </c>
      <c r="F346" s="154"/>
      <c r="G346" s="151"/>
      <c r="H346" s="364"/>
      <c r="I346" s="163" t="s">
        <v>813</v>
      </c>
      <c r="J346" s="164" t="s">
        <v>751</v>
      </c>
      <c r="K346" s="171" t="s">
        <v>814</v>
      </c>
      <c r="L346" s="171" t="s">
        <v>753</v>
      </c>
      <c r="M346" s="163" t="s">
        <v>345</v>
      </c>
      <c r="N346" s="173">
        <v>0</v>
      </c>
      <c r="O346" s="419">
        <v>20</v>
      </c>
      <c r="P346" s="205"/>
      <c r="S346" s="161"/>
      <c r="T346" s="162"/>
      <c r="U346" s="162"/>
      <c r="V346" s="162"/>
      <c r="W346" s="162"/>
      <c r="X346" s="162"/>
      <c r="Y346" s="162"/>
      <c r="Z346" s="162"/>
      <c r="AA346" s="162"/>
      <c r="AB346" s="162"/>
      <c r="AC346" s="162"/>
      <c r="AD346" s="162"/>
      <c r="AE346" s="162"/>
      <c r="AF346" s="162"/>
      <c r="AG346" s="162"/>
      <c r="AH346" s="162"/>
      <c r="AI346" s="162"/>
      <c r="AJ346" s="162"/>
      <c r="AK346" s="162">
        <v>30</v>
      </c>
      <c r="AL346" s="162">
        <v>0</v>
      </c>
      <c r="AM346" s="162"/>
      <c r="AN346" s="162"/>
      <c r="AO346" s="162">
        <v>0</v>
      </c>
      <c r="AP346" s="162">
        <v>0</v>
      </c>
      <c r="AQ346" s="162">
        <v>0</v>
      </c>
      <c r="AR346" s="162">
        <v>0</v>
      </c>
      <c r="AS346" s="162">
        <v>0</v>
      </c>
      <c r="AT346" s="162">
        <v>0</v>
      </c>
      <c r="AU346" s="162">
        <v>0</v>
      </c>
      <c r="AV346" s="162">
        <v>0</v>
      </c>
      <c r="AW346" s="162">
        <v>0</v>
      </c>
      <c r="AX346" s="162">
        <v>0</v>
      </c>
      <c r="AY346" s="162">
        <v>0</v>
      </c>
      <c r="AZ346" s="162">
        <v>0</v>
      </c>
      <c r="BA346" s="162"/>
      <c r="BB346" s="162"/>
      <c r="BC346" s="162">
        <v>0</v>
      </c>
      <c r="BD346" s="162">
        <v>0</v>
      </c>
      <c r="BE346" s="162">
        <v>0</v>
      </c>
      <c r="BF346" s="162">
        <v>0</v>
      </c>
      <c r="BG346" s="162">
        <v>0</v>
      </c>
      <c r="BH346" s="162">
        <v>0</v>
      </c>
      <c r="BI346" s="162">
        <v>0</v>
      </c>
      <c r="BJ346" s="162">
        <v>0</v>
      </c>
      <c r="BK346" s="162">
        <v>0</v>
      </c>
      <c r="BL346" s="162">
        <v>0</v>
      </c>
      <c r="BM346" s="162">
        <v>0</v>
      </c>
      <c r="BN346" s="162">
        <v>0</v>
      </c>
      <c r="BO346" s="162"/>
      <c r="BP346" s="162"/>
      <c r="BQ346" s="162">
        <v>0</v>
      </c>
      <c r="BR346" s="162">
        <v>0</v>
      </c>
      <c r="BS346" s="162">
        <v>0</v>
      </c>
      <c r="BT346" s="162">
        <v>0</v>
      </c>
      <c r="BU346" s="162">
        <v>0</v>
      </c>
      <c r="BV346" s="162">
        <v>0</v>
      </c>
      <c r="BW346" s="162"/>
      <c r="BX346" s="162"/>
      <c r="BY346" s="162">
        <v>0</v>
      </c>
      <c r="BZ346" s="162">
        <v>0</v>
      </c>
      <c r="CA346" s="162">
        <v>0</v>
      </c>
      <c r="CB346" s="162">
        <v>0</v>
      </c>
      <c r="CC346" s="162">
        <v>0</v>
      </c>
      <c r="CD346" s="162">
        <v>0</v>
      </c>
      <c r="CE346" s="162">
        <f>VLOOKUP(I346,[120]REV33!$A:$O,11,0)</f>
        <v>0</v>
      </c>
      <c r="CF346" s="162">
        <f>VLOOKUP(I346,[120]REV33!$A:$O,12,0)</f>
        <v>0</v>
      </c>
      <c r="CG346" s="162"/>
      <c r="CH346" s="162"/>
      <c r="CI346" s="162"/>
      <c r="CJ346" s="162"/>
      <c r="CK346" s="162"/>
      <c r="CL346" s="162"/>
      <c r="CM346" s="162"/>
      <c r="CN346" s="162"/>
      <c r="CO346" s="162">
        <v>0</v>
      </c>
      <c r="CP346" s="162">
        <v>0</v>
      </c>
      <c r="CQ346" s="162">
        <v>0</v>
      </c>
      <c r="CR346" s="162">
        <v>0</v>
      </c>
      <c r="CS346" s="209">
        <f>Q346+S346+U346+W346+Y346+AA346+AC346+AE346+AG346+AI346+AK346+AM346+AO346+AQ346+AS346+AU346+AW346+AY346+BA346+BC346+BE346+BG346+BI346+BK346+BM346+BO346+BQ346+BS346+BU346+BW346+BY346+CA346+CC346+CE346+CG346+CI346+CK346+CM346+CO346+CQ346</f>
        <v>30</v>
      </c>
      <c r="CT346" s="209">
        <f>R346+T346+V346+X346+Z346+AB346+AD346+AF346+AH346+AJ346+AL346+AN346+AP346+AR346+AT346+AV346+AX346+AZ346+BB346+BD346+BF346+BH346+BJ346+BL346+BN346+BP346+BR346+BT346+BV346+BX346+BZ346+CB346+CD346+CF346+CH346+CJ346+CL346+CN346+CP346+CR346</f>
        <v>0</v>
      </c>
      <c r="CU346" s="206" t="s">
        <v>1000</v>
      </c>
      <c r="CV346" s="156"/>
      <c r="CZ346" s="157"/>
      <c r="DA346" s="152">
        <f t="shared" si="327"/>
        <v>30</v>
      </c>
      <c r="DB346" s="152" t="str">
        <f t="shared" si="328"/>
        <v>0</v>
      </c>
      <c r="DC346" s="153"/>
      <c r="DD346" s="158" t="s">
        <v>2212</v>
      </c>
      <c r="DE346" s="156" t="s">
        <v>435</v>
      </c>
      <c r="DF346" s="174" t="s">
        <v>1213</v>
      </c>
      <c r="DG346" s="175" t="s">
        <v>1184</v>
      </c>
      <c r="DH346" s="240" t="s">
        <v>477</v>
      </c>
      <c r="DI346" s="187">
        <v>45940</v>
      </c>
      <c r="DJ346" s="429">
        <v>30</v>
      </c>
      <c r="DK346" s="240" t="s">
        <v>477</v>
      </c>
      <c r="DL346" s="189">
        <v>16660</v>
      </c>
      <c r="DM346" s="181">
        <f t="shared" si="329"/>
        <v>549780</v>
      </c>
      <c r="DN346" s="446">
        <f t="shared" si="330"/>
        <v>0.1</v>
      </c>
      <c r="DO346" s="160">
        <f t="shared" si="331"/>
        <v>499800</v>
      </c>
      <c r="DP346" s="159">
        <v>45954</v>
      </c>
      <c r="DQ346" s="152">
        <f>SUMIF($I:$I,I346,$DJ:$DJ)</f>
        <v>30</v>
      </c>
      <c r="DR346" s="152">
        <f>SUMIF($I:$I,I346,$DK:$DK)</f>
        <v>0</v>
      </c>
      <c r="EO346" s="152">
        <f>SUMIF($I:$I,I346,$EC:$EC)</f>
        <v>0</v>
      </c>
      <c r="EP346" s="151">
        <f>SUMIF($I:$I,I346,$ED:$ED)</f>
        <v>0</v>
      </c>
      <c r="EQ346" s="153"/>
      <c r="ER346" s="153"/>
      <c r="ES346" s="153"/>
      <c r="ET346" s="153"/>
      <c r="EU346" s="152">
        <f t="shared" si="332"/>
        <v>30</v>
      </c>
      <c r="EV346" s="152">
        <f t="shared" si="333"/>
        <v>0</v>
      </c>
      <c r="EW346" s="152">
        <f t="shared" si="334"/>
        <v>0</v>
      </c>
      <c r="EX346" s="152">
        <f t="shared" si="335"/>
        <v>0</v>
      </c>
      <c r="EY346" s="151" t="str">
        <f t="shared" si="336"/>
        <v>Đủ</v>
      </c>
    </row>
    <row r="347" spans="1:155" s="155" customFormat="1" ht="14" hidden="1" customHeight="1">
      <c r="A347" s="208" t="str">
        <f t="shared" si="325"/>
        <v>Hiện</v>
      </c>
      <c r="B347" s="151" t="str">
        <f t="shared" si="326"/>
        <v>Đủ</v>
      </c>
      <c r="C347" s="409">
        <f t="shared" si="236"/>
        <v>0</v>
      </c>
      <c r="D347" s="154" t="s">
        <v>435</v>
      </c>
      <c r="E347" s="154">
        <f>C347*DL347*1.1</f>
        <v>0</v>
      </c>
      <c r="F347" s="154"/>
      <c r="G347" s="151"/>
      <c r="H347" s="364"/>
      <c r="I347" s="163" t="s">
        <v>815</v>
      </c>
      <c r="J347" s="164" t="s">
        <v>751</v>
      </c>
      <c r="K347" s="171" t="s">
        <v>816</v>
      </c>
      <c r="L347" s="171" t="s">
        <v>796</v>
      </c>
      <c r="M347" s="163" t="s">
        <v>345</v>
      </c>
      <c r="N347" s="173">
        <v>0</v>
      </c>
      <c r="O347" s="419">
        <v>160</v>
      </c>
      <c r="P347" s="205"/>
      <c r="S347" s="161"/>
      <c r="T347" s="162"/>
      <c r="U347" s="162"/>
      <c r="V347" s="162"/>
      <c r="W347" s="162"/>
      <c r="X347" s="162"/>
      <c r="Y347" s="162"/>
      <c r="Z347" s="162"/>
      <c r="AA347" s="162"/>
      <c r="AB347" s="162"/>
      <c r="AC347" s="162"/>
      <c r="AD347" s="162"/>
      <c r="AE347" s="162"/>
      <c r="AF347" s="162"/>
      <c r="AG347" s="162"/>
      <c r="AH347" s="162"/>
      <c r="AI347" s="162"/>
      <c r="AJ347" s="162"/>
      <c r="AK347" s="162">
        <v>170</v>
      </c>
      <c r="AL347" s="162">
        <v>0</v>
      </c>
      <c r="AM347" s="162"/>
      <c r="AN347" s="162"/>
      <c r="AO347" s="162">
        <v>0</v>
      </c>
      <c r="AP347" s="162">
        <v>0</v>
      </c>
      <c r="AQ347" s="162">
        <v>0</v>
      </c>
      <c r="AR347" s="162">
        <v>0</v>
      </c>
      <c r="AS347" s="162">
        <v>0</v>
      </c>
      <c r="AT347" s="162">
        <v>0</v>
      </c>
      <c r="AU347" s="162">
        <v>0</v>
      </c>
      <c r="AV347" s="162">
        <v>0</v>
      </c>
      <c r="AW347" s="162">
        <v>0</v>
      </c>
      <c r="AX347" s="162">
        <v>0</v>
      </c>
      <c r="AY347" s="162">
        <v>0</v>
      </c>
      <c r="AZ347" s="162">
        <v>0</v>
      </c>
      <c r="BA347" s="162"/>
      <c r="BB347" s="162"/>
      <c r="BC347" s="162">
        <v>0</v>
      </c>
      <c r="BD347" s="162">
        <v>0</v>
      </c>
      <c r="BE347" s="162">
        <v>0</v>
      </c>
      <c r="BF347" s="162">
        <v>0</v>
      </c>
      <c r="BG347" s="162">
        <v>0</v>
      </c>
      <c r="BH347" s="162">
        <v>0</v>
      </c>
      <c r="BI347" s="162">
        <v>0</v>
      </c>
      <c r="BJ347" s="162">
        <v>0</v>
      </c>
      <c r="BK347" s="162">
        <v>0</v>
      </c>
      <c r="BL347" s="162">
        <v>0</v>
      </c>
      <c r="BM347" s="162">
        <v>0</v>
      </c>
      <c r="BN347" s="162">
        <v>0</v>
      </c>
      <c r="BO347" s="162"/>
      <c r="BP347" s="162"/>
      <c r="BQ347" s="162">
        <v>0</v>
      </c>
      <c r="BR347" s="162">
        <v>0</v>
      </c>
      <c r="BS347" s="162">
        <v>0</v>
      </c>
      <c r="BT347" s="162">
        <v>0</v>
      </c>
      <c r="BU347" s="162">
        <v>0</v>
      </c>
      <c r="BV347" s="162">
        <v>0</v>
      </c>
      <c r="BW347" s="162"/>
      <c r="BX347" s="162"/>
      <c r="BY347" s="162">
        <v>0</v>
      </c>
      <c r="BZ347" s="162">
        <v>0</v>
      </c>
      <c r="CA347" s="162">
        <v>0</v>
      </c>
      <c r="CB347" s="162">
        <v>0</v>
      </c>
      <c r="CC347" s="162">
        <v>0</v>
      </c>
      <c r="CD347" s="162">
        <v>0</v>
      </c>
      <c r="CE347" s="162">
        <f>VLOOKUP(I347,[120]REV33!$A:$O,11,0)</f>
        <v>0</v>
      </c>
      <c r="CF347" s="162">
        <f>VLOOKUP(I347,[120]REV33!$A:$O,12,0)</f>
        <v>0</v>
      </c>
      <c r="CG347" s="162"/>
      <c r="CH347" s="162"/>
      <c r="CI347" s="162"/>
      <c r="CJ347" s="162"/>
      <c r="CK347" s="162"/>
      <c r="CL347" s="162"/>
      <c r="CM347" s="162"/>
      <c r="CN347" s="162"/>
      <c r="CO347" s="162">
        <v>0</v>
      </c>
      <c r="CP347" s="162">
        <v>0</v>
      </c>
      <c r="CQ347" s="162">
        <v>0</v>
      </c>
      <c r="CR347" s="162">
        <v>0</v>
      </c>
      <c r="CS347" s="209">
        <f>Q347+S347+U347+W347+Y347+AA347+AC347+AE347+AG347+AI347+AK347+AM347+AO347+AQ347+AS347+AU347+AW347+AY347+BA347+BC347+BE347+BG347+BI347+BK347+BM347+BO347+BQ347+BS347+BU347+BW347+BY347+CA347+CC347+CE347+CG347+CI347+CK347+CM347+CO347+CQ347</f>
        <v>170</v>
      </c>
      <c r="CT347" s="209">
        <f>R347+T347+V347+X347+Z347+AB347+AD347+AF347+AH347+AJ347+AL347+AN347+AP347+AR347+AT347+AV347+AX347+AZ347+BB347+BD347+BF347+BH347+BJ347+BL347+BN347+BP347+BR347+BT347+BV347+BX347+BZ347+CB347+CD347+CF347+CH347+CJ347+CL347+CN347+CP347+CR347</f>
        <v>0</v>
      </c>
      <c r="CU347" s="206" t="s">
        <v>1000</v>
      </c>
      <c r="CV347" s="156"/>
      <c r="CZ347" s="157"/>
      <c r="DA347" s="152">
        <f t="shared" si="327"/>
        <v>170</v>
      </c>
      <c r="DB347" s="152" t="str">
        <f t="shared" si="328"/>
        <v>0</v>
      </c>
      <c r="DC347" s="153"/>
      <c r="DD347" s="158" t="s">
        <v>2212</v>
      </c>
      <c r="DE347" s="156" t="s">
        <v>435</v>
      </c>
      <c r="DF347" s="174" t="s">
        <v>1214</v>
      </c>
      <c r="DG347" s="176" t="s">
        <v>1204</v>
      </c>
      <c r="DH347" s="240" t="s">
        <v>477</v>
      </c>
      <c r="DI347" s="187">
        <v>45940</v>
      </c>
      <c r="DJ347" s="429">
        <v>170</v>
      </c>
      <c r="DK347" s="240" t="s">
        <v>477</v>
      </c>
      <c r="DL347" s="189">
        <v>45300</v>
      </c>
      <c r="DM347" s="181">
        <f t="shared" si="329"/>
        <v>8471100</v>
      </c>
      <c r="DN347" s="446">
        <f t="shared" si="330"/>
        <v>0.1</v>
      </c>
      <c r="DO347" s="160">
        <f t="shared" si="331"/>
        <v>7701000</v>
      </c>
      <c r="DP347" s="159">
        <v>45954</v>
      </c>
      <c r="DQ347" s="152">
        <f>SUMIF($I:$I,I347,$DJ:$DJ)</f>
        <v>170</v>
      </c>
      <c r="DR347" s="152">
        <f>SUMIF($I:$I,I347,$DK:$DK)</f>
        <v>0</v>
      </c>
      <c r="EO347" s="152">
        <f>SUMIF($I:$I,I347,$EC:$EC)</f>
        <v>0</v>
      </c>
      <c r="EP347" s="151">
        <f>SUMIF($I:$I,I347,$ED:$ED)</f>
        <v>0</v>
      </c>
      <c r="EQ347" s="153"/>
      <c r="ER347" s="153"/>
      <c r="ES347" s="153"/>
      <c r="ET347" s="153"/>
      <c r="EU347" s="152">
        <f t="shared" si="332"/>
        <v>170</v>
      </c>
      <c r="EV347" s="152">
        <f t="shared" si="333"/>
        <v>0</v>
      </c>
      <c r="EW347" s="152">
        <f t="shared" si="334"/>
        <v>0</v>
      </c>
      <c r="EX347" s="152">
        <f t="shared" si="335"/>
        <v>0</v>
      </c>
      <c r="EY347" s="151" t="str">
        <f t="shared" si="336"/>
        <v>Đủ</v>
      </c>
    </row>
    <row r="348" spans="1:155" s="155" customFormat="1" ht="14" hidden="1" customHeight="1">
      <c r="A348" s="208" t="str">
        <f t="shared" ref="A348:A379" si="337">IF(I348=I347,"ok","Hiện")</f>
        <v>Hiện</v>
      </c>
      <c r="B348" s="151" t="str">
        <f t="shared" si="326"/>
        <v>Đủ</v>
      </c>
      <c r="C348" s="409">
        <f t="shared" si="236"/>
        <v>0</v>
      </c>
      <c r="D348" s="154" t="s">
        <v>435</v>
      </c>
      <c r="E348" s="154">
        <f>C348*DL348*1.1</f>
        <v>0</v>
      </c>
      <c r="F348" s="154"/>
      <c r="G348" s="151"/>
      <c r="H348" s="364"/>
      <c r="I348" s="163" t="s">
        <v>817</v>
      </c>
      <c r="J348" s="164" t="s">
        <v>751</v>
      </c>
      <c r="K348" s="171" t="s">
        <v>818</v>
      </c>
      <c r="L348" s="171" t="s">
        <v>796</v>
      </c>
      <c r="M348" s="163" t="s">
        <v>345</v>
      </c>
      <c r="N348" s="173">
        <v>0</v>
      </c>
      <c r="O348" s="419">
        <v>640</v>
      </c>
      <c r="P348" s="205"/>
      <c r="S348" s="161"/>
      <c r="T348" s="162"/>
      <c r="U348" s="162"/>
      <c r="V348" s="162"/>
      <c r="W348" s="162"/>
      <c r="X348" s="162"/>
      <c r="Y348" s="162"/>
      <c r="Z348" s="162"/>
      <c r="AA348" s="162"/>
      <c r="AB348" s="162"/>
      <c r="AC348" s="162"/>
      <c r="AD348" s="162"/>
      <c r="AE348" s="162"/>
      <c r="AF348" s="162"/>
      <c r="AG348" s="162"/>
      <c r="AH348" s="162"/>
      <c r="AI348" s="162"/>
      <c r="AJ348" s="162"/>
      <c r="AK348" s="162">
        <v>680</v>
      </c>
      <c r="AL348" s="162">
        <v>0</v>
      </c>
      <c r="AM348" s="162"/>
      <c r="AN348" s="162"/>
      <c r="AO348" s="162">
        <v>0</v>
      </c>
      <c r="AP348" s="162">
        <v>0</v>
      </c>
      <c r="AQ348" s="162">
        <v>0</v>
      </c>
      <c r="AR348" s="162">
        <v>0</v>
      </c>
      <c r="AS348" s="162">
        <v>0</v>
      </c>
      <c r="AT348" s="162">
        <v>0</v>
      </c>
      <c r="AU348" s="162">
        <v>0</v>
      </c>
      <c r="AV348" s="162">
        <v>0</v>
      </c>
      <c r="AW348" s="162">
        <v>0</v>
      </c>
      <c r="AX348" s="162">
        <v>0</v>
      </c>
      <c r="AY348" s="162">
        <v>0</v>
      </c>
      <c r="AZ348" s="162">
        <v>0</v>
      </c>
      <c r="BA348" s="162"/>
      <c r="BB348" s="162"/>
      <c r="BC348" s="162">
        <v>0</v>
      </c>
      <c r="BD348" s="162">
        <v>0</v>
      </c>
      <c r="BE348" s="162">
        <v>0</v>
      </c>
      <c r="BF348" s="162">
        <v>0</v>
      </c>
      <c r="BG348" s="162">
        <v>0</v>
      </c>
      <c r="BH348" s="162">
        <v>0</v>
      </c>
      <c r="BI348" s="162">
        <v>0</v>
      </c>
      <c r="BJ348" s="162">
        <v>0</v>
      </c>
      <c r="BK348" s="162">
        <v>0</v>
      </c>
      <c r="BL348" s="162">
        <v>0</v>
      </c>
      <c r="BM348" s="162">
        <v>0</v>
      </c>
      <c r="BN348" s="162">
        <v>0</v>
      </c>
      <c r="BO348" s="162"/>
      <c r="BP348" s="162"/>
      <c r="BQ348" s="162">
        <v>0</v>
      </c>
      <c r="BR348" s="162">
        <v>0</v>
      </c>
      <c r="BS348" s="162">
        <v>0</v>
      </c>
      <c r="BT348" s="162">
        <v>0</v>
      </c>
      <c r="BU348" s="162">
        <v>0</v>
      </c>
      <c r="BV348" s="162">
        <v>0</v>
      </c>
      <c r="BW348" s="162"/>
      <c r="BX348" s="162"/>
      <c r="BY348" s="162">
        <v>0</v>
      </c>
      <c r="BZ348" s="162">
        <v>0</v>
      </c>
      <c r="CA348" s="162">
        <v>0</v>
      </c>
      <c r="CB348" s="162">
        <v>0</v>
      </c>
      <c r="CC348" s="162">
        <v>0</v>
      </c>
      <c r="CD348" s="162">
        <v>0</v>
      </c>
      <c r="CE348" s="162">
        <f>VLOOKUP(I348,[120]REV33!$A:$O,11,0)</f>
        <v>0</v>
      </c>
      <c r="CF348" s="162">
        <f>VLOOKUP(I348,[120]REV33!$A:$O,12,0)</f>
        <v>0</v>
      </c>
      <c r="CG348" s="162"/>
      <c r="CH348" s="162"/>
      <c r="CI348" s="162"/>
      <c r="CJ348" s="162"/>
      <c r="CK348" s="162"/>
      <c r="CL348" s="162"/>
      <c r="CM348" s="162"/>
      <c r="CN348" s="162"/>
      <c r="CO348" s="162">
        <v>0</v>
      </c>
      <c r="CP348" s="162">
        <v>0</v>
      </c>
      <c r="CQ348" s="162">
        <v>0</v>
      </c>
      <c r="CR348" s="162">
        <v>0</v>
      </c>
      <c r="CS348" s="209">
        <f>Q348+S348+U348+W348+Y348+AA348+AC348+AE348+AG348+AI348+AK348+AM348+AO348+AQ348+AS348+AU348+AW348+AY348+BA348+BC348+BE348+BG348+BI348+BK348+BM348+BO348+BQ348+BS348+BU348+BW348+BY348+CA348+CC348+CE348+CG348+CI348+CK348+CM348+CO348+CQ348</f>
        <v>680</v>
      </c>
      <c r="CT348" s="209">
        <f>R348+T348+V348+X348+Z348+AB348+AD348+AF348+AH348+AJ348+AL348+AN348+AP348+AR348+AT348+AV348+AX348+AZ348+BB348+BD348+BF348+BH348+BJ348+BL348+BN348+BP348+BR348+BT348+BV348+BX348+BZ348+CB348+CD348+CF348+CH348+CJ348+CL348+CN348+CP348+CR348</f>
        <v>0</v>
      </c>
      <c r="CU348" s="206" t="s">
        <v>1000</v>
      </c>
      <c r="CV348" s="156"/>
      <c r="CZ348" s="157"/>
      <c r="DA348" s="152">
        <f t="shared" si="327"/>
        <v>680</v>
      </c>
      <c r="DB348" s="152" t="str">
        <f t="shared" si="328"/>
        <v>0</v>
      </c>
      <c r="DC348" s="153"/>
      <c r="DD348" s="158" t="s">
        <v>2212</v>
      </c>
      <c r="DE348" s="156" t="s">
        <v>435</v>
      </c>
      <c r="DF348" s="174" t="s">
        <v>1215</v>
      </c>
      <c r="DG348" s="175" t="s">
        <v>1208</v>
      </c>
      <c r="DH348" s="240" t="s">
        <v>477</v>
      </c>
      <c r="DI348" s="187">
        <v>45940</v>
      </c>
      <c r="DJ348" s="429">
        <v>680</v>
      </c>
      <c r="DK348" s="240" t="s">
        <v>477</v>
      </c>
      <c r="DL348" s="189">
        <v>53500</v>
      </c>
      <c r="DM348" s="181">
        <f t="shared" ref="DM348:DM379" si="338">DL348*DJ348*1.1</f>
        <v>40018000</v>
      </c>
      <c r="DN348" s="446">
        <f t="shared" ref="DN348:DN379" si="339">(DM348-DO348)/DO348</f>
        <v>0.1</v>
      </c>
      <c r="DO348" s="160">
        <f t="shared" ref="DO348:DO379" si="340">DL348*DJ348</f>
        <v>36380000</v>
      </c>
      <c r="DP348" s="159">
        <v>45954</v>
      </c>
      <c r="DQ348" s="152">
        <f>SUMIF($I:$I,I348,$DJ:$DJ)</f>
        <v>680</v>
      </c>
      <c r="DR348" s="152">
        <f>SUMIF($I:$I,I348,$DK:$DK)</f>
        <v>0</v>
      </c>
      <c r="EO348" s="152">
        <f>SUMIF($I:$I,I348,$EC:$EC)</f>
        <v>0</v>
      </c>
      <c r="EP348" s="151">
        <f>SUMIF($I:$I,I348,$ED:$ED)</f>
        <v>0</v>
      </c>
      <c r="EQ348" s="153"/>
      <c r="ER348" s="153"/>
      <c r="ES348" s="153"/>
      <c r="ET348" s="153"/>
      <c r="EU348" s="152">
        <f t="shared" si="332"/>
        <v>680</v>
      </c>
      <c r="EV348" s="152">
        <f t="shared" si="333"/>
        <v>0</v>
      </c>
      <c r="EW348" s="152">
        <f t="shared" si="334"/>
        <v>0</v>
      </c>
      <c r="EX348" s="152">
        <f t="shared" si="335"/>
        <v>0</v>
      </c>
      <c r="EY348" s="151" t="str">
        <f t="shared" si="336"/>
        <v>Đủ</v>
      </c>
    </row>
    <row r="349" spans="1:155" s="155" customFormat="1" ht="14" hidden="1" customHeight="1">
      <c r="A349" s="208" t="str">
        <f t="shared" si="337"/>
        <v>Hiện</v>
      </c>
      <c r="B349" s="151" t="str">
        <f t="shared" si="326"/>
        <v>Đủ</v>
      </c>
      <c r="C349" s="409">
        <f t="shared" si="236"/>
        <v>0</v>
      </c>
      <c r="D349" s="154" t="s">
        <v>435</v>
      </c>
      <c r="E349" s="154">
        <f>C349*DL349*1.1</f>
        <v>0</v>
      </c>
      <c r="F349" s="154"/>
      <c r="G349" s="151"/>
      <c r="H349" s="364"/>
      <c r="I349" s="163" t="s">
        <v>819</v>
      </c>
      <c r="J349" s="164" t="s">
        <v>751</v>
      </c>
      <c r="K349" s="171" t="s">
        <v>820</v>
      </c>
      <c r="L349" s="171" t="s">
        <v>753</v>
      </c>
      <c r="M349" s="163" t="s">
        <v>345</v>
      </c>
      <c r="N349" s="173">
        <v>0</v>
      </c>
      <c r="O349" s="419">
        <v>1392</v>
      </c>
      <c r="P349" s="205"/>
      <c r="S349" s="161"/>
      <c r="T349" s="162"/>
      <c r="U349" s="162"/>
      <c r="V349" s="162"/>
      <c r="W349" s="162"/>
      <c r="X349" s="162"/>
      <c r="Y349" s="162"/>
      <c r="Z349" s="162"/>
      <c r="AA349" s="162"/>
      <c r="AB349" s="162"/>
      <c r="AC349" s="162"/>
      <c r="AD349" s="162"/>
      <c r="AE349" s="162"/>
      <c r="AF349" s="162"/>
      <c r="AG349" s="162"/>
      <c r="AH349" s="162"/>
      <c r="AI349" s="162"/>
      <c r="AJ349" s="162"/>
      <c r="AK349" s="162">
        <v>1466</v>
      </c>
      <c r="AL349" s="162">
        <v>0</v>
      </c>
      <c r="AM349" s="162"/>
      <c r="AN349" s="162"/>
      <c r="AO349" s="162">
        <v>0</v>
      </c>
      <c r="AP349" s="162">
        <v>0</v>
      </c>
      <c r="AQ349" s="162">
        <v>0</v>
      </c>
      <c r="AR349" s="162">
        <v>0</v>
      </c>
      <c r="AS349" s="162">
        <v>0</v>
      </c>
      <c r="AT349" s="162">
        <v>0</v>
      </c>
      <c r="AU349" s="162">
        <v>0</v>
      </c>
      <c r="AV349" s="162">
        <v>0</v>
      </c>
      <c r="AW349" s="162">
        <v>0</v>
      </c>
      <c r="AX349" s="162">
        <v>0</v>
      </c>
      <c r="AY349" s="162">
        <v>0</v>
      </c>
      <c r="AZ349" s="162">
        <v>0</v>
      </c>
      <c r="BA349" s="162"/>
      <c r="BB349" s="162"/>
      <c r="BC349" s="162">
        <v>0</v>
      </c>
      <c r="BD349" s="162">
        <v>0</v>
      </c>
      <c r="BE349" s="162">
        <v>0</v>
      </c>
      <c r="BF349" s="162">
        <v>0</v>
      </c>
      <c r="BG349" s="162">
        <v>0</v>
      </c>
      <c r="BH349" s="162">
        <v>0</v>
      </c>
      <c r="BI349" s="162">
        <v>0</v>
      </c>
      <c r="BJ349" s="162">
        <v>0</v>
      </c>
      <c r="BK349" s="162">
        <v>0</v>
      </c>
      <c r="BL349" s="162">
        <v>0</v>
      </c>
      <c r="BM349" s="162">
        <v>0</v>
      </c>
      <c r="BN349" s="162">
        <v>0</v>
      </c>
      <c r="BO349" s="162"/>
      <c r="BP349" s="162"/>
      <c r="BQ349" s="162">
        <v>0</v>
      </c>
      <c r="BR349" s="162">
        <v>0</v>
      </c>
      <c r="BS349" s="162">
        <v>0</v>
      </c>
      <c r="BT349" s="162">
        <v>0</v>
      </c>
      <c r="BU349" s="162">
        <v>0</v>
      </c>
      <c r="BV349" s="162">
        <v>0</v>
      </c>
      <c r="BW349" s="162"/>
      <c r="BX349" s="162"/>
      <c r="BY349" s="162">
        <v>0</v>
      </c>
      <c r="BZ349" s="162">
        <v>0</v>
      </c>
      <c r="CA349" s="162">
        <v>0</v>
      </c>
      <c r="CB349" s="162">
        <v>0</v>
      </c>
      <c r="CC349" s="162">
        <v>0</v>
      </c>
      <c r="CD349" s="162">
        <v>0</v>
      </c>
      <c r="CE349" s="162">
        <f>VLOOKUP(I349,[120]REV33!$A:$O,11,0)</f>
        <v>0</v>
      </c>
      <c r="CF349" s="162">
        <f>VLOOKUP(I349,[120]REV33!$A:$O,12,0)</f>
        <v>0</v>
      </c>
      <c r="CG349" s="162"/>
      <c r="CH349" s="162"/>
      <c r="CI349" s="162"/>
      <c r="CJ349" s="162"/>
      <c r="CK349" s="162"/>
      <c r="CL349" s="162"/>
      <c r="CM349" s="162"/>
      <c r="CN349" s="162"/>
      <c r="CO349" s="162">
        <v>0</v>
      </c>
      <c r="CP349" s="162">
        <v>0</v>
      </c>
      <c r="CQ349" s="162">
        <v>0</v>
      </c>
      <c r="CR349" s="162">
        <v>0</v>
      </c>
      <c r="CS349" s="209">
        <f>Q349+S349+U349+W349+Y349+AA349+AC349+AE349+AG349+AI349+AK349+AM349+AO349+AQ349+AS349+AU349+AW349+AY349+BA349+BC349+BE349+BG349+BI349+BK349+BM349+BO349+BQ349+BS349+BU349+BW349+BY349+CA349+CC349+CE349+CG349+CI349+CK349+CM349+CO349+CQ349</f>
        <v>1466</v>
      </c>
      <c r="CT349" s="209">
        <f>R349+T349+V349+X349+Z349+AB349+AD349+AF349+AH349+AJ349+AL349+AN349+AP349+AR349+AT349+AV349+AX349+AZ349+BB349+BD349+BF349+BH349+BJ349+BL349+BN349+BP349+BR349+BT349+BV349+BX349+BZ349+CB349+CD349+CF349+CH349+CJ349+CL349+CN349+CP349+CR349</f>
        <v>0</v>
      </c>
      <c r="CU349" s="206" t="s">
        <v>1000</v>
      </c>
      <c r="CV349" s="156"/>
      <c r="CZ349" s="157"/>
      <c r="DA349" s="152">
        <f t="shared" si="327"/>
        <v>1466</v>
      </c>
      <c r="DB349" s="152" t="str">
        <f t="shared" si="328"/>
        <v>0</v>
      </c>
      <c r="DC349" s="153"/>
      <c r="DD349" s="158" t="s">
        <v>2212</v>
      </c>
      <c r="DE349" s="156" t="s">
        <v>435</v>
      </c>
      <c r="DF349" s="174" t="s">
        <v>1216</v>
      </c>
      <c r="DG349" s="175" t="s">
        <v>1198</v>
      </c>
      <c r="DH349" s="240" t="s">
        <v>477</v>
      </c>
      <c r="DI349" s="187">
        <v>45940</v>
      </c>
      <c r="DJ349" s="429">
        <v>1466</v>
      </c>
      <c r="DK349" s="240" t="s">
        <v>477</v>
      </c>
      <c r="DL349" s="189">
        <v>37450</v>
      </c>
      <c r="DM349" s="181">
        <f t="shared" si="338"/>
        <v>60391870.000000007</v>
      </c>
      <c r="DN349" s="446">
        <f t="shared" si="339"/>
        <v>0.10000000000000013</v>
      </c>
      <c r="DO349" s="160">
        <f t="shared" si="340"/>
        <v>54901700</v>
      </c>
      <c r="DP349" s="159">
        <v>45954</v>
      </c>
      <c r="DQ349" s="152">
        <f>SUMIF($I:$I,I349,$DJ:$DJ)</f>
        <v>1466</v>
      </c>
      <c r="DR349" s="152">
        <f>SUMIF($I:$I,I349,$DK:$DK)</f>
        <v>0</v>
      </c>
      <c r="EO349" s="152">
        <f>SUMIF($I:$I,I349,$EC:$EC)</f>
        <v>0</v>
      </c>
      <c r="EP349" s="151">
        <f>SUMIF($I:$I,I349,$ED:$ED)</f>
        <v>0</v>
      </c>
      <c r="EQ349" s="153"/>
      <c r="ER349" s="153"/>
      <c r="ES349" s="153"/>
      <c r="ET349" s="153"/>
      <c r="EU349" s="152">
        <f t="shared" si="332"/>
        <v>1466</v>
      </c>
      <c r="EV349" s="152">
        <f t="shared" si="333"/>
        <v>0</v>
      </c>
      <c r="EW349" s="152">
        <f t="shared" si="334"/>
        <v>0</v>
      </c>
      <c r="EX349" s="152">
        <f t="shared" si="335"/>
        <v>0</v>
      </c>
      <c r="EY349" s="151" t="str">
        <f t="shared" si="336"/>
        <v>Đủ</v>
      </c>
    </row>
    <row r="350" spans="1:155" s="155" customFormat="1" ht="14" hidden="1" customHeight="1">
      <c r="A350" s="208" t="str">
        <f t="shared" si="337"/>
        <v>Hiện</v>
      </c>
      <c r="B350" s="151" t="str">
        <f t="shared" si="326"/>
        <v>Đủ</v>
      </c>
      <c r="C350" s="409">
        <f t="shared" si="236"/>
        <v>0</v>
      </c>
      <c r="D350" s="154" t="s">
        <v>435</v>
      </c>
      <c r="E350" s="154">
        <f>C350*DL350*1.1</f>
        <v>0</v>
      </c>
      <c r="F350" s="154"/>
      <c r="G350" s="151"/>
      <c r="H350" s="364"/>
      <c r="I350" s="163" t="s">
        <v>821</v>
      </c>
      <c r="J350" s="164" t="s">
        <v>751</v>
      </c>
      <c r="K350" s="171" t="s">
        <v>822</v>
      </c>
      <c r="L350" s="171" t="s">
        <v>823</v>
      </c>
      <c r="M350" s="163" t="s">
        <v>345</v>
      </c>
      <c r="N350" s="173">
        <v>0</v>
      </c>
      <c r="O350" s="419">
        <v>80</v>
      </c>
      <c r="P350" s="205"/>
      <c r="S350" s="161"/>
      <c r="T350" s="162"/>
      <c r="U350" s="162"/>
      <c r="V350" s="162"/>
      <c r="W350" s="162"/>
      <c r="X350" s="162"/>
      <c r="Y350" s="162"/>
      <c r="Z350" s="162"/>
      <c r="AA350" s="162"/>
      <c r="AB350" s="162"/>
      <c r="AC350" s="162"/>
      <c r="AD350" s="162"/>
      <c r="AE350" s="162"/>
      <c r="AF350" s="162"/>
      <c r="AG350" s="162"/>
      <c r="AH350" s="162"/>
      <c r="AI350" s="162"/>
      <c r="AJ350" s="162"/>
      <c r="AK350" s="162">
        <v>90</v>
      </c>
      <c r="AL350" s="162">
        <v>0</v>
      </c>
      <c r="AM350" s="162"/>
      <c r="AN350" s="162"/>
      <c r="AO350" s="162">
        <v>0</v>
      </c>
      <c r="AP350" s="162">
        <v>0</v>
      </c>
      <c r="AQ350" s="162">
        <v>0</v>
      </c>
      <c r="AR350" s="162">
        <v>0</v>
      </c>
      <c r="AS350" s="162">
        <v>0</v>
      </c>
      <c r="AT350" s="162">
        <v>0</v>
      </c>
      <c r="AU350" s="162">
        <v>0</v>
      </c>
      <c r="AV350" s="162">
        <v>0</v>
      </c>
      <c r="AW350" s="162">
        <v>0</v>
      </c>
      <c r="AX350" s="162">
        <v>0</v>
      </c>
      <c r="AY350" s="162">
        <v>0</v>
      </c>
      <c r="AZ350" s="162">
        <v>0</v>
      </c>
      <c r="BA350" s="162"/>
      <c r="BB350" s="162"/>
      <c r="BC350" s="162">
        <v>0</v>
      </c>
      <c r="BD350" s="162">
        <v>0</v>
      </c>
      <c r="BE350" s="162">
        <v>0</v>
      </c>
      <c r="BF350" s="162">
        <v>0</v>
      </c>
      <c r="BG350" s="162">
        <v>0</v>
      </c>
      <c r="BH350" s="162">
        <v>0</v>
      </c>
      <c r="BI350" s="162">
        <v>0</v>
      </c>
      <c r="BJ350" s="162">
        <v>0</v>
      </c>
      <c r="BK350" s="162">
        <v>0</v>
      </c>
      <c r="BL350" s="162">
        <v>0</v>
      </c>
      <c r="BM350" s="162">
        <v>0</v>
      </c>
      <c r="BN350" s="162">
        <v>0</v>
      </c>
      <c r="BO350" s="162"/>
      <c r="BP350" s="162"/>
      <c r="BQ350" s="162">
        <v>0</v>
      </c>
      <c r="BR350" s="162">
        <v>0</v>
      </c>
      <c r="BS350" s="162">
        <v>0</v>
      </c>
      <c r="BT350" s="162">
        <v>0</v>
      </c>
      <c r="BU350" s="162">
        <v>0</v>
      </c>
      <c r="BV350" s="162">
        <v>0</v>
      </c>
      <c r="BW350" s="162"/>
      <c r="BX350" s="162"/>
      <c r="BY350" s="162">
        <v>0</v>
      </c>
      <c r="BZ350" s="162">
        <v>0</v>
      </c>
      <c r="CA350" s="162">
        <v>0</v>
      </c>
      <c r="CB350" s="162">
        <v>0</v>
      </c>
      <c r="CC350" s="162">
        <v>0</v>
      </c>
      <c r="CD350" s="162">
        <v>0</v>
      </c>
      <c r="CE350" s="162">
        <f>VLOOKUP(I350,[120]REV33!$A:$O,11,0)</f>
        <v>0</v>
      </c>
      <c r="CF350" s="162">
        <f>VLOOKUP(I350,[120]REV33!$A:$O,12,0)</f>
        <v>0</v>
      </c>
      <c r="CG350" s="162"/>
      <c r="CH350" s="162"/>
      <c r="CI350" s="162"/>
      <c r="CJ350" s="162"/>
      <c r="CK350" s="162"/>
      <c r="CL350" s="162"/>
      <c r="CM350" s="162"/>
      <c r="CN350" s="162"/>
      <c r="CO350" s="162">
        <v>0</v>
      </c>
      <c r="CP350" s="162">
        <v>0</v>
      </c>
      <c r="CQ350" s="162">
        <v>0</v>
      </c>
      <c r="CR350" s="162">
        <v>0</v>
      </c>
      <c r="CS350" s="209">
        <f>Q350+S350+U350+W350+Y350+AA350+AC350+AE350+AG350+AI350+AK350+AM350+AO350+AQ350+AS350+AU350+AW350+AY350+BA350+BC350+BE350+BG350+BI350+BK350+BM350+BO350+BQ350+BS350+BU350+BW350+BY350+CA350+CC350+CE350+CG350+CI350+CK350+CM350+CO350+CQ350</f>
        <v>90</v>
      </c>
      <c r="CT350" s="209">
        <f>R350+T350+V350+X350+Z350+AB350+AD350+AF350+AH350+AJ350+AL350+AN350+AP350+AR350+AT350+AV350+AX350+AZ350+BB350+BD350+BF350+BH350+BJ350+BL350+BN350+BP350+BR350+BT350+BV350+BX350+BZ350+CB350+CD350+CF350+CH350+CJ350+CL350+CN350+CP350+CR350</f>
        <v>0</v>
      </c>
      <c r="CU350" s="206" t="s">
        <v>1000</v>
      </c>
      <c r="CV350" s="156"/>
      <c r="CZ350" s="157"/>
      <c r="DA350" s="152">
        <f t="shared" si="327"/>
        <v>90</v>
      </c>
      <c r="DB350" s="152" t="str">
        <f t="shared" si="328"/>
        <v>0</v>
      </c>
      <c r="DC350" s="153"/>
      <c r="DD350" s="158" t="s">
        <v>2212</v>
      </c>
      <c r="DE350" s="156" t="s">
        <v>435</v>
      </c>
      <c r="DF350" s="174" t="s">
        <v>1217</v>
      </c>
      <c r="DG350" s="432" t="s">
        <v>1218</v>
      </c>
      <c r="DH350" s="240" t="s">
        <v>477</v>
      </c>
      <c r="DI350" s="187">
        <v>45940</v>
      </c>
      <c r="DJ350" s="429">
        <v>90</v>
      </c>
      <c r="DK350" s="240" t="s">
        <v>477</v>
      </c>
      <c r="DL350" s="189">
        <v>85000</v>
      </c>
      <c r="DM350" s="181">
        <f t="shared" si="338"/>
        <v>8415000</v>
      </c>
      <c r="DN350" s="446">
        <f t="shared" si="339"/>
        <v>0.1</v>
      </c>
      <c r="DO350" s="160">
        <f t="shared" si="340"/>
        <v>7650000</v>
      </c>
      <c r="DP350" s="159">
        <v>45954</v>
      </c>
      <c r="DQ350" s="152">
        <f>SUMIF($I:$I,I350,$DJ:$DJ)</f>
        <v>90</v>
      </c>
      <c r="DR350" s="152">
        <f>SUMIF($I:$I,I350,$DK:$DK)</f>
        <v>0</v>
      </c>
      <c r="EO350" s="152">
        <f>SUMIF($I:$I,I350,$EC:$EC)</f>
        <v>0</v>
      </c>
      <c r="EP350" s="151">
        <f>SUMIF($I:$I,I350,$ED:$ED)</f>
        <v>0</v>
      </c>
      <c r="EQ350" s="153"/>
      <c r="ER350" s="153"/>
      <c r="ES350" s="153"/>
      <c r="ET350" s="153"/>
      <c r="EU350" s="152">
        <f t="shared" si="332"/>
        <v>90</v>
      </c>
      <c r="EV350" s="152">
        <f t="shared" si="333"/>
        <v>0</v>
      </c>
      <c r="EW350" s="152">
        <f t="shared" si="334"/>
        <v>0</v>
      </c>
      <c r="EX350" s="152">
        <f t="shared" si="335"/>
        <v>0</v>
      </c>
      <c r="EY350" s="151" t="str">
        <f t="shared" si="336"/>
        <v>Đủ</v>
      </c>
    </row>
    <row r="351" spans="1:155" s="155" customFormat="1" ht="14" hidden="1" customHeight="1">
      <c r="A351" s="208" t="str">
        <f t="shared" si="337"/>
        <v>Hiện</v>
      </c>
      <c r="B351" s="151" t="str">
        <f t="shared" si="326"/>
        <v>Đủ</v>
      </c>
      <c r="C351" s="409">
        <f t="shared" si="236"/>
        <v>0</v>
      </c>
      <c r="D351" s="154" t="s">
        <v>435</v>
      </c>
      <c r="E351" s="154">
        <f>C351*DL351*1.1</f>
        <v>0</v>
      </c>
      <c r="F351" s="154"/>
      <c r="G351" s="151"/>
      <c r="H351" s="364"/>
      <c r="I351" s="163" t="s">
        <v>824</v>
      </c>
      <c r="J351" s="164" t="s">
        <v>751</v>
      </c>
      <c r="K351" s="171" t="s">
        <v>825</v>
      </c>
      <c r="L351" s="171" t="s">
        <v>753</v>
      </c>
      <c r="M351" s="163" t="s">
        <v>345</v>
      </c>
      <c r="N351" s="173">
        <v>0</v>
      </c>
      <c r="O351" s="419">
        <v>288</v>
      </c>
      <c r="P351" s="205"/>
      <c r="S351" s="161"/>
      <c r="T351" s="162"/>
      <c r="U351" s="162"/>
      <c r="V351" s="162"/>
      <c r="W351" s="162"/>
      <c r="X351" s="162"/>
      <c r="Y351" s="162"/>
      <c r="Z351" s="162"/>
      <c r="AA351" s="162"/>
      <c r="AB351" s="162"/>
      <c r="AC351" s="162"/>
      <c r="AD351" s="162"/>
      <c r="AE351" s="162"/>
      <c r="AF351" s="162"/>
      <c r="AG351" s="162"/>
      <c r="AH351" s="162"/>
      <c r="AI351" s="162"/>
      <c r="AJ351" s="162"/>
      <c r="AK351" s="162">
        <v>306</v>
      </c>
      <c r="AL351" s="162">
        <v>0</v>
      </c>
      <c r="AM351" s="162"/>
      <c r="AN351" s="162"/>
      <c r="AO351" s="162">
        <v>0</v>
      </c>
      <c r="AP351" s="162">
        <v>0</v>
      </c>
      <c r="AQ351" s="162">
        <v>0</v>
      </c>
      <c r="AR351" s="162">
        <v>0</v>
      </c>
      <c r="AS351" s="162">
        <v>0</v>
      </c>
      <c r="AT351" s="162">
        <v>0</v>
      </c>
      <c r="AU351" s="162">
        <v>0</v>
      </c>
      <c r="AV351" s="162">
        <v>0</v>
      </c>
      <c r="AW351" s="162">
        <v>0</v>
      </c>
      <c r="AX351" s="162">
        <v>0</v>
      </c>
      <c r="AY351" s="162">
        <v>0</v>
      </c>
      <c r="AZ351" s="162">
        <v>0</v>
      </c>
      <c r="BA351" s="162"/>
      <c r="BB351" s="162"/>
      <c r="BC351" s="162">
        <v>0</v>
      </c>
      <c r="BD351" s="162">
        <v>0</v>
      </c>
      <c r="BE351" s="162">
        <v>0</v>
      </c>
      <c r="BF351" s="162">
        <v>0</v>
      </c>
      <c r="BG351" s="162">
        <v>0</v>
      </c>
      <c r="BH351" s="162">
        <v>0</v>
      </c>
      <c r="BI351" s="162">
        <v>0</v>
      </c>
      <c r="BJ351" s="162">
        <v>0</v>
      </c>
      <c r="BK351" s="162">
        <v>0</v>
      </c>
      <c r="BL351" s="162">
        <v>0</v>
      </c>
      <c r="BM351" s="162">
        <v>0</v>
      </c>
      <c r="BN351" s="162">
        <v>0</v>
      </c>
      <c r="BO351" s="162"/>
      <c r="BP351" s="162"/>
      <c r="BQ351" s="162">
        <v>0</v>
      </c>
      <c r="BR351" s="162">
        <v>0</v>
      </c>
      <c r="BS351" s="162">
        <v>0</v>
      </c>
      <c r="BT351" s="162">
        <v>0</v>
      </c>
      <c r="BU351" s="162">
        <v>0</v>
      </c>
      <c r="BV351" s="162">
        <v>0</v>
      </c>
      <c r="BW351" s="162"/>
      <c r="BX351" s="162"/>
      <c r="BY351" s="162">
        <v>0</v>
      </c>
      <c r="BZ351" s="162">
        <v>0</v>
      </c>
      <c r="CA351" s="162">
        <v>0</v>
      </c>
      <c r="CB351" s="162">
        <v>0</v>
      </c>
      <c r="CC351" s="162">
        <v>0</v>
      </c>
      <c r="CD351" s="162">
        <v>0</v>
      </c>
      <c r="CE351" s="162">
        <f>VLOOKUP(I351,[120]REV33!$A:$O,11,0)</f>
        <v>0</v>
      </c>
      <c r="CF351" s="162">
        <f>VLOOKUP(I351,[120]REV33!$A:$O,12,0)</f>
        <v>0</v>
      </c>
      <c r="CG351" s="162"/>
      <c r="CH351" s="162"/>
      <c r="CI351" s="162"/>
      <c r="CJ351" s="162"/>
      <c r="CK351" s="162"/>
      <c r="CL351" s="162"/>
      <c r="CM351" s="162"/>
      <c r="CN351" s="162"/>
      <c r="CO351" s="162">
        <v>0</v>
      </c>
      <c r="CP351" s="162">
        <v>0</v>
      </c>
      <c r="CQ351" s="162">
        <v>0</v>
      </c>
      <c r="CR351" s="162">
        <v>0</v>
      </c>
      <c r="CS351" s="209">
        <f>Q351+S351+U351+W351+Y351+AA351+AC351+AE351+AG351+AI351+AK351+AM351+AO351+AQ351+AS351+AU351+AW351+AY351+BA351+BC351+BE351+BG351+BI351+BK351+BM351+BO351+BQ351+BS351+BU351+BW351+BY351+CA351+CC351+CE351+CG351+CI351+CK351+CM351+CO351+CQ351</f>
        <v>306</v>
      </c>
      <c r="CT351" s="209">
        <f>R351+T351+V351+X351+Z351+AB351+AD351+AF351+AH351+AJ351+AL351+AN351+AP351+AR351+AT351+AV351+AX351+AZ351+BB351+BD351+BF351+BH351+BJ351+BL351+BN351+BP351+BR351+BT351+BV351+BX351+BZ351+CB351+CD351+CF351+CH351+CJ351+CL351+CN351+CP351+CR351</f>
        <v>0</v>
      </c>
      <c r="CU351" s="206" t="s">
        <v>1000</v>
      </c>
      <c r="CV351" s="156"/>
      <c r="CZ351" s="157"/>
      <c r="DA351" s="152">
        <f t="shared" si="327"/>
        <v>306</v>
      </c>
      <c r="DB351" s="152" t="str">
        <f t="shared" si="328"/>
        <v>0</v>
      </c>
      <c r="DC351" s="153"/>
      <c r="DD351" s="158" t="s">
        <v>2212</v>
      </c>
      <c r="DE351" s="156" t="s">
        <v>435</v>
      </c>
      <c r="DF351" s="174" t="s">
        <v>1219</v>
      </c>
      <c r="DG351" s="175" t="s">
        <v>1198</v>
      </c>
      <c r="DH351" s="240" t="s">
        <v>477</v>
      </c>
      <c r="DI351" s="187">
        <v>45940</v>
      </c>
      <c r="DJ351" s="429">
        <v>306</v>
      </c>
      <c r="DK351" s="240" t="s">
        <v>477</v>
      </c>
      <c r="DL351" s="189">
        <v>97500</v>
      </c>
      <c r="DM351" s="181">
        <f t="shared" si="338"/>
        <v>32818500.000000004</v>
      </c>
      <c r="DN351" s="446">
        <f t="shared" si="339"/>
        <v>0.10000000000000013</v>
      </c>
      <c r="DO351" s="160">
        <f t="shared" si="340"/>
        <v>29835000</v>
      </c>
      <c r="DP351" s="159">
        <v>45954</v>
      </c>
      <c r="DQ351" s="152">
        <f>SUMIF($I:$I,I351,$DJ:$DJ)</f>
        <v>306</v>
      </c>
      <c r="DR351" s="152">
        <f>SUMIF($I:$I,I351,$DK:$DK)</f>
        <v>0</v>
      </c>
      <c r="EO351" s="152">
        <f>SUMIF($I:$I,I351,$EC:$EC)</f>
        <v>0</v>
      </c>
      <c r="EP351" s="151">
        <f>SUMIF($I:$I,I351,$ED:$ED)</f>
        <v>0</v>
      </c>
      <c r="EQ351" s="153"/>
      <c r="ER351" s="153"/>
      <c r="ES351" s="153"/>
      <c r="ET351" s="153"/>
      <c r="EU351" s="152">
        <f t="shared" si="332"/>
        <v>306</v>
      </c>
      <c r="EV351" s="152">
        <f t="shared" si="333"/>
        <v>0</v>
      </c>
      <c r="EW351" s="152">
        <f t="shared" si="334"/>
        <v>0</v>
      </c>
      <c r="EX351" s="152">
        <f t="shared" si="335"/>
        <v>0</v>
      </c>
      <c r="EY351" s="151" t="str">
        <f t="shared" si="336"/>
        <v>Đủ</v>
      </c>
    </row>
    <row r="352" spans="1:155" s="155" customFormat="1" ht="14" hidden="1" customHeight="1">
      <c r="A352" s="208" t="str">
        <f t="shared" si="337"/>
        <v>Hiện</v>
      </c>
      <c r="B352" s="151" t="str">
        <f t="shared" si="326"/>
        <v>Đủ</v>
      </c>
      <c r="C352" s="409">
        <f t="shared" si="236"/>
        <v>0</v>
      </c>
      <c r="D352" s="154" t="s">
        <v>435</v>
      </c>
      <c r="E352" s="154">
        <f>C352*DL352*1.1</f>
        <v>0</v>
      </c>
      <c r="F352" s="154"/>
      <c r="G352" s="151"/>
      <c r="H352" s="364"/>
      <c r="I352" s="163" t="s">
        <v>826</v>
      </c>
      <c r="J352" s="164" t="s">
        <v>751</v>
      </c>
      <c r="K352" s="171" t="s">
        <v>827</v>
      </c>
      <c r="L352" s="171" t="s">
        <v>753</v>
      </c>
      <c r="M352" s="163" t="s">
        <v>345</v>
      </c>
      <c r="N352" s="173">
        <v>0</v>
      </c>
      <c r="O352" s="419">
        <v>352</v>
      </c>
      <c r="P352" s="205"/>
      <c r="S352" s="161"/>
      <c r="T352" s="162"/>
      <c r="U352" s="162"/>
      <c r="V352" s="162"/>
      <c r="W352" s="162"/>
      <c r="X352" s="162"/>
      <c r="Y352" s="162"/>
      <c r="Z352" s="162"/>
      <c r="AA352" s="162"/>
      <c r="AB352" s="162"/>
      <c r="AC352" s="162"/>
      <c r="AD352" s="162"/>
      <c r="AE352" s="162"/>
      <c r="AF352" s="162"/>
      <c r="AG352" s="162"/>
      <c r="AH352" s="162"/>
      <c r="AI352" s="162"/>
      <c r="AJ352" s="162"/>
      <c r="AK352" s="162">
        <v>374</v>
      </c>
      <c r="AL352" s="162">
        <v>0</v>
      </c>
      <c r="AM352" s="162"/>
      <c r="AN352" s="162"/>
      <c r="AO352" s="162">
        <v>0</v>
      </c>
      <c r="AP352" s="162">
        <v>0</v>
      </c>
      <c r="AQ352" s="162">
        <v>0</v>
      </c>
      <c r="AR352" s="162">
        <v>0</v>
      </c>
      <c r="AS352" s="162">
        <v>0</v>
      </c>
      <c r="AT352" s="162">
        <v>0</v>
      </c>
      <c r="AU352" s="162">
        <v>0</v>
      </c>
      <c r="AV352" s="162">
        <v>0</v>
      </c>
      <c r="AW352" s="162">
        <v>0</v>
      </c>
      <c r="AX352" s="162">
        <v>0</v>
      </c>
      <c r="AY352" s="162">
        <v>0</v>
      </c>
      <c r="AZ352" s="162">
        <v>0</v>
      </c>
      <c r="BA352" s="162"/>
      <c r="BB352" s="162"/>
      <c r="BC352" s="162">
        <v>0</v>
      </c>
      <c r="BD352" s="162">
        <v>0</v>
      </c>
      <c r="BE352" s="162">
        <v>0</v>
      </c>
      <c r="BF352" s="162">
        <v>0</v>
      </c>
      <c r="BG352" s="162">
        <v>0</v>
      </c>
      <c r="BH352" s="162">
        <v>0</v>
      </c>
      <c r="BI352" s="162">
        <v>0</v>
      </c>
      <c r="BJ352" s="162">
        <v>0</v>
      </c>
      <c r="BK352" s="162">
        <v>0</v>
      </c>
      <c r="BL352" s="162">
        <v>0</v>
      </c>
      <c r="BM352" s="162">
        <v>0</v>
      </c>
      <c r="BN352" s="162">
        <v>0</v>
      </c>
      <c r="BO352" s="162"/>
      <c r="BP352" s="162"/>
      <c r="BQ352" s="162">
        <v>0</v>
      </c>
      <c r="BR352" s="162">
        <v>0</v>
      </c>
      <c r="BS352" s="162">
        <v>0</v>
      </c>
      <c r="BT352" s="162">
        <v>0</v>
      </c>
      <c r="BU352" s="162">
        <v>0</v>
      </c>
      <c r="BV352" s="162">
        <v>0</v>
      </c>
      <c r="BW352" s="162"/>
      <c r="BX352" s="162"/>
      <c r="BY352" s="162">
        <v>0</v>
      </c>
      <c r="BZ352" s="162">
        <v>0</v>
      </c>
      <c r="CA352" s="162">
        <v>0</v>
      </c>
      <c r="CB352" s="162">
        <v>0</v>
      </c>
      <c r="CC352" s="162">
        <v>0</v>
      </c>
      <c r="CD352" s="162">
        <v>0</v>
      </c>
      <c r="CE352" s="162">
        <f>VLOOKUP(I352,[120]REV33!$A:$O,11,0)</f>
        <v>0</v>
      </c>
      <c r="CF352" s="162">
        <f>VLOOKUP(I352,[120]REV33!$A:$O,12,0)</f>
        <v>0</v>
      </c>
      <c r="CG352" s="162"/>
      <c r="CH352" s="162"/>
      <c r="CI352" s="162"/>
      <c r="CJ352" s="162"/>
      <c r="CK352" s="162"/>
      <c r="CL352" s="162"/>
      <c r="CM352" s="162"/>
      <c r="CN352" s="162"/>
      <c r="CO352" s="162">
        <v>0</v>
      </c>
      <c r="CP352" s="162">
        <v>0</v>
      </c>
      <c r="CQ352" s="162">
        <v>0</v>
      </c>
      <c r="CR352" s="162">
        <v>0</v>
      </c>
      <c r="CS352" s="209">
        <f>Q352+S352+U352+W352+Y352+AA352+AC352+AE352+AG352+AI352+AK352+AM352+AO352+AQ352+AS352+AU352+AW352+AY352+BA352+BC352+BE352+BG352+BI352+BK352+BM352+BO352+BQ352+BS352+BU352+BW352+BY352+CA352+CC352+CE352+CG352+CI352+CK352+CM352+CO352+CQ352</f>
        <v>374</v>
      </c>
      <c r="CT352" s="209">
        <f>R352+T352+V352+X352+Z352+AB352+AD352+AF352+AH352+AJ352+AL352+AN352+AP352+AR352+AT352+AV352+AX352+AZ352+BB352+BD352+BF352+BH352+BJ352+BL352+BN352+BP352+BR352+BT352+BV352+BX352+BZ352+CB352+CD352+CF352+CH352+CJ352+CL352+CN352+CP352+CR352</f>
        <v>0</v>
      </c>
      <c r="CU352" s="206" t="s">
        <v>1000</v>
      </c>
      <c r="CV352" s="156"/>
      <c r="CZ352" s="157"/>
      <c r="DA352" s="152">
        <f t="shared" si="327"/>
        <v>374</v>
      </c>
      <c r="DB352" s="152" t="str">
        <f t="shared" si="328"/>
        <v>0</v>
      </c>
      <c r="DC352" s="153"/>
      <c r="DD352" s="158" t="s">
        <v>2212</v>
      </c>
      <c r="DE352" s="156" t="s">
        <v>435</v>
      </c>
      <c r="DF352" s="174" t="s">
        <v>1220</v>
      </c>
      <c r="DG352" s="175" t="s">
        <v>1198</v>
      </c>
      <c r="DH352" s="240" t="s">
        <v>477</v>
      </c>
      <c r="DI352" s="187">
        <v>45940</v>
      </c>
      <c r="DJ352" s="429">
        <v>374</v>
      </c>
      <c r="DK352" s="240" t="s">
        <v>477</v>
      </c>
      <c r="DL352" s="189">
        <v>103000</v>
      </c>
      <c r="DM352" s="181">
        <f t="shared" si="338"/>
        <v>42374200</v>
      </c>
      <c r="DN352" s="446">
        <f t="shared" si="339"/>
        <v>0.1</v>
      </c>
      <c r="DO352" s="160">
        <f t="shared" si="340"/>
        <v>38522000</v>
      </c>
      <c r="DP352" s="159">
        <v>45954</v>
      </c>
      <c r="DQ352" s="152">
        <f>SUMIF($I:$I,I352,$DJ:$DJ)</f>
        <v>374</v>
      </c>
      <c r="DR352" s="152">
        <f>SUMIF($I:$I,I352,$DK:$DK)</f>
        <v>0</v>
      </c>
      <c r="EO352" s="152">
        <f>SUMIF($I:$I,I352,$EC:$EC)</f>
        <v>0</v>
      </c>
      <c r="EP352" s="151">
        <f>SUMIF($I:$I,I352,$ED:$ED)</f>
        <v>0</v>
      </c>
      <c r="EQ352" s="153"/>
      <c r="ER352" s="153"/>
      <c r="ES352" s="153"/>
      <c r="ET352" s="153"/>
      <c r="EU352" s="152">
        <f t="shared" si="332"/>
        <v>374</v>
      </c>
      <c r="EV352" s="152">
        <f t="shared" si="333"/>
        <v>0</v>
      </c>
      <c r="EW352" s="152">
        <f t="shared" si="334"/>
        <v>0</v>
      </c>
      <c r="EX352" s="152">
        <f t="shared" si="335"/>
        <v>0</v>
      </c>
      <c r="EY352" s="151" t="str">
        <f t="shared" si="336"/>
        <v>Đủ</v>
      </c>
    </row>
    <row r="353" spans="1:155" s="155" customFormat="1" ht="14" hidden="1" customHeight="1">
      <c r="A353" s="208" t="str">
        <f t="shared" si="337"/>
        <v>Hiện</v>
      </c>
      <c r="B353" s="151" t="str">
        <f t="shared" si="326"/>
        <v>Đủ</v>
      </c>
      <c r="C353" s="409">
        <f t="shared" si="236"/>
        <v>0</v>
      </c>
      <c r="D353" s="154" t="s">
        <v>435</v>
      </c>
      <c r="E353" s="154">
        <f>C353*DL353*1.1</f>
        <v>0</v>
      </c>
      <c r="F353" s="154"/>
      <c r="G353" s="151"/>
      <c r="H353" s="364"/>
      <c r="I353" s="163" t="s">
        <v>828</v>
      </c>
      <c r="J353" s="164" t="s">
        <v>751</v>
      </c>
      <c r="K353" s="171" t="s">
        <v>829</v>
      </c>
      <c r="L353" s="171" t="s">
        <v>753</v>
      </c>
      <c r="M353" s="163" t="s">
        <v>345</v>
      </c>
      <c r="N353" s="173">
        <v>0</v>
      </c>
      <c r="O353" s="419">
        <v>80</v>
      </c>
      <c r="P353" s="205"/>
      <c r="S353" s="161"/>
      <c r="T353" s="162"/>
      <c r="U353" s="162"/>
      <c r="V353" s="162"/>
      <c r="W353" s="162"/>
      <c r="X353" s="162"/>
      <c r="Y353" s="162"/>
      <c r="Z353" s="162"/>
      <c r="AA353" s="162"/>
      <c r="AB353" s="162"/>
      <c r="AC353" s="162"/>
      <c r="AD353" s="162"/>
      <c r="AE353" s="162"/>
      <c r="AF353" s="162"/>
      <c r="AG353" s="162"/>
      <c r="AH353" s="162"/>
      <c r="AI353" s="162"/>
      <c r="AJ353" s="162"/>
      <c r="AK353" s="162">
        <v>90</v>
      </c>
      <c r="AL353" s="162">
        <v>0</v>
      </c>
      <c r="AM353" s="162"/>
      <c r="AN353" s="162"/>
      <c r="AO353" s="162">
        <v>0</v>
      </c>
      <c r="AP353" s="162">
        <v>0</v>
      </c>
      <c r="AQ353" s="162">
        <v>0</v>
      </c>
      <c r="AR353" s="162">
        <v>0</v>
      </c>
      <c r="AS353" s="162">
        <v>0</v>
      </c>
      <c r="AT353" s="162">
        <v>0</v>
      </c>
      <c r="AU353" s="162">
        <v>0</v>
      </c>
      <c r="AV353" s="162">
        <v>0</v>
      </c>
      <c r="AW353" s="162">
        <v>0</v>
      </c>
      <c r="AX353" s="162">
        <v>0</v>
      </c>
      <c r="AY353" s="162">
        <v>0</v>
      </c>
      <c r="AZ353" s="162">
        <v>0</v>
      </c>
      <c r="BA353" s="162"/>
      <c r="BB353" s="162"/>
      <c r="BC353" s="162">
        <v>0</v>
      </c>
      <c r="BD353" s="162">
        <v>0</v>
      </c>
      <c r="BE353" s="162">
        <v>0</v>
      </c>
      <c r="BF353" s="162">
        <v>0</v>
      </c>
      <c r="BG353" s="162">
        <v>0</v>
      </c>
      <c r="BH353" s="162">
        <v>0</v>
      </c>
      <c r="BI353" s="162">
        <v>0</v>
      </c>
      <c r="BJ353" s="162">
        <v>0</v>
      </c>
      <c r="BK353" s="162">
        <v>0</v>
      </c>
      <c r="BL353" s="162">
        <v>0</v>
      </c>
      <c r="BM353" s="162">
        <v>0</v>
      </c>
      <c r="BN353" s="162">
        <v>0</v>
      </c>
      <c r="BO353" s="162"/>
      <c r="BP353" s="162"/>
      <c r="BQ353" s="162">
        <v>0</v>
      </c>
      <c r="BR353" s="162">
        <v>0</v>
      </c>
      <c r="BS353" s="162">
        <v>0</v>
      </c>
      <c r="BT353" s="162">
        <v>0</v>
      </c>
      <c r="BU353" s="162">
        <v>0</v>
      </c>
      <c r="BV353" s="162">
        <v>0</v>
      </c>
      <c r="BW353" s="162"/>
      <c r="BX353" s="162"/>
      <c r="BY353" s="162">
        <v>0</v>
      </c>
      <c r="BZ353" s="162">
        <v>0</v>
      </c>
      <c r="CA353" s="162">
        <v>0</v>
      </c>
      <c r="CB353" s="162">
        <v>0</v>
      </c>
      <c r="CC353" s="162">
        <v>0</v>
      </c>
      <c r="CD353" s="162">
        <v>0</v>
      </c>
      <c r="CE353" s="162">
        <f>VLOOKUP(I353,[120]REV33!$A:$O,11,0)</f>
        <v>0</v>
      </c>
      <c r="CF353" s="162">
        <f>VLOOKUP(I353,[120]REV33!$A:$O,12,0)</f>
        <v>0</v>
      </c>
      <c r="CG353" s="162"/>
      <c r="CH353" s="162"/>
      <c r="CI353" s="162"/>
      <c r="CJ353" s="162"/>
      <c r="CK353" s="162"/>
      <c r="CL353" s="162"/>
      <c r="CM353" s="162"/>
      <c r="CN353" s="162"/>
      <c r="CO353" s="162">
        <v>0</v>
      </c>
      <c r="CP353" s="162">
        <v>0</v>
      </c>
      <c r="CQ353" s="162">
        <v>0</v>
      </c>
      <c r="CR353" s="162">
        <v>0</v>
      </c>
      <c r="CS353" s="209">
        <f>Q353+S353+U353+W353+Y353+AA353+AC353+AE353+AG353+AI353+AK353+AM353+AO353+AQ353+AS353+AU353+AW353+AY353+BA353+BC353+BE353+BG353+BI353+BK353+BM353+BO353+BQ353+BS353+BU353+BW353+BY353+CA353+CC353+CE353+CG353+CI353+CK353+CM353+CO353+CQ353</f>
        <v>90</v>
      </c>
      <c r="CT353" s="209">
        <f>R353+T353+V353+X353+Z353+AB353+AD353+AF353+AH353+AJ353+AL353+AN353+AP353+AR353+AT353+AV353+AX353+AZ353+BB353+BD353+BF353+BH353+BJ353+BL353+BN353+BP353+BR353+BT353+BV353+BX353+BZ353+CB353+CD353+CF353+CH353+CJ353+CL353+CN353+CP353+CR353</f>
        <v>0</v>
      </c>
      <c r="CU353" s="206" t="s">
        <v>1000</v>
      </c>
      <c r="CV353" s="156"/>
      <c r="CZ353" s="157"/>
      <c r="DA353" s="152">
        <f t="shared" si="327"/>
        <v>90</v>
      </c>
      <c r="DB353" s="152" t="str">
        <f t="shared" si="328"/>
        <v>0</v>
      </c>
      <c r="DC353" s="153"/>
      <c r="DD353" s="158" t="s">
        <v>2212</v>
      </c>
      <c r="DE353" s="156" t="s">
        <v>435</v>
      </c>
      <c r="DF353" s="174" t="s">
        <v>1221</v>
      </c>
      <c r="DG353" s="175" t="s">
        <v>1184</v>
      </c>
      <c r="DH353" s="240" t="s">
        <v>477</v>
      </c>
      <c r="DI353" s="187">
        <v>45940</v>
      </c>
      <c r="DJ353" s="429">
        <v>90</v>
      </c>
      <c r="DK353" s="240" t="s">
        <v>477</v>
      </c>
      <c r="DL353" s="189">
        <v>63700</v>
      </c>
      <c r="DM353" s="181">
        <f t="shared" si="338"/>
        <v>6306300.0000000009</v>
      </c>
      <c r="DN353" s="446">
        <f t="shared" si="339"/>
        <v>0.10000000000000016</v>
      </c>
      <c r="DO353" s="160">
        <f t="shared" si="340"/>
        <v>5733000</v>
      </c>
      <c r="DP353" s="159">
        <v>45954</v>
      </c>
      <c r="DQ353" s="152">
        <f>SUMIF($I:$I,I353,$DJ:$DJ)</f>
        <v>90</v>
      </c>
      <c r="DR353" s="152">
        <f>SUMIF($I:$I,I353,$DK:$DK)</f>
        <v>0</v>
      </c>
      <c r="EO353" s="152">
        <f>SUMIF($I:$I,I353,$EC:$EC)</f>
        <v>0</v>
      </c>
      <c r="EP353" s="151">
        <f>SUMIF($I:$I,I353,$ED:$ED)</f>
        <v>0</v>
      </c>
      <c r="EQ353" s="153"/>
      <c r="ER353" s="153"/>
      <c r="ES353" s="153"/>
      <c r="ET353" s="153"/>
      <c r="EU353" s="152">
        <f t="shared" si="332"/>
        <v>90</v>
      </c>
      <c r="EV353" s="152">
        <f t="shared" si="333"/>
        <v>0</v>
      </c>
      <c r="EW353" s="152">
        <f t="shared" si="334"/>
        <v>0</v>
      </c>
      <c r="EX353" s="152">
        <f t="shared" si="335"/>
        <v>0</v>
      </c>
      <c r="EY353" s="151" t="str">
        <f t="shared" si="336"/>
        <v>Đủ</v>
      </c>
    </row>
    <row r="354" spans="1:155" s="155" customFormat="1" ht="14" hidden="1" customHeight="1">
      <c r="A354" s="208" t="str">
        <f t="shared" si="337"/>
        <v>Hiện</v>
      </c>
      <c r="B354" s="151" t="str">
        <f t="shared" si="326"/>
        <v>Đủ</v>
      </c>
      <c r="C354" s="409">
        <f t="shared" si="236"/>
        <v>0</v>
      </c>
      <c r="D354" s="154" t="s">
        <v>435</v>
      </c>
      <c r="E354" s="154">
        <f>C354*DL354*1.1</f>
        <v>0</v>
      </c>
      <c r="F354" s="154"/>
      <c r="G354" s="151"/>
      <c r="H354" s="364"/>
      <c r="I354" s="163" t="s">
        <v>830</v>
      </c>
      <c r="J354" s="164" t="s">
        <v>751</v>
      </c>
      <c r="K354" s="171" t="s">
        <v>831</v>
      </c>
      <c r="L354" s="171" t="s">
        <v>753</v>
      </c>
      <c r="M354" s="163" t="s">
        <v>345</v>
      </c>
      <c r="N354" s="173">
        <v>0</v>
      </c>
      <c r="O354" s="419">
        <v>80</v>
      </c>
      <c r="P354" s="205"/>
      <c r="S354" s="161"/>
      <c r="T354" s="162"/>
      <c r="U354" s="162"/>
      <c r="V354" s="162"/>
      <c r="W354" s="162"/>
      <c r="X354" s="162"/>
      <c r="Y354" s="162"/>
      <c r="Z354" s="162"/>
      <c r="AA354" s="162"/>
      <c r="AB354" s="162"/>
      <c r="AC354" s="162"/>
      <c r="AD354" s="162"/>
      <c r="AE354" s="162"/>
      <c r="AF354" s="162"/>
      <c r="AG354" s="162"/>
      <c r="AH354" s="162"/>
      <c r="AI354" s="162"/>
      <c r="AJ354" s="162"/>
      <c r="AK354" s="162">
        <v>100</v>
      </c>
      <c r="AL354" s="162">
        <v>0</v>
      </c>
      <c r="AM354" s="162"/>
      <c r="AN354" s="162"/>
      <c r="AO354" s="162">
        <v>0</v>
      </c>
      <c r="AP354" s="162">
        <v>0</v>
      </c>
      <c r="AQ354" s="162">
        <v>0</v>
      </c>
      <c r="AR354" s="162">
        <v>0</v>
      </c>
      <c r="AS354" s="162">
        <v>0</v>
      </c>
      <c r="AT354" s="162">
        <v>0</v>
      </c>
      <c r="AU354" s="162">
        <v>0</v>
      </c>
      <c r="AV354" s="162">
        <v>0</v>
      </c>
      <c r="AW354" s="162">
        <v>0</v>
      </c>
      <c r="AX354" s="162">
        <v>0</v>
      </c>
      <c r="AY354" s="162">
        <v>0</v>
      </c>
      <c r="AZ354" s="162">
        <v>0</v>
      </c>
      <c r="BA354" s="162"/>
      <c r="BB354" s="162"/>
      <c r="BC354" s="162">
        <v>0</v>
      </c>
      <c r="BD354" s="162">
        <v>0</v>
      </c>
      <c r="BE354" s="162">
        <v>0</v>
      </c>
      <c r="BF354" s="162">
        <v>0</v>
      </c>
      <c r="BG354" s="162">
        <v>0</v>
      </c>
      <c r="BH354" s="162">
        <v>0</v>
      </c>
      <c r="BI354" s="162">
        <v>0</v>
      </c>
      <c r="BJ354" s="162">
        <v>0</v>
      </c>
      <c r="BK354" s="162">
        <v>0</v>
      </c>
      <c r="BL354" s="162">
        <v>0</v>
      </c>
      <c r="BM354" s="162">
        <v>0</v>
      </c>
      <c r="BN354" s="162">
        <v>0</v>
      </c>
      <c r="BO354" s="162"/>
      <c r="BP354" s="162"/>
      <c r="BQ354" s="162">
        <v>0</v>
      </c>
      <c r="BR354" s="162">
        <v>0</v>
      </c>
      <c r="BS354" s="162">
        <v>0</v>
      </c>
      <c r="BT354" s="162">
        <v>0</v>
      </c>
      <c r="BU354" s="162">
        <v>0</v>
      </c>
      <c r="BV354" s="162">
        <v>0</v>
      </c>
      <c r="BW354" s="162"/>
      <c r="BX354" s="162"/>
      <c r="BY354" s="162">
        <v>0</v>
      </c>
      <c r="BZ354" s="162">
        <v>0</v>
      </c>
      <c r="CA354" s="162">
        <v>0</v>
      </c>
      <c r="CB354" s="162">
        <v>0</v>
      </c>
      <c r="CC354" s="162">
        <v>0</v>
      </c>
      <c r="CD354" s="162">
        <v>0</v>
      </c>
      <c r="CE354" s="162">
        <f>VLOOKUP(I354,[120]REV33!$A:$O,11,0)</f>
        <v>0</v>
      </c>
      <c r="CF354" s="162">
        <f>VLOOKUP(I354,[120]REV33!$A:$O,12,0)</f>
        <v>0</v>
      </c>
      <c r="CG354" s="162"/>
      <c r="CH354" s="162"/>
      <c r="CI354" s="162"/>
      <c r="CJ354" s="162"/>
      <c r="CK354" s="162"/>
      <c r="CL354" s="162"/>
      <c r="CM354" s="162"/>
      <c r="CN354" s="162"/>
      <c r="CO354" s="162">
        <v>0</v>
      </c>
      <c r="CP354" s="162">
        <v>0</v>
      </c>
      <c r="CQ354" s="162">
        <v>0</v>
      </c>
      <c r="CR354" s="162">
        <v>0</v>
      </c>
      <c r="CS354" s="209">
        <f>Q354+S354+U354+W354+Y354+AA354+AC354+AE354+AG354+AI354+AK354+AM354+AO354+AQ354+AS354+AU354+AW354+AY354+BA354+BC354+BE354+BG354+BI354+BK354+BM354+BO354+BQ354+BS354+BU354+BW354+BY354+CA354+CC354+CE354+CG354+CI354+CK354+CM354+CO354+CQ354</f>
        <v>100</v>
      </c>
      <c r="CT354" s="209">
        <f>R354+T354+V354+X354+Z354+AB354+AD354+AF354+AH354+AJ354+AL354+AN354+AP354+AR354+AT354+AV354+AX354+AZ354+BB354+BD354+BF354+BH354+BJ354+BL354+BN354+BP354+BR354+BT354+BV354+BX354+BZ354+CB354+CD354+CF354+CH354+CJ354+CL354+CN354+CP354+CR354</f>
        <v>0</v>
      </c>
      <c r="CU354" s="206" t="s">
        <v>1000</v>
      </c>
      <c r="CV354" s="156"/>
      <c r="CZ354" s="157"/>
      <c r="DA354" s="152">
        <f t="shared" si="327"/>
        <v>100</v>
      </c>
      <c r="DB354" s="152" t="str">
        <f t="shared" si="328"/>
        <v>0</v>
      </c>
      <c r="DC354" s="153"/>
      <c r="DD354" s="158" t="s">
        <v>2212</v>
      </c>
      <c r="DE354" s="156" t="s">
        <v>435</v>
      </c>
      <c r="DF354" s="174" t="s">
        <v>1222</v>
      </c>
      <c r="DG354" s="175" t="s">
        <v>1223</v>
      </c>
      <c r="DH354" s="240" t="s">
        <v>477</v>
      </c>
      <c r="DI354" s="187">
        <v>45940</v>
      </c>
      <c r="DJ354" s="429">
        <v>100</v>
      </c>
      <c r="DK354" s="240" t="s">
        <v>477</v>
      </c>
      <c r="DL354" s="189">
        <v>2000</v>
      </c>
      <c r="DM354" s="181">
        <f t="shared" si="338"/>
        <v>220000.00000000003</v>
      </c>
      <c r="DN354" s="446">
        <f t="shared" si="339"/>
        <v>0.10000000000000014</v>
      </c>
      <c r="DO354" s="160">
        <f t="shared" si="340"/>
        <v>200000</v>
      </c>
      <c r="DP354" s="159">
        <v>45954</v>
      </c>
      <c r="DQ354" s="152">
        <f>SUMIF($I:$I,I354,$DJ:$DJ)</f>
        <v>100</v>
      </c>
      <c r="DR354" s="152">
        <f>SUMIF($I:$I,I354,$DK:$DK)</f>
        <v>0</v>
      </c>
      <c r="EO354" s="152">
        <f>SUMIF($I:$I,I354,$EC:$EC)</f>
        <v>0</v>
      </c>
      <c r="EP354" s="151">
        <f>SUMIF($I:$I,I354,$ED:$ED)</f>
        <v>0</v>
      </c>
      <c r="EQ354" s="153"/>
      <c r="ER354" s="153"/>
      <c r="ES354" s="153"/>
      <c r="ET354" s="153"/>
      <c r="EU354" s="152">
        <f t="shared" si="332"/>
        <v>100</v>
      </c>
      <c r="EV354" s="152">
        <f t="shared" si="333"/>
        <v>0</v>
      </c>
      <c r="EW354" s="152">
        <f t="shared" si="334"/>
        <v>0</v>
      </c>
      <c r="EX354" s="152">
        <f t="shared" si="335"/>
        <v>0</v>
      </c>
      <c r="EY354" s="151" t="str">
        <f t="shared" si="336"/>
        <v>Đủ</v>
      </c>
    </row>
    <row r="355" spans="1:155" s="155" customFormat="1" ht="14" hidden="1" customHeight="1">
      <c r="A355" s="208" t="str">
        <f t="shared" si="337"/>
        <v>Hiện</v>
      </c>
      <c r="B355" s="151" t="str">
        <f t="shared" si="326"/>
        <v>Đủ</v>
      </c>
      <c r="C355" s="409">
        <f t="shared" si="236"/>
        <v>0</v>
      </c>
      <c r="D355" s="154" t="s">
        <v>435</v>
      </c>
      <c r="E355" s="154">
        <f>C355*DL355*1.1</f>
        <v>0</v>
      </c>
      <c r="F355" s="154"/>
      <c r="G355" s="151"/>
      <c r="H355" s="364"/>
      <c r="I355" s="163" t="s">
        <v>832</v>
      </c>
      <c r="J355" s="164" t="s">
        <v>751</v>
      </c>
      <c r="K355" s="171" t="s">
        <v>833</v>
      </c>
      <c r="L355" s="171" t="s">
        <v>753</v>
      </c>
      <c r="M355" s="163" t="s">
        <v>345</v>
      </c>
      <c r="N355" s="173">
        <v>0</v>
      </c>
      <c r="O355" s="419">
        <v>88</v>
      </c>
      <c r="P355" s="205"/>
      <c r="S355" s="161"/>
      <c r="T355" s="162"/>
      <c r="U355" s="162"/>
      <c r="V355" s="162"/>
      <c r="W355" s="162"/>
      <c r="X355" s="162"/>
      <c r="Y355" s="162"/>
      <c r="Z355" s="162"/>
      <c r="AA355" s="162"/>
      <c r="AB355" s="162"/>
      <c r="AC355" s="162"/>
      <c r="AD355" s="162"/>
      <c r="AE355" s="162"/>
      <c r="AF355" s="162"/>
      <c r="AG355" s="162"/>
      <c r="AH355" s="162"/>
      <c r="AI355" s="162"/>
      <c r="AJ355" s="162"/>
      <c r="AK355" s="162">
        <v>92</v>
      </c>
      <c r="AL355" s="162">
        <v>0</v>
      </c>
      <c r="AM355" s="162"/>
      <c r="AN355" s="162"/>
      <c r="AO355" s="162">
        <v>0</v>
      </c>
      <c r="AP355" s="162">
        <v>0</v>
      </c>
      <c r="AQ355" s="162">
        <v>0</v>
      </c>
      <c r="AR355" s="162">
        <v>0</v>
      </c>
      <c r="AS355" s="162">
        <v>0</v>
      </c>
      <c r="AT355" s="162">
        <v>0</v>
      </c>
      <c r="AU355" s="162">
        <v>0</v>
      </c>
      <c r="AV355" s="162">
        <v>0</v>
      </c>
      <c r="AW355" s="162">
        <v>0</v>
      </c>
      <c r="AX355" s="162">
        <v>0</v>
      </c>
      <c r="AY355" s="162">
        <v>0</v>
      </c>
      <c r="AZ355" s="162">
        <v>0</v>
      </c>
      <c r="BA355" s="162"/>
      <c r="BB355" s="162"/>
      <c r="BC355" s="162">
        <v>0</v>
      </c>
      <c r="BD355" s="162">
        <v>0</v>
      </c>
      <c r="BE355" s="162">
        <v>0</v>
      </c>
      <c r="BF355" s="162">
        <v>0</v>
      </c>
      <c r="BG355" s="162">
        <v>0</v>
      </c>
      <c r="BH355" s="162">
        <v>0</v>
      </c>
      <c r="BI355" s="162">
        <v>0</v>
      </c>
      <c r="BJ355" s="162">
        <v>0</v>
      </c>
      <c r="BK355" s="162">
        <v>0</v>
      </c>
      <c r="BL355" s="162">
        <v>0</v>
      </c>
      <c r="BM355" s="162">
        <v>0</v>
      </c>
      <c r="BN355" s="162">
        <v>0</v>
      </c>
      <c r="BO355" s="162"/>
      <c r="BP355" s="162"/>
      <c r="BQ355" s="162">
        <v>0</v>
      </c>
      <c r="BR355" s="162">
        <v>0</v>
      </c>
      <c r="BS355" s="162">
        <v>0</v>
      </c>
      <c r="BT355" s="162">
        <v>0</v>
      </c>
      <c r="BU355" s="162">
        <v>0</v>
      </c>
      <c r="BV355" s="162">
        <v>0</v>
      </c>
      <c r="BW355" s="162"/>
      <c r="BX355" s="162"/>
      <c r="BY355" s="162">
        <v>0</v>
      </c>
      <c r="BZ355" s="162">
        <v>0</v>
      </c>
      <c r="CA355" s="162">
        <v>0</v>
      </c>
      <c r="CB355" s="162">
        <v>0</v>
      </c>
      <c r="CC355" s="162">
        <v>0</v>
      </c>
      <c r="CD355" s="162">
        <v>0</v>
      </c>
      <c r="CE355" s="162">
        <f>VLOOKUP(I355,[120]REV33!$A:$O,11,0)</f>
        <v>0</v>
      </c>
      <c r="CF355" s="162">
        <f>VLOOKUP(I355,[120]REV33!$A:$O,12,0)</f>
        <v>0</v>
      </c>
      <c r="CG355" s="162"/>
      <c r="CH355" s="162"/>
      <c r="CI355" s="162"/>
      <c r="CJ355" s="162"/>
      <c r="CK355" s="162"/>
      <c r="CL355" s="162"/>
      <c r="CM355" s="162"/>
      <c r="CN355" s="162"/>
      <c r="CO355" s="162">
        <v>0</v>
      </c>
      <c r="CP355" s="162">
        <v>0</v>
      </c>
      <c r="CQ355" s="162">
        <v>0</v>
      </c>
      <c r="CR355" s="162">
        <v>0</v>
      </c>
      <c r="CS355" s="209">
        <f>Q355+S355+U355+W355+Y355+AA355+AC355+AE355+AG355+AI355+AK355+AM355+AO355+AQ355+AS355+AU355+AW355+AY355+BA355+BC355+BE355+BG355+BI355+BK355+BM355+BO355+BQ355+BS355+BU355+BW355+BY355+CA355+CC355+CE355+CG355+CI355+CK355+CM355+CO355+CQ355</f>
        <v>92</v>
      </c>
      <c r="CT355" s="209">
        <f>R355+T355+V355+X355+Z355+AB355+AD355+AF355+AH355+AJ355+AL355+AN355+AP355+AR355+AT355+AV355+AX355+AZ355+BB355+BD355+BF355+BH355+BJ355+BL355+BN355+BP355+BR355+BT355+BV355+BX355+BZ355+CB355+CD355+CF355+CH355+CJ355+CL355+CN355+CP355+CR355</f>
        <v>0</v>
      </c>
      <c r="CU355" s="206" t="s">
        <v>1000</v>
      </c>
      <c r="CV355" s="156"/>
      <c r="CZ355" s="157"/>
      <c r="DA355" s="152">
        <f t="shared" si="327"/>
        <v>92</v>
      </c>
      <c r="DB355" s="152" t="str">
        <f t="shared" si="328"/>
        <v>0</v>
      </c>
      <c r="DC355" s="153"/>
      <c r="DD355" s="158" t="s">
        <v>2212</v>
      </c>
      <c r="DE355" s="156" t="s">
        <v>435</v>
      </c>
      <c r="DF355" s="174" t="s">
        <v>1224</v>
      </c>
      <c r="DG355" s="175" t="s">
        <v>1225</v>
      </c>
      <c r="DH355" s="240" t="s">
        <v>477</v>
      </c>
      <c r="DI355" s="187">
        <v>45940</v>
      </c>
      <c r="DJ355" s="429">
        <v>92</v>
      </c>
      <c r="DK355" s="240" t="s">
        <v>477</v>
      </c>
      <c r="DL355" s="189">
        <v>3000</v>
      </c>
      <c r="DM355" s="181">
        <f t="shared" si="338"/>
        <v>303600</v>
      </c>
      <c r="DN355" s="446">
        <f t="shared" si="339"/>
        <v>0.1</v>
      </c>
      <c r="DO355" s="160">
        <f t="shared" si="340"/>
        <v>276000</v>
      </c>
      <c r="DP355" s="159">
        <v>45954</v>
      </c>
      <c r="DQ355" s="152">
        <f>SUMIF($I:$I,I355,$DJ:$DJ)</f>
        <v>92</v>
      </c>
      <c r="DR355" s="152">
        <f>SUMIF($I:$I,I355,$DK:$DK)</f>
        <v>0</v>
      </c>
      <c r="EO355" s="152">
        <f>SUMIF($I:$I,I355,$EC:$EC)</f>
        <v>0</v>
      </c>
      <c r="EP355" s="151">
        <f>SUMIF($I:$I,I355,$ED:$ED)</f>
        <v>0</v>
      </c>
      <c r="EQ355" s="153"/>
      <c r="ER355" s="153"/>
      <c r="ES355" s="153"/>
      <c r="ET355" s="153"/>
      <c r="EU355" s="152">
        <f t="shared" si="332"/>
        <v>92</v>
      </c>
      <c r="EV355" s="152">
        <f t="shared" si="333"/>
        <v>0</v>
      </c>
      <c r="EW355" s="152">
        <f t="shared" si="334"/>
        <v>0</v>
      </c>
      <c r="EX355" s="152">
        <f t="shared" si="335"/>
        <v>0</v>
      </c>
      <c r="EY355" s="151" t="str">
        <f t="shared" si="336"/>
        <v>Đủ</v>
      </c>
    </row>
    <row r="356" spans="1:155" s="155" customFormat="1" ht="14" hidden="1" customHeight="1">
      <c r="A356" s="208" t="str">
        <f t="shared" si="337"/>
        <v>Hiện</v>
      </c>
      <c r="B356" s="151" t="str">
        <f t="shared" si="326"/>
        <v>Đủ</v>
      </c>
      <c r="C356" s="409">
        <f t="shared" si="236"/>
        <v>0</v>
      </c>
      <c r="D356" s="154" t="s">
        <v>435</v>
      </c>
      <c r="E356" s="154">
        <f>C356*DL356*1.1</f>
        <v>0</v>
      </c>
      <c r="F356" s="154"/>
      <c r="G356" s="151"/>
      <c r="H356" s="364"/>
      <c r="I356" s="163" t="s">
        <v>834</v>
      </c>
      <c r="J356" s="164" t="s">
        <v>751</v>
      </c>
      <c r="K356" s="171" t="s">
        <v>835</v>
      </c>
      <c r="L356" s="171" t="s">
        <v>753</v>
      </c>
      <c r="M356" s="163" t="s">
        <v>345</v>
      </c>
      <c r="N356" s="173">
        <v>0</v>
      </c>
      <c r="O356" s="419">
        <v>64</v>
      </c>
      <c r="P356" s="205"/>
      <c r="S356" s="161"/>
      <c r="T356" s="162"/>
      <c r="U356" s="162"/>
      <c r="V356" s="162"/>
      <c r="W356" s="162"/>
      <c r="X356" s="162"/>
      <c r="Y356" s="162"/>
      <c r="Z356" s="162"/>
      <c r="AA356" s="162"/>
      <c r="AB356" s="162"/>
      <c r="AC356" s="162"/>
      <c r="AD356" s="162"/>
      <c r="AE356" s="162"/>
      <c r="AF356" s="162"/>
      <c r="AG356" s="162"/>
      <c r="AH356" s="162"/>
      <c r="AI356" s="162"/>
      <c r="AJ356" s="162"/>
      <c r="AK356" s="162">
        <v>68</v>
      </c>
      <c r="AL356" s="162">
        <v>0</v>
      </c>
      <c r="AM356" s="162"/>
      <c r="AN356" s="162"/>
      <c r="AO356" s="162">
        <v>0</v>
      </c>
      <c r="AP356" s="162">
        <v>0</v>
      </c>
      <c r="AQ356" s="162">
        <v>0</v>
      </c>
      <c r="AR356" s="162">
        <v>0</v>
      </c>
      <c r="AS356" s="162">
        <v>0</v>
      </c>
      <c r="AT356" s="162">
        <v>0</v>
      </c>
      <c r="AU356" s="162">
        <v>0</v>
      </c>
      <c r="AV356" s="162">
        <v>0</v>
      </c>
      <c r="AW356" s="162">
        <v>0</v>
      </c>
      <c r="AX356" s="162">
        <v>0</v>
      </c>
      <c r="AY356" s="162">
        <v>0</v>
      </c>
      <c r="AZ356" s="162">
        <v>0</v>
      </c>
      <c r="BA356" s="162"/>
      <c r="BB356" s="162"/>
      <c r="BC356" s="162">
        <v>0</v>
      </c>
      <c r="BD356" s="162">
        <v>0</v>
      </c>
      <c r="BE356" s="162">
        <v>0</v>
      </c>
      <c r="BF356" s="162">
        <v>0</v>
      </c>
      <c r="BG356" s="162">
        <v>0</v>
      </c>
      <c r="BH356" s="162">
        <v>0</v>
      </c>
      <c r="BI356" s="162">
        <v>0</v>
      </c>
      <c r="BJ356" s="162">
        <v>0</v>
      </c>
      <c r="BK356" s="162">
        <v>0</v>
      </c>
      <c r="BL356" s="162">
        <v>0</v>
      </c>
      <c r="BM356" s="162">
        <v>0</v>
      </c>
      <c r="BN356" s="162">
        <v>0</v>
      </c>
      <c r="BO356" s="162"/>
      <c r="BP356" s="162"/>
      <c r="BQ356" s="162">
        <v>0</v>
      </c>
      <c r="BR356" s="162">
        <v>0</v>
      </c>
      <c r="BS356" s="162">
        <v>0</v>
      </c>
      <c r="BT356" s="162">
        <v>0</v>
      </c>
      <c r="BU356" s="162">
        <v>0</v>
      </c>
      <c r="BV356" s="162">
        <v>0</v>
      </c>
      <c r="BW356" s="162"/>
      <c r="BX356" s="162"/>
      <c r="BY356" s="162">
        <v>0</v>
      </c>
      <c r="BZ356" s="162">
        <v>0</v>
      </c>
      <c r="CA356" s="162">
        <v>0</v>
      </c>
      <c r="CB356" s="162">
        <v>0</v>
      </c>
      <c r="CC356" s="162">
        <v>0</v>
      </c>
      <c r="CD356" s="162">
        <v>0</v>
      </c>
      <c r="CE356" s="162">
        <f>VLOOKUP(I356,[120]REV33!$A:$O,11,0)</f>
        <v>0</v>
      </c>
      <c r="CF356" s="162">
        <f>VLOOKUP(I356,[120]REV33!$A:$O,12,0)</f>
        <v>0</v>
      </c>
      <c r="CG356" s="162"/>
      <c r="CH356" s="162"/>
      <c r="CI356" s="162"/>
      <c r="CJ356" s="162"/>
      <c r="CK356" s="162"/>
      <c r="CL356" s="162"/>
      <c r="CM356" s="162"/>
      <c r="CN356" s="162"/>
      <c r="CO356" s="162">
        <v>0</v>
      </c>
      <c r="CP356" s="162">
        <v>0</v>
      </c>
      <c r="CQ356" s="162">
        <v>0</v>
      </c>
      <c r="CR356" s="162">
        <v>0</v>
      </c>
      <c r="CS356" s="209">
        <f>Q356+S356+U356+W356+Y356+AA356+AC356+AE356+AG356+AI356+AK356+AM356+AO356+AQ356+AS356+AU356+AW356+AY356+BA356+BC356+BE356+BG356+BI356+BK356+BM356+BO356+BQ356+BS356+BU356+BW356+BY356+CA356+CC356+CE356+CG356+CI356+CK356+CM356+CO356+CQ356</f>
        <v>68</v>
      </c>
      <c r="CT356" s="209">
        <f>R356+T356+V356+X356+Z356+AB356+AD356+AF356+AH356+AJ356+AL356+AN356+AP356+AR356+AT356+AV356+AX356+AZ356+BB356+BD356+BF356+BH356+BJ356+BL356+BN356+BP356+BR356+BT356+BV356+BX356+BZ356+CB356+CD356+CF356+CH356+CJ356+CL356+CN356+CP356+CR356</f>
        <v>0</v>
      </c>
      <c r="CU356" s="206" t="s">
        <v>1000</v>
      </c>
      <c r="CV356" s="156"/>
      <c r="CZ356" s="157"/>
      <c r="DA356" s="152">
        <f t="shared" si="327"/>
        <v>68</v>
      </c>
      <c r="DB356" s="152" t="str">
        <f t="shared" si="328"/>
        <v>0</v>
      </c>
      <c r="DC356" s="153"/>
      <c r="DD356" s="158" t="s">
        <v>2212</v>
      </c>
      <c r="DE356" s="156" t="s">
        <v>435</v>
      </c>
      <c r="DF356" s="174" t="s">
        <v>1226</v>
      </c>
      <c r="DG356" s="175" t="s">
        <v>1225</v>
      </c>
      <c r="DH356" s="240" t="s">
        <v>477</v>
      </c>
      <c r="DI356" s="187">
        <v>45940</v>
      </c>
      <c r="DJ356" s="429">
        <v>68</v>
      </c>
      <c r="DK356" s="240" t="s">
        <v>477</v>
      </c>
      <c r="DL356" s="189">
        <v>4500</v>
      </c>
      <c r="DM356" s="181">
        <f t="shared" si="338"/>
        <v>336600</v>
      </c>
      <c r="DN356" s="446">
        <f t="shared" si="339"/>
        <v>0.1</v>
      </c>
      <c r="DO356" s="160">
        <f t="shared" si="340"/>
        <v>306000</v>
      </c>
      <c r="DP356" s="159">
        <v>45954</v>
      </c>
      <c r="DQ356" s="152">
        <f>SUMIF($I:$I,I356,$DJ:$DJ)</f>
        <v>68</v>
      </c>
      <c r="DR356" s="152">
        <f>SUMIF($I:$I,I356,$DK:$DK)</f>
        <v>0</v>
      </c>
      <c r="EO356" s="152">
        <f>SUMIF($I:$I,I356,$EC:$EC)</f>
        <v>0</v>
      </c>
      <c r="EP356" s="151">
        <f>SUMIF($I:$I,I356,$ED:$ED)</f>
        <v>0</v>
      </c>
      <c r="EQ356" s="153"/>
      <c r="ER356" s="153"/>
      <c r="ES356" s="153"/>
      <c r="ET356" s="153"/>
      <c r="EU356" s="152">
        <f t="shared" si="332"/>
        <v>68</v>
      </c>
      <c r="EV356" s="152">
        <f t="shared" si="333"/>
        <v>0</v>
      </c>
      <c r="EW356" s="152">
        <f t="shared" si="334"/>
        <v>0</v>
      </c>
      <c r="EX356" s="152">
        <f t="shared" si="335"/>
        <v>0</v>
      </c>
      <c r="EY356" s="151" t="str">
        <f t="shared" si="336"/>
        <v>Đủ</v>
      </c>
    </row>
    <row r="357" spans="1:155" s="155" customFormat="1" ht="14" customHeight="1">
      <c r="A357" s="208" t="str">
        <f t="shared" si="337"/>
        <v>Hiện</v>
      </c>
      <c r="B357" s="151" t="str">
        <f t="shared" si="326"/>
        <v>Thiếu</v>
      </c>
      <c r="C357" s="409">
        <f t="shared" si="236"/>
        <v>125</v>
      </c>
      <c r="D357" s="154" t="s">
        <v>435</v>
      </c>
      <c r="E357" s="154">
        <f>C357*DL357*1.1</f>
        <v>577500</v>
      </c>
      <c r="F357" s="154"/>
      <c r="G357" s="151"/>
      <c r="H357" s="364"/>
      <c r="I357" s="163" t="s">
        <v>836</v>
      </c>
      <c r="J357" s="164" t="s">
        <v>751</v>
      </c>
      <c r="K357" s="171" t="s">
        <v>837</v>
      </c>
      <c r="L357" s="171" t="s">
        <v>838</v>
      </c>
      <c r="M357" s="163" t="s">
        <v>345</v>
      </c>
      <c r="N357" s="173">
        <v>0</v>
      </c>
      <c r="O357" s="419">
        <v>464</v>
      </c>
      <c r="P357" s="205"/>
      <c r="S357" s="161"/>
      <c r="T357" s="162"/>
      <c r="U357" s="162"/>
      <c r="V357" s="162"/>
      <c r="W357" s="162"/>
      <c r="X357" s="162"/>
      <c r="Y357" s="162"/>
      <c r="Z357" s="162"/>
      <c r="AA357" s="162"/>
      <c r="AB357" s="162"/>
      <c r="AC357" s="162"/>
      <c r="AD357" s="162"/>
      <c r="AE357" s="162"/>
      <c r="AF357" s="162"/>
      <c r="AG357" s="162"/>
      <c r="AH357" s="162"/>
      <c r="AI357" s="162"/>
      <c r="AJ357" s="162"/>
      <c r="AK357" s="162">
        <v>508</v>
      </c>
      <c r="AL357" s="162">
        <v>0</v>
      </c>
      <c r="AM357" s="162"/>
      <c r="AN357" s="162"/>
      <c r="AO357" s="162">
        <v>0</v>
      </c>
      <c r="AP357" s="162">
        <v>0</v>
      </c>
      <c r="AQ357" s="162">
        <v>0</v>
      </c>
      <c r="AR357" s="162">
        <v>0</v>
      </c>
      <c r="AS357" s="162">
        <v>0</v>
      </c>
      <c r="AT357" s="162">
        <v>0</v>
      </c>
      <c r="AU357" s="162">
        <v>0</v>
      </c>
      <c r="AV357" s="162">
        <v>0</v>
      </c>
      <c r="AW357" s="162">
        <v>0</v>
      </c>
      <c r="AX357" s="162">
        <v>0</v>
      </c>
      <c r="AY357" s="162">
        <v>0</v>
      </c>
      <c r="AZ357" s="162">
        <v>0</v>
      </c>
      <c r="BA357" s="162"/>
      <c r="BB357" s="162"/>
      <c r="BC357" s="162">
        <v>0</v>
      </c>
      <c r="BD357" s="162">
        <v>0</v>
      </c>
      <c r="BE357" s="162">
        <v>0</v>
      </c>
      <c r="BF357" s="162">
        <v>0</v>
      </c>
      <c r="BG357" s="162">
        <v>0</v>
      </c>
      <c r="BH357" s="162">
        <v>0</v>
      </c>
      <c r="BI357" s="162">
        <v>0</v>
      </c>
      <c r="BJ357" s="162">
        <v>0</v>
      </c>
      <c r="BK357" s="162">
        <v>0</v>
      </c>
      <c r="BL357" s="162">
        <v>0</v>
      </c>
      <c r="BM357" s="162">
        <v>0</v>
      </c>
      <c r="BN357" s="162">
        <v>0</v>
      </c>
      <c r="BO357" s="162"/>
      <c r="BP357" s="162"/>
      <c r="BQ357" s="162">
        <v>0</v>
      </c>
      <c r="BR357" s="162">
        <v>0</v>
      </c>
      <c r="BS357" s="162">
        <v>0</v>
      </c>
      <c r="BT357" s="162">
        <v>0</v>
      </c>
      <c r="BU357" s="162">
        <v>0</v>
      </c>
      <c r="BV357" s="162">
        <v>0</v>
      </c>
      <c r="BW357" s="162"/>
      <c r="BX357" s="162"/>
      <c r="BY357" s="162">
        <v>0</v>
      </c>
      <c r="BZ357" s="162">
        <v>0</v>
      </c>
      <c r="CA357" s="162">
        <v>0</v>
      </c>
      <c r="CB357" s="162">
        <v>0</v>
      </c>
      <c r="CC357" s="162">
        <v>0</v>
      </c>
      <c r="CD357" s="162">
        <v>0</v>
      </c>
      <c r="CE357" s="162">
        <f>VLOOKUP(I357,[120]REV33!$A:$O,11,0)</f>
        <v>0</v>
      </c>
      <c r="CF357" s="162">
        <f>VLOOKUP(I357,[120]REV33!$A:$O,12,0)</f>
        <v>0</v>
      </c>
      <c r="CG357" s="162"/>
      <c r="CH357" s="162"/>
      <c r="CI357" s="162"/>
      <c r="CJ357" s="162"/>
      <c r="CK357" s="162"/>
      <c r="CL357" s="162"/>
      <c r="CM357" s="162"/>
      <c r="CN357" s="162"/>
      <c r="CO357" s="162">
        <v>125</v>
      </c>
      <c r="CP357" s="162">
        <v>0</v>
      </c>
      <c r="CQ357" s="162">
        <v>0</v>
      </c>
      <c r="CR357" s="162">
        <v>0</v>
      </c>
      <c r="CS357" s="209">
        <f>Q357+S357+U357+W357+Y357+AA357+AC357+AE357+AG357+AI357+AK357+AM357+AO357+AQ357+AS357+AU357+AW357+AY357+BA357+BC357+BE357+BG357+BI357+BK357+BM357+BO357+BQ357+BS357+BU357+BW357+BY357+CA357+CC357+CE357+CG357+CI357+CK357+CM357+CO357+CQ357</f>
        <v>633</v>
      </c>
      <c r="CT357" s="209">
        <f>R357+T357+V357+X357+Z357+AB357+AD357+AF357+AH357+AJ357+AL357+AN357+AP357+AR357+AT357+AV357+AX357+AZ357+BB357+BD357+BF357+BH357+BJ357+BL357+BN357+BP357+BR357+BT357+BV357+BX357+BZ357+CB357+CD357+CF357+CH357+CJ357+CL357+CN357+CP357+CR357</f>
        <v>0</v>
      </c>
      <c r="CU357" s="206" t="s">
        <v>2599</v>
      </c>
      <c r="CV357" s="156"/>
      <c r="CZ357" s="157"/>
      <c r="DA357" s="152">
        <f t="shared" si="327"/>
        <v>633</v>
      </c>
      <c r="DB357" s="152" t="str">
        <f t="shared" si="328"/>
        <v>0</v>
      </c>
      <c r="DC357" s="153"/>
      <c r="DD357" s="158" t="s">
        <v>2212</v>
      </c>
      <c r="DE357" s="156" t="s">
        <v>435</v>
      </c>
      <c r="DF357" s="174" t="s">
        <v>1227</v>
      </c>
      <c r="DG357" s="175" t="s">
        <v>1228</v>
      </c>
      <c r="DH357" s="240" t="s">
        <v>477</v>
      </c>
      <c r="DI357" s="187">
        <v>45940</v>
      </c>
      <c r="DJ357" s="429">
        <v>508</v>
      </c>
      <c r="DK357" s="240" t="s">
        <v>477</v>
      </c>
      <c r="DL357" s="189">
        <v>4200</v>
      </c>
      <c r="DM357" s="181">
        <f t="shared" si="338"/>
        <v>2346960</v>
      </c>
      <c r="DN357" s="446">
        <f t="shared" si="339"/>
        <v>0.1</v>
      </c>
      <c r="DO357" s="160">
        <f t="shared" si="340"/>
        <v>2133600</v>
      </c>
      <c r="DP357" s="159">
        <v>45954</v>
      </c>
      <c r="DQ357" s="152">
        <f>SUMIF($I:$I,I357,$DJ:$DJ)</f>
        <v>508</v>
      </c>
      <c r="DR357" s="152">
        <f>SUMIF($I:$I,I357,$DK:$DK)</f>
        <v>0</v>
      </c>
      <c r="EO357" s="152">
        <f>SUMIF($I:$I,I357,$EC:$EC)</f>
        <v>0</v>
      </c>
      <c r="EP357" s="151">
        <f>SUMIF($I:$I,I357,$ED:$ED)</f>
        <v>0</v>
      </c>
      <c r="EQ357" s="153"/>
      <c r="ER357" s="153"/>
      <c r="ES357" s="153"/>
      <c r="ET357" s="153"/>
      <c r="EU357" s="152">
        <f t="shared" si="332"/>
        <v>508</v>
      </c>
      <c r="EV357" s="152">
        <f t="shared" si="333"/>
        <v>0</v>
      </c>
      <c r="EW357" s="152">
        <f t="shared" si="334"/>
        <v>125</v>
      </c>
      <c r="EX357" s="152">
        <f t="shared" si="335"/>
        <v>0</v>
      </c>
      <c r="EY357" s="151" t="str">
        <f t="shared" si="336"/>
        <v>Thiếu</v>
      </c>
    </row>
    <row r="358" spans="1:155" s="155" customFormat="1" ht="14" hidden="1" customHeight="1">
      <c r="A358" s="208" t="str">
        <f t="shared" si="337"/>
        <v>Hiện</v>
      </c>
      <c r="B358" s="151" t="str">
        <f t="shared" si="326"/>
        <v>Đủ</v>
      </c>
      <c r="C358" s="409">
        <f t="shared" si="236"/>
        <v>0</v>
      </c>
      <c r="D358" s="154" t="s">
        <v>435</v>
      </c>
      <c r="E358" s="154">
        <f>C358*DL358*1.1</f>
        <v>0</v>
      </c>
      <c r="F358" s="154"/>
      <c r="G358" s="151"/>
      <c r="H358" s="364"/>
      <c r="I358" s="163" t="s">
        <v>839</v>
      </c>
      <c r="J358" s="164" t="s">
        <v>751</v>
      </c>
      <c r="K358" s="171" t="s">
        <v>840</v>
      </c>
      <c r="L358" s="171" t="s">
        <v>753</v>
      </c>
      <c r="M358" s="163" t="s">
        <v>345</v>
      </c>
      <c r="N358" s="173">
        <v>0</v>
      </c>
      <c r="O358" s="419">
        <v>8</v>
      </c>
      <c r="P358" s="205"/>
      <c r="S358" s="161"/>
      <c r="T358" s="162"/>
      <c r="U358" s="162"/>
      <c r="V358" s="162"/>
      <c r="W358" s="162"/>
      <c r="X358" s="162"/>
      <c r="Y358" s="162"/>
      <c r="Z358" s="162"/>
      <c r="AA358" s="162"/>
      <c r="AB358" s="162"/>
      <c r="AC358" s="162"/>
      <c r="AD358" s="162"/>
      <c r="AE358" s="162"/>
      <c r="AF358" s="162"/>
      <c r="AG358" s="162"/>
      <c r="AH358" s="162"/>
      <c r="AI358" s="162"/>
      <c r="AJ358" s="162"/>
      <c r="AK358" s="162">
        <v>12</v>
      </c>
      <c r="AL358" s="162">
        <v>0</v>
      </c>
      <c r="AM358" s="162"/>
      <c r="AN358" s="162"/>
      <c r="AO358" s="162">
        <v>0</v>
      </c>
      <c r="AP358" s="162">
        <v>0</v>
      </c>
      <c r="AQ358" s="162">
        <v>0</v>
      </c>
      <c r="AR358" s="162">
        <v>0</v>
      </c>
      <c r="AS358" s="162">
        <v>0</v>
      </c>
      <c r="AT358" s="162">
        <v>0</v>
      </c>
      <c r="AU358" s="162">
        <v>0</v>
      </c>
      <c r="AV358" s="162">
        <v>0</v>
      </c>
      <c r="AW358" s="162">
        <v>0</v>
      </c>
      <c r="AX358" s="162">
        <v>0</v>
      </c>
      <c r="AY358" s="162">
        <v>0</v>
      </c>
      <c r="AZ358" s="162">
        <v>0</v>
      </c>
      <c r="BA358" s="162"/>
      <c r="BB358" s="162"/>
      <c r="BC358" s="162">
        <v>0</v>
      </c>
      <c r="BD358" s="162">
        <v>0</v>
      </c>
      <c r="BE358" s="162">
        <v>0</v>
      </c>
      <c r="BF358" s="162">
        <v>0</v>
      </c>
      <c r="BG358" s="162">
        <v>0</v>
      </c>
      <c r="BH358" s="162">
        <v>0</v>
      </c>
      <c r="BI358" s="162">
        <v>0</v>
      </c>
      <c r="BJ358" s="162">
        <v>0</v>
      </c>
      <c r="BK358" s="162">
        <v>0</v>
      </c>
      <c r="BL358" s="162">
        <v>0</v>
      </c>
      <c r="BM358" s="162">
        <v>0</v>
      </c>
      <c r="BN358" s="162">
        <v>0</v>
      </c>
      <c r="BO358" s="162"/>
      <c r="BP358" s="162"/>
      <c r="BQ358" s="162">
        <v>0</v>
      </c>
      <c r="BR358" s="162">
        <v>0</v>
      </c>
      <c r="BS358" s="162">
        <v>0</v>
      </c>
      <c r="BT358" s="162">
        <v>0</v>
      </c>
      <c r="BU358" s="162">
        <v>0</v>
      </c>
      <c r="BV358" s="162">
        <v>0</v>
      </c>
      <c r="BW358" s="162"/>
      <c r="BX358" s="162"/>
      <c r="BY358" s="162">
        <v>0</v>
      </c>
      <c r="BZ358" s="162">
        <v>0</v>
      </c>
      <c r="CA358" s="162">
        <v>0</v>
      </c>
      <c r="CB358" s="162">
        <v>0</v>
      </c>
      <c r="CC358" s="162">
        <v>0</v>
      </c>
      <c r="CD358" s="162">
        <v>0</v>
      </c>
      <c r="CE358" s="162">
        <f>VLOOKUP(I358,[120]REV33!$A:$O,11,0)</f>
        <v>0</v>
      </c>
      <c r="CF358" s="162">
        <f>VLOOKUP(I358,[120]REV33!$A:$O,12,0)</f>
        <v>0</v>
      </c>
      <c r="CG358" s="162"/>
      <c r="CH358" s="162"/>
      <c r="CI358" s="162"/>
      <c r="CJ358" s="162"/>
      <c r="CK358" s="162"/>
      <c r="CL358" s="162"/>
      <c r="CM358" s="162"/>
      <c r="CN358" s="162"/>
      <c r="CO358" s="162">
        <v>0</v>
      </c>
      <c r="CP358" s="162">
        <v>0</v>
      </c>
      <c r="CQ358" s="162">
        <v>0</v>
      </c>
      <c r="CR358" s="162">
        <v>0</v>
      </c>
      <c r="CS358" s="209">
        <f>Q358+S358+U358+W358+Y358+AA358+AC358+AE358+AG358+AI358+AK358+AM358+AO358+AQ358+AS358+AU358+AW358+AY358+BA358+BC358+BE358+BG358+BI358+BK358+BM358+BO358+BQ358+BS358+BU358+BW358+BY358+CA358+CC358+CE358+CG358+CI358+CK358+CM358+CO358+CQ358</f>
        <v>12</v>
      </c>
      <c r="CT358" s="209">
        <f>R358+T358+V358+X358+Z358+AB358+AD358+AF358+AH358+AJ358+AL358+AN358+AP358+AR358+AT358+AV358+AX358+AZ358+BB358+BD358+BF358+BH358+BJ358+BL358+BN358+BP358+BR358+BT358+BV358+BX358+BZ358+CB358+CD358+CF358+CH358+CJ358+CL358+CN358+CP358+CR358</f>
        <v>0</v>
      </c>
      <c r="CU358" s="206" t="s">
        <v>1000</v>
      </c>
      <c r="CV358" s="156"/>
      <c r="CZ358" s="157"/>
      <c r="DA358" s="152">
        <f t="shared" si="327"/>
        <v>12</v>
      </c>
      <c r="DB358" s="152" t="str">
        <f t="shared" si="328"/>
        <v>0</v>
      </c>
      <c r="DC358" s="153"/>
      <c r="DD358" s="158" t="s">
        <v>2212</v>
      </c>
      <c r="DE358" s="156" t="s">
        <v>435</v>
      </c>
      <c r="DF358" s="174" t="s">
        <v>1227</v>
      </c>
      <c r="DG358" s="175" t="s">
        <v>1223</v>
      </c>
      <c r="DH358" s="240" t="s">
        <v>477</v>
      </c>
      <c r="DI358" s="187">
        <v>45940</v>
      </c>
      <c r="DJ358" s="429">
        <v>12</v>
      </c>
      <c r="DK358" s="240" t="s">
        <v>477</v>
      </c>
      <c r="DL358" s="189">
        <v>4200</v>
      </c>
      <c r="DM358" s="181">
        <f t="shared" si="338"/>
        <v>55440.000000000007</v>
      </c>
      <c r="DN358" s="446">
        <f t="shared" si="339"/>
        <v>0.10000000000000014</v>
      </c>
      <c r="DO358" s="160">
        <f t="shared" si="340"/>
        <v>50400</v>
      </c>
      <c r="DP358" s="159">
        <v>45954</v>
      </c>
      <c r="DQ358" s="152">
        <f>SUMIF($I:$I,I358,$DJ:$DJ)</f>
        <v>12</v>
      </c>
      <c r="DR358" s="152">
        <f>SUMIF($I:$I,I358,$DK:$DK)</f>
        <v>0</v>
      </c>
      <c r="EO358" s="152">
        <f>SUMIF($I:$I,I358,$EC:$EC)</f>
        <v>0</v>
      </c>
      <c r="EP358" s="151">
        <f>SUMIF($I:$I,I358,$ED:$ED)</f>
        <v>0</v>
      </c>
      <c r="EQ358" s="153"/>
      <c r="ER358" s="153"/>
      <c r="ES358" s="153"/>
      <c r="ET358" s="153"/>
      <c r="EU358" s="152">
        <f t="shared" si="332"/>
        <v>12</v>
      </c>
      <c r="EV358" s="152">
        <f t="shared" si="333"/>
        <v>0</v>
      </c>
      <c r="EW358" s="152">
        <f t="shared" si="334"/>
        <v>0</v>
      </c>
      <c r="EX358" s="152">
        <f t="shared" si="335"/>
        <v>0</v>
      </c>
      <c r="EY358" s="151" t="str">
        <f t="shared" si="336"/>
        <v>Đủ</v>
      </c>
    </row>
    <row r="359" spans="1:155" s="155" customFormat="1" ht="14" hidden="1" customHeight="1">
      <c r="A359" s="208" t="str">
        <f t="shared" si="337"/>
        <v>Hiện</v>
      </c>
      <c r="B359" s="151" t="str">
        <f t="shared" si="326"/>
        <v>Đủ</v>
      </c>
      <c r="C359" s="409">
        <f t="shared" si="236"/>
        <v>0</v>
      </c>
      <c r="D359" s="154" t="s">
        <v>435</v>
      </c>
      <c r="E359" s="154">
        <f>C359*DL359*1.1</f>
        <v>0</v>
      </c>
      <c r="F359" s="154"/>
      <c r="G359" s="151"/>
      <c r="H359" s="364"/>
      <c r="I359" s="163" t="s">
        <v>841</v>
      </c>
      <c r="J359" s="164" t="s">
        <v>751</v>
      </c>
      <c r="K359" s="171" t="s">
        <v>842</v>
      </c>
      <c r="L359" s="171" t="s">
        <v>843</v>
      </c>
      <c r="M359" s="163" t="s">
        <v>345</v>
      </c>
      <c r="N359" s="173">
        <v>0</v>
      </c>
      <c r="O359" s="419">
        <v>120</v>
      </c>
      <c r="P359" s="205"/>
      <c r="S359" s="161"/>
      <c r="T359" s="162"/>
      <c r="U359" s="162"/>
      <c r="V359" s="162"/>
      <c r="W359" s="162"/>
      <c r="X359" s="162"/>
      <c r="Y359" s="162"/>
      <c r="Z359" s="162"/>
      <c r="AA359" s="162"/>
      <c r="AB359" s="162"/>
      <c r="AC359" s="162"/>
      <c r="AD359" s="162"/>
      <c r="AE359" s="162"/>
      <c r="AF359" s="162"/>
      <c r="AG359" s="162"/>
      <c r="AH359" s="162"/>
      <c r="AI359" s="162"/>
      <c r="AJ359" s="162"/>
      <c r="AK359" s="162">
        <v>126</v>
      </c>
      <c r="AL359" s="162">
        <v>0</v>
      </c>
      <c r="AM359" s="162"/>
      <c r="AN359" s="162"/>
      <c r="AO359" s="162">
        <v>0</v>
      </c>
      <c r="AP359" s="162">
        <v>0</v>
      </c>
      <c r="AQ359" s="162">
        <v>0</v>
      </c>
      <c r="AR359" s="162">
        <v>0</v>
      </c>
      <c r="AS359" s="162">
        <v>0</v>
      </c>
      <c r="AT359" s="162">
        <v>0</v>
      </c>
      <c r="AU359" s="162">
        <v>0</v>
      </c>
      <c r="AV359" s="162">
        <v>0</v>
      </c>
      <c r="AW359" s="162">
        <v>0</v>
      </c>
      <c r="AX359" s="162">
        <v>0</v>
      </c>
      <c r="AY359" s="162">
        <v>0</v>
      </c>
      <c r="AZ359" s="162">
        <v>0</v>
      </c>
      <c r="BA359" s="162"/>
      <c r="BB359" s="162"/>
      <c r="BC359" s="162">
        <v>0</v>
      </c>
      <c r="BD359" s="162">
        <v>0</v>
      </c>
      <c r="BE359" s="162">
        <v>0</v>
      </c>
      <c r="BF359" s="162">
        <v>0</v>
      </c>
      <c r="BG359" s="162">
        <v>0</v>
      </c>
      <c r="BH359" s="162">
        <v>0</v>
      </c>
      <c r="BI359" s="162">
        <v>0</v>
      </c>
      <c r="BJ359" s="162">
        <v>0</v>
      </c>
      <c r="BK359" s="162">
        <v>0</v>
      </c>
      <c r="BL359" s="162">
        <v>0</v>
      </c>
      <c r="BM359" s="162">
        <v>0</v>
      </c>
      <c r="BN359" s="162">
        <v>0</v>
      </c>
      <c r="BO359" s="162"/>
      <c r="BP359" s="162"/>
      <c r="BQ359" s="162">
        <v>0</v>
      </c>
      <c r="BR359" s="162">
        <v>0</v>
      </c>
      <c r="BS359" s="162">
        <v>0</v>
      </c>
      <c r="BT359" s="162">
        <v>0</v>
      </c>
      <c r="BU359" s="162">
        <v>0</v>
      </c>
      <c r="BV359" s="162">
        <v>0</v>
      </c>
      <c r="BW359" s="162"/>
      <c r="BX359" s="162"/>
      <c r="BY359" s="162">
        <v>0</v>
      </c>
      <c r="BZ359" s="162">
        <v>0</v>
      </c>
      <c r="CA359" s="162">
        <v>0</v>
      </c>
      <c r="CB359" s="162">
        <v>0</v>
      </c>
      <c r="CC359" s="162">
        <v>0</v>
      </c>
      <c r="CD359" s="162">
        <v>0</v>
      </c>
      <c r="CE359" s="162">
        <f>VLOOKUP(I359,[120]REV33!$A:$O,11,0)</f>
        <v>0</v>
      </c>
      <c r="CF359" s="162">
        <f>VLOOKUP(I359,[120]REV33!$A:$O,12,0)</f>
        <v>0</v>
      </c>
      <c r="CG359" s="162"/>
      <c r="CH359" s="162"/>
      <c r="CI359" s="162"/>
      <c r="CJ359" s="162"/>
      <c r="CK359" s="162"/>
      <c r="CL359" s="162"/>
      <c r="CM359" s="162"/>
      <c r="CN359" s="162"/>
      <c r="CO359" s="162">
        <v>0</v>
      </c>
      <c r="CP359" s="162">
        <v>0</v>
      </c>
      <c r="CQ359" s="162">
        <v>0</v>
      </c>
      <c r="CR359" s="162">
        <v>0</v>
      </c>
      <c r="CS359" s="209">
        <f>Q359+S359+U359+W359+Y359+AA359+AC359+AE359+AG359+AI359+AK359+AM359+AO359+AQ359+AS359+AU359+AW359+AY359+BA359+BC359+BE359+BG359+BI359+BK359+BM359+BO359+BQ359+BS359+BU359+BW359+BY359+CA359+CC359+CE359+CG359+CI359+CK359+CM359+CO359+CQ359</f>
        <v>126</v>
      </c>
      <c r="CT359" s="209">
        <f>R359+T359+V359+X359+Z359+AB359+AD359+AF359+AH359+AJ359+AL359+AN359+AP359+AR359+AT359+AV359+AX359+AZ359+BB359+BD359+BF359+BH359+BJ359+BL359+BN359+BP359+BR359+BT359+BV359+BX359+BZ359+CB359+CD359+CF359+CH359+CJ359+CL359+CN359+CP359+CR359</f>
        <v>0</v>
      </c>
      <c r="CU359" s="206" t="s">
        <v>1000</v>
      </c>
      <c r="CV359" s="156"/>
      <c r="CZ359" s="157"/>
      <c r="DA359" s="152">
        <f t="shared" si="327"/>
        <v>126</v>
      </c>
      <c r="DB359" s="152" t="str">
        <f t="shared" si="328"/>
        <v>0</v>
      </c>
      <c r="DC359" s="153"/>
      <c r="DD359" s="158" t="s">
        <v>2212</v>
      </c>
      <c r="DE359" s="156" t="s">
        <v>435</v>
      </c>
      <c r="DF359" s="174" t="s">
        <v>1227</v>
      </c>
      <c r="DG359" s="175" t="s">
        <v>1229</v>
      </c>
      <c r="DH359" s="240" t="s">
        <v>477</v>
      </c>
      <c r="DI359" s="187">
        <v>45940</v>
      </c>
      <c r="DJ359" s="429">
        <v>126</v>
      </c>
      <c r="DK359" s="240" t="s">
        <v>477</v>
      </c>
      <c r="DL359" s="189">
        <v>4200</v>
      </c>
      <c r="DM359" s="181">
        <f t="shared" si="338"/>
        <v>582120</v>
      </c>
      <c r="DN359" s="446">
        <f t="shared" si="339"/>
        <v>0.1</v>
      </c>
      <c r="DO359" s="160">
        <f t="shared" si="340"/>
        <v>529200</v>
      </c>
      <c r="DP359" s="159">
        <v>45954</v>
      </c>
      <c r="DQ359" s="152">
        <f>SUMIF($I:$I,I359,$DJ:$DJ)</f>
        <v>126</v>
      </c>
      <c r="DR359" s="152">
        <f>SUMIF($I:$I,I359,$DK:$DK)</f>
        <v>0</v>
      </c>
      <c r="EO359" s="152">
        <f>SUMIF($I:$I,I359,$EC:$EC)</f>
        <v>0</v>
      </c>
      <c r="EP359" s="151">
        <f>SUMIF($I:$I,I359,$ED:$ED)</f>
        <v>0</v>
      </c>
      <c r="EQ359" s="153"/>
      <c r="ER359" s="153"/>
      <c r="ES359" s="153"/>
      <c r="ET359" s="153"/>
      <c r="EU359" s="152">
        <f t="shared" si="332"/>
        <v>126</v>
      </c>
      <c r="EV359" s="152">
        <f t="shared" si="333"/>
        <v>0</v>
      </c>
      <c r="EW359" s="152">
        <f t="shared" si="334"/>
        <v>0</v>
      </c>
      <c r="EX359" s="152">
        <f t="shared" si="335"/>
        <v>0</v>
      </c>
      <c r="EY359" s="151" t="str">
        <f t="shared" si="336"/>
        <v>Đủ</v>
      </c>
    </row>
    <row r="360" spans="1:155" s="155" customFormat="1" ht="14" hidden="1" customHeight="1">
      <c r="A360" s="208" t="str">
        <f t="shared" si="337"/>
        <v>Hiện</v>
      </c>
      <c r="B360" s="151" t="str">
        <f t="shared" si="326"/>
        <v>Đủ</v>
      </c>
      <c r="C360" s="409">
        <f t="shared" si="236"/>
        <v>0</v>
      </c>
      <c r="D360" s="154" t="s">
        <v>435</v>
      </c>
      <c r="E360" s="154">
        <f>C360*DL360*1.1</f>
        <v>0</v>
      </c>
      <c r="F360" s="154"/>
      <c r="G360" s="151"/>
      <c r="H360" s="364"/>
      <c r="I360" s="163" t="s">
        <v>844</v>
      </c>
      <c r="J360" s="164" t="s">
        <v>751</v>
      </c>
      <c r="K360" s="171" t="s">
        <v>845</v>
      </c>
      <c r="L360" s="171" t="s">
        <v>838</v>
      </c>
      <c r="M360" s="163" t="s">
        <v>345</v>
      </c>
      <c r="N360" s="173">
        <v>0</v>
      </c>
      <c r="O360" s="419">
        <v>80</v>
      </c>
      <c r="P360" s="205"/>
      <c r="S360" s="161"/>
      <c r="T360" s="162"/>
      <c r="U360" s="162"/>
      <c r="V360" s="162"/>
      <c r="W360" s="162"/>
      <c r="X360" s="162"/>
      <c r="Y360" s="162"/>
      <c r="Z360" s="162"/>
      <c r="AA360" s="162"/>
      <c r="AB360" s="162"/>
      <c r="AC360" s="162"/>
      <c r="AD360" s="162"/>
      <c r="AE360" s="162"/>
      <c r="AF360" s="162"/>
      <c r="AG360" s="162"/>
      <c r="AH360" s="162"/>
      <c r="AI360" s="162"/>
      <c r="AJ360" s="162"/>
      <c r="AK360" s="162">
        <v>84</v>
      </c>
      <c r="AL360" s="162">
        <v>0</v>
      </c>
      <c r="AM360" s="162"/>
      <c r="AN360" s="162"/>
      <c r="AO360" s="162">
        <v>0</v>
      </c>
      <c r="AP360" s="162">
        <v>0</v>
      </c>
      <c r="AQ360" s="162">
        <v>0</v>
      </c>
      <c r="AR360" s="162">
        <v>0</v>
      </c>
      <c r="AS360" s="162">
        <v>0</v>
      </c>
      <c r="AT360" s="162">
        <v>0</v>
      </c>
      <c r="AU360" s="162">
        <v>0</v>
      </c>
      <c r="AV360" s="162">
        <v>0</v>
      </c>
      <c r="AW360" s="162">
        <v>0</v>
      </c>
      <c r="AX360" s="162">
        <v>0</v>
      </c>
      <c r="AY360" s="162">
        <v>0</v>
      </c>
      <c r="AZ360" s="162">
        <v>0</v>
      </c>
      <c r="BA360" s="162"/>
      <c r="BB360" s="162"/>
      <c r="BC360" s="162">
        <v>0</v>
      </c>
      <c r="BD360" s="162">
        <v>0</v>
      </c>
      <c r="BE360" s="162">
        <v>0</v>
      </c>
      <c r="BF360" s="162">
        <v>0</v>
      </c>
      <c r="BG360" s="162">
        <v>0</v>
      </c>
      <c r="BH360" s="162">
        <v>0</v>
      </c>
      <c r="BI360" s="162">
        <v>0</v>
      </c>
      <c r="BJ360" s="162">
        <v>0</v>
      </c>
      <c r="BK360" s="162">
        <v>0</v>
      </c>
      <c r="BL360" s="162">
        <v>0</v>
      </c>
      <c r="BM360" s="162">
        <v>0</v>
      </c>
      <c r="BN360" s="162">
        <v>0</v>
      </c>
      <c r="BO360" s="162"/>
      <c r="BP360" s="162"/>
      <c r="BQ360" s="162">
        <v>0</v>
      </c>
      <c r="BR360" s="162">
        <v>0</v>
      </c>
      <c r="BS360" s="162">
        <v>0</v>
      </c>
      <c r="BT360" s="162">
        <v>0</v>
      </c>
      <c r="BU360" s="162">
        <v>0</v>
      </c>
      <c r="BV360" s="162">
        <v>0</v>
      </c>
      <c r="BW360" s="162"/>
      <c r="BX360" s="162"/>
      <c r="BY360" s="162">
        <v>0</v>
      </c>
      <c r="BZ360" s="162">
        <v>0</v>
      </c>
      <c r="CA360" s="162">
        <v>0</v>
      </c>
      <c r="CB360" s="162">
        <v>0</v>
      </c>
      <c r="CC360" s="162">
        <v>0</v>
      </c>
      <c r="CD360" s="162">
        <v>0</v>
      </c>
      <c r="CE360" s="162">
        <f>VLOOKUP(I360,[120]REV33!$A:$O,11,0)</f>
        <v>0</v>
      </c>
      <c r="CF360" s="162">
        <f>VLOOKUP(I360,[120]REV33!$A:$O,12,0)</f>
        <v>0</v>
      </c>
      <c r="CG360" s="162"/>
      <c r="CH360" s="162"/>
      <c r="CI360" s="162"/>
      <c r="CJ360" s="162"/>
      <c r="CK360" s="162"/>
      <c r="CL360" s="162"/>
      <c r="CM360" s="162"/>
      <c r="CN360" s="162"/>
      <c r="CO360" s="162">
        <v>0</v>
      </c>
      <c r="CP360" s="162">
        <v>0</v>
      </c>
      <c r="CQ360" s="162">
        <v>0</v>
      </c>
      <c r="CR360" s="162">
        <v>0</v>
      </c>
      <c r="CS360" s="209">
        <f>Q360+S360+U360+W360+Y360+AA360+AC360+AE360+AG360+AI360+AK360+AM360+AO360+AQ360+AS360+AU360+AW360+AY360+BA360+BC360+BE360+BG360+BI360+BK360+BM360+BO360+BQ360+BS360+BU360+BW360+BY360+CA360+CC360+CE360+CG360+CI360+CK360+CM360+CO360+CQ360</f>
        <v>84</v>
      </c>
      <c r="CT360" s="209">
        <f>R360+T360+V360+X360+Z360+AB360+AD360+AF360+AH360+AJ360+AL360+AN360+AP360+AR360+AT360+AV360+AX360+AZ360+BB360+BD360+BF360+BH360+BJ360+BL360+BN360+BP360+BR360+BT360+BV360+BX360+BZ360+CB360+CD360+CF360+CH360+CJ360+CL360+CN360+CP360+CR360</f>
        <v>0</v>
      </c>
      <c r="CU360" s="206" t="s">
        <v>1000</v>
      </c>
      <c r="CV360" s="156"/>
      <c r="CZ360" s="157"/>
      <c r="DA360" s="152">
        <f t="shared" si="327"/>
        <v>84</v>
      </c>
      <c r="DB360" s="152" t="str">
        <f t="shared" si="328"/>
        <v>0</v>
      </c>
      <c r="DC360" s="153"/>
      <c r="DD360" s="158" t="s">
        <v>2212</v>
      </c>
      <c r="DE360" s="156" t="s">
        <v>435</v>
      </c>
      <c r="DF360" s="174" t="s">
        <v>1227</v>
      </c>
      <c r="DG360" s="175" t="s">
        <v>1229</v>
      </c>
      <c r="DH360" s="240" t="s">
        <v>477</v>
      </c>
      <c r="DI360" s="187">
        <v>45940</v>
      </c>
      <c r="DJ360" s="429">
        <v>84</v>
      </c>
      <c r="DK360" s="240" t="s">
        <v>477</v>
      </c>
      <c r="DL360" s="189">
        <v>4200</v>
      </c>
      <c r="DM360" s="181">
        <f t="shared" si="338"/>
        <v>388080.00000000006</v>
      </c>
      <c r="DN360" s="446">
        <f t="shared" si="339"/>
        <v>0.10000000000000016</v>
      </c>
      <c r="DO360" s="160">
        <f t="shared" si="340"/>
        <v>352800</v>
      </c>
      <c r="DP360" s="159">
        <v>45954</v>
      </c>
      <c r="DQ360" s="152">
        <f>SUMIF($I:$I,I360,$DJ:$DJ)</f>
        <v>84</v>
      </c>
      <c r="DR360" s="152">
        <f>SUMIF($I:$I,I360,$DK:$DK)</f>
        <v>0</v>
      </c>
      <c r="EO360" s="152">
        <f>SUMIF($I:$I,I360,$EC:$EC)</f>
        <v>0</v>
      </c>
      <c r="EP360" s="151">
        <f>SUMIF($I:$I,I360,$ED:$ED)</f>
        <v>0</v>
      </c>
      <c r="EQ360" s="153"/>
      <c r="ER360" s="153"/>
      <c r="ES360" s="153"/>
      <c r="ET360" s="153"/>
      <c r="EU360" s="152">
        <f t="shared" si="332"/>
        <v>84</v>
      </c>
      <c r="EV360" s="152">
        <f t="shared" si="333"/>
        <v>0</v>
      </c>
      <c r="EW360" s="152">
        <f t="shared" si="334"/>
        <v>0</v>
      </c>
      <c r="EX360" s="152">
        <f t="shared" si="335"/>
        <v>0</v>
      </c>
      <c r="EY360" s="151" t="str">
        <f t="shared" si="336"/>
        <v>Đủ</v>
      </c>
    </row>
    <row r="361" spans="1:155" s="155" customFormat="1" ht="14" customHeight="1">
      <c r="A361" s="208" t="str">
        <f t="shared" si="337"/>
        <v>Hiện</v>
      </c>
      <c r="B361" s="151" t="str">
        <f t="shared" si="326"/>
        <v>Thiếu</v>
      </c>
      <c r="C361" s="409">
        <f t="shared" si="236"/>
        <v>8</v>
      </c>
      <c r="D361" s="154" t="s">
        <v>435</v>
      </c>
      <c r="E361" s="154">
        <f>C361*DL361*1.1</f>
        <v>36960</v>
      </c>
      <c r="F361" s="154"/>
      <c r="G361" s="151"/>
      <c r="H361" s="364"/>
      <c r="I361" s="163" t="s">
        <v>846</v>
      </c>
      <c r="J361" s="164" t="s">
        <v>751</v>
      </c>
      <c r="K361" s="171" t="s">
        <v>847</v>
      </c>
      <c r="L361" s="171" t="s">
        <v>838</v>
      </c>
      <c r="M361" s="163" t="s">
        <v>345</v>
      </c>
      <c r="N361" s="173">
        <v>0</v>
      </c>
      <c r="O361" s="419">
        <v>24</v>
      </c>
      <c r="P361" s="205"/>
      <c r="S361" s="161"/>
      <c r="T361" s="162"/>
      <c r="U361" s="162"/>
      <c r="V361" s="162"/>
      <c r="W361" s="162"/>
      <c r="X361" s="162"/>
      <c r="Y361" s="162"/>
      <c r="Z361" s="162"/>
      <c r="AA361" s="162"/>
      <c r="AB361" s="162"/>
      <c r="AC361" s="162"/>
      <c r="AD361" s="162"/>
      <c r="AE361" s="162"/>
      <c r="AF361" s="162"/>
      <c r="AG361" s="162"/>
      <c r="AH361" s="162"/>
      <c r="AI361" s="162"/>
      <c r="AJ361" s="162"/>
      <c r="AK361" s="162">
        <v>28</v>
      </c>
      <c r="AL361" s="162">
        <v>0</v>
      </c>
      <c r="AM361" s="162"/>
      <c r="AN361" s="162"/>
      <c r="AO361" s="162">
        <v>0</v>
      </c>
      <c r="AP361" s="162">
        <v>0</v>
      </c>
      <c r="AQ361" s="162">
        <v>0</v>
      </c>
      <c r="AR361" s="162">
        <v>0</v>
      </c>
      <c r="AS361" s="162">
        <v>0</v>
      </c>
      <c r="AT361" s="162">
        <v>0</v>
      </c>
      <c r="AU361" s="162">
        <v>0</v>
      </c>
      <c r="AV361" s="162">
        <v>0</v>
      </c>
      <c r="AW361" s="162">
        <v>0</v>
      </c>
      <c r="AX361" s="162">
        <v>0</v>
      </c>
      <c r="AY361" s="162">
        <v>0</v>
      </c>
      <c r="AZ361" s="162">
        <v>0</v>
      </c>
      <c r="BA361" s="162"/>
      <c r="BB361" s="162"/>
      <c r="BC361" s="162">
        <v>0</v>
      </c>
      <c r="BD361" s="162">
        <v>0</v>
      </c>
      <c r="BE361" s="162">
        <v>0</v>
      </c>
      <c r="BF361" s="162">
        <v>0</v>
      </c>
      <c r="BG361" s="162">
        <v>0</v>
      </c>
      <c r="BH361" s="162">
        <v>0</v>
      </c>
      <c r="BI361" s="162">
        <v>0</v>
      </c>
      <c r="BJ361" s="162">
        <v>0</v>
      </c>
      <c r="BK361" s="162">
        <v>0</v>
      </c>
      <c r="BL361" s="162">
        <v>0</v>
      </c>
      <c r="BM361" s="162">
        <v>0</v>
      </c>
      <c r="BN361" s="162">
        <v>0</v>
      </c>
      <c r="BO361" s="162"/>
      <c r="BP361" s="162"/>
      <c r="BQ361" s="162">
        <v>0</v>
      </c>
      <c r="BR361" s="162">
        <v>0</v>
      </c>
      <c r="BS361" s="162">
        <v>0</v>
      </c>
      <c r="BT361" s="162">
        <v>0</v>
      </c>
      <c r="BU361" s="162">
        <v>0</v>
      </c>
      <c r="BV361" s="162">
        <v>0</v>
      </c>
      <c r="BW361" s="162"/>
      <c r="BX361" s="162"/>
      <c r="BY361" s="162">
        <v>0</v>
      </c>
      <c r="BZ361" s="162">
        <v>0</v>
      </c>
      <c r="CA361" s="162">
        <v>0</v>
      </c>
      <c r="CB361" s="162">
        <v>0</v>
      </c>
      <c r="CC361" s="162">
        <v>0</v>
      </c>
      <c r="CD361" s="162">
        <v>0</v>
      </c>
      <c r="CE361" s="162">
        <f>VLOOKUP(I361,[120]REV33!$A:$O,11,0)</f>
        <v>0</v>
      </c>
      <c r="CF361" s="162">
        <f>VLOOKUP(I361,[120]REV33!$A:$O,12,0)</f>
        <v>0</v>
      </c>
      <c r="CG361" s="162"/>
      <c r="CH361" s="162"/>
      <c r="CI361" s="162"/>
      <c r="CJ361" s="162"/>
      <c r="CK361" s="162"/>
      <c r="CL361" s="162"/>
      <c r="CM361" s="162"/>
      <c r="CN361" s="162"/>
      <c r="CO361" s="162">
        <v>8</v>
      </c>
      <c r="CP361" s="162">
        <v>0</v>
      </c>
      <c r="CQ361" s="162">
        <v>0</v>
      </c>
      <c r="CR361" s="162">
        <v>0</v>
      </c>
      <c r="CS361" s="209">
        <f>Q361+S361+U361+W361+Y361+AA361+AC361+AE361+AG361+AI361+AK361+AM361+AO361+AQ361+AS361+AU361+AW361+AY361+BA361+BC361+BE361+BG361+BI361+BK361+BM361+BO361+BQ361+BS361+BU361+BW361+BY361+CA361+CC361+CE361+CG361+CI361+CK361+CM361+CO361+CQ361</f>
        <v>36</v>
      </c>
      <c r="CT361" s="209">
        <f>R361+T361+V361+X361+Z361+AB361+AD361+AF361+AH361+AJ361+AL361+AN361+AP361+AR361+AT361+AV361+AX361+AZ361+BB361+BD361+BF361+BH361+BJ361+BL361+BN361+BP361+BR361+BT361+BV361+BX361+BZ361+CB361+CD361+CF361+CH361+CJ361+CL361+CN361+CP361+CR361</f>
        <v>0</v>
      </c>
      <c r="CU361" s="206" t="s">
        <v>2599</v>
      </c>
      <c r="CV361" s="156"/>
      <c r="CZ361" s="157"/>
      <c r="DA361" s="152">
        <f t="shared" si="327"/>
        <v>36</v>
      </c>
      <c r="DB361" s="152" t="str">
        <f t="shared" si="328"/>
        <v>0</v>
      </c>
      <c r="DC361" s="153"/>
      <c r="DD361" s="158" t="s">
        <v>2212</v>
      </c>
      <c r="DE361" s="156" t="s">
        <v>435</v>
      </c>
      <c r="DF361" s="174" t="s">
        <v>1227</v>
      </c>
      <c r="DG361" s="175" t="s">
        <v>1228</v>
      </c>
      <c r="DH361" s="240" t="s">
        <v>477</v>
      </c>
      <c r="DI361" s="187">
        <v>45940</v>
      </c>
      <c r="DJ361" s="429">
        <v>28</v>
      </c>
      <c r="DK361" s="240" t="s">
        <v>477</v>
      </c>
      <c r="DL361" s="189">
        <v>4200</v>
      </c>
      <c r="DM361" s="181">
        <f t="shared" si="338"/>
        <v>129360.00000000001</v>
      </c>
      <c r="DN361" s="446">
        <f t="shared" si="339"/>
        <v>0.10000000000000013</v>
      </c>
      <c r="DO361" s="160">
        <f t="shared" si="340"/>
        <v>117600</v>
      </c>
      <c r="DP361" s="159">
        <v>45954</v>
      </c>
      <c r="DQ361" s="152">
        <f>SUMIF($I:$I,I361,$DJ:$DJ)</f>
        <v>28</v>
      </c>
      <c r="DR361" s="152">
        <f>SUMIF($I:$I,I361,$DK:$DK)</f>
        <v>0</v>
      </c>
      <c r="EO361" s="152">
        <f>SUMIF($I:$I,I361,$EC:$EC)</f>
        <v>0</v>
      </c>
      <c r="EP361" s="151">
        <f>SUMIF($I:$I,I361,$ED:$ED)</f>
        <v>0</v>
      </c>
      <c r="EQ361" s="153"/>
      <c r="ER361" s="153"/>
      <c r="ES361" s="153"/>
      <c r="ET361" s="153"/>
      <c r="EU361" s="152">
        <f t="shared" si="332"/>
        <v>28</v>
      </c>
      <c r="EV361" s="152">
        <f t="shared" si="333"/>
        <v>0</v>
      </c>
      <c r="EW361" s="152">
        <f t="shared" si="334"/>
        <v>8</v>
      </c>
      <c r="EX361" s="152">
        <f t="shared" si="335"/>
        <v>0</v>
      </c>
      <c r="EY361" s="151" t="str">
        <f t="shared" si="336"/>
        <v>Thiếu</v>
      </c>
    </row>
    <row r="362" spans="1:155" s="155" customFormat="1" ht="14" hidden="1" customHeight="1">
      <c r="A362" s="208" t="str">
        <f t="shared" si="337"/>
        <v>Hiện</v>
      </c>
      <c r="B362" s="151" t="str">
        <f t="shared" si="326"/>
        <v>Đủ</v>
      </c>
      <c r="C362" s="409">
        <f t="shared" si="236"/>
        <v>0</v>
      </c>
      <c r="D362" s="154" t="s">
        <v>435</v>
      </c>
      <c r="E362" s="154">
        <f>C362*DL362*1.1</f>
        <v>0</v>
      </c>
      <c r="F362" s="154"/>
      <c r="G362" s="151"/>
      <c r="H362" s="364"/>
      <c r="I362" s="163" t="s">
        <v>848</v>
      </c>
      <c r="J362" s="164" t="s">
        <v>751</v>
      </c>
      <c r="K362" s="171" t="s">
        <v>849</v>
      </c>
      <c r="L362" s="171" t="s">
        <v>753</v>
      </c>
      <c r="M362" s="163" t="s">
        <v>345</v>
      </c>
      <c r="N362" s="173">
        <v>0</v>
      </c>
      <c r="O362" s="419">
        <v>640</v>
      </c>
      <c r="P362" s="205"/>
      <c r="S362" s="161"/>
      <c r="T362" s="162"/>
      <c r="U362" s="162"/>
      <c r="V362" s="162"/>
      <c r="W362" s="162"/>
      <c r="X362" s="162"/>
      <c r="Y362" s="162"/>
      <c r="Z362" s="162"/>
      <c r="AA362" s="162"/>
      <c r="AB362" s="162"/>
      <c r="AC362" s="162"/>
      <c r="AD362" s="162"/>
      <c r="AE362" s="162"/>
      <c r="AF362" s="162"/>
      <c r="AG362" s="162"/>
      <c r="AH362" s="162"/>
      <c r="AI362" s="162"/>
      <c r="AJ362" s="162"/>
      <c r="AK362" s="162">
        <v>680</v>
      </c>
      <c r="AL362" s="162">
        <v>0</v>
      </c>
      <c r="AM362" s="162"/>
      <c r="AN362" s="162"/>
      <c r="AO362" s="162">
        <v>0</v>
      </c>
      <c r="AP362" s="162">
        <v>0</v>
      </c>
      <c r="AQ362" s="162">
        <v>0</v>
      </c>
      <c r="AR362" s="162">
        <v>0</v>
      </c>
      <c r="AS362" s="162">
        <v>0</v>
      </c>
      <c r="AT362" s="162">
        <v>0</v>
      </c>
      <c r="AU362" s="162">
        <v>0</v>
      </c>
      <c r="AV362" s="162">
        <v>0</v>
      </c>
      <c r="AW362" s="162">
        <v>0</v>
      </c>
      <c r="AX362" s="162">
        <v>0</v>
      </c>
      <c r="AY362" s="162">
        <v>0</v>
      </c>
      <c r="AZ362" s="162">
        <v>0</v>
      </c>
      <c r="BA362" s="162"/>
      <c r="BB362" s="162"/>
      <c r="BC362" s="162">
        <v>0</v>
      </c>
      <c r="BD362" s="162">
        <v>0</v>
      </c>
      <c r="BE362" s="162">
        <v>0</v>
      </c>
      <c r="BF362" s="162">
        <v>0</v>
      </c>
      <c r="BG362" s="162">
        <v>0</v>
      </c>
      <c r="BH362" s="162">
        <v>0</v>
      </c>
      <c r="BI362" s="162">
        <v>0</v>
      </c>
      <c r="BJ362" s="162">
        <v>0</v>
      </c>
      <c r="BK362" s="162">
        <v>0</v>
      </c>
      <c r="BL362" s="162">
        <v>0</v>
      </c>
      <c r="BM362" s="162">
        <v>0</v>
      </c>
      <c r="BN362" s="162">
        <v>0</v>
      </c>
      <c r="BO362" s="162"/>
      <c r="BP362" s="162"/>
      <c r="BQ362" s="162">
        <v>0</v>
      </c>
      <c r="BR362" s="162">
        <v>0</v>
      </c>
      <c r="BS362" s="162">
        <v>0</v>
      </c>
      <c r="BT362" s="162">
        <v>0</v>
      </c>
      <c r="BU362" s="162">
        <v>0</v>
      </c>
      <c r="BV362" s="162">
        <v>0</v>
      </c>
      <c r="BW362" s="162"/>
      <c r="BX362" s="162"/>
      <c r="BY362" s="162">
        <v>0</v>
      </c>
      <c r="BZ362" s="162">
        <v>0</v>
      </c>
      <c r="CA362" s="162">
        <v>0</v>
      </c>
      <c r="CB362" s="162">
        <v>0</v>
      </c>
      <c r="CC362" s="162">
        <v>0</v>
      </c>
      <c r="CD362" s="162">
        <v>0</v>
      </c>
      <c r="CE362" s="162">
        <f>VLOOKUP(I362,[120]REV33!$A:$O,11,0)</f>
        <v>0</v>
      </c>
      <c r="CF362" s="162">
        <f>VLOOKUP(I362,[120]REV33!$A:$O,12,0)</f>
        <v>0</v>
      </c>
      <c r="CG362" s="162"/>
      <c r="CH362" s="162"/>
      <c r="CI362" s="162"/>
      <c r="CJ362" s="162"/>
      <c r="CK362" s="162"/>
      <c r="CL362" s="162"/>
      <c r="CM362" s="162"/>
      <c r="CN362" s="162"/>
      <c r="CO362" s="162">
        <v>0</v>
      </c>
      <c r="CP362" s="162">
        <v>0</v>
      </c>
      <c r="CQ362" s="162">
        <v>0</v>
      </c>
      <c r="CR362" s="162">
        <v>0</v>
      </c>
      <c r="CS362" s="209">
        <f>Q362+S362+U362+W362+Y362+AA362+AC362+AE362+AG362+AI362+AK362+AM362+AO362+AQ362+AS362+AU362+AW362+AY362+BA362+BC362+BE362+BG362+BI362+BK362+BM362+BO362+BQ362+BS362+BU362+BW362+BY362+CA362+CC362+CE362+CG362+CI362+CK362+CM362+CO362+CQ362</f>
        <v>680</v>
      </c>
      <c r="CT362" s="209">
        <f>R362+T362+V362+X362+Z362+AB362+AD362+AF362+AH362+AJ362+AL362+AN362+AP362+AR362+AT362+AV362+AX362+AZ362+BB362+BD362+BF362+BH362+BJ362+BL362+BN362+BP362+BR362+BT362+BV362+BX362+BZ362+CB362+CD362+CF362+CH362+CJ362+CL362+CN362+CP362+CR362</f>
        <v>0</v>
      </c>
      <c r="CU362" s="206" t="s">
        <v>1000</v>
      </c>
      <c r="CV362" s="156"/>
      <c r="CZ362" s="157"/>
      <c r="DA362" s="152">
        <f t="shared" si="327"/>
        <v>680</v>
      </c>
      <c r="DB362" s="152" t="str">
        <f t="shared" si="328"/>
        <v>0</v>
      </c>
      <c r="DC362" s="153"/>
      <c r="DD362" s="158" t="s">
        <v>2212</v>
      </c>
      <c r="DE362" s="156" t="s">
        <v>435</v>
      </c>
      <c r="DF362" s="174" t="s">
        <v>1230</v>
      </c>
      <c r="DG362" s="176" t="s">
        <v>1223</v>
      </c>
      <c r="DH362" s="240" t="s">
        <v>477</v>
      </c>
      <c r="DI362" s="187">
        <v>45940</v>
      </c>
      <c r="DJ362" s="429">
        <v>680</v>
      </c>
      <c r="DK362" s="240" t="s">
        <v>477</v>
      </c>
      <c r="DL362" s="189">
        <v>5000</v>
      </c>
      <c r="DM362" s="181">
        <f t="shared" si="338"/>
        <v>3740000.0000000005</v>
      </c>
      <c r="DN362" s="446">
        <f t="shared" si="339"/>
        <v>0.10000000000000013</v>
      </c>
      <c r="DO362" s="160">
        <f t="shared" si="340"/>
        <v>3400000</v>
      </c>
      <c r="DP362" s="159">
        <v>45954</v>
      </c>
      <c r="DQ362" s="152">
        <f>SUMIF($I:$I,I362,$DJ:$DJ)</f>
        <v>680</v>
      </c>
      <c r="DR362" s="152">
        <f>SUMIF($I:$I,I362,$DK:$DK)</f>
        <v>0</v>
      </c>
      <c r="EO362" s="152">
        <f>SUMIF($I:$I,I362,$EC:$EC)</f>
        <v>0</v>
      </c>
      <c r="EP362" s="151">
        <f>SUMIF($I:$I,I362,$ED:$ED)</f>
        <v>0</v>
      </c>
      <c r="EQ362" s="153"/>
      <c r="ER362" s="153"/>
      <c r="ES362" s="153"/>
      <c r="ET362" s="153"/>
      <c r="EU362" s="152">
        <f t="shared" si="332"/>
        <v>680</v>
      </c>
      <c r="EV362" s="152">
        <f t="shared" si="333"/>
        <v>0</v>
      </c>
      <c r="EW362" s="152">
        <f t="shared" si="334"/>
        <v>0</v>
      </c>
      <c r="EX362" s="152">
        <f t="shared" si="335"/>
        <v>0</v>
      </c>
      <c r="EY362" s="151" t="str">
        <f t="shared" si="336"/>
        <v>Đủ</v>
      </c>
    </row>
    <row r="363" spans="1:155" s="155" customFormat="1" ht="14" customHeight="1">
      <c r="A363" s="208" t="str">
        <f t="shared" si="337"/>
        <v>Hiện</v>
      </c>
      <c r="B363" s="151" t="str">
        <f t="shared" si="326"/>
        <v>Thiếu</v>
      </c>
      <c r="C363" s="409">
        <f t="shared" si="236"/>
        <v>80</v>
      </c>
      <c r="D363" s="154" t="s">
        <v>435</v>
      </c>
      <c r="E363" s="154">
        <f>C363*DL363*1.1</f>
        <v>484000.00000000006</v>
      </c>
      <c r="F363" s="154"/>
      <c r="G363" s="151"/>
      <c r="H363" s="364"/>
      <c r="I363" s="163" t="s">
        <v>850</v>
      </c>
      <c r="J363" s="164" t="s">
        <v>751</v>
      </c>
      <c r="K363" s="171" t="s">
        <v>851</v>
      </c>
      <c r="L363" s="171" t="s">
        <v>753</v>
      </c>
      <c r="M363" s="163" t="s">
        <v>345</v>
      </c>
      <c r="N363" s="173">
        <v>0</v>
      </c>
      <c r="O363" s="419">
        <v>284</v>
      </c>
      <c r="P363" s="205"/>
      <c r="S363" s="161"/>
      <c r="T363" s="162"/>
      <c r="U363" s="162"/>
      <c r="V363" s="162"/>
      <c r="W363" s="162"/>
      <c r="X363" s="162"/>
      <c r="Y363" s="162"/>
      <c r="Z363" s="162"/>
      <c r="AA363" s="162"/>
      <c r="AB363" s="162"/>
      <c r="AC363" s="162"/>
      <c r="AD363" s="162"/>
      <c r="AE363" s="162"/>
      <c r="AF363" s="162"/>
      <c r="AG363" s="162"/>
      <c r="AH363" s="162"/>
      <c r="AI363" s="162"/>
      <c r="AJ363" s="162"/>
      <c r="AK363" s="162">
        <v>300</v>
      </c>
      <c r="AL363" s="162">
        <v>0</v>
      </c>
      <c r="AM363" s="162"/>
      <c r="AN363" s="162"/>
      <c r="AO363" s="162">
        <v>0</v>
      </c>
      <c r="AP363" s="162">
        <v>0</v>
      </c>
      <c r="AQ363" s="162">
        <v>0</v>
      </c>
      <c r="AR363" s="162">
        <v>0</v>
      </c>
      <c r="AS363" s="162">
        <v>0</v>
      </c>
      <c r="AT363" s="162">
        <v>0</v>
      </c>
      <c r="AU363" s="162">
        <v>0</v>
      </c>
      <c r="AV363" s="162">
        <v>0</v>
      </c>
      <c r="AW363" s="162">
        <v>0</v>
      </c>
      <c r="AX363" s="162">
        <v>0</v>
      </c>
      <c r="AY363" s="162">
        <v>0</v>
      </c>
      <c r="AZ363" s="162">
        <v>0</v>
      </c>
      <c r="BA363" s="162"/>
      <c r="BB363" s="162"/>
      <c r="BC363" s="162">
        <v>0</v>
      </c>
      <c r="BD363" s="162">
        <v>0</v>
      </c>
      <c r="BE363" s="162">
        <v>0</v>
      </c>
      <c r="BF363" s="162">
        <v>0</v>
      </c>
      <c r="BG363" s="162">
        <v>0</v>
      </c>
      <c r="BH363" s="162">
        <v>0</v>
      </c>
      <c r="BI363" s="162">
        <v>0</v>
      </c>
      <c r="BJ363" s="162">
        <v>0</v>
      </c>
      <c r="BK363" s="162">
        <v>0</v>
      </c>
      <c r="BL363" s="162">
        <v>0</v>
      </c>
      <c r="BM363" s="162">
        <v>0</v>
      </c>
      <c r="BN363" s="162">
        <v>0</v>
      </c>
      <c r="BO363" s="162"/>
      <c r="BP363" s="162"/>
      <c r="BQ363" s="162">
        <v>0</v>
      </c>
      <c r="BR363" s="162">
        <v>0</v>
      </c>
      <c r="BS363" s="162">
        <v>0</v>
      </c>
      <c r="BT363" s="162">
        <v>0</v>
      </c>
      <c r="BU363" s="162">
        <v>0</v>
      </c>
      <c r="BV363" s="162">
        <v>0</v>
      </c>
      <c r="BW363" s="162"/>
      <c r="BX363" s="162"/>
      <c r="BY363" s="162">
        <v>0</v>
      </c>
      <c r="BZ363" s="162">
        <v>0</v>
      </c>
      <c r="CA363" s="162">
        <v>0</v>
      </c>
      <c r="CB363" s="162">
        <v>0</v>
      </c>
      <c r="CC363" s="162">
        <v>0</v>
      </c>
      <c r="CD363" s="162">
        <v>0</v>
      </c>
      <c r="CE363" s="162">
        <f>VLOOKUP(I363,[120]REV33!$A:$O,11,0)</f>
        <v>0</v>
      </c>
      <c r="CF363" s="162">
        <f>VLOOKUP(I363,[120]REV33!$A:$O,12,0)</f>
        <v>0</v>
      </c>
      <c r="CG363" s="162"/>
      <c r="CH363" s="162"/>
      <c r="CI363" s="162"/>
      <c r="CJ363" s="162"/>
      <c r="CK363" s="162"/>
      <c r="CL363" s="162"/>
      <c r="CM363" s="162"/>
      <c r="CN363" s="162"/>
      <c r="CO363" s="162">
        <v>80</v>
      </c>
      <c r="CP363" s="162">
        <v>0</v>
      </c>
      <c r="CQ363" s="162">
        <v>0</v>
      </c>
      <c r="CR363" s="162">
        <v>0</v>
      </c>
      <c r="CS363" s="209">
        <f>Q363+S363+U363+W363+Y363+AA363+AC363+AE363+AG363+AI363+AK363+AM363+AO363+AQ363+AS363+AU363+AW363+AY363+BA363+BC363+BE363+BG363+BI363+BK363+BM363+BO363+BQ363+BS363+BU363+BW363+BY363+CA363+CC363+CE363+CG363+CI363+CK363+CM363+CO363+CQ363</f>
        <v>380</v>
      </c>
      <c r="CT363" s="209">
        <f>R363+T363+V363+X363+Z363+AB363+AD363+AF363+AH363+AJ363+AL363+AN363+AP363+AR363+AT363+AV363+AX363+AZ363+BB363+BD363+BF363+BH363+BJ363+BL363+BN363+BP363+BR363+BT363+BV363+BX363+BZ363+CB363+CD363+CF363+CH363+CJ363+CL363+CN363+CP363+CR363</f>
        <v>0</v>
      </c>
      <c r="CU363" s="206" t="s">
        <v>2599</v>
      </c>
      <c r="CV363" s="156"/>
      <c r="CZ363" s="157"/>
      <c r="DA363" s="152">
        <f t="shared" si="327"/>
        <v>380</v>
      </c>
      <c r="DB363" s="152" t="str">
        <f t="shared" si="328"/>
        <v>0</v>
      </c>
      <c r="DC363" s="153"/>
      <c r="DD363" s="158" t="s">
        <v>2212</v>
      </c>
      <c r="DE363" s="156" t="s">
        <v>435</v>
      </c>
      <c r="DF363" s="174" t="s">
        <v>1231</v>
      </c>
      <c r="DG363" s="175" t="s">
        <v>1223</v>
      </c>
      <c r="DH363" s="240" t="s">
        <v>477</v>
      </c>
      <c r="DI363" s="187">
        <v>45940</v>
      </c>
      <c r="DJ363" s="429">
        <v>300</v>
      </c>
      <c r="DK363" s="240" t="s">
        <v>477</v>
      </c>
      <c r="DL363" s="189">
        <v>5500</v>
      </c>
      <c r="DM363" s="181">
        <f t="shared" si="338"/>
        <v>1815000.0000000002</v>
      </c>
      <c r="DN363" s="446">
        <f t="shared" si="339"/>
        <v>0.10000000000000014</v>
      </c>
      <c r="DO363" s="160">
        <f t="shared" si="340"/>
        <v>1650000</v>
      </c>
      <c r="DP363" s="159">
        <v>45954</v>
      </c>
      <c r="DQ363" s="152">
        <f>SUMIF($I:$I,I363,$DJ:$DJ)</f>
        <v>300</v>
      </c>
      <c r="DR363" s="152">
        <f>SUMIF($I:$I,I363,$DK:$DK)</f>
        <v>0</v>
      </c>
      <c r="EO363" s="152">
        <f>SUMIF($I:$I,I363,$EC:$EC)</f>
        <v>0</v>
      </c>
      <c r="EP363" s="151">
        <f>SUMIF($I:$I,I363,$ED:$ED)</f>
        <v>0</v>
      </c>
      <c r="EQ363" s="153"/>
      <c r="ER363" s="153"/>
      <c r="ES363" s="153"/>
      <c r="ET363" s="153"/>
      <c r="EU363" s="152">
        <f t="shared" si="332"/>
        <v>300</v>
      </c>
      <c r="EV363" s="152">
        <f t="shared" si="333"/>
        <v>0</v>
      </c>
      <c r="EW363" s="152">
        <f t="shared" si="334"/>
        <v>80</v>
      </c>
      <c r="EX363" s="152">
        <f t="shared" si="335"/>
        <v>0</v>
      </c>
      <c r="EY363" s="151" t="str">
        <f t="shared" si="336"/>
        <v>Thiếu</v>
      </c>
    </row>
    <row r="364" spans="1:155" s="155" customFormat="1" ht="14" hidden="1" customHeight="1">
      <c r="A364" s="208" t="str">
        <f t="shared" si="337"/>
        <v>Hiện</v>
      </c>
      <c r="B364" s="151" t="str">
        <f t="shared" si="326"/>
        <v>Đủ</v>
      </c>
      <c r="C364" s="409">
        <f t="shared" si="236"/>
        <v>0</v>
      </c>
      <c r="D364" s="154" t="s">
        <v>435</v>
      </c>
      <c r="E364" s="154">
        <f>C364*DL364*1.1</f>
        <v>0</v>
      </c>
      <c r="F364" s="154"/>
      <c r="G364" s="151"/>
      <c r="H364" s="364"/>
      <c r="I364" s="163" t="s">
        <v>852</v>
      </c>
      <c r="J364" s="164" t="s">
        <v>751</v>
      </c>
      <c r="K364" s="171" t="s">
        <v>853</v>
      </c>
      <c r="L364" s="171" t="s">
        <v>753</v>
      </c>
      <c r="M364" s="163" t="s">
        <v>345</v>
      </c>
      <c r="N364" s="173">
        <v>0</v>
      </c>
      <c r="O364" s="419">
        <v>8</v>
      </c>
      <c r="P364" s="205"/>
      <c r="S364" s="161"/>
      <c r="T364" s="162"/>
      <c r="U364" s="162"/>
      <c r="V364" s="162"/>
      <c r="W364" s="162"/>
      <c r="X364" s="162"/>
      <c r="Y364" s="162"/>
      <c r="Z364" s="162"/>
      <c r="AA364" s="162"/>
      <c r="AB364" s="162"/>
      <c r="AC364" s="162"/>
      <c r="AD364" s="162"/>
      <c r="AE364" s="162"/>
      <c r="AF364" s="162"/>
      <c r="AG364" s="162"/>
      <c r="AH364" s="162"/>
      <c r="AI364" s="162"/>
      <c r="AJ364" s="162"/>
      <c r="AK364" s="162">
        <v>12</v>
      </c>
      <c r="AL364" s="162">
        <v>0</v>
      </c>
      <c r="AM364" s="162"/>
      <c r="AN364" s="162"/>
      <c r="AO364" s="162">
        <v>0</v>
      </c>
      <c r="AP364" s="162">
        <v>0</v>
      </c>
      <c r="AQ364" s="162">
        <v>0</v>
      </c>
      <c r="AR364" s="162">
        <v>0</v>
      </c>
      <c r="AS364" s="162">
        <v>0</v>
      </c>
      <c r="AT364" s="162">
        <v>0</v>
      </c>
      <c r="AU364" s="162">
        <v>0</v>
      </c>
      <c r="AV364" s="162">
        <v>0</v>
      </c>
      <c r="AW364" s="162">
        <v>0</v>
      </c>
      <c r="AX364" s="162">
        <v>0</v>
      </c>
      <c r="AY364" s="162">
        <v>0</v>
      </c>
      <c r="AZ364" s="162">
        <v>0</v>
      </c>
      <c r="BA364" s="162"/>
      <c r="BB364" s="162"/>
      <c r="BC364" s="162">
        <v>0</v>
      </c>
      <c r="BD364" s="162">
        <v>0</v>
      </c>
      <c r="BE364" s="162">
        <v>0</v>
      </c>
      <c r="BF364" s="162">
        <v>0</v>
      </c>
      <c r="BG364" s="162">
        <v>0</v>
      </c>
      <c r="BH364" s="162">
        <v>0</v>
      </c>
      <c r="BI364" s="162">
        <v>0</v>
      </c>
      <c r="BJ364" s="162">
        <v>0</v>
      </c>
      <c r="BK364" s="162">
        <v>0</v>
      </c>
      <c r="BL364" s="162">
        <v>0</v>
      </c>
      <c r="BM364" s="162">
        <v>0</v>
      </c>
      <c r="BN364" s="162">
        <v>0</v>
      </c>
      <c r="BO364" s="162"/>
      <c r="BP364" s="162"/>
      <c r="BQ364" s="162">
        <v>0</v>
      </c>
      <c r="BR364" s="162">
        <v>0</v>
      </c>
      <c r="BS364" s="162">
        <v>0</v>
      </c>
      <c r="BT364" s="162">
        <v>0</v>
      </c>
      <c r="BU364" s="162">
        <v>0</v>
      </c>
      <c r="BV364" s="162">
        <v>0</v>
      </c>
      <c r="BW364" s="162"/>
      <c r="BX364" s="162"/>
      <c r="BY364" s="162">
        <v>0</v>
      </c>
      <c r="BZ364" s="162">
        <v>0</v>
      </c>
      <c r="CA364" s="162">
        <v>0</v>
      </c>
      <c r="CB364" s="162">
        <v>0</v>
      </c>
      <c r="CC364" s="162">
        <v>0</v>
      </c>
      <c r="CD364" s="162">
        <v>0</v>
      </c>
      <c r="CE364" s="162">
        <f>VLOOKUP(I364,[120]REV33!$A:$O,11,0)</f>
        <v>0</v>
      </c>
      <c r="CF364" s="162">
        <f>VLOOKUP(I364,[120]REV33!$A:$O,12,0)</f>
        <v>0</v>
      </c>
      <c r="CG364" s="162"/>
      <c r="CH364" s="162"/>
      <c r="CI364" s="162"/>
      <c r="CJ364" s="162"/>
      <c r="CK364" s="162"/>
      <c r="CL364" s="162"/>
      <c r="CM364" s="162"/>
      <c r="CN364" s="162"/>
      <c r="CO364" s="162">
        <v>0</v>
      </c>
      <c r="CP364" s="162">
        <v>0</v>
      </c>
      <c r="CQ364" s="162">
        <v>0</v>
      </c>
      <c r="CR364" s="162">
        <v>0</v>
      </c>
      <c r="CS364" s="209">
        <f>Q364+S364+U364+W364+Y364+AA364+AC364+AE364+AG364+AI364+AK364+AM364+AO364+AQ364+AS364+AU364+AW364+AY364+BA364+BC364+BE364+BG364+BI364+BK364+BM364+BO364+BQ364+BS364+BU364+BW364+BY364+CA364+CC364+CE364+CG364+CI364+CK364+CM364+CO364+CQ364</f>
        <v>12</v>
      </c>
      <c r="CT364" s="209">
        <f>R364+T364+V364+X364+Z364+AB364+AD364+AF364+AH364+AJ364+AL364+AN364+AP364+AR364+AT364+AV364+AX364+AZ364+BB364+BD364+BF364+BH364+BJ364+BL364+BN364+BP364+BR364+BT364+BV364+BX364+BZ364+CB364+CD364+CF364+CH364+CJ364+CL364+CN364+CP364+CR364</f>
        <v>0</v>
      </c>
      <c r="CU364" s="206" t="s">
        <v>1000</v>
      </c>
      <c r="CV364" s="156"/>
      <c r="CZ364" s="157"/>
      <c r="DA364" s="152">
        <f t="shared" si="327"/>
        <v>12</v>
      </c>
      <c r="DB364" s="152" t="str">
        <f t="shared" si="328"/>
        <v>0</v>
      </c>
      <c r="DC364" s="153"/>
      <c r="DD364" s="158" t="s">
        <v>2212</v>
      </c>
      <c r="DE364" s="156" t="s">
        <v>435</v>
      </c>
      <c r="DF364" s="174" t="s">
        <v>1232</v>
      </c>
      <c r="DG364" s="175" t="s">
        <v>1223</v>
      </c>
      <c r="DH364" s="240" t="s">
        <v>477</v>
      </c>
      <c r="DI364" s="187">
        <v>45940</v>
      </c>
      <c r="DJ364" s="429">
        <v>12</v>
      </c>
      <c r="DK364" s="240" t="s">
        <v>477</v>
      </c>
      <c r="DL364" s="189">
        <v>860</v>
      </c>
      <c r="DM364" s="181">
        <f t="shared" si="338"/>
        <v>11352.000000000002</v>
      </c>
      <c r="DN364" s="446">
        <f t="shared" si="339"/>
        <v>0.10000000000000017</v>
      </c>
      <c r="DO364" s="160">
        <f t="shared" si="340"/>
        <v>10320</v>
      </c>
      <c r="DP364" s="159">
        <v>45954</v>
      </c>
      <c r="DQ364" s="152">
        <f>SUMIF($I:$I,I364,$DJ:$DJ)</f>
        <v>12</v>
      </c>
      <c r="DR364" s="152">
        <f>SUMIF($I:$I,I364,$DK:$DK)</f>
        <v>0</v>
      </c>
      <c r="EO364" s="152">
        <f>SUMIF($I:$I,I364,$EC:$EC)</f>
        <v>0</v>
      </c>
      <c r="EP364" s="151">
        <f>SUMIF($I:$I,I364,$ED:$ED)</f>
        <v>0</v>
      </c>
      <c r="EQ364" s="153"/>
      <c r="ER364" s="153"/>
      <c r="ES364" s="153"/>
      <c r="ET364" s="153"/>
      <c r="EU364" s="152">
        <f t="shared" si="332"/>
        <v>12</v>
      </c>
      <c r="EV364" s="152">
        <f t="shared" si="333"/>
        <v>0</v>
      </c>
      <c r="EW364" s="152">
        <f t="shared" si="334"/>
        <v>0</v>
      </c>
      <c r="EX364" s="152">
        <f t="shared" si="335"/>
        <v>0</v>
      </c>
      <c r="EY364" s="151" t="str">
        <f t="shared" si="336"/>
        <v>Đủ</v>
      </c>
    </row>
    <row r="365" spans="1:155" s="155" customFormat="1" ht="14" hidden="1" customHeight="1">
      <c r="A365" s="208" t="str">
        <f t="shared" si="337"/>
        <v>Hiện</v>
      </c>
      <c r="B365" s="151" t="str">
        <f t="shared" si="326"/>
        <v>Đủ</v>
      </c>
      <c r="C365" s="409">
        <f t="shared" si="236"/>
        <v>0</v>
      </c>
      <c r="D365" s="154" t="s">
        <v>435</v>
      </c>
      <c r="E365" s="154">
        <f>C365*DL365*1.1</f>
        <v>0</v>
      </c>
      <c r="F365" s="154"/>
      <c r="G365" s="151"/>
      <c r="H365" s="364"/>
      <c r="I365" s="163" t="s">
        <v>854</v>
      </c>
      <c r="J365" s="164" t="s">
        <v>751</v>
      </c>
      <c r="K365" s="171" t="s">
        <v>855</v>
      </c>
      <c r="L365" s="171" t="s">
        <v>753</v>
      </c>
      <c r="M365" s="163" t="s">
        <v>345</v>
      </c>
      <c r="N365" s="173">
        <v>0</v>
      </c>
      <c r="O365" s="419">
        <v>56</v>
      </c>
      <c r="P365" s="205"/>
      <c r="S365" s="161"/>
      <c r="T365" s="162"/>
      <c r="U365" s="162"/>
      <c r="V365" s="162"/>
      <c r="W365" s="162"/>
      <c r="X365" s="162"/>
      <c r="Y365" s="162"/>
      <c r="Z365" s="162"/>
      <c r="AA365" s="162"/>
      <c r="AB365" s="162"/>
      <c r="AC365" s="162"/>
      <c r="AD365" s="162"/>
      <c r="AE365" s="162"/>
      <c r="AF365" s="162"/>
      <c r="AG365" s="162"/>
      <c r="AH365" s="162"/>
      <c r="AI365" s="162"/>
      <c r="AJ365" s="162"/>
      <c r="AK365" s="162">
        <v>64</v>
      </c>
      <c r="AL365" s="162">
        <v>0</v>
      </c>
      <c r="AM365" s="162"/>
      <c r="AN365" s="162"/>
      <c r="AO365" s="162">
        <v>0</v>
      </c>
      <c r="AP365" s="162">
        <v>0</v>
      </c>
      <c r="AQ365" s="162">
        <v>0</v>
      </c>
      <c r="AR365" s="162">
        <v>0</v>
      </c>
      <c r="AS365" s="162">
        <v>0</v>
      </c>
      <c r="AT365" s="162">
        <v>0</v>
      </c>
      <c r="AU365" s="162">
        <v>0</v>
      </c>
      <c r="AV365" s="162">
        <v>0</v>
      </c>
      <c r="AW365" s="162">
        <v>0</v>
      </c>
      <c r="AX365" s="162">
        <v>0</v>
      </c>
      <c r="AY365" s="162">
        <v>0</v>
      </c>
      <c r="AZ365" s="162">
        <v>0</v>
      </c>
      <c r="BA365" s="162"/>
      <c r="BB365" s="162"/>
      <c r="BC365" s="162">
        <v>0</v>
      </c>
      <c r="BD365" s="162">
        <v>0</v>
      </c>
      <c r="BE365" s="162">
        <v>0</v>
      </c>
      <c r="BF365" s="162">
        <v>0</v>
      </c>
      <c r="BG365" s="162">
        <v>0</v>
      </c>
      <c r="BH365" s="162">
        <v>0</v>
      </c>
      <c r="BI365" s="162">
        <v>0</v>
      </c>
      <c r="BJ365" s="162">
        <v>0</v>
      </c>
      <c r="BK365" s="162">
        <v>0</v>
      </c>
      <c r="BL365" s="162">
        <v>0</v>
      </c>
      <c r="BM365" s="162">
        <v>0</v>
      </c>
      <c r="BN365" s="162">
        <v>0</v>
      </c>
      <c r="BO365" s="162"/>
      <c r="BP365" s="162"/>
      <c r="BQ365" s="162">
        <v>0</v>
      </c>
      <c r="BR365" s="162">
        <v>0</v>
      </c>
      <c r="BS365" s="162">
        <v>0</v>
      </c>
      <c r="BT365" s="162">
        <v>0</v>
      </c>
      <c r="BU365" s="162">
        <v>0</v>
      </c>
      <c r="BV365" s="162">
        <v>0</v>
      </c>
      <c r="BW365" s="162"/>
      <c r="BX365" s="162"/>
      <c r="BY365" s="162">
        <v>0</v>
      </c>
      <c r="BZ365" s="162">
        <v>0</v>
      </c>
      <c r="CA365" s="162">
        <v>0</v>
      </c>
      <c r="CB365" s="162">
        <v>0</v>
      </c>
      <c r="CC365" s="162">
        <v>0</v>
      </c>
      <c r="CD365" s="162">
        <v>0</v>
      </c>
      <c r="CE365" s="162">
        <f>VLOOKUP(I365,[120]REV33!$A:$O,11,0)</f>
        <v>0</v>
      </c>
      <c r="CF365" s="162">
        <f>VLOOKUP(I365,[120]REV33!$A:$O,12,0)</f>
        <v>0</v>
      </c>
      <c r="CG365" s="162"/>
      <c r="CH365" s="162"/>
      <c r="CI365" s="162"/>
      <c r="CJ365" s="162"/>
      <c r="CK365" s="162"/>
      <c r="CL365" s="162"/>
      <c r="CM365" s="162"/>
      <c r="CN365" s="162"/>
      <c r="CO365" s="162">
        <v>0</v>
      </c>
      <c r="CP365" s="162">
        <v>0</v>
      </c>
      <c r="CQ365" s="162">
        <v>0</v>
      </c>
      <c r="CR365" s="162">
        <v>0</v>
      </c>
      <c r="CS365" s="209">
        <f>Q365+S365+U365+W365+Y365+AA365+AC365+AE365+AG365+AI365+AK365+AM365+AO365+AQ365+AS365+AU365+AW365+AY365+BA365+BC365+BE365+BG365+BI365+BK365+BM365+BO365+BQ365+BS365+BU365+BW365+BY365+CA365+CC365+CE365+CG365+CI365+CK365+CM365+CO365+CQ365</f>
        <v>64</v>
      </c>
      <c r="CT365" s="209">
        <f>R365+T365+V365+X365+Z365+AB365+AD365+AF365+AH365+AJ365+AL365+AN365+AP365+AR365+AT365+AV365+AX365+AZ365+BB365+BD365+BF365+BH365+BJ365+BL365+BN365+BP365+BR365+BT365+BV365+BX365+BZ365+CB365+CD365+CF365+CH365+CJ365+CL365+CN365+CP365+CR365</f>
        <v>0</v>
      </c>
      <c r="CU365" s="206" t="s">
        <v>1000</v>
      </c>
      <c r="CV365" s="156"/>
      <c r="CZ365" s="157"/>
      <c r="DA365" s="152">
        <f t="shared" si="327"/>
        <v>64</v>
      </c>
      <c r="DB365" s="152" t="str">
        <f t="shared" si="328"/>
        <v>0</v>
      </c>
      <c r="DC365" s="153"/>
      <c r="DD365" s="158" t="s">
        <v>2212</v>
      </c>
      <c r="DE365" s="156" t="s">
        <v>435</v>
      </c>
      <c r="DF365" s="176" t="s">
        <v>1233</v>
      </c>
      <c r="DG365" s="175" t="s">
        <v>1223</v>
      </c>
      <c r="DH365" s="240" t="s">
        <v>477</v>
      </c>
      <c r="DI365" s="187">
        <v>45940</v>
      </c>
      <c r="DJ365" s="429">
        <v>64</v>
      </c>
      <c r="DK365" s="240" t="s">
        <v>477</v>
      </c>
      <c r="DL365" s="189">
        <v>1090</v>
      </c>
      <c r="DM365" s="181">
        <f t="shared" si="338"/>
        <v>76736</v>
      </c>
      <c r="DN365" s="446">
        <f t="shared" si="339"/>
        <v>0.1</v>
      </c>
      <c r="DO365" s="160">
        <f t="shared" si="340"/>
        <v>69760</v>
      </c>
      <c r="DP365" s="159">
        <v>45954</v>
      </c>
      <c r="DQ365" s="152">
        <f>SUMIF($I:$I,I365,$DJ:$DJ)</f>
        <v>64</v>
      </c>
      <c r="DR365" s="152">
        <f>SUMIF($I:$I,I365,$DK:$DK)</f>
        <v>0</v>
      </c>
      <c r="EO365" s="152">
        <f>SUMIF($I:$I,I365,$EC:$EC)</f>
        <v>0</v>
      </c>
      <c r="EP365" s="151">
        <f>SUMIF($I:$I,I365,$ED:$ED)</f>
        <v>0</v>
      </c>
      <c r="EQ365" s="153"/>
      <c r="ER365" s="153"/>
      <c r="ES365" s="153"/>
      <c r="ET365" s="153"/>
      <c r="EU365" s="152">
        <f t="shared" si="332"/>
        <v>64</v>
      </c>
      <c r="EV365" s="152">
        <f t="shared" si="333"/>
        <v>0</v>
      </c>
      <c r="EW365" s="152">
        <f t="shared" si="334"/>
        <v>0</v>
      </c>
      <c r="EX365" s="152">
        <f t="shared" si="335"/>
        <v>0</v>
      </c>
      <c r="EY365" s="151" t="str">
        <f t="shared" si="336"/>
        <v>Đủ</v>
      </c>
    </row>
    <row r="366" spans="1:155" s="155" customFormat="1" ht="14" hidden="1" customHeight="1">
      <c r="A366" s="208" t="str">
        <f t="shared" si="337"/>
        <v>Hiện</v>
      </c>
      <c r="B366" s="151" t="str">
        <f t="shared" si="326"/>
        <v>Đủ</v>
      </c>
      <c r="C366" s="409">
        <f t="shared" si="236"/>
        <v>0</v>
      </c>
      <c r="D366" s="154" t="s">
        <v>435</v>
      </c>
      <c r="E366" s="154">
        <f>C366*DL366*1.1</f>
        <v>0</v>
      </c>
      <c r="F366" s="154"/>
      <c r="G366" s="151"/>
      <c r="H366" s="364"/>
      <c r="I366" s="163" t="s">
        <v>856</v>
      </c>
      <c r="J366" s="164" t="s">
        <v>751</v>
      </c>
      <c r="K366" s="171" t="s">
        <v>857</v>
      </c>
      <c r="L366" s="171" t="s">
        <v>753</v>
      </c>
      <c r="M366" s="163" t="s">
        <v>345</v>
      </c>
      <c r="N366" s="173">
        <v>0</v>
      </c>
      <c r="O366" s="419">
        <v>40</v>
      </c>
      <c r="P366" s="205"/>
      <c r="S366" s="161"/>
      <c r="T366" s="162"/>
      <c r="U366" s="162"/>
      <c r="V366" s="162"/>
      <c r="W366" s="162"/>
      <c r="X366" s="162"/>
      <c r="Y366" s="162"/>
      <c r="Z366" s="162"/>
      <c r="AA366" s="162"/>
      <c r="AB366" s="162"/>
      <c r="AC366" s="162"/>
      <c r="AD366" s="162"/>
      <c r="AE366" s="162"/>
      <c r="AF366" s="162"/>
      <c r="AG366" s="162"/>
      <c r="AH366" s="162"/>
      <c r="AI366" s="162"/>
      <c r="AJ366" s="162"/>
      <c r="AK366" s="162">
        <v>50</v>
      </c>
      <c r="AL366" s="162">
        <v>0</v>
      </c>
      <c r="AM366" s="162"/>
      <c r="AN366" s="162"/>
      <c r="AO366" s="162">
        <v>0</v>
      </c>
      <c r="AP366" s="162">
        <v>0</v>
      </c>
      <c r="AQ366" s="162">
        <v>0</v>
      </c>
      <c r="AR366" s="162">
        <v>0</v>
      </c>
      <c r="AS366" s="162">
        <v>0</v>
      </c>
      <c r="AT366" s="162">
        <v>0</v>
      </c>
      <c r="AU366" s="162">
        <v>0</v>
      </c>
      <c r="AV366" s="162">
        <v>0</v>
      </c>
      <c r="AW366" s="162">
        <v>0</v>
      </c>
      <c r="AX366" s="162">
        <v>0</v>
      </c>
      <c r="AY366" s="162">
        <v>0</v>
      </c>
      <c r="AZ366" s="162">
        <v>0</v>
      </c>
      <c r="BA366" s="162"/>
      <c r="BB366" s="162"/>
      <c r="BC366" s="162">
        <v>0</v>
      </c>
      <c r="BD366" s="162">
        <v>0</v>
      </c>
      <c r="BE366" s="162">
        <v>0</v>
      </c>
      <c r="BF366" s="162">
        <v>0</v>
      </c>
      <c r="BG366" s="162">
        <v>0</v>
      </c>
      <c r="BH366" s="162">
        <v>0</v>
      </c>
      <c r="BI366" s="162">
        <v>0</v>
      </c>
      <c r="BJ366" s="162">
        <v>0</v>
      </c>
      <c r="BK366" s="162">
        <v>0</v>
      </c>
      <c r="BL366" s="162">
        <v>0</v>
      </c>
      <c r="BM366" s="162">
        <v>0</v>
      </c>
      <c r="BN366" s="162">
        <v>0</v>
      </c>
      <c r="BO366" s="162"/>
      <c r="BP366" s="162"/>
      <c r="BQ366" s="162">
        <v>0</v>
      </c>
      <c r="BR366" s="162">
        <v>0</v>
      </c>
      <c r="BS366" s="162">
        <v>0</v>
      </c>
      <c r="BT366" s="162">
        <v>0</v>
      </c>
      <c r="BU366" s="162">
        <v>0</v>
      </c>
      <c r="BV366" s="162">
        <v>0</v>
      </c>
      <c r="BW366" s="162"/>
      <c r="BX366" s="162"/>
      <c r="BY366" s="162">
        <v>0</v>
      </c>
      <c r="BZ366" s="162">
        <v>0</v>
      </c>
      <c r="CA366" s="162">
        <v>0</v>
      </c>
      <c r="CB366" s="162">
        <v>0</v>
      </c>
      <c r="CC366" s="162">
        <v>0</v>
      </c>
      <c r="CD366" s="162">
        <v>0</v>
      </c>
      <c r="CE366" s="162">
        <f>VLOOKUP(I366,[120]REV33!$A:$O,11,0)</f>
        <v>0</v>
      </c>
      <c r="CF366" s="162">
        <f>VLOOKUP(I366,[120]REV33!$A:$O,12,0)</f>
        <v>0</v>
      </c>
      <c r="CG366" s="162"/>
      <c r="CH366" s="162"/>
      <c r="CI366" s="162"/>
      <c r="CJ366" s="162"/>
      <c r="CK366" s="162"/>
      <c r="CL366" s="162"/>
      <c r="CM366" s="162"/>
      <c r="CN366" s="162"/>
      <c r="CO366" s="162">
        <v>0</v>
      </c>
      <c r="CP366" s="162">
        <v>0</v>
      </c>
      <c r="CQ366" s="162">
        <v>0</v>
      </c>
      <c r="CR366" s="162">
        <v>0</v>
      </c>
      <c r="CS366" s="209">
        <f>Q366+S366+U366+W366+Y366+AA366+AC366+AE366+AG366+AI366+AK366+AM366+AO366+AQ366+AS366+AU366+AW366+AY366+BA366+BC366+BE366+BG366+BI366+BK366+BM366+BO366+BQ366+BS366+BU366+BW366+BY366+CA366+CC366+CE366+CG366+CI366+CK366+CM366+CO366+CQ366</f>
        <v>50</v>
      </c>
      <c r="CT366" s="209">
        <f>R366+T366+V366+X366+Z366+AB366+AD366+AF366+AH366+AJ366+AL366+AN366+AP366+AR366+AT366+AV366+AX366+AZ366+BB366+BD366+BF366+BH366+BJ366+BL366+BN366+BP366+BR366+BT366+BV366+BX366+BZ366+CB366+CD366+CF366+CH366+CJ366+CL366+CN366+CP366+CR366</f>
        <v>0</v>
      </c>
      <c r="CU366" s="206" t="s">
        <v>1000</v>
      </c>
      <c r="CV366" s="156"/>
      <c r="CZ366" s="157"/>
      <c r="DA366" s="152">
        <f t="shared" si="327"/>
        <v>50</v>
      </c>
      <c r="DB366" s="152" t="str">
        <f t="shared" si="328"/>
        <v>0</v>
      </c>
      <c r="DC366" s="153"/>
      <c r="DD366" s="158" t="s">
        <v>2212</v>
      </c>
      <c r="DE366" s="156" t="s">
        <v>435</v>
      </c>
      <c r="DF366" s="174" t="s">
        <v>1233</v>
      </c>
      <c r="DG366" s="175" t="s">
        <v>1223</v>
      </c>
      <c r="DH366" s="240" t="s">
        <v>477</v>
      </c>
      <c r="DI366" s="187">
        <v>45940</v>
      </c>
      <c r="DJ366" s="429">
        <v>50</v>
      </c>
      <c r="DK366" s="240" t="s">
        <v>477</v>
      </c>
      <c r="DL366" s="189">
        <v>1090</v>
      </c>
      <c r="DM366" s="181">
        <f t="shared" si="338"/>
        <v>59950.000000000007</v>
      </c>
      <c r="DN366" s="446">
        <f t="shared" si="339"/>
        <v>0.10000000000000013</v>
      </c>
      <c r="DO366" s="160">
        <f t="shared" si="340"/>
        <v>54500</v>
      </c>
      <c r="DP366" s="159">
        <v>45954</v>
      </c>
      <c r="DQ366" s="152">
        <f>SUMIF($I:$I,I366,$DJ:$DJ)</f>
        <v>50</v>
      </c>
      <c r="DR366" s="152">
        <f>SUMIF($I:$I,I366,$DK:$DK)</f>
        <v>0</v>
      </c>
      <c r="EO366" s="152">
        <f>SUMIF($I:$I,I366,$EC:$EC)</f>
        <v>0</v>
      </c>
      <c r="EP366" s="151">
        <f>SUMIF($I:$I,I366,$ED:$ED)</f>
        <v>0</v>
      </c>
      <c r="EQ366" s="153"/>
      <c r="ER366" s="153"/>
      <c r="ES366" s="153"/>
      <c r="ET366" s="153"/>
      <c r="EU366" s="152">
        <f t="shared" si="332"/>
        <v>50</v>
      </c>
      <c r="EV366" s="152">
        <f t="shared" si="333"/>
        <v>0</v>
      </c>
      <c r="EW366" s="152">
        <f t="shared" si="334"/>
        <v>0</v>
      </c>
      <c r="EX366" s="152">
        <f t="shared" si="335"/>
        <v>0</v>
      </c>
      <c r="EY366" s="151" t="str">
        <f t="shared" si="336"/>
        <v>Đủ</v>
      </c>
    </row>
    <row r="367" spans="1:155" s="155" customFormat="1" ht="14" hidden="1" customHeight="1">
      <c r="A367" s="208" t="str">
        <f t="shared" si="337"/>
        <v>Hiện</v>
      </c>
      <c r="B367" s="151" t="str">
        <f t="shared" si="326"/>
        <v>Đủ</v>
      </c>
      <c r="C367" s="409">
        <f t="shared" si="236"/>
        <v>0</v>
      </c>
      <c r="D367" s="154" t="s">
        <v>435</v>
      </c>
      <c r="E367" s="154">
        <f>C367*DL367*1.1</f>
        <v>0</v>
      </c>
      <c r="F367" s="154"/>
      <c r="G367" s="151"/>
      <c r="H367" s="364"/>
      <c r="I367" s="163" t="s">
        <v>858</v>
      </c>
      <c r="J367" s="164" t="s">
        <v>751</v>
      </c>
      <c r="K367" s="171" t="s">
        <v>859</v>
      </c>
      <c r="L367" s="171" t="s">
        <v>753</v>
      </c>
      <c r="M367" s="163" t="s">
        <v>345</v>
      </c>
      <c r="N367" s="173">
        <v>0</v>
      </c>
      <c r="O367" s="419">
        <v>208</v>
      </c>
      <c r="P367" s="205"/>
      <c r="S367" s="161"/>
      <c r="T367" s="162"/>
      <c r="U367" s="162"/>
      <c r="V367" s="162"/>
      <c r="W367" s="162"/>
      <c r="X367" s="162"/>
      <c r="Y367" s="162"/>
      <c r="Z367" s="162"/>
      <c r="AA367" s="162"/>
      <c r="AB367" s="162"/>
      <c r="AC367" s="162"/>
      <c r="AD367" s="162"/>
      <c r="AE367" s="162"/>
      <c r="AF367" s="162"/>
      <c r="AG367" s="162"/>
      <c r="AH367" s="162"/>
      <c r="AI367" s="162"/>
      <c r="AJ367" s="162"/>
      <c r="AK367" s="162">
        <v>224</v>
      </c>
      <c r="AL367" s="162">
        <v>0</v>
      </c>
      <c r="AM367" s="162"/>
      <c r="AN367" s="162"/>
      <c r="AO367" s="162">
        <v>0</v>
      </c>
      <c r="AP367" s="162">
        <v>0</v>
      </c>
      <c r="AQ367" s="162">
        <v>0</v>
      </c>
      <c r="AR367" s="162">
        <v>0</v>
      </c>
      <c r="AS367" s="162">
        <v>0</v>
      </c>
      <c r="AT367" s="162">
        <v>0</v>
      </c>
      <c r="AU367" s="162">
        <v>0</v>
      </c>
      <c r="AV367" s="162">
        <v>0</v>
      </c>
      <c r="AW367" s="162">
        <v>0</v>
      </c>
      <c r="AX367" s="162">
        <v>0</v>
      </c>
      <c r="AY367" s="162">
        <v>0</v>
      </c>
      <c r="AZ367" s="162">
        <v>0</v>
      </c>
      <c r="BA367" s="162"/>
      <c r="BB367" s="162"/>
      <c r="BC367" s="162">
        <v>0</v>
      </c>
      <c r="BD367" s="162">
        <v>0</v>
      </c>
      <c r="BE367" s="162">
        <v>0</v>
      </c>
      <c r="BF367" s="162">
        <v>0</v>
      </c>
      <c r="BG367" s="162">
        <v>0</v>
      </c>
      <c r="BH367" s="162">
        <v>0</v>
      </c>
      <c r="BI367" s="162">
        <v>0</v>
      </c>
      <c r="BJ367" s="162">
        <v>0</v>
      </c>
      <c r="BK367" s="162">
        <v>0</v>
      </c>
      <c r="BL367" s="162">
        <v>0</v>
      </c>
      <c r="BM367" s="162">
        <v>0</v>
      </c>
      <c r="BN367" s="162">
        <v>0</v>
      </c>
      <c r="BO367" s="162"/>
      <c r="BP367" s="162"/>
      <c r="BQ367" s="162">
        <v>0</v>
      </c>
      <c r="BR367" s="162">
        <v>0</v>
      </c>
      <c r="BS367" s="162">
        <v>0</v>
      </c>
      <c r="BT367" s="162">
        <v>0</v>
      </c>
      <c r="BU367" s="162">
        <v>0</v>
      </c>
      <c r="BV367" s="162">
        <v>0</v>
      </c>
      <c r="BW367" s="162"/>
      <c r="BX367" s="162"/>
      <c r="BY367" s="162">
        <v>0</v>
      </c>
      <c r="BZ367" s="162">
        <v>0</v>
      </c>
      <c r="CA367" s="162">
        <v>0</v>
      </c>
      <c r="CB367" s="162">
        <v>0</v>
      </c>
      <c r="CC367" s="162">
        <v>0</v>
      </c>
      <c r="CD367" s="162">
        <v>0</v>
      </c>
      <c r="CE367" s="162">
        <f>VLOOKUP(I367,[120]REV33!$A:$O,11,0)</f>
        <v>0</v>
      </c>
      <c r="CF367" s="162">
        <f>VLOOKUP(I367,[120]REV33!$A:$O,12,0)</f>
        <v>0</v>
      </c>
      <c r="CG367" s="162"/>
      <c r="CH367" s="162"/>
      <c r="CI367" s="162"/>
      <c r="CJ367" s="162"/>
      <c r="CK367" s="162"/>
      <c r="CL367" s="162"/>
      <c r="CM367" s="162"/>
      <c r="CN367" s="162"/>
      <c r="CO367" s="162">
        <v>0</v>
      </c>
      <c r="CP367" s="162">
        <v>0</v>
      </c>
      <c r="CQ367" s="162">
        <v>0</v>
      </c>
      <c r="CR367" s="162">
        <v>0</v>
      </c>
      <c r="CS367" s="209">
        <f>Q367+S367+U367+W367+Y367+AA367+AC367+AE367+AG367+AI367+AK367+AM367+AO367+AQ367+AS367+AU367+AW367+AY367+BA367+BC367+BE367+BG367+BI367+BK367+BM367+BO367+BQ367+BS367+BU367+BW367+BY367+CA367+CC367+CE367+CG367+CI367+CK367+CM367+CO367+CQ367</f>
        <v>224</v>
      </c>
      <c r="CT367" s="209">
        <f>R367+T367+V367+X367+Z367+AB367+AD367+AF367+AH367+AJ367+AL367+AN367+AP367+AR367+AT367+AV367+AX367+AZ367+BB367+BD367+BF367+BH367+BJ367+BL367+BN367+BP367+BR367+BT367+BV367+BX367+BZ367+CB367+CD367+CF367+CH367+CJ367+CL367+CN367+CP367+CR367</f>
        <v>0</v>
      </c>
      <c r="CU367" s="206" t="s">
        <v>1000</v>
      </c>
      <c r="CV367" s="156"/>
      <c r="CZ367" s="157"/>
      <c r="DA367" s="152">
        <f t="shared" si="327"/>
        <v>224</v>
      </c>
      <c r="DB367" s="152" t="str">
        <f t="shared" si="328"/>
        <v>0</v>
      </c>
      <c r="DC367" s="153"/>
      <c r="DD367" s="158" t="s">
        <v>2212</v>
      </c>
      <c r="DE367" s="156" t="s">
        <v>435</v>
      </c>
      <c r="DF367" s="174" t="s">
        <v>1234</v>
      </c>
      <c r="DG367" s="175" t="s">
        <v>1235</v>
      </c>
      <c r="DH367" s="240" t="s">
        <v>477</v>
      </c>
      <c r="DI367" s="187">
        <v>45940</v>
      </c>
      <c r="DJ367" s="429">
        <v>224</v>
      </c>
      <c r="DK367" s="240" t="s">
        <v>477</v>
      </c>
      <c r="DL367" s="189">
        <v>8000</v>
      </c>
      <c r="DM367" s="181">
        <f t="shared" si="338"/>
        <v>1971200.0000000002</v>
      </c>
      <c r="DN367" s="446">
        <f t="shared" si="339"/>
        <v>0.10000000000000013</v>
      </c>
      <c r="DO367" s="160">
        <f t="shared" si="340"/>
        <v>1792000</v>
      </c>
      <c r="DP367" s="159">
        <v>45954</v>
      </c>
      <c r="DQ367" s="152">
        <f>SUMIF($I:$I,I367,$DJ:$DJ)</f>
        <v>224</v>
      </c>
      <c r="DR367" s="152">
        <f>SUMIF($I:$I,I367,$DK:$DK)</f>
        <v>0</v>
      </c>
      <c r="EO367" s="152">
        <f>SUMIF($I:$I,I367,$EC:$EC)</f>
        <v>0</v>
      </c>
      <c r="EP367" s="151">
        <f>SUMIF($I:$I,I367,$ED:$ED)</f>
        <v>0</v>
      </c>
      <c r="EQ367" s="153"/>
      <c r="ER367" s="153"/>
      <c r="ES367" s="153"/>
      <c r="ET367" s="153"/>
      <c r="EU367" s="152">
        <f t="shared" si="332"/>
        <v>224</v>
      </c>
      <c r="EV367" s="152">
        <f t="shared" si="333"/>
        <v>0</v>
      </c>
      <c r="EW367" s="152">
        <f t="shared" si="334"/>
        <v>0</v>
      </c>
      <c r="EX367" s="152">
        <f t="shared" si="335"/>
        <v>0</v>
      </c>
      <c r="EY367" s="151" t="str">
        <f t="shared" si="336"/>
        <v>Đủ</v>
      </c>
    </row>
    <row r="368" spans="1:155" s="155" customFormat="1" ht="14" hidden="1" customHeight="1">
      <c r="A368" s="208" t="str">
        <f t="shared" si="337"/>
        <v>Hiện</v>
      </c>
      <c r="B368" s="151" t="str">
        <f t="shared" si="326"/>
        <v>Đủ</v>
      </c>
      <c r="C368" s="409">
        <f t="shared" si="236"/>
        <v>0</v>
      </c>
      <c r="D368" s="154" t="s">
        <v>435</v>
      </c>
      <c r="E368" s="154">
        <f>C368*DL368*1.1</f>
        <v>0</v>
      </c>
      <c r="F368" s="154"/>
      <c r="G368" s="151"/>
      <c r="H368" s="364"/>
      <c r="I368" s="163" t="s">
        <v>860</v>
      </c>
      <c r="J368" s="164" t="s">
        <v>751</v>
      </c>
      <c r="K368" s="171" t="s">
        <v>861</v>
      </c>
      <c r="L368" s="171" t="s">
        <v>753</v>
      </c>
      <c r="M368" s="163" t="s">
        <v>345</v>
      </c>
      <c r="N368" s="173">
        <v>0</v>
      </c>
      <c r="O368" s="419">
        <v>104</v>
      </c>
      <c r="P368" s="205"/>
      <c r="S368" s="161"/>
      <c r="T368" s="162"/>
      <c r="U368" s="162"/>
      <c r="V368" s="162"/>
      <c r="W368" s="162"/>
      <c r="X368" s="162"/>
      <c r="Y368" s="162"/>
      <c r="Z368" s="162"/>
      <c r="AA368" s="162"/>
      <c r="AB368" s="162"/>
      <c r="AC368" s="162"/>
      <c r="AD368" s="162"/>
      <c r="AE368" s="162"/>
      <c r="AF368" s="162"/>
      <c r="AG368" s="162"/>
      <c r="AH368" s="162"/>
      <c r="AI368" s="162"/>
      <c r="AJ368" s="162"/>
      <c r="AK368" s="162">
        <v>114</v>
      </c>
      <c r="AL368" s="162">
        <v>0</v>
      </c>
      <c r="AM368" s="162"/>
      <c r="AN368" s="162"/>
      <c r="AO368" s="162">
        <v>0</v>
      </c>
      <c r="AP368" s="162">
        <v>0</v>
      </c>
      <c r="AQ368" s="162">
        <v>0</v>
      </c>
      <c r="AR368" s="162">
        <v>0</v>
      </c>
      <c r="AS368" s="162">
        <v>0</v>
      </c>
      <c r="AT368" s="162">
        <v>0</v>
      </c>
      <c r="AU368" s="162">
        <v>0</v>
      </c>
      <c r="AV368" s="162">
        <v>0</v>
      </c>
      <c r="AW368" s="162">
        <v>0</v>
      </c>
      <c r="AX368" s="162">
        <v>0</v>
      </c>
      <c r="AY368" s="162">
        <v>0</v>
      </c>
      <c r="AZ368" s="162">
        <v>0</v>
      </c>
      <c r="BA368" s="162"/>
      <c r="BB368" s="162"/>
      <c r="BC368" s="162">
        <v>0</v>
      </c>
      <c r="BD368" s="162">
        <v>0</v>
      </c>
      <c r="BE368" s="162">
        <v>0</v>
      </c>
      <c r="BF368" s="162">
        <v>0</v>
      </c>
      <c r="BG368" s="162">
        <v>0</v>
      </c>
      <c r="BH368" s="162">
        <v>0</v>
      </c>
      <c r="BI368" s="162">
        <v>0</v>
      </c>
      <c r="BJ368" s="162">
        <v>0</v>
      </c>
      <c r="BK368" s="162">
        <v>0</v>
      </c>
      <c r="BL368" s="162">
        <v>0</v>
      </c>
      <c r="BM368" s="162">
        <v>0</v>
      </c>
      <c r="BN368" s="162">
        <v>0</v>
      </c>
      <c r="BO368" s="162"/>
      <c r="BP368" s="162"/>
      <c r="BQ368" s="162">
        <v>0</v>
      </c>
      <c r="BR368" s="162">
        <v>0</v>
      </c>
      <c r="BS368" s="162">
        <v>0</v>
      </c>
      <c r="BT368" s="162">
        <v>0</v>
      </c>
      <c r="BU368" s="162">
        <v>0</v>
      </c>
      <c r="BV368" s="162">
        <v>0</v>
      </c>
      <c r="BW368" s="162"/>
      <c r="BX368" s="162"/>
      <c r="BY368" s="162">
        <v>0</v>
      </c>
      <c r="BZ368" s="162">
        <v>0</v>
      </c>
      <c r="CA368" s="162">
        <v>0</v>
      </c>
      <c r="CB368" s="162">
        <v>0</v>
      </c>
      <c r="CC368" s="162">
        <v>0</v>
      </c>
      <c r="CD368" s="162">
        <v>0</v>
      </c>
      <c r="CE368" s="162">
        <f>VLOOKUP(I368,[120]REV33!$A:$O,11,0)</f>
        <v>0</v>
      </c>
      <c r="CF368" s="162">
        <f>VLOOKUP(I368,[120]REV33!$A:$O,12,0)</f>
        <v>0</v>
      </c>
      <c r="CG368" s="162"/>
      <c r="CH368" s="162"/>
      <c r="CI368" s="162"/>
      <c r="CJ368" s="162"/>
      <c r="CK368" s="162"/>
      <c r="CL368" s="162"/>
      <c r="CM368" s="162"/>
      <c r="CN368" s="162"/>
      <c r="CO368" s="162">
        <v>0</v>
      </c>
      <c r="CP368" s="162">
        <v>0</v>
      </c>
      <c r="CQ368" s="162">
        <v>0</v>
      </c>
      <c r="CR368" s="162">
        <v>0</v>
      </c>
      <c r="CS368" s="209">
        <f>Q368+S368+U368+W368+Y368+AA368+AC368+AE368+AG368+AI368+AK368+AM368+AO368+AQ368+AS368+AU368+AW368+AY368+BA368+BC368+BE368+BG368+BI368+BK368+BM368+BO368+BQ368+BS368+BU368+BW368+BY368+CA368+CC368+CE368+CG368+CI368+CK368+CM368+CO368+CQ368</f>
        <v>114</v>
      </c>
      <c r="CT368" s="209">
        <f>R368+T368+V368+X368+Z368+AB368+AD368+AF368+AH368+AJ368+AL368+AN368+AP368+AR368+AT368+AV368+AX368+AZ368+BB368+BD368+BF368+BH368+BJ368+BL368+BN368+BP368+BR368+BT368+BV368+BX368+BZ368+CB368+CD368+CF368+CH368+CJ368+CL368+CN368+CP368+CR368</f>
        <v>0</v>
      </c>
      <c r="CU368" s="206" t="s">
        <v>1000</v>
      </c>
      <c r="CV368" s="156"/>
      <c r="CZ368" s="157"/>
      <c r="DA368" s="152">
        <f t="shared" si="327"/>
        <v>114</v>
      </c>
      <c r="DB368" s="152" t="str">
        <f t="shared" si="328"/>
        <v>0</v>
      </c>
      <c r="DC368" s="153"/>
      <c r="DD368" s="158" t="s">
        <v>2212</v>
      </c>
      <c r="DE368" s="156" t="s">
        <v>435</v>
      </c>
      <c r="DF368" s="174" t="s">
        <v>1236</v>
      </c>
      <c r="DG368" s="175" t="s">
        <v>1223</v>
      </c>
      <c r="DH368" s="240" t="s">
        <v>477</v>
      </c>
      <c r="DI368" s="187">
        <v>45940</v>
      </c>
      <c r="DJ368" s="429">
        <v>114</v>
      </c>
      <c r="DK368" s="240" t="s">
        <v>477</v>
      </c>
      <c r="DL368" s="189">
        <v>2200</v>
      </c>
      <c r="DM368" s="181">
        <f t="shared" si="338"/>
        <v>275880</v>
      </c>
      <c r="DN368" s="446">
        <f t="shared" si="339"/>
        <v>0.1</v>
      </c>
      <c r="DO368" s="160">
        <f t="shared" si="340"/>
        <v>250800</v>
      </c>
      <c r="DP368" s="159">
        <v>45954</v>
      </c>
      <c r="DQ368" s="152">
        <f>SUMIF($I:$I,I368,$DJ:$DJ)</f>
        <v>114</v>
      </c>
      <c r="DR368" s="152">
        <f>SUMIF($I:$I,I368,$DK:$DK)</f>
        <v>0</v>
      </c>
      <c r="EO368" s="152">
        <f>SUMIF($I:$I,I368,$EC:$EC)</f>
        <v>0</v>
      </c>
      <c r="EP368" s="151">
        <f>SUMIF($I:$I,I368,$ED:$ED)</f>
        <v>0</v>
      </c>
      <c r="EQ368" s="153"/>
      <c r="ER368" s="153"/>
      <c r="ES368" s="153"/>
      <c r="ET368" s="153"/>
      <c r="EU368" s="152">
        <f t="shared" si="332"/>
        <v>114</v>
      </c>
      <c r="EV368" s="152">
        <f t="shared" si="333"/>
        <v>0</v>
      </c>
      <c r="EW368" s="152">
        <f t="shared" si="334"/>
        <v>0</v>
      </c>
      <c r="EX368" s="152">
        <f t="shared" si="335"/>
        <v>0</v>
      </c>
      <c r="EY368" s="151" t="str">
        <f t="shared" si="336"/>
        <v>Đủ</v>
      </c>
    </row>
    <row r="369" spans="1:155" s="155" customFormat="1" ht="14" hidden="1" customHeight="1">
      <c r="A369" s="208" t="str">
        <f t="shared" si="337"/>
        <v>Hiện</v>
      </c>
      <c r="B369" s="151" t="str">
        <f t="shared" si="326"/>
        <v>Đủ</v>
      </c>
      <c r="C369" s="409">
        <f t="shared" si="236"/>
        <v>0</v>
      </c>
      <c r="D369" s="154" t="s">
        <v>435</v>
      </c>
      <c r="E369" s="154">
        <f>C369*DL369*1.1</f>
        <v>0</v>
      </c>
      <c r="F369" s="154"/>
      <c r="G369" s="151"/>
      <c r="H369" s="364"/>
      <c r="I369" s="171" t="s">
        <v>862</v>
      </c>
      <c r="J369" s="164" t="s">
        <v>863</v>
      </c>
      <c r="K369" s="171" t="s">
        <v>864</v>
      </c>
      <c r="L369" s="171" t="s">
        <v>865</v>
      </c>
      <c r="M369" s="163" t="s">
        <v>345</v>
      </c>
      <c r="N369" s="173">
        <v>0</v>
      </c>
      <c r="O369" s="419">
        <v>296</v>
      </c>
      <c r="P369" s="205"/>
      <c r="S369" s="161"/>
      <c r="T369" s="162"/>
      <c r="U369" s="162"/>
      <c r="V369" s="162"/>
      <c r="W369" s="162"/>
      <c r="X369" s="162"/>
      <c r="Y369" s="162"/>
      <c r="Z369" s="162"/>
      <c r="AA369" s="162"/>
      <c r="AB369" s="162"/>
      <c r="AC369" s="162"/>
      <c r="AD369" s="162"/>
      <c r="AE369" s="162"/>
      <c r="AF369" s="162"/>
      <c r="AG369" s="162"/>
      <c r="AH369" s="162"/>
      <c r="AI369" s="162"/>
      <c r="AJ369" s="162"/>
      <c r="AK369" s="162">
        <v>320</v>
      </c>
      <c r="AL369" s="162">
        <v>0</v>
      </c>
      <c r="AM369" s="162"/>
      <c r="AN369" s="162"/>
      <c r="AO369" s="162">
        <v>0</v>
      </c>
      <c r="AP369" s="162">
        <v>0</v>
      </c>
      <c r="AQ369" s="162">
        <v>0</v>
      </c>
      <c r="AR369" s="162">
        <v>0</v>
      </c>
      <c r="AS369" s="162">
        <v>0</v>
      </c>
      <c r="AT369" s="162">
        <v>0</v>
      </c>
      <c r="AU369" s="162">
        <v>0</v>
      </c>
      <c r="AV369" s="162">
        <v>0</v>
      </c>
      <c r="AW369" s="162">
        <v>0</v>
      </c>
      <c r="AX369" s="162">
        <v>0</v>
      </c>
      <c r="AY369" s="162">
        <v>0</v>
      </c>
      <c r="AZ369" s="162">
        <v>0</v>
      </c>
      <c r="BA369" s="162"/>
      <c r="BB369" s="162"/>
      <c r="BC369" s="162">
        <v>0</v>
      </c>
      <c r="BD369" s="162">
        <v>0</v>
      </c>
      <c r="BE369" s="162">
        <v>0</v>
      </c>
      <c r="BF369" s="162">
        <v>0</v>
      </c>
      <c r="BG369" s="162">
        <v>0</v>
      </c>
      <c r="BH369" s="162">
        <v>0</v>
      </c>
      <c r="BI369" s="162">
        <v>0</v>
      </c>
      <c r="BJ369" s="162">
        <v>0</v>
      </c>
      <c r="BK369" s="162">
        <v>0</v>
      </c>
      <c r="BL369" s="162">
        <v>0</v>
      </c>
      <c r="BM369" s="162">
        <v>0</v>
      </c>
      <c r="BN369" s="162">
        <v>0</v>
      </c>
      <c r="BO369" s="162"/>
      <c r="BP369" s="162"/>
      <c r="BQ369" s="162">
        <v>0</v>
      </c>
      <c r="BR369" s="162">
        <v>0</v>
      </c>
      <c r="BS369" s="162">
        <v>0</v>
      </c>
      <c r="BT369" s="162">
        <v>0</v>
      </c>
      <c r="BU369" s="162">
        <v>0</v>
      </c>
      <c r="BV369" s="162">
        <v>0</v>
      </c>
      <c r="BW369" s="162"/>
      <c r="BX369" s="162"/>
      <c r="BY369" s="162">
        <v>0</v>
      </c>
      <c r="BZ369" s="162">
        <v>0</v>
      </c>
      <c r="CA369" s="162">
        <v>0</v>
      </c>
      <c r="CB369" s="162">
        <v>0</v>
      </c>
      <c r="CC369" s="162">
        <v>0</v>
      </c>
      <c r="CD369" s="162">
        <v>0</v>
      </c>
      <c r="CE369" s="162">
        <f>VLOOKUP(I369,[120]REV33!$A:$O,11,0)</f>
        <v>0</v>
      </c>
      <c r="CF369" s="162">
        <f>VLOOKUP(I369,[120]REV33!$A:$O,12,0)</f>
        <v>0</v>
      </c>
      <c r="CG369" s="162"/>
      <c r="CH369" s="162"/>
      <c r="CI369" s="162"/>
      <c r="CJ369" s="162"/>
      <c r="CK369" s="162"/>
      <c r="CL369" s="162"/>
      <c r="CM369" s="162"/>
      <c r="CN369" s="162"/>
      <c r="CO369" s="162">
        <v>0</v>
      </c>
      <c r="CP369" s="162">
        <v>0</v>
      </c>
      <c r="CQ369" s="162">
        <v>0</v>
      </c>
      <c r="CR369" s="162">
        <v>0</v>
      </c>
      <c r="CS369" s="209">
        <f>Q369+S369+U369+W369+Y369+AA369+AC369+AE369+AG369+AI369+AK369+AM369+AO369+AQ369+AS369+AU369+AW369+AY369+BA369+BC369+BE369+BG369+BI369+BK369+BM369+BO369+BQ369+BS369+BU369+BW369+BY369+CA369+CC369+CE369+CG369+CI369+CK369+CM369+CO369+CQ369</f>
        <v>320</v>
      </c>
      <c r="CT369" s="209">
        <f>R369+T369+V369+X369+Z369+AB369+AD369+AF369+AH369+AJ369+AL369+AN369+AP369+AR369+AT369+AV369+AX369+AZ369+BB369+BD369+BF369+BH369+BJ369+BL369+BN369+BP369+BR369+BT369+BV369+BX369+BZ369+CB369+CD369+CF369+CH369+CJ369+CL369+CN369+CP369+CR369</f>
        <v>0</v>
      </c>
      <c r="CU369" s="206" t="s">
        <v>1000</v>
      </c>
      <c r="CV369" s="156"/>
      <c r="CZ369" s="157"/>
      <c r="DA369" s="152">
        <f t="shared" si="327"/>
        <v>320</v>
      </c>
      <c r="DB369" s="152" t="str">
        <f t="shared" si="328"/>
        <v>0</v>
      </c>
      <c r="DC369" s="153"/>
      <c r="DD369" s="158" t="s">
        <v>2212</v>
      </c>
      <c r="DE369" s="156" t="s">
        <v>435</v>
      </c>
      <c r="DF369" s="174" t="s">
        <v>1237</v>
      </c>
      <c r="DG369" s="175" t="s">
        <v>1238</v>
      </c>
      <c r="DH369" s="240" t="s">
        <v>477</v>
      </c>
      <c r="DI369" s="187">
        <v>45940</v>
      </c>
      <c r="DJ369" s="429">
        <v>320</v>
      </c>
      <c r="DK369" s="240" t="s">
        <v>477</v>
      </c>
      <c r="DL369" s="189">
        <v>810</v>
      </c>
      <c r="DM369" s="181">
        <f t="shared" si="338"/>
        <v>285120</v>
      </c>
      <c r="DN369" s="446">
        <f t="shared" si="339"/>
        <v>0.1</v>
      </c>
      <c r="DO369" s="160">
        <f t="shared" si="340"/>
        <v>259200</v>
      </c>
      <c r="DP369" s="159">
        <v>45954</v>
      </c>
      <c r="DQ369" s="152">
        <f>SUMIF($I:$I,I369,$DJ:$DJ)</f>
        <v>320</v>
      </c>
      <c r="DR369" s="152">
        <f>SUMIF($I:$I,I369,$DK:$DK)</f>
        <v>0</v>
      </c>
      <c r="EO369" s="152">
        <f>SUMIF($I:$I,I369,$EC:$EC)</f>
        <v>0</v>
      </c>
      <c r="EP369" s="151">
        <f>SUMIF($I:$I,I369,$ED:$ED)</f>
        <v>0</v>
      </c>
      <c r="EQ369" s="153"/>
      <c r="ER369" s="153"/>
      <c r="ES369" s="153"/>
      <c r="ET369" s="153"/>
      <c r="EU369" s="152">
        <f t="shared" si="332"/>
        <v>320</v>
      </c>
      <c r="EV369" s="152">
        <f t="shared" si="333"/>
        <v>0</v>
      </c>
      <c r="EW369" s="152">
        <f t="shared" si="334"/>
        <v>0</v>
      </c>
      <c r="EX369" s="152">
        <f t="shared" si="335"/>
        <v>0</v>
      </c>
      <c r="EY369" s="151" t="str">
        <f t="shared" si="336"/>
        <v>Đủ</v>
      </c>
    </row>
    <row r="370" spans="1:155" s="155" customFormat="1" ht="14" hidden="1" customHeight="1">
      <c r="A370" s="208" t="str">
        <f t="shared" si="337"/>
        <v>Hiện</v>
      </c>
      <c r="B370" s="151" t="str">
        <f t="shared" si="326"/>
        <v>Đủ</v>
      </c>
      <c r="C370" s="409">
        <f t="shared" si="236"/>
        <v>0</v>
      </c>
      <c r="D370" s="154" t="s">
        <v>435</v>
      </c>
      <c r="E370" s="154">
        <f>C370*DL370*1.1</f>
        <v>0</v>
      </c>
      <c r="F370" s="154"/>
      <c r="G370" s="151"/>
      <c r="H370" s="364"/>
      <c r="I370" s="171" t="s">
        <v>866</v>
      </c>
      <c r="J370" s="164" t="s">
        <v>863</v>
      </c>
      <c r="K370" s="171" t="s">
        <v>867</v>
      </c>
      <c r="L370" s="171" t="s">
        <v>868</v>
      </c>
      <c r="M370" s="163" t="s">
        <v>345</v>
      </c>
      <c r="N370" s="173">
        <v>0</v>
      </c>
      <c r="O370" s="419">
        <v>808</v>
      </c>
      <c r="P370" s="205"/>
      <c r="S370" s="161"/>
      <c r="T370" s="162"/>
      <c r="U370" s="162"/>
      <c r="V370" s="162"/>
      <c r="W370" s="162"/>
      <c r="X370" s="162"/>
      <c r="Y370" s="162"/>
      <c r="Z370" s="162"/>
      <c r="AA370" s="162"/>
      <c r="AB370" s="162"/>
      <c r="AC370" s="162"/>
      <c r="AD370" s="162"/>
      <c r="AE370" s="162"/>
      <c r="AF370" s="162"/>
      <c r="AG370" s="162"/>
      <c r="AH370" s="162"/>
      <c r="AI370" s="162"/>
      <c r="AJ370" s="162"/>
      <c r="AK370" s="162">
        <v>872</v>
      </c>
      <c r="AL370" s="162">
        <v>0</v>
      </c>
      <c r="AM370" s="162"/>
      <c r="AN370" s="162"/>
      <c r="AO370" s="162">
        <v>0</v>
      </c>
      <c r="AP370" s="162">
        <v>0</v>
      </c>
      <c r="AQ370" s="162">
        <v>0</v>
      </c>
      <c r="AR370" s="162">
        <v>0</v>
      </c>
      <c r="AS370" s="162">
        <v>0</v>
      </c>
      <c r="AT370" s="162">
        <v>0</v>
      </c>
      <c r="AU370" s="162">
        <v>0</v>
      </c>
      <c r="AV370" s="162">
        <v>0</v>
      </c>
      <c r="AW370" s="162">
        <v>0</v>
      </c>
      <c r="AX370" s="162">
        <v>0</v>
      </c>
      <c r="AY370" s="162">
        <v>0</v>
      </c>
      <c r="AZ370" s="162">
        <v>0</v>
      </c>
      <c r="BA370" s="162"/>
      <c r="BB370" s="162"/>
      <c r="BC370" s="162">
        <v>0</v>
      </c>
      <c r="BD370" s="162">
        <v>0</v>
      </c>
      <c r="BE370" s="162">
        <v>0</v>
      </c>
      <c r="BF370" s="162">
        <v>0</v>
      </c>
      <c r="BG370" s="162">
        <v>0</v>
      </c>
      <c r="BH370" s="162">
        <v>0</v>
      </c>
      <c r="BI370" s="162">
        <v>0</v>
      </c>
      <c r="BJ370" s="162">
        <v>0</v>
      </c>
      <c r="BK370" s="162">
        <v>0</v>
      </c>
      <c r="BL370" s="162">
        <v>0</v>
      </c>
      <c r="BM370" s="162">
        <v>0</v>
      </c>
      <c r="BN370" s="162">
        <v>0</v>
      </c>
      <c r="BO370" s="162"/>
      <c r="BP370" s="162"/>
      <c r="BQ370" s="162">
        <v>0</v>
      </c>
      <c r="BR370" s="162">
        <v>0</v>
      </c>
      <c r="BS370" s="162">
        <v>0</v>
      </c>
      <c r="BT370" s="162">
        <v>0</v>
      </c>
      <c r="BU370" s="162">
        <v>0</v>
      </c>
      <c r="BV370" s="162">
        <v>0</v>
      </c>
      <c r="BW370" s="162"/>
      <c r="BX370" s="162"/>
      <c r="BY370" s="162">
        <v>0</v>
      </c>
      <c r="BZ370" s="162">
        <v>0</v>
      </c>
      <c r="CA370" s="162">
        <v>0</v>
      </c>
      <c r="CB370" s="162">
        <v>0</v>
      </c>
      <c r="CC370" s="162">
        <v>0</v>
      </c>
      <c r="CD370" s="162">
        <v>0</v>
      </c>
      <c r="CE370" s="162">
        <f>VLOOKUP(I370,[120]REV33!$A:$O,11,0)</f>
        <v>0</v>
      </c>
      <c r="CF370" s="162">
        <f>VLOOKUP(I370,[120]REV33!$A:$O,12,0)</f>
        <v>0</v>
      </c>
      <c r="CG370" s="162"/>
      <c r="CH370" s="162"/>
      <c r="CI370" s="162"/>
      <c r="CJ370" s="162"/>
      <c r="CK370" s="162"/>
      <c r="CL370" s="162"/>
      <c r="CM370" s="162"/>
      <c r="CN370" s="162"/>
      <c r="CO370" s="162">
        <v>0</v>
      </c>
      <c r="CP370" s="162">
        <v>0</v>
      </c>
      <c r="CQ370" s="162">
        <v>0</v>
      </c>
      <c r="CR370" s="162">
        <v>0</v>
      </c>
      <c r="CS370" s="209">
        <f>Q370+S370+U370+W370+Y370+AA370+AC370+AE370+AG370+AI370+AK370+AM370+AO370+AQ370+AS370+AU370+AW370+AY370+BA370+BC370+BE370+BG370+BI370+BK370+BM370+BO370+BQ370+BS370+BU370+BW370+BY370+CA370+CC370+CE370+CG370+CI370+CK370+CM370+CO370+CQ370</f>
        <v>872</v>
      </c>
      <c r="CT370" s="209">
        <f>R370+T370+V370+X370+Z370+AB370+AD370+AF370+AH370+AJ370+AL370+AN370+AP370+AR370+AT370+AV370+AX370+AZ370+BB370+BD370+BF370+BH370+BJ370+BL370+BN370+BP370+BR370+BT370+BV370+BX370+BZ370+CB370+CD370+CF370+CH370+CJ370+CL370+CN370+CP370+CR370</f>
        <v>0</v>
      </c>
      <c r="CU370" s="206" t="s">
        <v>1000</v>
      </c>
      <c r="CV370" s="156"/>
      <c r="CZ370" s="157"/>
      <c r="DA370" s="152">
        <f t="shared" si="327"/>
        <v>872</v>
      </c>
      <c r="DB370" s="152" t="str">
        <f t="shared" si="328"/>
        <v>0</v>
      </c>
      <c r="DC370" s="153"/>
      <c r="DD370" s="158" t="s">
        <v>2212</v>
      </c>
      <c r="DE370" s="156" t="s">
        <v>435</v>
      </c>
      <c r="DF370" s="174" t="s">
        <v>1237</v>
      </c>
      <c r="DG370" s="175" t="s">
        <v>1238</v>
      </c>
      <c r="DH370" s="240" t="s">
        <v>477</v>
      </c>
      <c r="DI370" s="187">
        <v>45940</v>
      </c>
      <c r="DJ370" s="429">
        <v>872</v>
      </c>
      <c r="DK370" s="240" t="s">
        <v>477</v>
      </c>
      <c r="DL370" s="189">
        <v>810</v>
      </c>
      <c r="DM370" s="181">
        <f t="shared" si="338"/>
        <v>776952.00000000012</v>
      </c>
      <c r="DN370" s="446">
        <f t="shared" si="339"/>
        <v>0.10000000000000016</v>
      </c>
      <c r="DO370" s="160">
        <f t="shared" si="340"/>
        <v>706320</v>
      </c>
      <c r="DP370" s="159">
        <v>45954</v>
      </c>
      <c r="DQ370" s="152">
        <f>SUMIF($I:$I,I370,$DJ:$DJ)</f>
        <v>872</v>
      </c>
      <c r="DR370" s="152">
        <f>SUMIF($I:$I,I370,$DK:$DK)</f>
        <v>0</v>
      </c>
      <c r="EO370" s="152">
        <f>SUMIF($I:$I,I370,$EC:$EC)</f>
        <v>0</v>
      </c>
      <c r="EP370" s="151">
        <f>SUMIF($I:$I,I370,$ED:$ED)</f>
        <v>0</v>
      </c>
      <c r="EQ370" s="153"/>
      <c r="ER370" s="153"/>
      <c r="ES370" s="153"/>
      <c r="ET370" s="153"/>
      <c r="EU370" s="152">
        <f t="shared" si="332"/>
        <v>872</v>
      </c>
      <c r="EV370" s="152">
        <f t="shared" si="333"/>
        <v>0</v>
      </c>
      <c r="EW370" s="152">
        <f t="shared" si="334"/>
        <v>0</v>
      </c>
      <c r="EX370" s="152">
        <f t="shared" si="335"/>
        <v>0</v>
      </c>
      <c r="EY370" s="151" t="str">
        <f t="shared" si="336"/>
        <v>Đủ</v>
      </c>
    </row>
    <row r="371" spans="1:155" s="155" customFormat="1" ht="14" hidden="1" customHeight="1">
      <c r="A371" s="208" t="str">
        <f t="shared" si="337"/>
        <v>Hiện</v>
      </c>
      <c r="B371" s="151" t="str">
        <f t="shared" si="326"/>
        <v>Đủ</v>
      </c>
      <c r="C371" s="409">
        <f t="shared" si="236"/>
        <v>0</v>
      </c>
      <c r="D371" s="154" t="s">
        <v>435</v>
      </c>
      <c r="E371" s="154">
        <f>C371*DL371*1.1</f>
        <v>0</v>
      </c>
      <c r="F371" s="154"/>
      <c r="G371" s="151"/>
      <c r="H371" s="364"/>
      <c r="I371" s="171" t="s">
        <v>869</v>
      </c>
      <c r="J371" s="164" t="s">
        <v>863</v>
      </c>
      <c r="K371" s="171" t="s">
        <v>870</v>
      </c>
      <c r="L371" s="171" t="s">
        <v>865</v>
      </c>
      <c r="M371" s="163" t="s">
        <v>345</v>
      </c>
      <c r="N371" s="173">
        <v>0</v>
      </c>
      <c r="O371" s="419">
        <v>360</v>
      </c>
      <c r="P371" s="205"/>
      <c r="S371" s="161"/>
      <c r="T371" s="162"/>
      <c r="U371" s="162"/>
      <c r="V371" s="162"/>
      <c r="W371" s="162"/>
      <c r="X371" s="162"/>
      <c r="Y371" s="162"/>
      <c r="Z371" s="162"/>
      <c r="AA371" s="162"/>
      <c r="AB371" s="162"/>
      <c r="AC371" s="162"/>
      <c r="AD371" s="162"/>
      <c r="AE371" s="162"/>
      <c r="AF371" s="162"/>
      <c r="AG371" s="162"/>
      <c r="AH371" s="162"/>
      <c r="AI371" s="162"/>
      <c r="AJ371" s="162"/>
      <c r="AK371" s="162">
        <v>390</v>
      </c>
      <c r="AL371" s="162">
        <v>0</v>
      </c>
      <c r="AM371" s="162"/>
      <c r="AN371" s="162"/>
      <c r="AO371" s="162">
        <v>0</v>
      </c>
      <c r="AP371" s="162">
        <v>0</v>
      </c>
      <c r="AQ371" s="162">
        <v>0</v>
      </c>
      <c r="AR371" s="162">
        <v>0</v>
      </c>
      <c r="AS371" s="162">
        <v>0</v>
      </c>
      <c r="AT371" s="162">
        <v>0</v>
      </c>
      <c r="AU371" s="162">
        <v>0</v>
      </c>
      <c r="AV371" s="162">
        <v>0</v>
      </c>
      <c r="AW371" s="162">
        <v>0</v>
      </c>
      <c r="AX371" s="162">
        <v>0</v>
      </c>
      <c r="AY371" s="162">
        <v>0</v>
      </c>
      <c r="AZ371" s="162">
        <v>0</v>
      </c>
      <c r="BA371" s="162"/>
      <c r="BB371" s="162"/>
      <c r="BC371" s="162">
        <v>0</v>
      </c>
      <c r="BD371" s="162">
        <v>0</v>
      </c>
      <c r="BE371" s="162">
        <v>0</v>
      </c>
      <c r="BF371" s="162">
        <v>0</v>
      </c>
      <c r="BG371" s="162">
        <v>0</v>
      </c>
      <c r="BH371" s="162">
        <v>0</v>
      </c>
      <c r="BI371" s="162">
        <v>0</v>
      </c>
      <c r="BJ371" s="162">
        <v>0</v>
      </c>
      <c r="BK371" s="162">
        <v>0</v>
      </c>
      <c r="BL371" s="162">
        <v>0</v>
      </c>
      <c r="BM371" s="162">
        <v>0</v>
      </c>
      <c r="BN371" s="162">
        <v>0</v>
      </c>
      <c r="BO371" s="162"/>
      <c r="BP371" s="162"/>
      <c r="BQ371" s="162">
        <v>0</v>
      </c>
      <c r="BR371" s="162">
        <v>0</v>
      </c>
      <c r="BS371" s="162">
        <v>0</v>
      </c>
      <c r="BT371" s="162">
        <v>0</v>
      </c>
      <c r="BU371" s="162">
        <v>0</v>
      </c>
      <c r="BV371" s="162">
        <v>0</v>
      </c>
      <c r="BW371" s="162"/>
      <c r="BX371" s="162"/>
      <c r="BY371" s="162">
        <v>0</v>
      </c>
      <c r="BZ371" s="162">
        <v>0</v>
      </c>
      <c r="CA371" s="162">
        <v>0</v>
      </c>
      <c r="CB371" s="162">
        <v>0</v>
      </c>
      <c r="CC371" s="162">
        <v>0</v>
      </c>
      <c r="CD371" s="162">
        <v>0</v>
      </c>
      <c r="CE371" s="162">
        <f>VLOOKUP(I371,[120]REV33!$A:$O,11,0)</f>
        <v>0</v>
      </c>
      <c r="CF371" s="162">
        <f>VLOOKUP(I371,[120]REV33!$A:$O,12,0)</f>
        <v>0</v>
      </c>
      <c r="CG371" s="162"/>
      <c r="CH371" s="162"/>
      <c r="CI371" s="162"/>
      <c r="CJ371" s="162"/>
      <c r="CK371" s="162"/>
      <c r="CL371" s="162"/>
      <c r="CM371" s="162"/>
      <c r="CN371" s="162"/>
      <c r="CO371" s="162">
        <v>0</v>
      </c>
      <c r="CP371" s="162">
        <v>0</v>
      </c>
      <c r="CQ371" s="162">
        <v>0</v>
      </c>
      <c r="CR371" s="162">
        <v>0</v>
      </c>
      <c r="CS371" s="209">
        <f>Q371+S371+U371+W371+Y371+AA371+AC371+AE371+AG371+AI371+AK371+AM371+AO371+AQ371+AS371+AU371+AW371+AY371+BA371+BC371+BE371+BG371+BI371+BK371+BM371+BO371+BQ371+BS371+BU371+BW371+BY371+CA371+CC371+CE371+CG371+CI371+CK371+CM371+CO371+CQ371</f>
        <v>390</v>
      </c>
      <c r="CT371" s="209">
        <f>R371+T371+V371+X371+Z371+AB371+AD371+AF371+AH371+AJ371+AL371+AN371+AP371+AR371+AT371+AV371+AX371+AZ371+BB371+BD371+BF371+BH371+BJ371+BL371+BN371+BP371+BR371+BT371+BV371+BX371+BZ371+CB371+CD371+CF371+CH371+CJ371+CL371+CN371+CP371+CR371</f>
        <v>0</v>
      </c>
      <c r="CU371" s="206" t="s">
        <v>1000</v>
      </c>
      <c r="CV371" s="156"/>
      <c r="CZ371" s="157"/>
      <c r="DA371" s="152">
        <f t="shared" si="327"/>
        <v>390</v>
      </c>
      <c r="DB371" s="152" t="str">
        <f t="shared" si="328"/>
        <v>0</v>
      </c>
      <c r="DC371" s="153"/>
      <c r="DD371" s="158" t="s">
        <v>2212</v>
      </c>
      <c r="DE371" s="156" t="s">
        <v>435</v>
      </c>
      <c r="DF371" s="174" t="s">
        <v>1239</v>
      </c>
      <c r="DG371" s="175" t="s">
        <v>1238</v>
      </c>
      <c r="DH371" s="240" t="s">
        <v>477</v>
      </c>
      <c r="DI371" s="187">
        <v>45940</v>
      </c>
      <c r="DJ371" s="429">
        <v>390</v>
      </c>
      <c r="DK371" s="240" t="s">
        <v>477</v>
      </c>
      <c r="DL371" s="189">
        <v>1210</v>
      </c>
      <c r="DM371" s="181">
        <f t="shared" si="338"/>
        <v>519090.00000000006</v>
      </c>
      <c r="DN371" s="446">
        <f t="shared" si="339"/>
        <v>0.10000000000000012</v>
      </c>
      <c r="DO371" s="160">
        <f t="shared" si="340"/>
        <v>471900</v>
      </c>
      <c r="DP371" s="159">
        <v>45954</v>
      </c>
      <c r="DQ371" s="152">
        <f>SUMIF($I:$I,I371,$DJ:$DJ)</f>
        <v>390</v>
      </c>
      <c r="DR371" s="152">
        <f>SUMIF($I:$I,I371,$DK:$DK)</f>
        <v>0</v>
      </c>
      <c r="EO371" s="152">
        <f>SUMIF($I:$I,I371,$EC:$EC)</f>
        <v>0</v>
      </c>
      <c r="EP371" s="151">
        <f>SUMIF($I:$I,I371,$ED:$ED)</f>
        <v>0</v>
      </c>
      <c r="EQ371" s="153"/>
      <c r="ER371" s="153"/>
      <c r="ES371" s="153"/>
      <c r="ET371" s="153"/>
      <c r="EU371" s="152">
        <f t="shared" si="332"/>
        <v>390</v>
      </c>
      <c r="EV371" s="152">
        <f t="shared" si="333"/>
        <v>0</v>
      </c>
      <c r="EW371" s="152">
        <f t="shared" si="334"/>
        <v>0</v>
      </c>
      <c r="EX371" s="152">
        <f t="shared" si="335"/>
        <v>0</v>
      </c>
      <c r="EY371" s="151" t="str">
        <f t="shared" si="336"/>
        <v>Đủ</v>
      </c>
    </row>
    <row r="372" spans="1:155" s="155" customFormat="1" ht="14" hidden="1" customHeight="1">
      <c r="A372" s="208" t="str">
        <f t="shared" si="337"/>
        <v>Hiện</v>
      </c>
      <c r="B372" s="151" t="str">
        <f t="shared" si="326"/>
        <v>Đủ</v>
      </c>
      <c r="C372" s="409">
        <f t="shared" si="236"/>
        <v>0</v>
      </c>
      <c r="D372" s="154" t="s">
        <v>435</v>
      </c>
      <c r="E372" s="154">
        <f>C372*DL372*1.1</f>
        <v>0</v>
      </c>
      <c r="F372" s="154"/>
      <c r="G372" s="151"/>
      <c r="H372" s="364"/>
      <c r="I372" s="171" t="s">
        <v>871</v>
      </c>
      <c r="J372" s="164" t="s">
        <v>863</v>
      </c>
      <c r="K372" s="171" t="s">
        <v>872</v>
      </c>
      <c r="L372" s="171" t="s">
        <v>868</v>
      </c>
      <c r="M372" s="163" t="s">
        <v>345</v>
      </c>
      <c r="N372" s="173">
        <v>0</v>
      </c>
      <c r="O372" s="419">
        <v>3840</v>
      </c>
      <c r="P372" s="205"/>
      <c r="S372" s="161"/>
      <c r="T372" s="162"/>
      <c r="U372" s="162"/>
      <c r="V372" s="162"/>
      <c r="W372" s="162"/>
      <c r="X372" s="162"/>
      <c r="Y372" s="162"/>
      <c r="Z372" s="162"/>
      <c r="AA372" s="162"/>
      <c r="AB372" s="162"/>
      <c r="AC372" s="162"/>
      <c r="AD372" s="162"/>
      <c r="AE372" s="162"/>
      <c r="AF372" s="162"/>
      <c r="AG372" s="162"/>
      <c r="AH372" s="162"/>
      <c r="AI372" s="162"/>
      <c r="AJ372" s="162"/>
      <c r="AK372" s="162">
        <v>4082</v>
      </c>
      <c r="AL372" s="162">
        <v>0</v>
      </c>
      <c r="AM372" s="162"/>
      <c r="AN372" s="162"/>
      <c r="AO372" s="162">
        <v>0</v>
      </c>
      <c r="AP372" s="162">
        <v>0</v>
      </c>
      <c r="AQ372" s="162">
        <v>0</v>
      </c>
      <c r="AR372" s="162">
        <v>0</v>
      </c>
      <c r="AS372" s="162">
        <v>0</v>
      </c>
      <c r="AT372" s="162">
        <v>0</v>
      </c>
      <c r="AU372" s="162">
        <v>0</v>
      </c>
      <c r="AV372" s="162">
        <v>0</v>
      </c>
      <c r="AW372" s="162">
        <v>0</v>
      </c>
      <c r="AX372" s="162">
        <v>0</v>
      </c>
      <c r="AY372" s="162">
        <v>0</v>
      </c>
      <c r="AZ372" s="162">
        <v>0</v>
      </c>
      <c r="BA372" s="162"/>
      <c r="BB372" s="162"/>
      <c r="BC372" s="162">
        <v>0</v>
      </c>
      <c r="BD372" s="162">
        <v>0</v>
      </c>
      <c r="BE372" s="162">
        <v>0</v>
      </c>
      <c r="BF372" s="162">
        <v>0</v>
      </c>
      <c r="BG372" s="162">
        <v>0</v>
      </c>
      <c r="BH372" s="162">
        <v>0</v>
      </c>
      <c r="BI372" s="162">
        <v>0</v>
      </c>
      <c r="BJ372" s="162">
        <v>0</v>
      </c>
      <c r="BK372" s="162">
        <v>0</v>
      </c>
      <c r="BL372" s="162">
        <v>0</v>
      </c>
      <c r="BM372" s="162">
        <v>0</v>
      </c>
      <c r="BN372" s="162">
        <v>0</v>
      </c>
      <c r="BO372" s="162"/>
      <c r="BP372" s="162"/>
      <c r="BQ372" s="162">
        <v>0</v>
      </c>
      <c r="BR372" s="162">
        <v>0</v>
      </c>
      <c r="BS372" s="162">
        <v>0</v>
      </c>
      <c r="BT372" s="162">
        <v>0</v>
      </c>
      <c r="BU372" s="162">
        <v>0</v>
      </c>
      <c r="BV372" s="162">
        <v>0</v>
      </c>
      <c r="BW372" s="162"/>
      <c r="BX372" s="162"/>
      <c r="BY372" s="162">
        <v>0</v>
      </c>
      <c r="BZ372" s="162">
        <v>0</v>
      </c>
      <c r="CA372" s="162">
        <v>0</v>
      </c>
      <c r="CB372" s="162">
        <v>0</v>
      </c>
      <c r="CC372" s="162">
        <v>0</v>
      </c>
      <c r="CD372" s="162">
        <v>0</v>
      </c>
      <c r="CE372" s="162">
        <f>VLOOKUP(I372,[120]REV33!$A:$O,11,0)</f>
        <v>0</v>
      </c>
      <c r="CF372" s="162">
        <f>VLOOKUP(I372,[120]REV33!$A:$O,12,0)</f>
        <v>0</v>
      </c>
      <c r="CG372" s="162"/>
      <c r="CH372" s="162"/>
      <c r="CI372" s="162"/>
      <c r="CJ372" s="162"/>
      <c r="CK372" s="162"/>
      <c r="CL372" s="162"/>
      <c r="CM372" s="162"/>
      <c r="CN372" s="162"/>
      <c r="CO372" s="162">
        <v>0</v>
      </c>
      <c r="CP372" s="162">
        <v>0</v>
      </c>
      <c r="CQ372" s="162">
        <v>0</v>
      </c>
      <c r="CR372" s="162">
        <v>0</v>
      </c>
      <c r="CS372" s="209">
        <f>Q372+S372+U372+W372+Y372+AA372+AC372+AE372+AG372+AI372+AK372+AM372+AO372+AQ372+AS372+AU372+AW372+AY372+BA372+BC372+BE372+BG372+BI372+BK372+BM372+BO372+BQ372+BS372+BU372+BW372+BY372+CA372+CC372+CE372+CG372+CI372+CK372+CM372+CO372+CQ372</f>
        <v>4082</v>
      </c>
      <c r="CT372" s="209">
        <f>R372+T372+V372+X372+Z372+AB372+AD372+AF372+AH372+AJ372+AL372+AN372+AP372+AR372+AT372+AV372+AX372+AZ372+BB372+BD372+BF372+BH372+BJ372+BL372+BN372+BP372+BR372+BT372+BV372+BX372+BZ372+CB372+CD372+CF372+CH372+CJ372+CL372+CN372+CP372+CR372</f>
        <v>0</v>
      </c>
      <c r="CU372" s="206" t="s">
        <v>1000</v>
      </c>
      <c r="CV372" s="156"/>
      <c r="CZ372" s="157"/>
      <c r="DA372" s="152">
        <f t="shared" si="327"/>
        <v>4082</v>
      </c>
      <c r="DB372" s="152" t="str">
        <f t="shared" si="328"/>
        <v>0</v>
      </c>
      <c r="DC372" s="153"/>
      <c r="DD372" s="158" t="s">
        <v>2212</v>
      </c>
      <c r="DE372" s="156" t="s">
        <v>435</v>
      </c>
      <c r="DF372" s="174" t="s">
        <v>1239</v>
      </c>
      <c r="DG372" s="175" t="s">
        <v>1238</v>
      </c>
      <c r="DH372" s="240" t="s">
        <v>477</v>
      </c>
      <c r="DI372" s="187">
        <v>45940</v>
      </c>
      <c r="DJ372" s="429">
        <v>4082</v>
      </c>
      <c r="DK372" s="240" t="s">
        <v>477</v>
      </c>
      <c r="DL372" s="189">
        <v>1210</v>
      </c>
      <c r="DM372" s="181">
        <f t="shared" si="338"/>
        <v>5433142</v>
      </c>
      <c r="DN372" s="446">
        <f t="shared" si="339"/>
        <v>0.1</v>
      </c>
      <c r="DO372" s="160">
        <f t="shared" si="340"/>
        <v>4939220</v>
      </c>
      <c r="DP372" s="159">
        <v>45954</v>
      </c>
      <c r="DQ372" s="152">
        <f>SUMIF($I:$I,I372,$DJ:$DJ)</f>
        <v>4082</v>
      </c>
      <c r="DR372" s="152">
        <f>SUMIF($I:$I,I372,$DK:$DK)</f>
        <v>0</v>
      </c>
      <c r="EO372" s="152">
        <f>SUMIF($I:$I,I372,$EC:$EC)</f>
        <v>0</v>
      </c>
      <c r="EP372" s="151">
        <f>SUMIF($I:$I,I372,$ED:$ED)</f>
        <v>0</v>
      </c>
      <c r="EQ372" s="153"/>
      <c r="ER372" s="153"/>
      <c r="ES372" s="153"/>
      <c r="ET372" s="153"/>
      <c r="EU372" s="152">
        <f t="shared" si="332"/>
        <v>4082</v>
      </c>
      <c r="EV372" s="152">
        <f t="shared" si="333"/>
        <v>0</v>
      </c>
      <c r="EW372" s="152">
        <f t="shared" si="334"/>
        <v>0</v>
      </c>
      <c r="EX372" s="152">
        <f t="shared" si="335"/>
        <v>0</v>
      </c>
      <c r="EY372" s="151" t="str">
        <f t="shared" si="336"/>
        <v>Đủ</v>
      </c>
    </row>
    <row r="373" spans="1:155" s="155" customFormat="1" ht="14" hidden="1" customHeight="1">
      <c r="A373" s="208" t="str">
        <f t="shared" si="337"/>
        <v>Hiện</v>
      </c>
      <c r="B373" s="151" t="str">
        <f t="shared" si="326"/>
        <v>Đủ</v>
      </c>
      <c r="C373" s="409">
        <f t="shared" si="236"/>
        <v>0</v>
      </c>
      <c r="D373" s="154" t="s">
        <v>435</v>
      </c>
      <c r="E373" s="154">
        <f>C373*DL373*1.1</f>
        <v>0</v>
      </c>
      <c r="F373" s="154"/>
      <c r="G373" s="151"/>
      <c r="H373" s="364"/>
      <c r="I373" s="171" t="s">
        <v>873</v>
      </c>
      <c r="J373" s="164" t="s">
        <v>863</v>
      </c>
      <c r="K373" s="171" t="s">
        <v>874</v>
      </c>
      <c r="L373" s="171" t="s">
        <v>875</v>
      </c>
      <c r="M373" s="163" t="s">
        <v>345</v>
      </c>
      <c r="N373" s="173">
        <v>0</v>
      </c>
      <c r="O373" s="419">
        <v>240</v>
      </c>
      <c r="P373" s="205"/>
      <c r="S373" s="161"/>
      <c r="T373" s="162"/>
      <c r="U373" s="162"/>
      <c r="V373" s="162"/>
      <c r="W373" s="162"/>
      <c r="X373" s="162"/>
      <c r="Y373" s="162"/>
      <c r="Z373" s="162"/>
      <c r="AA373" s="162"/>
      <c r="AB373" s="162"/>
      <c r="AC373" s="162"/>
      <c r="AD373" s="162"/>
      <c r="AE373" s="162"/>
      <c r="AF373" s="162"/>
      <c r="AG373" s="162"/>
      <c r="AH373" s="162"/>
      <c r="AI373" s="162"/>
      <c r="AJ373" s="162"/>
      <c r="AK373" s="162">
        <v>260</v>
      </c>
      <c r="AL373" s="162">
        <v>0</v>
      </c>
      <c r="AM373" s="162"/>
      <c r="AN373" s="162"/>
      <c r="AO373" s="162">
        <v>0</v>
      </c>
      <c r="AP373" s="162">
        <v>0</v>
      </c>
      <c r="AQ373" s="162">
        <v>0</v>
      </c>
      <c r="AR373" s="162">
        <v>0</v>
      </c>
      <c r="AS373" s="162">
        <v>0</v>
      </c>
      <c r="AT373" s="162">
        <v>0</v>
      </c>
      <c r="AU373" s="162">
        <v>0</v>
      </c>
      <c r="AV373" s="162">
        <v>0</v>
      </c>
      <c r="AW373" s="162">
        <v>0</v>
      </c>
      <c r="AX373" s="162">
        <v>0</v>
      </c>
      <c r="AY373" s="162">
        <v>0</v>
      </c>
      <c r="AZ373" s="162">
        <v>0</v>
      </c>
      <c r="BA373" s="162"/>
      <c r="BB373" s="162"/>
      <c r="BC373" s="162">
        <v>0</v>
      </c>
      <c r="BD373" s="162">
        <v>0</v>
      </c>
      <c r="BE373" s="162">
        <v>0</v>
      </c>
      <c r="BF373" s="162">
        <v>0</v>
      </c>
      <c r="BG373" s="162">
        <v>0</v>
      </c>
      <c r="BH373" s="162">
        <v>0</v>
      </c>
      <c r="BI373" s="162">
        <v>0</v>
      </c>
      <c r="BJ373" s="162">
        <v>0</v>
      </c>
      <c r="BK373" s="162">
        <v>0</v>
      </c>
      <c r="BL373" s="162">
        <v>0</v>
      </c>
      <c r="BM373" s="162">
        <v>0</v>
      </c>
      <c r="BN373" s="162">
        <v>0</v>
      </c>
      <c r="BO373" s="162"/>
      <c r="BP373" s="162"/>
      <c r="BQ373" s="162">
        <v>0</v>
      </c>
      <c r="BR373" s="162">
        <v>0</v>
      </c>
      <c r="BS373" s="162">
        <v>0</v>
      </c>
      <c r="BT373" s="162">
        <v>0</v>
      </c>
      <c r="BU373" s="162">
        <v>0</v>
      </c>
      <c r="BV373" s="162">
        <v>0</v>
      </c>
      <c r="BW373" s="162"/>
      <c r="BX373" s="162"/>
      <c r="BY373" s="162">
        <v>0</v>
      </c>
      <c r="BZ373" s="162">
        <v>0</v>
      </c>
      <c r="CA373" s="162">
        <v>0</v>
      </c>
      <c r="CB373" s="162">
        <v>0</v>
      </c>
      <c r="CC373" s="162">
        <v>0</v>
      </c>
      <c r="CD373" s="162">
        <v>0</v>
      </c>
      <c r="CE373" s="162">
        <f>VLOOKUP(I373,[120]REV33!$A:$O,11,0)</f>
        <v>0</v>
      </c>
      <c r="CF373" s="162">
        <f>VLOOKUP(I373,[120]REV33!$A:$O,12,0)</f>
        <v>0</v>
      </c>
      <c r="CG373" s="162"/>
      <c r="CH373" s="162"/>
      <c r="CI373" s="162"/>
      <c r="CJ373" s="162"/>
      <c r="CK373" s="162"/>
      <c r="CL373" s="162"/>
      <c r="CM373" s="162"/>
      <c r="CN373" s="162"/>
      <c r="CO373" s="162">
        <v>0</v>
      </c>
      <c r="CP373" s="162">
        <v>0</v>
      </c>
      <c r="CQ373" s="162">
        <v>0</v>
      </c>
      <c r="CR373" s="162">
        <v>0</v>
      </c>
      <c r="CS373" s="209">
        <f>Q373+S373+U373+W373+Y373+AA373+AC373+AE373+AG373+AI373+AK373+AM373+AO373+AQ373+AS373+AU373+AW373+AY373+BA373+BC373+BE373+BG373+BI373+BK373+BM373+BO373+BQ373+BS373+BU373+BW373+BY373+CA373+CC373+CE373+CG373+CI373+CK373+CM373+CO373+CQ373</f>
        <v>260</v>
      </c>
      <c r="CT373" s="209">
        <f>R373+T373+V373+X373+Z373+AB373+AD373+AF373+AH373+AJ373+AL373+AN373+AP373+AR373+AT373+AV373+AX373+AZ373+BB373+BD373+BF373+BH373+BJ373+BL373+BN373+BP373+BR373+BT373+BV373+BX373+BZ373+CB373+CD373+CF373+CH373+CJ373+CL373+CN373+CP373+CR373</f>
        <v>0</v>
      </c>
      <c r="CU373" s="206" t="s">
        <v>1000</v>
      </c>
      <c r="CV373" s="156"/>
      <c r="CZ373" s="157"/>
      <c r="DA373" s="152">
        <f t="shared" si="327"/>
        <v>260</v>
      </c>
      <c r="DB373" s="152" t="str">
        <f t="shared" si="328"/>
        <v>0</v>
      </c>
      <c r="DC373" s="153"/>
      <c r="DD373" s="158" t="s">
        <v>2212</v>
      </c>
      <c r="DE373" s="156" t="s">
        <v>435</v>
      </c>
      <c r="DF373" s="174" t="s">
        <v>1240</v>
      </c>
      <c r="DG373" s="433" t="s">
        <v>1241</v>
      </c>
      <c r="DH373" s="240" t="s">
        <v>477</v>
      </c>
      <c r="DI373" s="187">
        <v>45940</v>
      </c>
      <c r="DJ373" s="429">
        <v>260</v>
      </c>
      <c r="DK373" s="240" t="s">
        <v>477</v>
      </c>
      <c r="DL373" s="189">
        <v>5000</v>
      </c>
      <c r="DM373" s="181">
        <f t="shared" si="338"/>
        <v>1430000</v>
      </c>
      <c r="DN373" s="446">
        <f t="shared" si="339"/>
        <v>0.1</v>
      </c>
      <c r="DO373" s="160">
        <f t="shared" si="340"/>
        <v>1300000</v>
      </c>
      <c r="DP373" s="159">
        <v>45954</v>
      </c>
      <c r="DQ373" s="152">
        <f>SUMIF($I:$I,I373,$DJ:$DJ)</f>
        <v>260</v>
      </c>
      <c r="DR373" s="152">
        <f>SUMIF($I:$I,I373,$DK:$DK)</f>
        <v>0</v>
      </c>
      <c r="EO373" s="152">
        <f>SUMIF($I:$I,I373,$EC:$EC)</f>
        <v>0</v>
      </c>
      <c r="EP373" s="151">
        <f>SUMIF($I:$I,I373,$ED:$ED)</f>
        <v>0</v>
      </c>
      <c r="EQ373" s="153"/>
      <c r="ER373" s="153"/>
      <c r="ES373" s="153"/>
      <c r="ET373" s="153"/>
      <c r="EU373" s="152">
        <f t="shared" si="332"/>
        <v>260</v>
      </c>
      <c r="EV373" s="152">
        <f t="shared" si="333"/>
        <v>0</v>
      </c>
      <c r="EW373" s="152">
        <f t="shared" si="334"/>
        <v>0</v>
      </c>
      <c r="EX373" s="152">
        <f t="shared" si="335"/>
        <v>0</v>
      </c>
      <c r="EY373" s="151" t="str">
        <f t="shared" si="336"/>
        <v>Đủ</v>
      </c>
    </row>
    <row r="374" spans="1:155" s="155" customFormat="1" ht="14" hidden="1" customHeight="1">
      <c r="A374" s="208" t="str">
        <f t="shared" si="337"/>
        <v>Hiện</v>
      </c>
      <c r="B374" s="151" t="str">
        <f t="shared" si="326"/>
        <v>Đủ</v>
      </c>
      <c r="C374" s="409">
        <f t="shared" si="236"/>
        <v>0</v>
      </c>
      <c r="D374" s="154" t="s">
        <v>435</v>
      </c>
      <c r="E374" s="154">
        <f>C374*DL374*1.1</f>
        <v>0</v>
      </c>
      <c r="F374" s="154"/>
      <c r="G374" s="151"/>
      <c r="H374" s="364"/>
      <c r="I374" s="171" t="s">
        <v>876</v>
      </c>
      <c r="J374" s="164" t="s">
        <v>863</v>
      </c>
      <c r="K374" s="171" t="s">
        <v>877</v>
      </c>
      <c r="L374" s="171" t="s">
        <v>865</v>
      </c>
      <c r="M374" s="163" t="s">
        <v>345</v>
      </c>
      <c r="N374" s="173">
        <v>0</v>
      </c>
      <c r="O374" s="419">
        <v>9520</v>
      </c>
      <c r="P374" s="205"/>
      <c r="S374" s="161"/>
      <c r="T374" s="162"/>
      <c r="U374" s="162"/>
      <c r="V374" s="162"/>
      <c r="W374" s="162"/>
      <c r="X374" s="162"/>
      <c r="Y374" s="162"/>
      <c r="Z374" s="162"/>
      <c r="AA374" s="162"/>
      <c r="AB374" s="162"/>
      <c r="AC374" s="162"/>
      <c r="AD374" s="162"/>
      <c r="AE374" s="162"/>
      <c r="AF374" s="162"/>
      <c r="AG374" s="162"/>
      <c r="AH374" s="162"/>
      <c r="AI374" s="162"/>
      <c r="AJ374" s="162"/>
      <c r="AK374" s="162">
        <v>10012</v>
      </c>
      <c r="AL374" s="162">
        <v>0</v>
      </c>
      <c r="AM374" s="162"/>
      <c r="AN374" s="162"/>
      <c r="AO374" s="162">
        <v>0</v>
      </c>
      <c r="AP374" s="162">
        <v>0</v>
      </c>
      <c r="AQ374" s="162">
        <v>0</v>
      </c>
      <c r="AR374" s="162">
        <v>0</v>
      </c>
      <c r="AS374" s="162">
        <v>0</v>
      </c>
      <c r="AT374" s="162">
        <v>0</v>
      </c>
      <c r="AU374" s="162">
        <v>0</v>
      </c>
      <c r="AV374" s="162">
        <v>0</v>
      </c>
      <c r="AW374" s="162">
        <v>0</v>
      </c>
      <c r="AX374" s="162">
        <v>0</v>
      </c>
      <c r="AY374" s="162">
        <v>0</v>
      </c>
      <c r="AZ374" s="162">
        <v>0</v>
      </c>
      <c r="BA374" s="162"/>
      <c r="BB374" s="162"/>
      <c r="BC374" s="162">
        <v>0</v>
      </c>
      <c r="BD374" s="162">
        <v>0</v>
      </c>
      <c r="BE374" s="162">
        <v>0</v>
      </c>
      <c r="BF374" s="162">
        <v>0</v>
      </c>
      <c r="BG374" s="162">
        <v>0</v>
      </c>
      <c r="BH374" s="162">
        <v>0</v>
      </c>
      <c r="BI374" s="162">
        <v>0</v>
      </c>
      <c r="BJ374" s="162">
        <v>0</v>
      </c>
      <c r="BK374" s="162">
        <v>0</v>
      </c>
      <c r="BL374" s="162">
        <v>0</v>
      </c>
      <c r="BM374" s="162">
        <v>0</v>
      </c>
      <c r="BN374" s="162">
        <v>0</v>
      </c>
      <c r="BO374" s="162"/>
      <c r="BP374" s="162"/>
      <c r="BQ374" s="162">
        <v>0</v>
      </c>
      <c r="BR374" s="162">
        <v>0</v>
      </c>
      <c r="BS374" s="162">
        <v>0</v>
      </c>
      <c r="BT374" s="162">
        <v>0</v>
      </c>
      <c r="BU374" s="162">
        <v>0</v>
      </c>
      <c r="BV374" s="162">
        <v>0</v>
      </c>
      <c r="BW374" s="162"/>
      <c r="BX374" s="162"/>
      <c r="BY374" s="162">
        <v>0</v>
      </c>
      <c r="BZ374" s="162">
        <v>0</v>
      </c>
      <c r="CA374" s="162">
        <v>0</v>
      </c>
      <c r="CB374" s="162">
        <v>0</v>
      </c>
      <c r="CC374" s="162">
        <v>0</v>
      </c>
      <c r="CD374" s="162">
        <v>0</v>
      </c>
      <c r="CE374" s="162">
        <f>VLOOKUP(I374,[120]REV33!$A:$O,11,0)</f>
        <v>0</v>
      </c>
      <c r="CF374" s="162">
        <f>VLOOKUP(I374,[120]REV33!$A:$O,12,0)</f>
        <v>0</v>
      </c>
      <c r="CG374" s="162"/>
      <c r="CH374" s="162"/>
      <c r="CI374" s="162"/>
      <c r="CJ374" s="162"/>
      <c r="CK374" s="162"/>
      <c r="CL374" s="162"/>
      <c r="CM374" s="162"/>
      <c r="CN374" s="162"/>
      <c r="CO374" s="162">
        <v>0</v>
      </c>
      <c r="CP374" s="162">
        <v>0</v>
      </c>
      <c r="CQ374" s="162">
        <v>0</v>
      </c>
      <c r="CR374" s="162">
        <v>0</v>
      </c>
      <c r="CS374" s="209">
        <f>Q374+S374+U374+W374+Y374+AA374+AC374+AE374+AG374+AI374+AK374+AM374+AO374+AQ374+AS374+AU374+AW374+AY374+BA374+BC374+BE374+BG374+BI374+BK374+BM374+BO374+BQ374+BS374+BU374+BW374+BY374+CA374+CC374+CE374+CG374+CI374+CK374+CM374+CO374+CQ374</f>
        <v>10012</v>
      </c>
      <c r="CT374" s="209">
        <f>R374+T374+V374+X374+Z374+AB374+AD374+AF374+AH374+AJ374+AL374+AN374+AP374+AR374+AT374+AV374+AX374+AZ374+BB374+BD374+BF374+BH374+BJ374+BL374+BN374+BP374+BR374+BT374+BV374+BX374+BZ374+CB374+CD374+CF374+CH374+CJ374+CL374+CN374+CP374+CR374</f>
        <v>0</v>
      </c>
      <c r="CU374" s="206" t="s">
        <v>1000</v>
      </c>
      <c r="CV374" s="156"/>
      <c r="CZ374" s="157"/>
      <c r="DA374" s="152">
        <f t="shared" si="327"/>
        <v>10012</v>
      </c>
      <c r="DB374" s="152" t="str">
        <f t="shared" si="328"/>
        <v>0</v>
      </c>
      <c r="DC374" s="153"/>
      <c r="DD374" s="158" t="s">
        <v>2212</v>
      </c>
      <c r="DE374" s="156" t="s">
        <v>435</v>
      </c>
      <c r="DF374" s="174" t="s">
        <v>1242</v>
      </c>
      <c r="DG374" s="175" t="s">
        <v>1238</v>
      </c>
      <c r="DH374" s="240" t="s">
        <v>477</v>
      </c>
      <c r="DI374" s="187">
        <v>45940</v>
      </c>
      <c r="DJ374" s="429">
        <v>10012</v>
      </c>
      <c r="DK374" s="240" t="s">
        <v>477</v>
      </c>
      <c r="DL374" s="189">
        <v>2330</v>
      </c>
      <c r="DM374" s="181">
        <f t="shared" si="338"/>
        <v>25660756.000000004</v>
      </c>
      <c r="DN374" s="446">
        <f t="shared" si="339"/>
        <v>0.10000000000000016</v>
      </c>
      <c r="DO374" s="160">
        <f t="shared" si="340"/>
        <v>23327960</v>
      </c>
      <c r="DP374" s="159">
        <v>45954</v>
      </c>
      <c r="DQ374" s="152">
        <f>SUMIF($I:$I,I374,$DJ:$DJ)</f>
        <v>10012</v>
      </c>
      <c r="DR374" s="152">
        <f>SUMIF($I:$I,I374,$DK:$DK)</f>
        <v>0</v>
      </c>
      <c r="EO374" s="152">
        <f>SUMIF($I:$I,I374,$EC:$EC)</f>
        <v>0</v>
      </c>
      <c r="EP374" s="151">
        <f>SUMIF($I:$I,I374,$ED:$ED)</f>
        <v>0</v>
      </c>
      <c r="EQ374" s="153"/>
      <c r="ER374" s="153"/>
      <c r="ES374" s="153"/>
      <c r="ET374" s="153"/>
      <c r="EU374" s="152">
        <f t="shared" si="332"/>
        <v>10012</v>
      </c>
      <c r="EV374" s="152">
        <f t="shared" si="333"/>
        <v>0</v>
      </c>
      <c r="EW374" s="152">
        <f t="shared" si="334"/>
        <v>0</v>
      </c>
      <c r="EX374" s="152">
        <f t="shared" si="335"/>
        <v>0</v>
      </c>
      <c r="EY374" s="151" t="str">
        <f t="shared" si="336"/>
        <v>Đủ</v>
      </c>
    </row>
    <row r="375" spans="1:155" s="155" customFormat="1" ht="14" hidden="1" customHeight="1">
      <c r="A375" s="208" t="str">
        <f t="shared" si="337"/>
        <v>Hiện</v>
      </c>
      <c r="B375" s="151" t="str">
        <f t="shared" si="326"/>
        <v>Đủ</v>
      </c>
      <c r="C375" s="409">
        <f t="shared" si="236"/>
        <v>0</v>
      </c>
      <c r="D375" s="154" t="s">
        <v>435</v>
      </c>
      <c r="E375" s="154">
        <f>C375*DL375*1.1</f>
        <v>0</v>
      </c>
      <c r="F375" s="154"/>
      <c r="G375" s="151"/>
      <c r="H375" s="364"/>
      <c r="I375" s="171" t="s">
        <v>878</v>
      </c>
      <c r="J375" s="164" t="s">
        <v>863</v>
      </c>
      <c r="K375" s="171" t="s">
        <v>879</v>
      </c>
      <c r="L375" s="171" t="s">
        <v>868</v>
      </c>
      <c r="M375" s="163" t="s">
        <v>345</v>
      </c>
      <c r="N375" s="173">
        <v>0</v>
      </c>
      <c r="O375" s="419">
        <v>6176</v>
      </c>
      <c r="P375" s="205"/>
      <c r="S375" s="161"/>
      <c r="T375" s="162"/>
      <c r="U375" s="162"/>
      <c r="V375" s="162"/>
      <c r="W375" s="162"/>
      <c r="X375" s="162"/>
      <c r="Y375" s="162"/>
      <c r="Z375" s="162"/>
      <c r="AA375" s="162"/>
      <c r="AB375" s="162"/>
      <c r="AC375" s="162"/>
      <c r="AD375" s="162"/>
      <c r="AE375" s="162"/>
      <c r="AF375" s="162"/>
      <c r="AG375" s="162"/>
      <c r="AH375" s="162"/>
      <c r="AI375" s="162"/>
      <c r="AJ375" s="162"/>
      <c r="AK375" s="162">
        <v>6512</v>
      </c>
      <c r="AL375" s="162">
        <v>0</v>
      </c>
      <c r="AM375" s="162"/>
      <c r="AN375" s="162"/>
      <c r="AO375" s="162">
        <v>0</v>
      </c>
      <c r="AP375" s="162">
        <v>0</v>
      </c>
      <c r="AQ375" s="162">
        <v>0</v>
      </c>
      <c r="AR375" s="162">
        <v>0</v>
      </c>
      <c r="AS375" s="162">
        <v>0</v>
      </c>
      <c r="AT375" s="162">
        <v>0</v>
      </c>
      <c r="AU375" s="162">
        <v>0</v>
      </c>
      <c r="AV375" s="162">
        <v>0</v>
      </c>
      <c r="AW375" s="162">
        <v>0</v>
      </c>
      <c r="AX375" s="162">
        <v>0</v>
      </c>
      <c r="AY375" s="162">
        <v>0</v>
      </c>
      <c r="AZ375" s="162">
        <v>0</v>
      </c>
      <c r="BA375" s="162"/>
      <c r="BB375" s="162"/>
      <c r="BC375" s="162">
        <v>0</v>
      </c>
      <c r="BD375" s="162">
        <v>0</v>
      </c>
      <c r="BE375" s="162">
        <v>0</v>
      </c>
      <c r="BF375" s="162">
        <v>0</v>
      </c>
      <c r="BG375" s="162">
        <v>0</v>
      </c>
      <c r="BH375" s="162">
        <v>0</v>
      </c>
      <c r="BI375" s="162">
        <v>0</v>
      </c>
      <c r="BJ375" s="162">
        <v>0</v>
      </c>
      <c r="BK375" s="162">
        <v>0</v>
      </c>
      <c r="BL375" s="162">
        <v>0</v>
      </c>
      <c r="BM375" s="162">
        <v>0</v>
      </c>
      <c r="BN375" s="162">
        <v>0</v>
      </c>
      <c r="BO375" s="162"/>
      <c r="BP375" s="162"/>
      <c r="BQ375" s="162">
        <v>0</v>
      </c>
      <c r="BR375" s="162">
        <v>0</v>
      </c>
      <c r="BS375" s="162">
        <v>0</v>
      </c>
      <c r="BT375" s="162">
        <v>0</v>
      </c>
      <c r="BU375" s="162">
        <v>0</v>
      </c>
      <c r="BV375" s="162">
        <v>0</v>
      </c>
      <c r="BW375" s="162"/>
      <c r="BX375" s="162"/>
      <c r="BY375" s="162">
        <v>0</v>
      </c>
      <c r="BZ375" s="162">
        <v>0</v>
      </c>
      <c r="CA375" s="162">
        <v>0</v>
      </c>
      <c r="CB375" s="162">
        <v>0</v>
      </c>
      <c r="CC375" s="162">
        <v>0</v>
      </c>
      <c r="CD375" s="162">
        <v>0</v>
      </c>
      <c r="CE375" s="162">
        <f>VLOOKUP(I375,[120]REV33!$A:$O,11,0)</f>
        <v>0</v>
      </c>
      <c r="CF375" s="162">
        <f>VLOOKUP(I375,[120]REV33!$A:$O,12,0)</f>
        <v>0</v>
      </c>
      <c r="CG375" s="162"/>
      <c r="CH375" s="162"/>
      <c r="CI375" s="162"/>
      <c r="CJ375" s="162"/>
      <c r="CK375" s="162"/>
      <c r="CL375" s="162"/>
      <c r="CM375" s="162"/>
      <c r="CN375" s="162"/>
      <c r="CO375" s="162">
        <v>0</v>
      </c>
      <c r="CP375" s="162">
        <v>0</v>
      </c>
      <c r="CQ375" s="162">
        <v>0</v>
      </c>
      <c r="CR375" s="162">
        <v>0</v>
      </c>
      <c r="CS375" s="209">
        <f>Q375+S375+U375+W375+Y375+AA375+AC375+AE375+AG375+AI375+AK375+AM375+AO375+AQ375+AS375+AU375+AW375+AY375+BA375+BC375+BE375+BG375+BI375+BK375+BM375+BO375+BQ375+BS375+BU375+BW375+BY375+CA375+CC375+CE375+CG375+CI375+CK375+CM375+CO375+CQ375</f>
        <v>6512</v>
      </c>
      <c r="CT375" s="209">
        <f>R375+T375+V375+X375+Z375+AB375+AD375+AF375+AH375+AJ375+AL375+AN375+AP375+AR375+AT375+AV375+AX375+AZ375+BB375+BD375+BF375+BH375+BJ375+BL375+BN375+BP375+BR375+BT375+BV375+BX375+BZ375+CB375+CD375+CF375+CH375+CJ375+CL375+CN375+CP375+CR375</f>
        <v>0</v>
      </c>
      <c r="CU375" s="206" t="s">
        <v>1000</v>
      </c>
      <c r="CV375" s="156"/>
      <c r="CZ375" s="157"/>
      <c r="DA375" s="152">
        <f t="shared" si="327"/>
        <v>6512</v>
      </c>
      <c r="DB375" s="152" t="str">
        <f t="shared" si="328"/>
        <v>0</v>
      </c>
      <c r="DC375" s="153"/>
      <c r="DD375" s="158" t="s">
        <v>2212</v>
      </c>
      <c r="DE375" s="156" t="s">
        <v>435</v>
      </c>
      <c r="DF375" s="174" t="s">
        <v>1242</v>
      </c>
      <c r="DG375" s="175" t="s">
        <v>1238</v>
      </c>
      <c r="DH375" s="240" t="s">
        <v>477</v>
      </c>
      <c r="DI375" s="187">
        <v>45940</v>
      </c>
      <c r="DJ375" s="429">
        <v>6512</v>
      </c>
      <c r="DK375" s="240" t="s">
        <v>477</v>
      </c>
      <c r="DL375" s="189">
        <v>2330</v>
      </c>
      <c r="DM375" s="181">
        <f t="shared" si="338"/>
        <v>16690256.000000002</v>
      </c>
      <c r="DN375" s="446">
        <f t="shared" si="339"/>
        <v>0.10000000000000012</v>
      </c>
      <c r="DO375" s="160">
        <f t="shared" si="340"/>
        <v>15172960</v>
      </c>
      <c r="DP375" s="159">
        <v>45954</v>
      </c>
      <c r="DQ375" s="152">
        <f>SUMIF($I:$I,I375,$DJ:$DJ)</f>
        <v>6512</v>
      </c>
      <c r="DR375" s="152">
        <f>SUMIF($I:$I,I375,$DK:$DK)</f>
        <v>0</v>
      </c>
      <c r="EO375" s="152">
        <f>SUMIF($I:$I,I375,$EC:$EC)</f>
        <v>0</v>
      </c>
      <c r="EP375" s="151">
        <f>SUMIF($I:$I,I375,$ED:$ED)</f>
        <v>0</v>
      </c>
      <c r="EQ375" s="153"/>
      <c r="ER375" s="153"/>
      <c r="ES375" s="153"/>
      <c r="ET375" s="153"/>
      <c r="EU375" s="152">
        <f t="shared" si="332"/>
        <v>6512</v>
      </c>
      <c r="EV375" s="152">
        <f t="shared" si="333"/>
        <v>0</v>
      </c>
      <c r="EW375" s="152">
        <f t="shared" si="334"/>
        <v>0</v>
      </c>
      <c r="EX375" s="152">
        <f t="shared" si="335"/>
        <v>0</v>
      </c>
      <c r="EY375" s="151" t="str">
        <f t="shared" si="336"/>
        <v>Đủ</v>
      </c>
    </row>
    <row r="376" spans="1:155" s="155" customFormat="1" ht="14" hidden="1" customHeight="1">
      <c r="A376" s="208" t="str">
        <f t="shared" si="337"/>
        <v>Hiện</v>
      </c>
      <c r="B376" s="151" t="str">
        <f t="shared" si="326"/>
        <v>Đủ</v>
      </c>
      <c r="C376" s="409">
        <f t="shared" si="236"/>
        <v>0</v>
      </c>
      <c r="D376" s="154" t="s">
        <v>435</v>
      </c>
      <c r="E376" s="154">
        <f>C376*DL376*1.1</f>
        <v>0</v>
      </c>
      <c r="F376" s="154"/>
      <c r="G376" s="151"/>
      <c r="H376" s="364"/>
      <c r="I376" s="171" t="s">
        <v>880</v>
      </c>
      <c r="J376" s="164" t="s">
        <v>863</v>
      </c>
      <c r="K376" s="171" t="s">
        <v>881</v>
      </c>
      <c r="L376" s="171" t="s">
        <v>882</v>
      </c>
      <c r="M376" s="163" t="s">
        <v>345</v>
      </c>
      <c r="N376" s="173">
        <v>0</v>
      </c>
      <c r="O376" s="419">
        <v>1280</v>
      </c>
      <c r="P376" s="205"/>
      <c r="S376" s="161"/>
      <c r="T376" s="162"/>
      <c r="U376" s="162"/>
      <c r="V376" s="162"/>
      <c r="W376" s="162"/>
      <c r="X376" s="162"/>
      <c r="Y376" s="162"/>
      <c r="Z376" s="162"/>
      <c r="AA376" s="162"/>
      <c r="AB376" s="162"/>
      <c r="AC376" s="162"/>
      <c r="AD376" s="162"/>
      <c r="AE376" s="162"/>
      <c r="AF376" s="162"/>
      <c r="AG376" s="162"/>
      <c r="AH376" s="162"/>
      <c r="AI376" s="162"/>
      <c r="AJ376" s="162"/>
      <c r="AK376" s="162">
        <v>1360</v>
      </c>
      <c r="AL376" s="162">
        <v>0</v>
      </c>
      <c r="AM376" s="162"/>
      <c r="AN376" s="162"/>
      <c r="AO376" s="162">
        <v>0</v>
      </c>
      <c r="AP376" s="162">
        <v>0</v>
      </c>
      <c r="AQ376" s="162">
        <v>0</v>
      </c>
      <c r="AR376" s="162">
        <v>0</v>
      </c>
      <c r="AS376" s="162">
        <v>0</v>
      </c>
      <c r="AT376" s="162">
        <v>0</v>
      </c>
      <c r="AU376" s="162">
        <v>0</v>
      </c>
      <c r="AV376" s="162">
        <v>0</v>
      </c>
      <c r="AW376" s="162">
        <v>0</v>
      </c>
      <c r="AX376" s="162">
        <v>0</v>
      </c>
      <c r="AY376" s="162">
        <v>0</v>
      </c>
      <c r="AZ376" s="162">
        <v>0</v>
      </c>
      <c r="BA376" s="162"/>
      <c r="BB376" s="162"/>
      <c r="BC376" s="162">
        <v>0</v>
      </c>
      <c r="BD376" s="162">
        <v>0</v>
      </c>
      <c r="BE376" s="162">
        <v>0</v>
      </c>
      <c r="BF376" s="162">
        <v>0</v>
      </c>
      <c r="BG376" s="162">
        <v>0</v>
      </c>
      <c r="BH376" s="162">
        <v>0</v>
      </c>
      <c r="BI376" s="162">
        <v>0</v>
      </c>
      <c r="BJ376" s="162">
        <v>0</v>
      </c>
      <c r="BK376" s="162">
        <v>0</v>
      </c>
      <c r="BL376" s="162">
        <v>0</v>
      </c>
      <c r="BM376" s="162">
        <v>0</v>
      </c>
      <c r="BN376" s="162">
        <v>0</v>
      </c>
      <c r="BO376" s="162"/>
      <c r="BP376" s="162"/>
      <c r="BQ376" s="162">
        <v>0</v>
      </c>
      <c r="BR376" s="162">
        <v>0</v>
      </c>
      <c r="BS376" s="162">
        <v>0</v>
      </c>
      <c r="BT376" s="162">
        <v>0</v>
      </c>
      <c r="BU376" s="162">
        <v>0</v>
      </c>
      <c r="BV376" s="162">
        <v>0</v>
      </c>
      <c r="BW376" s="162"/>
      <c r="BX376" s="162"/>
      <c r="BY376" s="162">
        <v>0</v>
      </c>
      <c r="BZ376" s="162">
        <v>0</v>
      </c>
      <c r="CA376" s="162">
        <v>0</v>
      </c>
      <c r="CB376" s="162">
        <v>0</v>
      </c>
      <c r="CC376" s="162">
        <v>0</v>
      </c>
      <c r="CD376" s="162">
        <v>0</v>
      </c>
      <c r="CE376" s="162">
        <f>VLOOKUP(I376,[120]REV33!$A:$O,11,0)</f>
        <v>0</v>
      </c>
      <c r="CF376" s="162">
        <f>VLOOKUP(I376,[120]REV33!$A:$O,12,0)</f>
        <v>0</v>
      </c>
      <c r="CG376" s="162"/>
      <c r="CH376" s="162"/>
      <c r="CI376" s="162"/>
      <c r="CJ376" s="162"/>
      <c r="CK376" s="162"/>
      <c r="CL376" s="162"/>
      <c r="CM376" s="162"/>
      <c r="CN376" s="162"/>
      <c r="CO376" s="162">
        <v>0</v>
      </c>
      <c r="CP376" s="162">
        <v>0</v>
      </c>
      <c r="CQ376" s="162">
        <v>0</v>
      </c>
      <c r="CR376" s="162">
        <v>0</v>
      </c>
      <c r="CS376" s="209">
        <f>Q376+S376+U376+W376+Y376+AA376+AC376+AE376+AG376+AI376+AK376+AM376+AO376+AQ376+AS376+AU376+AW376+AY376+BA376+BC376+BE376+BG376+BI376+BK376+BM376+BO376+BQ376+BS376+BU376+BW376+BY376+CA376+CC376+CE376+CG376+CI376+CK376+CM376+CO376+CQ376</f>
        <v>1360</v>
      </c>
      <c r="CT376" s="209">
        <f>R376+T376+V376+X376+Z376+AB376+AD376+AF376+AH376+AJ376+AL376+AN376+AP376+AR376+AT376+AV376+AX376+AZ376+BB376+BD376+BF376+BH376+BJ376+BL376+BN376+BP376+BR376+BT376+BV376+BX376+BZ376+CB376+CD376+CF376+CH376+CJ376+CL376+CN376+CP376+CR376</f>
        <v>0</v>
      </c>
      <c r="CU376" s="206" t="s">
        <v>1000</v>
      </c>
      <c r="CV376" s="156"/>
      <c r="CZ376" s="157"/>
      <c r="DA376" s="152">
        <f t="shared" si="327"/>
        <v>1360</v>
      </c>
      <c r="DB376" s="152" t="str">
        <f t="shared" si="328"/>
        <v>0</v>
      </c>
      <c r="DC376" s="153"/>
      <c r="DD376" s="158" t="s">
        <v>2212</v>
      </c>
      <c r="DE376" s="156" t="s">
        <v>435</v>
      </c>
      <c r="DF376" s="174" t="s">
        <v>1243</v>
      </c>
      <c r="DG376" s="175" t="s">
        <v>1244</v>
      </c>
      <c r="DH376" s="240" t="s">
        <v>477</v>
      </c>
      <c r="DI376" s="187">
        <v>45940</v>
      </c>
      <c r="DJ376" s="429">
        <v>1360</v>
      </c>
      <c r="DK376" s="240" t="s">
        <v>477</v>
      </c>
      <c r="DL376" s="189">
        <v>6440</v>
      </c>
      <c r="DM376" s="181">
        <f t="shared" si="338"/>
        <v>9634240</v>
      </c>
      <c r="DN376" s="446">
        <f t="shared" si="339"/>
        <v>0.1</v>
      </c>
      <c r="DO376" s="160">
        <f t="shared" si="340"/>
        <v>8758400</v>
      </c>
      <c r="DP376" s="159">
        <v>45954</v>
      </c>
      <c r="DQ376" s="152">
        <f>SUMIF($I:$I,I376,$DJ:$DJ)</f>
        <v>1360</v>
      </c>
      <c r="DR376" s="152">
        <f>SUMIF($I:$I,I376,$DK:$DK)</f>
        <v>0</v>
      </c>
      <c r="EO376" s="152">
        <f>SUMIF($I:$I,I376,$EC:$EC)</f>
        <v>0</v>
      </c>
      <c r="EP376" s="151">
        <f>SUMIF($I:$I,I376,$ED:$ED)</f>
        <v>0</v>
      </c>
      <c r="EQ376" s="153"/>
      <c r="ER376" s="153"/>
      <c r="ES376" s="153"/>
      <c r="ET376" s="153"/>
      <c r="EU376" s="152">
        <f t="shared" si="332"/>
        <v>1360</v>
      </c>
      <c r="EV376" s="152">
        <f t="shared" si="333"/>
        <v>0</v>
      </c>
      <c r="EW376" s="152">
        <f t="shared" si="334"/>
        <v>0</v>
      </c>
      <c r="EX376" s="152">
        <f t="shared" si="335"/>
        <v>0</v>
      </c>
      <c r="EY376" s="151" t="str">
        <f t="shared" si="336"/>
        <v>Đủ</v>
      </c>
    </row>
    <row r="377" spans="1:155" s="155" customFormat="1" ht="14" hidden="1" customHeight="1">
      <c r="A377" s="208" t="str">
        <f t="shared" si="337"/>
        <v>Hiện</v>
      </c>
      <c r="B377" s="151" t="str">
        <f t="shared" si="326"/>
        <v>Đủ</v>
      </c>
      <c r="C377" s="409">
        <f t="shared" ref="C377:C428" si="341">EW377</f>
        <v>0</v>
      </c>
      <c r="D377" s="154" t="s">
        <v>435</v>
      </c>
      <c r="E377" s="154">
        <f>C377*DL377*1.1</f>
        <v>0</v>
      </c>
      <c r="F377" s="154"/>
      <c r="G377" s="151"/>
      <c r="H377" s="364"/>
      <c r="I377" s="171" t="s">
        <v>883</v>
      </c>
      <c r="J377" s="164" t="s">
        <v>863</v>
      </c>
      <c r="K377" s="171" t="s">
        <v>884</v>
      </c>
      <c r="L377" s="171" t="s">
        <v>823</v>
      </c>
      <c r="M377" s="163" t="s">
        <v>345</v>
      </c>
      <c r="N377" s="173">
        <v>0</v>
      </c>
      <c r="O377" s="419">
        <v>80</v>
      </c>
      <c r="P377" s="205"/>
      <c r="S377" s="161"/>
      <c r="T377" s="162"/>
      <c r="U377" s="162"/>
      <c r="V377" s="162"/>
      <c r="W377" s="162"/>
      <c r="X377" s="162"/>
      <c r="Y377" s="162"/>
      <c r="Z377" s="162"/>
      <c r="AA377" s="162"/>
      <c r="AB377" s="162"/>
      <c r="AC377" s="162"/>
      <c r="AD377" s="162"/>
      <c r="AE377" s="162"/>
      <c r="AF377" s="162"/>
      <c r="AG377" s="162"/>
      <c r="AH377" s="162"/>
      <c r="AI377" s="162"/>
      <c r="AJ377" s="162"/>
      <c r="AK377" s="162">
        <v>90</v>
      </c>
      <c r="AL377" s="162">
        <v>0</v>
      </c>
      <c r="AM377" s="162"/>
      <c r="AN377" s="162"/>
      <c r="AO377" s="162">
        <v>0</v>
      </c>
      <c r="AP377" s="162">
        <v>0</v>
      </c>
      <c r="AQ377" s="162">
        <v>0</v>
      </c>
      <c r="AR377" s="162">
        <v>0</v>
      </c>
      <c r="AS377" s="162">
        <v>0</v>
      </c>
      <c r="AT377" s="162">
        <v>0</v>
      </c>
      <c r="AU377" s="162">
        <v>0</v>
      </c>
      <c r="AV377" s="162">
        <v>0</v>
      </c>
      <c r="AW377" s="162">
        <v>0</v>
      </c>
      <c r="AX377" s="162">
        <v>0</v>
      </c>
      <c r="AY377" s="162">
        <v>0</v>
      </c>
      <c r="AZ377" s="162">
        <v>0</v>
      </c>
      <c r="BA377" s="162"/>
      <c r="BB377" s="162"/>
      <c r="BC377" s="162">
        <v>0</v>
      </c>
      <c r="BD377" s="162">
        <v>0</v>
      </c>
      <c r="BE377" s="162">
        <v>0</v>
      </c>
      <c r="BF377" s="162">
        <v>0</v>
      </c>
      <c r="BG377" s="162">
        <v>0</v>
      </c>
      <c r="BH377" s="162">
        <v>0</v>
      </c>
      <c r="BI377" s="162">
        <v>0</v>
      </c>
      <c r="BJ377" s="162">
        <v>0</v>
      </c>
      <c r="BK377" s="162">
        <v>0</v>
      </c>
      <c r="BL377" s="162">
        <v>0</v>
      </c>
      <c r="BM377" s="162">
        <v>0</v>
      </c>
      <c r="BN377" s="162">
        <v>0</v>
      </c>
      <c r="BO377" s="162"/>
      <c r="BP377" s="162"/>
      <c r="BQ377" s="162">
        <v>0</v>
      </c>
      <c r="BR377" s="162">
        <v>0</v>
      </c>
      <c r="BS377" s="162">
        <v>0</v>
      </c>
      <c r="BT377" s="162">
        <v>0</v>
      </c>
      <c r="BU377" s="162">
        <v>0</v>
      </c>
      <c r="BV377" s="162">
        <v>0</v>
      </c>
      <c r="BW377" s="162"/>
      <c r="BX377" s="162"/>
      <c r="BY377" s="162">
        <v>0</v>
      </c>
      <c r="BZ377" s="162">
        <v>0</v>
      </c>
      <c r="CA377" s="162">
        <v>0</v>
      </c>
      <c r="CB377" s="162">
        <v>0</v>
      </c>
      <c r="CC377" s="162">
        <v>0</v>
      </c>
      <c r="CD377" s="162">
        <v>0</v>
      </c>
      <c r="CE377" s="162">
        <f>VLOOKUP(I377,[120]REV33!$A:$O,11,0)</f>
        <v>0</v>
      </c>
      <c r="CF377" s="162">
        <f>VLOOKUP(I377,[120]REV33!$A:$O,12,0)</f>
        <v>0</v>
      </c>
      <c r="CG377" s="162"/>
      <c r="CH377" s="162"/>
      <c r="CI377" s="162"/>
      <c r="CJ377" s="162"/>
      <c r="CK377" s="162"/>
      <c r="CL377" s="162"/>
      <c r="CM377" s="162"/>
      <c r="CN377" s="162"/>
      <c r="CO377" s="162">
        <v>0</v>
      </c>
      <c r="CP377" s="162">
        <v>0</v>
      </c>
      <c r="CQ377" s="162">
        <v>0</v>
      </c>
      <c r="CR377" s="162">
        <v>0</v>
      </c>
      <c r="CS377" s="209">
        <f>Q377+S377+U377+W377+Y377+AA377+AC377+AE377+AG377+AI377+AK377+AM377+AO377+AQ377+AS377+AU377+AW377+AY377+BA377+BC377+BE377+BG377+BI377+BK377+BM377+BO377+BQ377+BS377+BU377+BW377+BY377+CA377+CC377+CE377+CG377+CI377+CK377+CM377+CO377+CQ377</f>
        <v>90</v>
      </c>
      <c r="CT377" s="209">
        <f>R377+T377+V377+X377+Z377+AB377+AD377+AF377+AH377+AJ377+AL377+AN377+AP377+AR377+AT377+AV377+AX377+AZ377+BB377+BD377+BF377+BH377+BJ377+BL377+BN377+BP377+BR377+BT377+BV377+BX377+BZ377+CB377+CD377+CF377+CH377+CJ377+CL377+CN377+CP377+CR377</f>
        <v>0</v>
      </c>
      <c r="CU377" s="206" t="s">
        <v>1000</v>
      </c>
      <c r="CV377" s="156"/>
      <c r="CZ377" s="157"/>
      <c r="DA377" s="152">
        <f t="shared" si="327"/>
        <v>90</v>
      </c>
      <c r="DB377" s="152" t="str">
        <f t="shared" si="328"/>
        <v>0</v>
      </c>
      <c r="DC377" s="153"/>
      <c r="DD377" s="158" t="s">
        <v>2212</v>
      </c>
      <c r="DE377" s="156" t="s">
        <v>435</v>
      </c>
      <c r="DF377" s="174" t="s">
        <v>1243</v>
      </c>
      <c r="DG377" s="175" t="s">
        <v>1244</v>
      </c>
      <c r="DH377" s="240" t="s">
        <v>477</v>
      </c>
      <c r="DI377" s="187">
        <v>45940</v>
      </c>
      <c r="DJ377" s="429">
        <v>90</v>
      </c>
      <c r="DK377" s="240" t="s">
        <v>477</v>
      </c>
      <c r="DL377" s="189">
        <v>6440</v>
      </c>
      <c r="DM377" s="181">
        <f t="shared" si="338"/>
        <v>637560</v>
      </c>
      <c r="DN377" s="446">
        <f t="shared" si="339"/>
        <v>0.1</v>
      </c>
      <c r="DO377" s="160">
        <f t="shared" si="340"/>
        <v>579600</v>
      </c>
      <c r="DP377" s="159">
        <v>45954</v>
      </c>
      <c r="DQ377" s="152">
        <f>SUMIF($I:$I,I377,$DJ:$DJ)</f>
        <v>90</v>
      </c>
      <c r="DR377" s="152">
        <f>SUMIF($I:$I,I377,$DK:$DK)</f>
        <v>0</v>
      </c>
      <c r="EO377" s="152">
        <f>SUMIF($I:$I,I377,$EC:$EC)</f>
        <v>0</v>
      </c>
      <c r="EP377" s="151">
        <f>SUMIF($I:$I,I377,$ED:$ED)</f>
        <v>0</v>
      </c>
      <c r="EQ377" s="153"/>
      <c r="ER377" s="153"/>
      <c r="ES377" s="153"/>
      <c r="ET377" s="153"/>
      <c r="EU377" s="152">
        <f t="shared" si="332"/>
        <v>90</v>
      </c>
      <c r="EV377" s="152">
        <f t="shared" si="333"/>
        <v>0</v>
      </c>
      <c r="EW377" s="152">
        <f t="shared" si="334"/>
        <v>0</v>
      </c>
      <c r="EX377" s="152">
        <f t="shared" si="335"/>
        <v>0</v>
      </c>
      <c r="EY377" s="151" t="str">
        <f t="shared" si="336"/>
        <v>Đủ</v>
      </c>
    </row>
    <row r="378" spans="1:155" s="155" customFormat="1" ht="14" customHeight="1">
      <c r="A378" s="208" t="str">
        <f t="shared" si="337"/>
        <v>Hiện</v>
      </c>
      <c r="B378" s="151" t="str">
        <f t="shared" si="326"/>
        <v>Thiếu</v>
      </c>
      <c r="C378" s="409">
        <f t="shared" si="341"/>
        <v>1348</v>
      </c>
      <c r="D378" s="154" t="s">
        <v>2042</v>
      </c>
      <c r="E378" s="154"/>
      <c r="F378" s="154"/>
      <c r="G378" s="151"/>
      <c r="H378" s="364"/>
      <c r="I378" s="163" t="s">
        <v>885</v>
      </c>
      <c r="J378" s="164" t="s">
        <v>863</v>
      </c>
      <c r="K378" s="171" t="s">
        <v>886</v>
      </c>
      <c r="L378" s="171" t="s">
        <v>865</v>
      </c>
      <c r="M378" s="163" t="s">
        <v>345</v>
      </c>
      <c r="N378" s="173">
        <v>0</v>
      </c>
      <c r="O378" s="419">
        <v>848</v>
      </c>
      <c r="P378" s="205"/>
      <c r="S378" s="161"/>
      <c r="T378" s="162"/>
      <c r="U378" s="162"/>
      <c r="V378" s="162"/>
      <c r="W378" s="162"/>
      <c r="X378" s="162"/>
      <c r="Y378" s="162"/>
      <c r="Z378" s="162"/>
      <c r="AA378" s="162"/>
      <c r="AB378" s="162"/>
      <c r="AC378" s="162"/>
      <c r="AD378" s="162"/>
      <c r="AE378" s="162"/>
      <c r="AF378" s="162"/>
      <c r="AG378" s="162"/>
      <c r="AH378" s="162"/>
      <c r="AI378" s="162"/>
      <c r="AJ378" s="162"/>
      <c r="AK378" s="162">
        <v>902</v>
      </c>
      <c r="AL378" s="162">
        <v>0</v>
      </c>
      <c r="AM378" s="162"/>
      <c r="AN378" s="162"/>
      <c r="AO378" s="162">
        <v>0</v>
      </c>
      <c r="AP378" s="162">
        <v>0</v>
      </c>
      <c r="AQ378" s="162">
        <v>0</v>
      </c>
      <c r="AR378" s="162">
        <v>0</v>
      </c>
      <c r="AS378" s="162">
        <v>0</v>
      </c>
      <c r="AT378" s="162">
        <v>0</v>
      </c>
      <c r="AU378" s="162">
        <v>0</v>
      </c>
      <c r="AV378" s="162">
        <v>0</v>
      </c>
      <c r="AW378" s="162">
        <v>0</v>
      </c>
      <c r="AX378" s="162">
        <v>0</v>
      </c>
      <c r="AY378" s="162">
        <v>0</v>
      </c>
      <c r="AZ378" s="162">
        <v>0</v>
      </c>
      <c r="BA378" s="162"/>
      <c r="BB378" s="162"/>
      <c r="BC378" s="162">
        <v>0</v>
      </c>
      <c r="BD378" s="162">
        <v>0</v>
      </c>
      <c r="BE378" s="162">
        <v>0</v>
      </c>
      <c r="BF378" s="162">
        <v>0</v>
      </c>
      <c r="BG378" s="162">
        <v>0</v>
      </c>
      <c r="BH378" s="162">
        <v>0</v>
      </c>
      <c r="BI378" s="162">
        <v>0</v>
      </c>
      <c r="BJ378" s="162">
        <v>0</v>
      </c>
      <c r="BK378" s="162">
        <v>0</v>
      </c>
      <c r="BL378" s="162">
        <v>0</v>
      </c>
      <c r="BM378" s="162">
        <v>0</v>
      </c>
      <c r="BN378" s="162">
        <v>0</v>
      </c>
      <c r="BO378" s="162"/>
      <c r="BP378" s="162"/>
      <c r="BQ378" s="162">
        <v>0</v>
      </c>
      <c r="BR378" s="162">
        <v>0</v>
      </c>
      <c r="BS378" s="162">
        <v>0</v>
      </c>
      <c r="BT378" s="162">
        <v>0</v>
      </c>
      <c r="BU378" s="162">
        <v>0</v>
      </c>
      <c r="BV378" s="162">
        <v>0</v>
      </c>
      <c r="BW378" s="162"/>
      <c r="BX378" s="162"/>
      <c r="BY378" s="162">
        <v>0</v>
      </c>
      <c r="BZ378" s="162">
        <v>0</v>
      </c>
      <c r="CA378" s="162">
        <v>0</v>
      </c>
      <c r="CB378" s="162">
        <v>0</v>
      </c>
      <c r="CC378" s="162">
        <v>0</v>
      </c>
      <c r="CD378" s="162">
        <v>0</v>
      </c>
      <c r="CE378" s="162">
        <f>VLOOKUP(I378,[120]REV33!$A:$O,11,0)</f>
        <v>0</v>
      </c>
      <c r="CF378" s="162">
        <f>VLOOKUP(I378,[120]REV33!$A:$O,12,0)</f>
        <v>0</v>
      </c>
      <c r="CG378" s="162"/>
      <c r="CH378" s="162"/>
      <c r="CI378" s="162"/>
      <c r="CJ378" s="162"/>
      <c r="CK378" s="162"/>
      <c r="CL378" s="162"/>
      <c r="CM378" s="162"/>
      <c r="CN378" s="162"/>
      <c r="CO378" s="162">
        <v>0</v>
      </c>
      <c r="CP378" s="162">
        <v>0</v>
      </c>
      <c r="CQ378" s="162">
        <v>1348</v>
      </c>
      <c r="CR378" s="162">
        <v>0</v>
      </c>
      <c r="CS378" s="209">
        <f>Q378+S378+U378+W378+Y378+AA378+AC378+AE378+AG378+AI378+AK378+AM378+AO378+AQ378+AS378+AU378+AW378+AY378+BA378+BC378+BE378+BG378+BI378+BK378+BM378+BO378+BQ378+BS378+BU378+BW378+BY378+CA378+CC378+CE378+CG378+CI378+CK378+CM378+CO378+CQ378</f>
        <v>2250</v>
      </c>
      <c r="CT378" s="209">
        <f>R378+T378+V378+X378+Z378+AB378+AD378+AF378+AH378+AJ378+AL378+AN378+AP378+AR378+AT378+AV378+AX378+AZ378+BB378+BD378+BF378+BH378+BJ378+BL378+BN378+BP378+BR378+BT378+BV378+BX378+BZ378+CB378+CD378+CF378+CH378+CJ378+CL378+CN378+CP378+CR378</f>
        <v>0</v>
      </c>
      <c r="CU378" s="206" t="s">
        <v>2872</v>
      </c>
      <c r="CV378" s="156"/>
      <c r="CZ378" s="157"/>
      <c r="DA378" s="152">
        <f t="shared" si="327"/>
        <v>2250</v>
      </c>
      <c r="DB378" s="152" t="str">
        <f t="shared" si="328"/>
        <v>0</v>
      </c>
      <c r="DC378" s="153"/>
      <c r="DD378" s="158" t="s">
        <v>2212</v>
      </c>
      <c r="DE378" s="156" t="s">
        <v>435</v>
      </c>
      <c r="DF378" s="174" t="s">
        <v>1245</v>
      </c>
      <c r="DG378" s="175" t="s">
        <v>1238</v>
      </c>
      <c r="DH378" s="240" t="s">
        <v>477</v>
      </c>
      <c r="DI378" s="187">
        <v>45940</v>
      </c>
      <c r="DJ378" s="429">
        <v>902</v>
      </c>
      <c r="DK378" s="240" t="s">
        <v>477</v>
      </c>
      <c r="DL378" s="189">
        <v>4510</v>
      </c>
      <c r="DM378" s="181">
        <f t="shared" si="338"/>
        <v>4474822</v>
      </c>
      <c r="DN378" s="446">
        <f t="shared" si="339"/>
        <v>0.1</v>
      </c>
      <c r="DO378" s="160">
        <f t="shared" si="340"/>
        <v>4068020</v>
      </c>
      <c r="DP378" s="159">
        <v>45954</v>
      </c>
      <c r="DQ378" s="152">
        <f>SUMIF($I:$I,I378,$DJ:$DJ)</f>
        <v>902</v>
      </c>
      <c r="DR378" s="152">
        <f>SUMIF($I:$I,I378,$DK:$DK)</f>
        <v>0</v>
      </c>
      <c r="EO378" s="152">
        <f>SUMIF($I:$I,I378,$EC:$EC)</f>
        <v>0</v>
      </c>
      <c r="EP378" s="151">
        <f>SUMIF($I:$I,I378,$ED:$ED)</f>
        <v>0</v>
      </c>
      <c r="EQ378" s="153"/>
      <c r="ER378" s="153"/>
      <c r="ES378" s="153"/>
      <c r="ET378" s="153"/>
      <c r="EU378" s="152">
        <f t="shared" si="332"/>
        <v>902</v>
      </c>
      <c r="EV378" s="152">
        <f t="shared" si="333"/>
        <v>0</v>
      </c>
      <c r="EW378" s="152">
        <f t="shared" si="334"/>
        <v>1348</v>
      </c>
      <c r="EX378" s="152">
        <f t="shared" si="335"/>
        <v>0</v>
      </c>
      <c r="EY378" s="151" t="str">
        <f t="shared" si="336"/>
        <v>Thiếu</v>
      </c>
    </row>
    <row r="379" spans="1:155" s="155" customFormat="1" ht="14" hidden="1" customHeight="1">
      <c r="A379" s="208" t="str">
        <f t="shared" si="337"/>
        <v>Hiện</v>
      </c>
      <c r="B379" s="151" t="str">
        <f t="shared" si="326"/>
        <v>Đủ</v>
      </c>
      <c r="C379" s="409">
        <f t="shared" si="341"/>
        <v>0</v>
      </c>
      <c r="D379" s="154" t="s">
        <v>435</v>
      </c>
      <c r="E379" s="154">
        <f>C379*DL379*1.1</f>
        <v>0</v>
      </c>
      <c r="F379" s="154"/>
      <c r="G379" s="151"/>
      <c r="H379" s="364"/>
      <c r="I379" s="171" t="s">
        <v>887</v>
      </c>
      <c r="J379" s="164" t="s">
        <v>863</v>
      </c>
      <c r="K379" s="171" t="s">
        <v>888</v>
      </c>
      <c r="L379" s="171" t="s">
        <v>868</v>
      </c>
      <c r="M379" s="163" t="s">
        <v>345</v>
      </c>
      <c r="N379" s="173">
        <v>0</v>
      </c>
      <c r="O379" s="419">
        <v>2272</v>
      </c>
      <c r="P379" s="205"/>
      <c r="S379" s="161"/>
      <c r="T379" s="162"/>
      <c r="U379" s="162"/>
      <c r="V379" s="162"/>
      <c r="W379" s="162"/>
      <c r="X379" s="162"/>
      <c r="Y379" s="162"/>
      <c r="Z379" s="162"/>
      <c r="AA379" s="162"/>
      <c r="AB379" s="162"/>
      <c r="AC379" s="162"/>
      <c r="AD379" s="162"/>
      <c r="AE379" s="162"/>
      <c r="AF379" s="162"/>
      <c r="AG379" s="162"/>
      <c r="AH379" s="162"/>
      <c r="AI379" s="162"/>
      <c r="AJ379" s="162"/>
      <c r="AK379" s="162">
        <v>2408</v>
      </c>
      <c r="AL379" s="162">
        <v>0</v>
      </c>
      <c r="AM379" s="162"/>
      <c r="AN379" s="162"/>
      <c r="AO379" s="162">
        <v>0</v>
      </c>
      <c r="AP379" s="162">
        <v>0</v>
      </c>
      <c r="AQ379" s="162">
        <v>0</v>
      </c>
      <c r="AR379" s="162">
        <v>0</v>
      </c>
      <c r="AS379" s="162">
        <v>0</v>
      </c>
      <c r="AT379" s="162">
        <v>0</v>
      </c>
      <c r="AU379" s="162">
        <v>0</v>
      </c>
      <c r="AV379" s="162">
        <v>0</v>
      </c>
      <c r="AW379" s="162">
        <v>0</v>
      </c>
      <c r="AX379" s="162">
        <v>0</v>
      </c>
      <c r="AY379" s="162">
        <v>0</v>
      </c>
      <c r="AZ379" s="162">
        <v>0</v>
      </c>
      <c r="BA379" s="162"/>
      <c r="BB379" s="162"/>
      <c r="BC379" s="162">
        <v>0</v>
      </c>
      <c r="BD379" s="162">
        <v>0</v>
      </c>
      <c r="BE379" s="162">
        <v>0</v>
      </c>
      <c r="BF379" s="162">
        <v>0</v>
      </c>
      <c r="BG379" s="162">
        <v>0</v>
      </c>
      <c r="BH379" s="162">
        <v>0</v>
      </c>
      <c r="BI379" s="162">
        <v>0</v>
      </c>
      <c r="BJ379" s="162">
        <v>0</v>
      </c>
      <c r="BK379" s="162">
        <v>0</v>
      </c>
      <c r="BL379" s="162">
        <v>0</v>
      </c>
      <c r="BM379" s="162">
        <v>0</v>
      </c>
      <c r="BN379" s="162">
        <v>0</v>
      </c>
      <c r="BO379" s="162"/>
      <c r="BP379" s="162"/>
      <c r="BQ379" s="162">
        <v>0</v>
      </c>
      <c r="BR379" s="162">
        <v>0</v>
      </c>
      <c r="BS379" s="162">
        <v>0</v>
      </c>
      <c r="BT379" s="162">
        <v>0</v>
      </c>
      <c r="BU379" s="162">
        <v>0</v>
      </c>
      <c r="BV379" s="162">
        <v>0</v>
      </c>
      <c r="BW379" s="162"/>
      <c r="BX379" s="162"/>
      <c r="BY379" s="162">
        <v>0</v>
      </c>
      <c r="BZ379" s="162">
        <v>0</v>
      </c>
      <c r="CA379" s="162">
        <v>0</v>
      </c>
      <c r="CB379" s="162">
        <v>0</v>
      </c>
      <c r="CC379" s="162">
        <v>0</v>
      </c>
      <c r="CD379" s="162">
        <v>0</v>
      </c>
      <c r="CE379" s="162">
        <f>VLOOKUP(I379,[120]REV33!$A:$O,11,0)</f>
        <v>0</v>
      </c>
      <c r="CF379" s="162">
        <f>VLOOKUP(I379,[120]REV33!$A:$O,12,0)</f>
        <v>0</v>
      </c>
      <c r="CG379" s="162"/>
      <c r="CH379" s="162"/>
      <c r="CI379" s="162"/>
      <c r="CJ379" s="162"/>
      <c r="CK379" s="162"/>
      <c r="CL379" s="162"/>
      <c r="CM379" s="162"/>
      <c r="CN379" s="162"/>
      <c r="CO379" s="162">
        <v>0</v>
      </c>
      <c r="CP379" s="162">
        <v>0</v>
      </c>
      <c r="CQ379" s="162">
        <v>0</v>
      </c>
      <c r="CR379" s="162">
        <v>0</v>
      </c>
      <c r="CS379" s="209">
        <f>Q379+S379+U379+W379+Y379+AA379+AC379+AE379+AG379+AI379+AK379+AM379+AO379+AQ379+AS379+AU379+AW379+AY379+BA379+BC379+BE379+BG379+BI379+BK379+BM379+BO379+BQ379+BS379+BU379+BW379+BY379+CA379+CC379+CE379+CG379+CI379+CK379+CM379+CO379+CQ379</f>
        <v>2408</v>
      </c>
      <c r="CT379" s="209">
        <f>R379+T379+V379+X379+Z379+AB379+AD379+AF379+AH379+AJ379+AL379+AN379+AP379+AR379+AT379+AV379+AX379+AZ379+BB379+BD379+BF379+BH379+BJ379+BL379+BN379+BP379+BR379+BT379+BV379+BX379+BZ379+CB379+CD379+CF379+CH379+CJ379+CL379+CN379+CP379+CR379</f>
        <v>0</v>
      </c>
      <c r="CU379" s="206" t="s">
        <v>1000</v>
      </c>
      <c r="CV379" s="156"/>
      <c r="CZ379" s="157"/>
      <c r="DA379" s="152">
        <f t="shared" si="327"/>
        <v>2408</v>
      </c>
      <c r="DB379" s="152" t="str">
        <f t="shared" si="328"/>
        <v>0</v>
      </c>
      <c r="DC379" s="153"/>
      <c r="DD379" s="158" t="s">
        <v>2212</v>
      </c>
      <c r="DE379" s="156" t="s">
        <v>435</v>
      </c>
      <c r="DF379" s="174" t="s">
        <v>1245</v>
      </c>
      <c r="DG379" s="175" t="s">
        <v>1238</v>
      </c>
      <c r="DH379" s="240" t="s">
        <v>477</v>
      </c>
      <c r="DI379" s="187">
        <v>45940</v>
      </c>
      <c r="DJ379" s="429">
        <v>2408</v>
      </c>
      <c r="DK379" s="240" t="s">
        <v>477</v>
      </c>
      <c r="DL379" s="189">
        <v>4510</v>
      </c>
      <c r="DM379" s="181">
        <f t="shared" si="338"/>
        <v>11946088.000000002</v>
      </c>
      <c r="DN379" s="446">
        <f t="shared" si="339"/>
        <v>0.10000000000000017</v>
      </c>
      <c r="DO379" s="160">
        <f t="shared" si="340"/>
        <v>10860080</v>
      </c>
      <c r="DP379" s="159">
        <v>45954</v>
      </c>
      <c r="DQ379" s="152">
        <f>SUMIF($I:$I,I379,$DJ:$DJ)</f>
        <v>2408</v>
      </c>
      <c r="DR379" s="152">
        <f>SUMIF($I:$I,I379,$DK:$DK)</f>
        <v>0</v>
      </c>
      <c r="EO379" s="152">
        <f>SUMIF($I:$I,I379,$EC:$EC)</f>
        <v>0</v>
      </c>
      <c r="EP379" s="151">
        <f>SUMIF($I:$I,I379,$ED:$ED)</f>
        <v>0</v>
      </c>
      <c r="EQ379" s="153"/>
      <c r="ER379" s="153"/>
      <c r="ES379" s="153"/>
      <c r="ET379" s="153"/>
      <c r="EU379" s="152">
        <f t="shared" si="332"/>
        <v>2408</v>
      </c>
      <c r="EV379" s="152">
        <f t="shared" si="333"/>
        <v>0</v>
      </c>
      <c r="EW379" s="152">
        <f t="shared" si="334"/>
        <v>0</v>
      </c>
      <c r="EX379" s="152">
        <f t="shared" si="335"/>
        <v>0</v>
      </c>
      <c r="EY379" s="151" t="str">
        <f t="shared" si="336"/>
        <v>Đủ</v>
      </c>
    </row>
    <row r="380" spans="1:155" s="155" customFormat="1" ht="14" hidden="1" customHeight="1">
      <c r="A380" s="208" t="str">
        <f t="shared" ref="A380:A411" si="342">IF(I380=I379,"ok","Hiện")</f>
        <v>Hiện</v>
      </c>
      <c r="B380" s="151" t="str">
        <f t="shared" ref="B380:B428" si="343">EY380</f>
        <v>Đủ</v>
      </c>
      <c r="C380" s="409">
        <f t="shared" si="341"/>
        <v>0</v>
      </c>
      <c r="D380" s="154" t="s">
        <v>435</v>
      </c>
      <c r="E380" s="154">
        <f>C380*DL380*1.1</f>
        <v>0</v>
      </c>
      <c r="F380" s="154"/>
      <c r="G380" s="151"/>
      <c r="H380" s="364"/>
      <c r="I380" s="171" t="s">
        <v>889</v>
      </c>
      <c r="J380" s="164" t="s">
        <v>863</v>
      </c>
      <c r="K380" s="171" t="s">
        <v>890</v>
      </c>
      <c r="L380" s="171" t="s">
        <v>882</v>
      </c>
      <c r="M380" s="163" t="s">
        <v>345</v>
      </c>
      <c r="N380" s="173">
        <v>0</v>
      </c>
      <c r="O380" s="419">
        <v>160</v>
      </c>
      <c r="P380" s="205"/>
      <c r="S380" s="161"/>
      <c r="T380" s="162"/>
      <c r="U380" s="162"/>
      <c r="V380" s="162"/>
      <c r="W380" s="162"/>
      <c r="X380" s="162"/>
      <c r="Y380" s="162"/>
      <c r="Z380" s="162"/>
      <c r="AA380" s="162"/>
      <c r="AB380" s="162"/>
      <c r="AC380" s="162"/>
      <c r="AD380" s="162"/>
      <c r="AE380" s="162"/>
      <c r="AF380" s="162"/>
      <c r="AG380" s="162"/>
      <c r="AH380" s="162"/>
      <c r="AI380" s="162"/>
      <c r="AJ380" s="162"/>
      <c r="AK380" s="162">
        <v>170</v>
      </c>
      <c r="AL380" s="162">
        <v>0</v>
      </c>
      <c r="AM380" s="162"/>
      <c r="AN380" s="162"/>
      <c r="AO380" s="162">
        <v>0</v>
      </c>
      <c r="AP380" s="162">
        <v>0</v>
      </c>
      <c r="AQ380" s="162">
        <v>0</v>
      </c>
      <c r="AR380" s="162">
        <v>0</v>
      </c>
      <c r="AS380" s="162">
        <v>0</v>
      </c>
      <c r="AT380" s="162">
        <v>0</v>
      </c>
      <c r="AU380" s="162">
        <v>0</v>
      </c>
      <c r="AV380" s="162">
        <v>0</v>
      </c>
      <c r="AW380" s="162">
        <v>0</v>
      </c>
      <c r="AX380" s="162">
        <v>0</v>
      </c>
      <c r="AY380" s="162">
        <v>0</v>
      </c>
      <c r="AZ380" s="162">
        <v>0</v>
      </c>
      <c r="BA380" s="162"/>
      <c r="BB380" s="162"/>
      <c r="BC380" s="162">
        <v>0</v>
      </c>
      <c r="BD380" s="162">
        <v>0</v>
      </c>
      <c r="BE380" s="162">
        <v>0</v>
      </c>
      <c r="BF380" s="162">
        <v>0</v>
      </c>
      <c r="BG380" s="162">
        <v>0</v>
      </c>
      <c r="BH380" s="162">
        <v>0</v>
      </c>
      <c r="BI380" s="162">
        <v>0</v>
      </c>
      <c r="BJ380" s="162">
        <v>0</v>
      </c>
      <c r="BK380" s="162">
        <v>0</v>
      </c>
      <c r="BL380" s="162">
        <v>0</v>
      </c>
      <c r="BM380" s="162">
        <v>0</v>
      </c>
      <c r="BN380" s="162">
        <v>0</v>
      </c>
      <c r="BO380" s="162"/>
      <c r="BP380" s="162"/>
      <c r="BQ380" s="162">
        <v>0</v>
      </c>
      <c r="BR380" s="162">
        <v>0</v>
      </c>
      <c r="BS380" s="162">
        <v>0</v>
      </c>
      <c r="BT380" s="162">
        <v>0</v>
      </c>
      <c r="BU380" s="162">
        <v>0</v>
      </c>
      <c r="BV380" s="162">
        <v>0</v>
      </c>
      <c r="BW380" s="162"/>
      <c r="BX380" s="162"/>
      <c r="BY380" s="162">
        <v>0</v>
      </c>
      <c r="BZ380" s="162">
        <v>0</v>
      </c>
      <c r="CA380" s="162">
        <v>0</v>
      </c>
      <c r="CB380" s="162">
        <v>0</v>
      </c>
      <c r="CC380" s="162">
        <v>0</v>
      </c>
      <c r="CD380" s="162">
        <v>0</v>
      </c>
      <c r="CE380" s="162">
        <f>VLOOKUP(I380,[120]REV33!$A:$O,11,0)</f>
        <v>0</v>
      </c>
      <c r="CF380" s="162">
        <f>VLOOKUP(I380,[120]REV33!$A:$O,12,0)</f>
        <v>0</v>
      </c>
      <c r="CG380" s="162"/>
      <c r="CH380" s="162"/>
      <c r="CI380" s="162"/>
      <c r="CJ380" s="162"/>
      <c r="CK380" s="162"/>
      <c r="CL380" s="162"/>
      <c r="CM380" s="162"/>
      <c r="CN380" s="162"/>
      <c r="CO380" s="162">
        <v>0</v>
      </c>
      <c r="CP380" s="162">
        <v>0</v>
      </c>
      <c r="CQ380" s="162">
        <v>0</v>
      </c>
      <c r="CR380" s="162">
        <v>0</v>
      </c>
      <c r="CS380" s="209">
        <f>Q380+S380+U380+W380+Y380+AA380+AC380+AE380+AG380+AI380+AK380+AM380+AO380+AQ380+AS380+AU380+AW380+AY380+BA380+BC380+BE380+BG380+BI380+BK380+BM380+BO380+BQ380+BS380+BU380+BW380+BY380+CA380+CC380+CE380+CG380+CI380+CK380+CM380+CO380+CQ380</f>
        <v>170</v>
      </c>
      <c r="CT380" s="209">
        <f>R380+T380+V380+X380+Z380+AB380+AD380+AF380+AH380+AJ380+AL380+AN380+AP380+AR380+AT380+AV380+AX380+AZ380+BB380+BD380+BF380+BH380+BJ380+BL380+BN380+BP380+BR380+BT380+BV380+BX380+BZ380+CB380+CD380+CF380+CH380+CJ380+CL380+CN380+CP380+CR380</f>
        <v>0</v>
      </c>
      <c r="CU380" s="206" t="s">
        <v>1000</v>
      </c>
      <c r="CV380" s="156"/>
      <c r="CZ380" s="157"/>
      <c r="DA380" s="152">
        <f t="shared" ref="DA380:DA396" si="344">IF(CS380&gt;CW380,CS380-CW380,"0")</f>
        <v>170</v>
      </c>
      <c r="DB380" s="152" t="str">
        <f t="shared" ref="DB380:DB396" si="345">IF(CT380&gt;CX380,CT380-CX380,"0")</f>
        <v>0</v>
      </c>
      <c r="DC380" s="153"/>
      <c r="DD380" s="158" t="s">
        <v>2212</v>
      </c>
      <c r="DE380" s="156" t="s">
        <v>435</v>
      </c>
      <c r="DF380" s="174" t="s">
        <v>1246</v>
      </c>
      <c r="DG380" s="175" t="s">
        <v>1244</v>
      </c>
      <c r="DH380" s="240" t="s">
        <v>477</v>
      </c>
      <c r="DI380" s="187">
        <v>45940</v>
      </c>
      <c r="DJ380" s="429">
        <v>170</v>
      </c>
      <c r="DK380" s="240" t="s">
        <v>477</v>
      </c>
      <c r="DL380" s="189">
        <v>11000</v>
      </c>
      <c r="DM380" s="181">
        <f t="shared" ref="DM380:DM411" si="346">DL380*DJ380*1.1</f>
        <v>2057000.0000000002</v>
      </c>
      <c r="DN380" s="446">
        <f t="shared" ref="DN380:DN411" si="347">(DM380-DO380)/DO380</f>
        <v>0.10000000000000013</v>
      </c>
      <c r="DO380" s="160">
        <f t="shared" ref="DO380:DO411" si="348">DL380*DJ380</f>
        <v>1870000</v>
      </c>
      <c r="DP380" s="159">
        <v>45954</v>
      </c>
      <c r="DQ380" s="152">
        <f>SUMIF($I:$I,I380,$DJ:$DJ)</f>
        <v>170</v>
      </c>
      <c r="DR380" s="152">
        <f>SUMIF($I:$I,I380,$DK:$DK)</f>
        <v>0</v>
      </c>
      <c r="EO380" s="152">
        <f>SUMIF($I:$I,I380,$EC:$EC)</f>
        <v>0</v>
      </c>
      <c r="EP380" s="151">
        <f>SUMIF($I:$I,I380,$ED:$ED)</f>
        <v>0</v>
      </c>
      <c r="EQ380" s="153"/>
      <c r="ER380" s="153"/>
      <c r="ES380" s="153"/>
      <c r="ET380" s="153"/>
      <c r="EU380" s="152">
        <f t="shared" ref="EU380:EU396" si="349">DQ380+EO380</f>
        <v>170</v>
      </c>
      <c r="EV380" s="152">
        <f t="shared" ref="EV380:EV396" si="350">DR380+EP380</f>
        <v>0</v>
      </c>
      <c r="EW380" s="152">
        <f t="shared" ref="EW380:EW396" si="351">DA380-EU380</f>
        <v>0</v>
      </c>
      <c r="EX380" s="152">
        <f t="shared" ref="EX380:EX396" si="352">DB380-EV380</f>
        <v>0</v>
      </c>
      <c r="EY380" s="151" t="str">
        <f t="shared" ref="EY380:EY396" si="353">IF(EW380&lt;0,"Thừa",IF(EW380=0,"Đủ","Thiếu"))</f>
        <v>Đủ</v>
      </c>
    </row>
    <row r="381" spans="1:155" s="155" customFormat="1" ht="14" hidden="1" customHeight="1">
      <c r="A381" s="208" t="str">
        <f t="shared" si="342"/>
        <v>Hiện</v>
      </c>
      <c r="B381" s="151" t="str">
        <f t="shared" si="343"/>
        <v>Đủ</v>
      </c>
      <c r="C381" s="409">
        <f t="shared" si="341"/>
        <v>0</v>
      </c>
      <c r="D381" s="154" t="s">
        <v>435</v>
      </c>
      <c r="E381" s="154">
        <f>C381*DL381*1.1</f>
        <v>0</v>
      </c>
      <c r="F381" s="154"/>
      <c r="G381" s="151"/>
      <c r="H381" s="364"/>
      <c r="I381" s="171" t="s">
        <v>891</v>
      </c>
      <c r="J381" s="164" t="s">
        <v>863</v>
      </c>
      <c r="K381" s="171" t="s">
        <v>892</v>
      </c>
      <c r="L381" s="171" t="s">
        <v>893</v>
      </c>
      <c r="M381" s="163" t="s">
        <v>345</v>
      </c>
      <c r="N381" s="173">
        <v>0</v>
      </c>
      <c r="O381" s="419">
        <v>80</v>
      </c>
      <c r="P381" s="205"/>
      <c r="S381" s="161"/>
      <c r="T381" s="162"/>
      <c r="U381" s="162"/>
      <c r="V381" s="162"/>
      <c r="W381" s="162"/>
      <c r="X381" s="162"/>
      <c r="Y381" s="162"/>
      <c r="Z381" s="162"/>
      <c r="AA381" s="162"/>
      <c r="AB381" s="162"/>
      <c r="AC381" s="162"/>
      <c r="AD381" s="162"/>
      <c r="AE381" s="162"/>
      <c r="AF381" s="162"/>
      <c r="AG381" s="162"/>
      <c r="AH381" s="162"/>
      <c r="AI381" s="162"/>
      <c r="AJ381" s="162"/>
      <c r="AK381" s="162">
        <v>90</v>
      </c>
      <c r="AL381" s="162">
        <v>0</v>
      </c>
      <c r="AM381" s="162"/>
      <c r="AN381" s="162"/>
      <c r="AO381" s="162">
        <v>0</v>
      </c>
      <c r="AP381" s="162">
        <v>0</v>
      </c>
      <c r="AQ381" s="162">
        <v>0</v>
      </c>
      <c r="AR381" s="162">
        <v>0</v>
      </c>
      <c r="AS381" s="162">
        <v>0</v>
      </c>
      <c r="AT381" s="162">
        <v>0</v>
      </c>
      <c r="AU381" s="162">
        <v>0</v>
      </c>
      <c r="AV381" s="162">
        <v>0</v>
      </c>
      <c r="AW381" s="162">
        <v>0</v>
      </c>
      <c r="AX381" s="162">
        <v>0</v>
      </c>
      <c r="AY381" s="162">
        <v>0</v>
      </c>
      <c r="AZ381" s="162">
        <v>0</v>
      </c>
      <c r="BA381" s="162"/>
      <c r="BB381" s="162"/>
      <c r="BC381" s="162">
        <v>0</v>
      </c>
      <c r="BD381" s="162">
        <v>0</v>
      </c>
      <c r="BE381" s="162">
        <v>0</v>
      </c>
      <c r="BF381" s="162">
        <v>0</v>
      </c>
      <c r="BG381" s="162">
        <v>0</v>
      </c>
      <c r="BH381" s="162">
        <v>0</v>
      </c>
      <c r="BI381" s="162">
        <v>0</v>
      </c>
      <c r="BJ381" s="162">
        <v>0</v>
      </c>
      <c r="BK381" s="162">
        <v>0</v>
      </c>
      <c r="BL381" s="162">
        <v>0</v>
      </c>
      <c r="BM381" s="162">
        <v>0</v>
      </c>
      <c r="BN381" s="162">
        <v>0</v>
      </c>
      <c r="BO381" s="162"/>
      <c r="BP381" s="162"/>
      <c r="BQ381" s="162">
        <v>0</v>
      </c>
      <c r="BR381" s="162">
        <v>0</v>
      </c>
      <c r="BS381" s="162">
        <v>0</v>
      </c>
      <c r="BT381" s="162">
        <v>0</v>
      </c>
      <c r="BU381" s="162">
        <v>0</v>
      </c>
      <c r="BV381" s="162">
        <v>0</v>
      </c>
      <c r="BW381" s="162"/>
      <c r="BX381" s="162"/>
      <c r="BY381" s="162">
        <v>0</v>
      </c>
      <c r="BZ381" s="162">
        <v>0</v>
      </c>
      <c r="CA381" s="162">
        <v>0</v>
      </c>
      <c r="CB381" s="162">
        <v>0</v>
      </c>
      <c r="CC381" s="162">
        <v>0</v>
      </c>
      <c r="CD381" s="162">
        <v>0</v>
      </c>
      <c r="CE381" s="162">
        <f>VLOOKUP(I381,[120]REV33!$A:$O,11,0)</f>
        <v>0</v>
      </c>
      <c r="CF381" s="162">
        <f>VLOOKUP(I381,[120]REV33!$A:$O,12,0)</f>
        <v>0</v>
      </c>
      <c r="CG381" s="162"/>
      <c r="CH381" s="162"/>
      <c r="CI381" s="162"/>
      <c r="CJ381" s="162"/>
      <c r="CK381" s="162"/>
      <c r="CL381" s="162"/>
      <c r="CM381" s="162"/>
      <c r="CN381" s="162"/>
      <c r="CO381" s="162">
        <v>0</v>
      </c>
      <c r="CP381" s="162">
        <v>0</v>
      </c>
      <c r="CQ381" s="162">
        <v>0</v>
      </c>
      <c r="CR381" s="162">
        <v>0</v>
      </c>
      <c r="CS381" s="209">
        <f>Q381+S381+U381+W381+Y381+AA381+AC381+AE381+AG381+AI381+AK381+AM381+AO381+AQ381+AS381+AU381+AW381+AY381+BA381+BC381+BE381+BG381+BI381+BK381+BM381+BO381+BQ381+BS381+BU381+BW381+BY381+CA381+CC381+CE381+CG381+CI381+CK381+CM381+CO381+CQ381</f>
        <v>90</v>
      </c>
      <c r="CT381" s="209">
        <f>R381+T381+V381+X381+Z381+AB381+AD381+AF381+AH381+AJ381+AL381+AN381+AP381+AR381+AT381+AV381+AX381+AZ381+BB381+BD381+BF381+BH381+BJ381+BL381+BN381+BP381+BR381+BT381+BV381+BX381+BZ381+CB381+CD381+CF381+CH381+CJ381+CL381+CN381+CP381+CR381</f>
        <v>0</v>
      </c>
      <c r="CU381" s="206" t="s">
        <v>1000</v>
      </c>
      <c r="CV381" s="156"/>
      <c r="CZ381" s="157"/>
      <c r="DA381" s="152">
        <f t="shared" si="344"/>
        <v>90</v>
      </c>
      <c r="DB381" s="152" t="str">
        <f t="shared" si="345"/>
        <v>0</v>
      </c>
      <c r="DC381" s="153"/>
      <c r="DD381" s="158" t="s">
        <v>2212</v>
      </c>
      <c r="DE381" s="156" t="s">
        <v>435</v>
      </c>
      <c r="DF381" s="174" t="s">
        <v>1247</v>
      </c>
      <c r="DG381" s="175" t="s">
        <v>1248</v>
      </c>
      <c r="DH381" s="240" t="s">
        <v>477</v>
      </c>
      <c r="DI381" s="187">
        <v>45940</v>
      </c>
      <c r="DJ381" s="429">
        <v>90</v>
      </c>
      <c r="DK381" s="240" t="s">
        <v>477</v>
      </c>
      <c r="DL381" s="189">
        <v>25000</v>
      </c>
      <c r="DM381" s="181">
        <f t="shared" si="346"/>
        <v>2475000</v>
      </c>
      <c r="DN381" s="446">
        <f t="shared" si="347"/>
        <v>0.1</v>
      </c>
      <c r="DO381" s="160">
        <f t="shared" si="348"/>
        <v>2250000</v>
      </c>
      <c r="DP381" s="159">
        <v>45954</v>
      </c>
      <c r="DQ381" s="152">
        <f>SUMIF($I:$I,I381,$DJ:$DJ)</f>
        <v>90</v>
      </c>
      <c r="DR381" s="152">
        <f>SUMIF($I:$I,I381,$DK:$DK)</f>
        <v>0</v>
      </c>
      <c r="EO381" s="152">
        <f>SUMIF($I:$I,I381,$EC:$EC)</f>
        <v>0</v>
      </c>
      <c r="EP381" s="151">
        <f>SUMIF($I:$I,I381,$ED:$ED)</f>
        <v>0</v>
      </c>
      <c r="EQ381" s="153"/>
      <c r="ER381" s="153"/>
      <c r="ES381" s="153"/>
      <c r="ET381" s="153"/>
      <c r="EU381" s="152">
        <f t="shared" si="349"/>
        <v>90</v>
      </c>
      <c r="EV381" s="152">
        <f t="shared" si="350"/>
        <v>0</v>
      </c>
      <c r="EW381" s="152">
        <f t="shared" si="351"/>
        <v>0</v>
      </c>
      <c r="EX381" s="152">
        <f t="shared" si="352"/>
        <v>0</v>
      </c>
      <c r="EY381" s="151" t="str">
        <f t="shared" si="353"/>
        <v>Đủ</v>
      </c>
    </row>
    <row r="382" spans="1:155" s="155" customFormat="1" ht="14" hidden="1" customHeight="1">
      <c r="A382" s="208" t="str">
        <f t="shared" si="342"/>
        <v>Hiện</v>
      </c>
      <c r="B382" s="151" t="str">
        <f t="shared" si="343"/>
        <v>Đủ</v>
      </c>
      <c r="C382" s="409">
        <f t="shared" si="341"/>
        <v>0</v>
      </c>
      <c r="D382" s="154" t="s">
        <v>435</v>
      </c>
      <c r="E382" s="154">
        <f>C382*DL382*1.1</f>
        <v>0</v>
      </c>
      <c r="F382" s="154"/>
      <c r="G382" s="151"/>
      <c r="H382" s="364"/>
      <c r="I382" s="171" t="s">
        <v>894</v>
      </c>
      <c r="J382" s="164" t="s">
        <v>863</v>
      </c>
      <c r="K382" s="171" t="s">
        <v>895</v>
      </c>
      <c r="L382" s="171" t="s">
        <v>865</v>
      </c>
      <c r="M382" s="163" t="s">
        <v>345</v>
      </c>
      <c r="N382" s="173">
        <v>0</v>
      </c>
      <c r="O382" s="419">
        <v>16</v>
      </c>
      <c r="P382" s="205"/>
      <c r="S382" s="161"/>
      <c r="T382" s="162"/>
      <c r="U382" s="162"/>
      <c r="V382" s="162"/>
      <c r="W382" s="162"/>
      <c r="X382" s="162"/>
      <c r="Y382" s="162"/>
      <c r="Z382" s="162"/>
      <c r="AA382" s="162"/>
      <c r="AB382" s="162"/>
      <c r="AC382" s="162"/>
      <c r="AD382" s="162"/>
      <c r="AE382" s="162"/>
      <c r="AF382" s="162"/>
      <c r="AG382" s="162"/>
      <c r="AH382" s="162"/>
      <c r="AI382" s="162"/>
      <c r="AJ382" s="162"/>
      <c r="AK382" s="162">
        <v>20</v>
      </c>
      <c r="AL382" s="162">
        <v>0</v>
      </c>
      <c r="AM382" s="162"/>
      <c r="AN382" s="162"/>
      <c r="AO382" s="162">
        <v>0</v>
      </c>
      <c r="AP382" s="162">
        <v>0</v>
      </c>
      <c r="AQ382" s="162">
        <v>0</v>
      </c>
      <c r="AR382" s="162">
        <v>0</v>
      </c>
      <c r="AS382" s="162">
        <v>0</v>
      </c>
      <c r="AT382" s="162">
        <v>0</v>
      </c>
      <c r="AU382" s="162">
        <v>0</v>
      </c>
      <c r="AV382" s="162">
        <v>0</v>
      </c>
      <c r="AW382" s="162">
        <v>0</v>
      </c>
      <c r="AX382" s="162">
        <v>0</v>
      </c>
      <c r="AY382" s="162">
        <v>0</v>
      </c>
      <c r="AZ382" s="162">
        <v>0</v>
      </c>
      <c r="BA382" s="162"/>
      <c r="BB382" s="162"/>
      <c r="BC382" s="162">
        <v>0</v>
      </c>
      <c r="BD382" s="162">
        <v>0</v>
      </c>
      <c r="BE382" s="162">
        <v>0</v>
      </c>
      <c r="BF382" s="162">
        <v>0</v>
      </c>
      <c r="BG382" s="162">
        <v>0</v>
      </c>
      <c r="BH382" s="162">
        <v>0</v>
      </c>
      <c r="BI382" s="162">
        <v>0</v>
      </c>
      <c r="BJ382" s="162">
        <v>0</v>
      </c>
      <c r="BK382" s="162">
        <v>0</v>
      </c>
      <c r="BL382" s="162">
        <v>0</v>
      </c>
      <c r="BM382" s="162">
        <v>0</v>
      </c>
      <c r="BN382" s="162">
        <v>0</v>
      </c>
      <c r="BO382" s="162"/>
      <c r="BP382" s="162"/>
      <c r="BQ382" s="162">
        <v>0</v>
      </c>
      <c r="BR382" s="162">
        <v>0</v>
      </c>
      <c r="BS382" s="162">
        <v>0</v>
      </c>
      <c r="BT382" s="162">
        <v>0</v>
      </c>
      <c r="BU382" s="162">
        <v>0</v>
      </c>
      <c r="BV382" s="162">
        <v>0</v>
      </c>
      <c r="BW382" s="162"/>
      <c r="BX382" s="162"/>
      <c r="BY382" s="162">
        <v>0</v>
      </c>
      <c r="BZ382" s="162">
        <v>0</v>
      </c>
      <c r="CA382" s="162">
        <v>0</v>
      </c>
      <c r="CB382" s="162">
        <v>0</v>
      </c>
      <c r="CC382" s="162">
        <v>0</v>
      </c>
      <c r="CD382" s="162">
        <v>0</v>
      </c>
      <c r="CE382" s="162">
        <f>VLOOKUP(I382,[120]REV33!$A:$O,11,0)</f>
        <v>0</v>
      </c>
      <c r="CF382" s="162">
        <f>VLOOKUP(I382,[120]REV33!$A:$O,12,0)</f>
        <v>0</v>
      </c>
      <c r="CG382" s="162"/>
      <c r="CH382" s="162"/>
      <c r="CI382" s="162"/>
      <c r="CJ382" s="162"/>
      <c r="CK382" s="162"/>
      <c r="CL382" s="162"/>
      <c r="CM382" s="162"/>
      <c r="CN382" s="162"/>
      <c r="CO382" s="162">
        <v>0</v>
      </c>
      <c r="CP382" s="162">
        <v>0</v>
      </c>
      <c r="CQ382" s="162">
        <v>0</v>
      </c>
      <c r="CR382" s="162">
        <v>0</v>
      </c>
      <c r="CS382" s="209">
        <f>Q382+S382+U382+W382+Y382+AA382+AC382+AE382+AG382+AI382+AK382+AM382+AO382+AQ382+AS382+AU382+AW382+AY382+BA382+BC382+BE382+BG382+BI382+BK382+BM382+BO382+BQ382+BS382+BU382+BW382+BY382+CA382+CC382+CE382+CG382+CI382+CK382+CM382+CO382+CQ382</f>
        <v>20</v>
      </c>
      <c r="CT382" s="209">
        <f>R382+T382+V382+X382+Z382+AB382+AD382+AF382+AH382+AJ382+AL382+AN382+AP382+AR382+AT382+AV382+AX382+AZ382+BB382+BD382+BF382+BH382+BJ382+BL382+BN382+BP382+BR382+BT382+BV382+BX382+BZ382+CB382+CD382+CF382+CH382+CJ382+CL382+CN382+CP382+CR382</f>
        <v>0</v>
      </c>
      <c r="CU382" s="206" t="s">
        <v>1000</v>
      </c>
      <c r="CV382" s="156"/>
      <c r="CZ382" s="157"/>
      <c r="DA382" s="152">
        <f t="shared" si="344"/>
        <v>20</v>
      </c>
      <c r="DB382" s="152" t="str">
        <f t="shared" si="345"/>
        <v>0</v>
      </c>
      <c r="DC382" s="153"/>
      <c r="DD382" s="158" t="s">
        <v>2212</v>
      </c>
      <c r="DE382" s="156" t="s">
        <v>435</v>
      </c>
      <c r="DF382" s="174" t="s">
        <v>1249</v>
      </c>
      <c r="DG382" s="175" t="s">
        <v>1238</v>
      </c>
      <c r="DH382" s="240" t="s">
        <v>477</v>
      </c>
      <c r="DI382" s="187">
        <v>45940</v>
      </c>
      <c r="DJ382" s="429">
        <v>20</v>
      </c>
      <c r="DK382" s="240" t="s">
        <v>477</v>
      </c>
      <c r="DL382" s="189">
        <v>7700</v>
      </c>
      <c r="DM382" s="181">
        <f t="shared" si="346"/>
        <v>169400</v>
      </c>
      <c r="DN382" s="446">
        <f t="shared" si="347"/>
        <v>0.1</v>
      </c>
      <c r="DO382" s="160">
        <f t="shared" si="348"/>
        <v>154000</v>
      </c>
      <c r="DP382" s="159">
        <v>45954</v>
      </c>
      <c r="DQ382" s="152">
        <f>SUMIF($I:$I,I382,$DJ:$DJ)</f>
        <v>20</v>
      </c>
      <c r="DR382" s="152">
        <f>SUMIF($I:$I,I382,$DK:$DK)</f>
        <v>0</v>
      </c>
      <c r="EO382" s="152">
        <f>SUMIF($I:$I,I382,$EC:$EC)</f>
        <v>0</v>
      </c>
      <c r="EP382" s="151">
        <f>SUMIF($I:$I,I382,$ED:$ED)</f>
        <v>0</v>
      </c>
      <c r="EQ382" s="153"/>
      <c r="ER382" s="153"/>
      <c r="ES382" s="153"/>
      <c r="ET382" s="153"/>
      <c r="EU382" s="152">
        <f t="shared" si="349"/>
        <v>20</v>
      </c>
      <c r="EV382" s="152">
        <f t="shared" si="350"/>
        <v>0</v>
      </c>
      <c r="EW382" s="152">
        <f t="shared" si="351"/>
        <v>0</v>
      </c>
      <c r="EX382" s="152">
        <f t="shared" si="352"/>
        <v>0</v>
      </c>
      <c r="EY382" s="151" t="str">
        <f t="shared" si="353"/>
        <v>Đủ</v>
      </c>
    </row>
    <row r="383" spans="1:155" s="155" customFormat="1" ht="14" hidden="1" customHeight="1">
      <c r="A383" s="208" t="str">
        <f t="shared" si="342"/>
        <v>Hiện</v>
      </c>
      <c r="B383" s="151" t="str">
        <f t="shared" si="343"/>
        <v>Đủ</v>
      </c>
      <c r="C383" s="409">
        <f t="shared" si="341"/>
        <v>0</v>
      </c>
      <c r="D383" s="154" t="s">
        <v>435</v>
      </c>
      <c r="E383" s="154">
        <f>C383*DL383*1.1</f>
        <v>0</v>
      </c>
      <c r="F383" s="154"/>
      <c r="G383" s="151"/>
      <c r="H383" s="364"/>
      <c r="I383" s="171" t="s">
        <v>896</v>
      </c>
      <c r="J383" s="164" t="s">
        <v>863</v>
      </c>
      <c r="K383" s="171" t="s">
        <v>897</v>
      </c>
      <c r="L383" s="171" t="s">
        <v>868</v>
      </c>
      <c r="M383" s="163" t="s">
        <v>345</v>
      </c>
      <c r="N383" s="173">
        <v>0</v>
      </c>
      <c r="O383" s="419">
        <v>2032</v>
      </c>
      <c r="P383" s="205"/>
      <c r="S383" s="161"/>
      <c r="T383" s="162"/>
      <c r="U383" s="162"/>
      <c r="V383" s="162"/>
      <c r="W383" s="162"/>
      <c r="X383" s="162"/>
      <c r="Y383" s="162"/>
      <c r="Z383" s="162"/>
      <c r="AA383" s="162"/>
      <c r="AB383" s="162"/>
      <c r="AC383" s="162"/>
      <c r="AD383" s="162"/>
      <c r="AE383" s="162"/>
      <c r="AF383" s="162"/>
      <c r="AG383" s="162"/>
      <c r="AH383" s="162"/>
      <c r="AI383" s="162"/>
      <c r="AJ383" s="162"/>
      <c r="AK383" s="162">
        <v>2146</v>
      </c>
      <c r="AL383" s="162">
        <v>0</v>
      </c>
      <c r="AM383" s="162"/>
      <c r="AN383" s="162"/>
      <c r="AO383" s="162">
        <v>0</v>
      </c>
      <c r="AP383" s="162">
        <v>0</v>
      </c>
      <c r="AQ383" s="162">
        <v>0</v>
      </c>
      <c r="AR383" s="162">
        <v>0</v>
      </c>
      <c r="AS383" s="162">
        <v>0</v>
      </c>
      <c r="AT383" s="162">
        <v>0</v>
      </c>
      <c r="AU383" s="162">
        <v>0</v>
      </c>
      <c r="AV383" s="162">
        <v>0</v>
      </c>
      <c r="AW383" s="162">
        <v>0</v>
      </c>
      <c r="AX383" s="162">
        <v>0</v>
      </c>
      <c r="AY383" s="162">
        <v>0</v>
      </c>
      <c r="AZ383" s="162">
        <v>0</v>
      </c>
      <c r="BA383" s="162"/>
      <c r="BB383" s="162"/>
      <c r="BC383" s="162">
        <v>0</v>
      </c>
      <c r="BD383" s="162">
        <v>0</v>
      </c>
      <c r="BE383" s="162">
        <v>0</v>
      </c>
      <c r="BF383" s="162">
        <v>0</v>
      </c>
      <c r="BG383" s="162">
        <v>0</v>
      </c>
      <c r="BH383" s="162">
        <v>0</v>
      </c>
      <c r="BI383" s="162">
        <v>0</v>
      </c>
      <c r="BJ383" s="162">
        <v>0</v>
      </c>
      <c r="BK383" s="162">
        <v>0</v>
      </c>
      <c r="BL383" s="162">
        <v>0</v>
      </c>
      <c r="BM383" s="162">
        <v>0</v>
      </c>
      <c r="BN383" s="162">
        <v>0</v>
      </c>
      <c r="BO383" s="162"/>
      <c r="BP383" s="162"/>
      <c r="BQ383" s="162">
        <v>0</v>
      </c>
      <c r="BR383" s="162">
        <v>0</v>
      </c>
      <c r="BS383" s="162">
        <v>0</v>
      </c>
      <c r="BT383" s="162">
        <v>0</v>
      </c>
      <c r="BU383" s="162">
        <v>0</v>
      </c>
      <c r="BV383" s="162">
        <v>0</v>
      </c>
      <c r="BW383" s="162"/>
      <c r="BX383" s="162"/>
      <c r="BY383" s="162">
        <v>0</v>
      </c>
      <c r="BZ383" s="162">
        <v>0</v>
      </c>
      <c r="CA383" s="162">
        <v>0</v>
      </c>
      <c r="CB383" s="162">
        <v>0</v>
      </c>
      <c r="CC383" s="162">
        <v>0</v>
      </c>
      <c r="CD383" s="162">
        <v>0</v>
      </c>
      <c r="CE383" s="162">
        <f>VLOOKUP(I383,[120]REV33!$A:$O,11,0)</f>
        <v>0</v>
      </c>
      <c r="CF383" s="162">
        <f>VLOOKUP(I383,[120]REV33!$A:$O,12,0)</f>
        <v>0</v>
      </c>
      <c r="CG383" s="162"/>
      <c r="CH383" s="162"/>
      <c r="CI383" s="162"/>
      <c r="CJ383" s="162"/>
      <c r="CK383" s="162"/>
      <c r="CL383" s="162"/>
      <c r="CM383" s="162"/>
      <c r="CN383" s="162"/>
      <c r="CO383" s="162">
        <v>0</v>
      </c>
      <c r="CP383" s="162">
        <v>0</v>
      </c>
      <c r="CQ383" s="162">
        <v>0</v>
      </c>
      <c r="CR383" s="162">
        <v>0</v>
      </c>
      <c r="CS383" s="209">
        <f>Q383+S383+U383+W383+Y383+AA383+AC383+AE383+AG383+AI383+AK383+AM383+AO383+AQ383+AS383+AU383+AW383+AY383+BA383+BC383+BE383+BG383+BI383+BK383+BM383+BO383+BQ383+BS383+BU383+BW383+BY383+CA383+CC383+CE383+CG383+CI383+CK383+CM383+CO383+CQ383</f>
        <v>2146</v>
      </c>
      <c r="CT383" s="209">
        <f>R383+T383+V383+X383+Z383+AB383+AD383+AF383+AH383+AJ383+AL383+AN383+AP383+AR383+AT383+AV383+AX383+AZ383+BB383+BD383+BF383+BH383+BJ383+BL383+BN383+BP383+BR383+BT383+BV383+BX383+BZ383+CB383+CD383+CF383+CH383+CJ383+CL383+CN383+CP383+CR383</f>
        <v>0</v>
      </c>
      <c r="CU383" s="206" t="s">
        <v>1000</v>
      </c>
      <c r="CV383" s="156"/>
      <c r="CZ383" s="157"/>
      <c r="DA383" s="152">
        <f t="shared" si="344"/>
        <v>2146</v>
      </c>
      <c r="DB383" s="152" t="str">
        <f t="shared" si="345"/>
        <v>0</v>
      </c>
      <c r="DC383" s="153"/>
      <c r="DD383" s="158" t="s">
        <v>2212</v>
      </c>
      <c r="DE383" s="156" t="s">
        <v>435</v>
      </c>
      <c r="DF383" s="174" t="s">
        <v>1249</v>
      </c>
      <c r="DG383" s="175" t="s">
        <v>1238</v>
      </c>
      <c r="DH383" s="240" t="s">
        <v>477</v>
      </c>
      <c r="DI383" s="187">
        <v>45940</v>
      </c>
      <c r="DJ383" s="429">
        <v>2146</v>
      </c>
      <c r="DK383" s="240" t="s">
        <v>477</v>
      </c>
      <c r="DL383" s="189">
        <v>7700</v>
      </c>
      <c r="DM383" s="181">
        <f t="shared" si="346"/>
        <v>18176620</v>
      </c>
      <c r="DN383" s="446">
        <f t="shared" si="347"/>
        <v>0.1</v>
      </c>
      <c r="DO383" s="160">
        <f t="shared" si="348"/>
        <v>16524200</v>
      </c>
      <c r="DP383" s="159">
        <v>45954</v>
      </c>
      <c r="DQ383" s="152">
        <f>SUMIF($I:$I,I383,$DJ:$DJ)</f>
        <v>2146</v>
      </c>
      <c r="DR383" s="152">
        <f>SUMIF($I:$I,I383,$DK:$DK)</f>
        <v>0</v>
      </c>
      <c r="EO383" s="152">
        <f>SUMIF($I:$I,I383,$EC:$EC)</f>
        <v>0</v>
      </c>
      <c r="EP383" s="151">
        <f>SUMIF($I:$I,I383,$ED:$ED)</f>
        <v>0</v>
      </c>
      <c r="EQ383" s="153"/>
      <c r="ER383" s="153"/>
      <c r="ES383" s="153"/>
      <c r="ET383" s="153"/>
      <c r="EU383" s="152">
        <f t="shared" si="349"/>
        <v>2146</v>
      </c>
      <c r="EV383" s="152">
        <f t="shared" si="350"/>
        <v>0</v>
      </c>
      <c r="EW383" s="152">
        <f t="shared" si="351"/>
        <v>0</v>
      </c>
      <c r="EX383" s="152">
        <f t="shared" si="352"/>
        <v>0</v>
      </c>
      <c r="EY383" s="151" t="str">
        <f t="shared" si="353"/>
        <v>Đủ</v>
      </c>
    </row>
    <row r="384" spans="1:155" s="155" customFormat="1" ht="14" hidden="1" customHeight="1">
      <c r="A384" s="208" t="str">
        <f t="shared" si="342"/>
        <v>Hiện</v>
      </c>
      <c r="B384" s="151" t="str">
        <f t="shared" si="343"/>
        <v>Đủ</v>
      </c>
      <c r="C384" s="409">
        <f t="shared" si="341"/>
        <v>0</v>
      </c>
      <c r="D384" s="154" t="s">
        <v>435</v>
      </c>
      <c r="E384" s="154">
        <f>C384*DL384*1.1</f>
        <v>0</v>
      </c>
      <c r="F384" s="154"/>
      <c r="G384" s="151"/>
      <c r="H384" s="364"/>
      <c r="I384" s="171" t="s">
        <v>898</v>
      </c>
      <c r="J384" s="164" t="s">
        <v>863</v>
      </c>
      <c r="K384" s="171" t="s">
        <v>899</v>
      </c>
      <c r="L384" s="171" t="s">
        <v>865</v>
      </c>
      <c r="M384" s="163" t="s">
        <v>345</v>
      </c>
      <c r="N384" s="173">
        <v>0</v>
      </c>
      <c r="O384" s="419">
        <v>80</v>
      </c>
      <c r="P384" s="205"/>
      <c r="S384" s="161"/>
      <c r="T384" s="162"/>
      <c r="U384" s="162"/>
      <c r="V384" s="162"/>
      <c r="W384" s="162"/>
      <c r="X384" s="162"/>
      <c r="Y384" s="162"/>
      <c r="Z384" s="162"/>
      <c r="AA384" s="162"/>
      <c r="AB384" s="162"/>
      <c r="AC384" s="162"/>
      <c r="AD384" s="162"/>
      <c r="AE384" s="162"/>
      <c r="AF384" s="162"/>
      <c r="AG384" s="162"/>
      <c r="AH384" s="162"/>
      <c r="AI384" s="162"/>
      <c r="AJ384" s="162"/>
      <c r="AK384" s="162">
        <v>90</v>
      </c>
      <c r="AL384" s="162">
        <v>0</v>
      </c>
      <c r="AM384" s="162"/>
      <c r="AN384" s="162"/>
      <c r="AO384" s="162">
        <v>0</v>
      </c>
      <c r="AP384" s="162">
        <v>0</v>
      </c>
      <c r="AQ384" s="162">
        <v>0</v>
      </c>
      <c r="AR384" s="162">
        <v>0</v>
      </c>
      <c r="AS384" s="162">
        <v>0</v>
      </c>
      <c r="AT384" s="162">
        <v>0</v>
      </c>
      <c r="AU384" s="162">
        <v>0</v>
      </c>
      <c r="AV384" s="162">
        <v>0</v>
      </c>
      <c r="AW384" s="162">
        <v>0</v>
      </c>
      <c r="AX384" s="162">
        <v>0</v>
      </c>
      <c r="AY384" s="162">
        <v>0</v>
      </c>
      <c r="AZ384" s="162">
        <v>0</v>
      </c>
      <c r="BA384" s="162"/>
      <c r="BB384" s="162"/>
      <c r="BC384" s="162">
        <v>0</v>
      </c>
      <c r="BD384" s="162">
        <v>0</v>
      </c>
      <c r="BE384" s="162">
        <v>0</v>
      </c>
      <c r="BF384" s="162">
        <v>0</v>
      </c>
      <c r="BG384" s="162">
        <v>0</v>
      </c>
      <c r="BH384" s="162">
        <v>0</v>
      </c>
      <c r="BI384" s="162">
        <v>0</v>
      </c>
      <c r="BJ384" s="162">
        <v>0</v>
      </c>
      <c r="BK384" s="162">
        <v>0</v>
      </c>
      <c r="BL384" s="162">
        <v>0</v>
      </c>
      <c r="BM384" s="162">
        <v>0</v>
      </c>
      <c r="BN384" s="162">
        <v>0</v>
      </c>
      <c r="BO384" s="162"/>
      <c r="BP384" s="162"/>
      <c r="BQ384" s="162">
        <v>0</v>
      </c>
      <c r="BR384" s="162">
        <v>0</v>
      </c>
      <c r="BS384" s="162">
        <v>0</v>
      </c>
      <c r="BT384" s="162">
        <v>0</v>
      </c>
      <c r="BU384" s="162">
        <v>0</v>
      </c>
      <c r="BV384" s="162">
        <v>0</v>
      </c>
      <c r="BW384" s="162"/>
      <c r="BX384" s="162"/>
      <c r="BY384" s="162">
        <v>0</v>
      </c>
      <c r="BZ384" s="162">
        <v>0</v>
      </c>
      <c r="CA384" s="162">
        <v>0</v>
      </c>
      <c r="CB384" s="162">
        <v>0</v>
      </c>
      <c r="CC384" s="162">
        <v>0</v>
      </c>
      <c r="CD384" s="162">
        <v>0</v>
      </c>
      <c r="CE384" s="162">
        <f>VLOOKUP(I384,[120]REV33!$A:$O,11,0)</f>
        <v>0</v>
      </c>
      <c r="CF384" s="162">
        <f>VLOOKUP(I384,[120]REV33!$A:$O,12,0)</f>
        <v>0</v>
      </c>
      <c r="CG384" s="162"/>
      <c r="CH384" s="162"/>
      <c r="CI384" s="162"/>
      <c r="CJ384" s="162"/>
      <c r="CK384" s="162"/>
      <c r="CL384" s="162"/>
      <c r="CM384" s="162"/>
      <c r="CN384" s="162"/>
      <c r="CO384" s="162">
        <v>0</v>
      </c>
      <c r="CP384" s="162">
        <v>0</v>
      </c>
      <c r="CQ384" s="162">
        <v>0</v>
      </c>
      <c r="CR384" s="162">
        <v>0</v>
      </c>
      <c r="CS384" s="209">
        <f>Q384+S384+U384+W384+Y384+AA384+AC384+AE384+AG384+AI384+AK384+AM384+AO384+AQ384+AS384+AU384+AW384+AY384+BA384+BC384+BE384+BG384+BI384+BK384+BM384+BO384+BQ384+BS384+BU384+BW384+BY384+CA384+CC384+CE384+CG384+CI384+CK384+CM384+CO384+CQ384</f>
        <v>90</v>
      </c>
      <c r="CT384" s="209">
        <f>R384+T384+V384+X384+Z384+AB384+AD384+AF384+AH384+AJ384+AL384+AN384+AP384+AR384+AT384+AV384+AX384+AZ384+BB384+BD384+BF384+BH384+BJ384+BL384+BN384+BP384+BR384+BT384+BV384+BX384+BZ384+CB384+CD384+CF384+CH384+CJ384+CL384+CN384+CP384+CR384</f>
        <v>0</v>
      </c>
      <c r="CU384" s="206" t="s">
        <v>1000</v>
      </c>
      <c r="CV384" s="156"/>
      <c r="CZ384" s="157"/>
      <c r="DA384" s="152">
        <f t="shared" si="344"/>
        <v>90</v>
      </c>
      <c r="DB384" s="152" t="str">
        <f t="shared" si="345"/>
        <v>0</v>
      </c>
      <c r="DC384" s="153"/>
      <c r="DD384" s="158" t="s">
        <v>2212</v>
      </c>
      <c r="DE384" s="156" t="s">
        <v>435</v>
      </c>
      <c r="DF384" s="174" t="s">
        <v>1250</v>
      </c>
      <c r="DG384" s="175" t="s">
        <v>1238</v>
      </c>
      <c r="DH384" s="240" t="s">
        <v>477</v>
      </c>
      <c r="DI384" s="187">
        <v>45940</v>
      </c>
      <c r="DJ384" s="429">
        <v>90</v>
      </c>
      <c r="DK384" s="240" t="s">
        <v>477</v>
      </c>
      <c r="DL384" s="189">
        <v>15610</v>
      </c>
      <c r="DM384" s="181">
        <f t="shared" si="346"/>
        <v>1545390.0000000002</v>
      </c>
      <c r="DN384" s="446">
        <f t="shared" si="347"/>
        <v>0.10000000000000017</v>
      </c>
      <c r="DO384" s="160">
        <f t="shared" si="348"/>
        <v>1404900</v>
      </c>
      <c r="DP384" s="159">
        <v>45954</v>
      </c>
      <c r="DQ384" s="152">
        <f>SUMIF($I:$I,I384,$DJ:$DJ)</f>
        <v>90</v>
      </c>
      <c r="DR384" s="152">
        <f>SUMIF($I:$I,I384,$DK:$DK)</f>
        <v>0</v>
      </c>
      <c r="EO384" s="152">
        <f>SUMIF($I:$I,I384,$EC:$EC)</f>
        <v>0</v>
      </c>
      <c r="EP384" s="151">
        <f>SUMIF($I:$I,I384,$ED:$ED)</f>
        <v>0</v>
      </c>
      <c r="EQ384" s="153"/>
      <c r="ER384" s="153"/>
      <c r="ES384" s="153"/>
      <c r="ET384" s="153"/>
      <c r="EU384" s="152">
        <f t="shared" si="349"/>
        <v>90</v>
      </c>
      <c r="EV384" s="152">
        <f t="shared" si="350"/>
        <v>0</v>
      </c>
      <c r="EW384" s="152">
        <f t="shared" si="351"/>
        <v>0</v>
      </c>
      <c r="EX384" s="152">
        <f t="shared" si="352"/>
        <v>0</v>
      </c>
      <c r="EY384" s="151" t="str">
        <f t="shared" si="353"/>
        <v>Đủ</v>
      </c>
    </row>
    <row r="385" spans="1:155" s="155" customFormat="1" ht="14" hidden="1" customHeight="1">
      <c r="A385" s="208" t="str">
        <f t="shared" si="342"/>
        <v>Hiện</v>
      </c>
      <c r="B385" s="151" t="str">
        <f t="shared" si="343"/>
        <v>Đủ</v>
      </c>
      <c r="C385" s="409">
        <f t="shared" si="341"/>
        <v>0</v>
      </c>
      <c r="D385" s="154" t="s">
        <v>435</v>
      </c>
      <c r="E385" s="154">
        <f>C385*DL385*1.1</f>
        <v>0</v>
      </c>
      <c r="F385" s="154"/>
      <c r="G385" s="151"/>
      <c r="H385" s="364"/>
      <c r="I385" s="171" t="s">
        <v>900</v>
      </c>
      <c r="J385" s="164" t="s">
        <v>863</v>
      </c>
      <c r="K385" s="171" t="s">
        <v>901</v>
      </c>
      <c r="L385" s="171" t="s">
        <v>868</v>
      </c>
      <c r="M385" s="163" t="s">
        <v>345</v>
      </c>
      <c r="N385" s="173">
        <v>0</v>
      </c>
      <c r="O385" s="419">
        <v>640</v>
      </c>
      <c r="P385" s="205"/>
      <c r="S385" s="161"/>
      <c r="T385" s="162"/>
      <c r="U385" s="162"/>
      <c r="V385" s="162"/>
      <c r="W385" s="162"/>
      <c r="X385" s="162"/>
      <c r="Y385" s="162"/>
      <c r="Z385" s="162"/>
      <c r="AA385" s="162"/>
      <c r="AB385" s="162"/>
      <c r="AC385" s="162"/>
      <c r="AD385" s="162"/>
      <c r="AE385" s="162"/>
      <c r="AF385" s="162"/>
      <c r="AG385" s="162"/>
      <c r="AH385" s="162"/>
      <c r="AI385" s="162"/>
      <c r="AJ385" s="162"/>
      <c r="AK385" s="162">
        <v>680</v>
      </c>
      <c r="AL385" s="162">
        <v>0</v>
      </c>
      <c r="AM385" s="162"/>
      <c r="AN385" s="162"/>
      <c r="AO385" s="162">
        <v>0</v>
      </c>
      <c r="AP385" s="162">
        <v>0</v>
      </c>
      <c r="AQ385" s="162">
        <v>0</v>
      </c>
      <c r="AR385" s="162">
        <v>0</v>
      </c>
      <c r="AS385" s="162">
        <v>0</v>
      </c>
      <c r="AT385" s="162">
        <v>0</v>
      </c>
      <c r="AU385" s="162">
        <v>0</v>
      </c>
      <c r="AV385" s="162">
        <v>0</v>
      </c>
      <c r="AW385" s="162">
        <v>0</v>
      </c>
      <c r="AX385" s="162">
        <v>0</v>
      </c>
      <c r="AY385" s="162">
        <v>0</v>
      </c>
      <c r="AZ385" s="162">
        <v>0</v>
      </c>
      <c r="BA385" s="162"/>
      <c r="BB385" s="162"/>
      <c r="BC385" s="162">
        <v>0</v>
      </c>
      <c r="BD385" s="162">
        <v>0</v>
      </c>
      <c r="BE385" s="162">
        <v>0</v>
      </c>
      <c r="BF385" s="162">
        <v>0</v>
      </c>
      <c r="BG385" s="162">
        <v>0</v>
      </c>
      <c r="BH385" s="162">
        <v>0</v>
      </c>
      <c r="BI385" s="162">
        <v>0</v>
      </c>
      <c r="BJ385" s="162">
        <v>0</v>
      </c>
      <c r="BK385" s="162">
        <v>0</v>
      </c>
      <c r="BL385" s="162">
        <v>0</v>
      </c>
      <c r="BM385" s="162">
        <v>0</v>
      </c>
      <c r="BN385" s="162">
        <v>0</v>
      </c>
      <c r="BO385" s="162"/>
      <c r="BP385" s="162"/>
      <c r="BQ385" s="162">
        <v>0</v>
      </c>
      <c r="BR385" s="162">
        <v>0</v>
      </c>
      <c r="BS385" s="162">
        <v>0</v>
      </c>
      <c r="BT385" s="162">
        <v>0</v>
      </c>
      <c r="BU385" s="162">
        <v>0</v>
      </c>
      <c r="BV385" s="162">
        <v>0</v>
      </c>
      <c r="BW385" s="162"/>
      <c r="BX385" s="162"/>
      <c r="BY385" s="162">
        <v>0</v>
      </c>
      <c r="BZ385" s="162">
        <v>0</v>
      </c>
      <c r="CA385" s="162">
        <v>0</v>
      </c>
      <c r="CB385" s="162">
        <v>0</v>
      </c>
      <c r="CC385" s="162">
        <v>0</v>
      </c>
      <c r="CD385" s="162">
        <v>0</v>
      </c>
      <c r="CE385" s="162">
        <f>VLOOKUP(I385,[120]REV33!$A:$O,11,0)</f>
        <v>0</v>
      </c>
      <c r="CF385" s="162">
        <f>VLOOKUP(I385,[120]REV33!$A:$O,12,0)</f>
        <v>0</v>
      </c>
      <c r="CG385" s="162"/>
      <c r="CH385" s="162"/>
      <c r="CI385" s="162"/>
      <c r="CJ385" s="162"/>
      <c r="CK385" s="162"/>
      <c r="CL385" s="162"/>
      <c r="CM385" s="162"/>
      <c r="CN385" s="162"/>
      <c r="CO385" s="162">
        <v>0</v>
      </c>
      <c r="CP385" s="162">
        <v>0</v>
      </c>
      <c r="CQ385" s="162">
        <v>0</v>
      </c>
      <c r="CR385" s="162">
        <v>0</v>
      </c>
      <c r="CS385" s="209">
        <f>Q385+S385+U385+W385+Y385+AA385+AC385+AE385+AG385+AI385+AK385+AM385+AO385+AQ385+AS385+AU385+AW385+AY385+BA385+BC385+BE385+BG385+BI385+BK385+BM385+BO385+BQ385+BS385+BU385+BW385+BY385+CA385+CC385+CE385+CG385+CI385+CK385+CM385+CO385+CQ385</f>
        <v>680</v>
      </c>
      <c r="CT385" s="209">
        <f>R385+T385+V385+X385+Z385+AB385+AD385+AF385+AH385+AJ385+AL385+AN385+AP385+AR385+AT385+AV385+AX385+AZ385+BB385+BD385+BF385+BH385+BJ385+BL385+BN385+BP385+BR385+BT385+BV385+BX385+BZ385+CB385+CD385+CF385+CH385+CJ385+CL385+CN385+CP385+CR385</f>
        <v>0</v>
      </c>
      <c r="CU385" s="206" t="s">
        <v>1000</v>
      </c>
      <c r="CV385" s="156"/>
      <c r="CZ385" s="157"/>
      <c r="DA385" s="152">
        <f t="shared" si="344"/>
        <v>680</v>
      </c>
      <c r="DB385" s="152" t="str">
        <f t="shared" si="345"/>
        <v>0</v>
      </c>
      <c r="DC385" s="153"/>
      <c r="DD385" s="158" t="s">
        <v>2212</v>
      </c>
      <c r="DE385" s="156" t="s">
        <v>435</v>
      </c>
      <c r="DF385" s="174" t="s">
        <v>1250</v>
      </c>
      <c r="DG385" s="175" t="s">
        <v>1238</v>
      </c>
      <c r="DH385" s="240" t="s">
        <v>477</v>
      </c>
      <c r="DI385" s="187">
        <v>45940</v>
      </c>
      <c r="DJ385" s="429">
        <v>680</v>
      </c>
      <c r="DK385" s="240" t="s">
        <v>477</v>
      </c>
      <c r="DL385" s="189">
        <v>15610</v>
      </c>
      <c r="DM385" s="181">
        <f t="shared" si="346"/>
        <v>11676280.000000002</v>
      </c>
      <c r="DN385" s="446">
        <f t="shared" si="347"/>
        <v>0.10000000000000017</v>
      </c>
      <c r="DO385" s="160">
        <f t="shared" si="348"/>
        <v>10614800</v>
      </c>
      <c r="DP385" s="159">
        <v>45954</v>
      </c>
      <c r="DQ385" s="152">
        <f>SUMIF($I:$I,I385,$DJ:$DJ)</f>
        <v>680</v>
      </c>
      <c r="DR385" s="152">
        <f>SUMIF($I:$I,I385,$DK:$DK)</f>
        <v>0</v>
      </c>
      <c r="EO385" s="152">
        <f>SUMIF($I:$I,I385,$EC:$EC)</f>
        <v>0</v>
      </c>
      <c r="EP385" s="151">
        <f>SUMIF($I:$I,I385,$ED:$ED)</f>
        <v>0</v>
      </c>
      <c r="EQ385" s="153"/>
      <c r="ER385" s="153"/>
      <c r="ES385" s="153"/>
      <c r="ET385" s="153"/>
      <c r="EU385" s="152">
        <f t="shared" si="349"/>
        <v>680</v>
      </c>
      <c r="EV385" s="152">
        <f t="shared" si="350"/>
        <v>0</v>
      </c>
      <c r="EW385" s="152">
        <f t="shared" si="351"/>
        <v>0</v>
      </c>
      <c r="EX385" s="152">
        <f t="shared" si="352"/>
        <v>0</v>
      </c>
      <c r="EY385" s="151" t="str">
        <f t="shared" si="353"/>
        <v>Đủ</v>
      </c>
    </row>
    <row r="386" spans="1:155" s="155" customFormat="1" ht="14" hidden="1" customHeight="1">
      <c r="A386" s="208" t="str">
        <f t="shared" si="342"/>
        <v>Hiện</v>
      </c>
      <c r="B386" s="151" t="str">
        <f t="shared" si="343"/>
        <v>Đủ</v>
      </c>
      <c r="C386" s="409">
        <f t="shared" si="341"/>
        <v>0</v>
      </c>
      <c r="D386" s="154" t="s">
        <v>435</v>
      </c>
      <c r="E386" s="154">
        <f>C386*DL386*1.1</f>
        <v>0</v>
      </c>
      <c r="F386" s="154"/>
      <c r="G386" s="151"/>
      <c r="H386" s="364"/>
      <c r="I386" s="171" t="s">
        <v>902</v>
      </c>
      <c r="J386" s="164" t="s">
        <v>863</v>
      </c>
      <c r="K386" s="171" t="s">
        <v>903</v>
      </c>
      <c r="L386" s="171" t="s">
        <v>865</v>
      </c>
      <c r="M386" s="163" t="s">
        <v>345</v>
      </c>
      <c r="N386" s="173">
        <v>0</v>
      </c>
      <c r="O386" s="419">
        <v>80</v>
      </c>
      <c r="P386" s="205"/>
      <c r="S386" s="161"/>
      <c r="T386" s="162"/>
      <c r="U386" s="162"/>
      <c r="V386" s="162"/>
      <c r="W386" s="162"/>
      <c r="X386" s="162"/>
      <c r="Y386" s="162"/>
      <c r="Z386" s="162"/>
      <c r="AA386" s="162"/>
      <c r="AB386" s="162"/>
      <c r="AC386" s="162"/>
      <c r="AD386" s="162"/>
      <c r="AE386" s="162"/>
      <c r="AF386" s="162"/>
      <c r="AG386" s="162"/>
      <c r="AH386" s="162"/>
      <c r="AI386" s="162"/>
      <c r="AJ386" s="162"/>
      <c r="AK386" s="162">
        <v>100</v>
      </c>
      <c r="AL386" s="162">
        <v>0</v>
      </c>
      <c r="AM386" s="162"/>
      <c r="AN386" s="162"/>
      <c r="AO386" s="162">
        <v>0</v>
      </c>
      <c r="AP386" s="162">
        <v>0</v>
      </c>
      <c r="AQ386" s="162">
        <v>0</v>
      </c>
      <c r="AR386" s="162">
        <v>0</v>
      </c>
      <c r="AS386" s="162">
        <v>0</v>
      </c>
      <c r="AT386" s="162">
        <v>0</v>
      </c>
      <c r="AU386" s="162">
        <v>0</v>
      </c>
      <c r="AV386" s="162">
        <v>0</v>
      </c>
      <c r="AW386" s="162">
        <v>0</v>
      </c>
      <c r="AX386" s="162">
        <v>0</v>
      </c>
      <c r="AY386" s="162">
        <v>0</v>
      </c>
      <c r="AZ386" s="162">
        <v>0</v>
      </c>
      <c r="BA386" s="162"/>
      <c r="BB386" s="162"/>
      <c r="BC386" s="162">
        <v>0</v>
      </c>
      <c r="BD386" s="162">
        <v>0</v>
      </c>
      <c r="BE386" s="162">
        <v>0</v>
      </c>
      <c r="BF386" s="162">
        <v>0</v>
      </c>
      <c r="BG386" s="162">
        <v>0</v>
      </c>
      <c r="BH386" s="162">
        <v>0</v>
      </c>
      <c r="BI386" s="162">
        <v>0</v>
      </c>
      <c r="BJ386" s="162">
        <v>0</v>
      </c>
      <c r="BK386" s="162">
        <v>0</v>
      </c>
      <c r="BL386" s="162">
        <v>0</v>
      </c>
      <c r="BM386" s="162">
        <v>0</v>
      </c>
      <c r="BN386" s="162">
        <v>0</v>
      </c>
      <c r="BO386" s="162"/>
      <c r="BP386" s="162"/>
      <c r="BQ386" s="162">
        <v>0</v>
      </c>
      <c r="BR386" s="162">
        <v>0</v>
      </c>
      <c r="BS386" s="162">
        <v>0</v>
      </c>
      <c r="BT386" s="162">
        <v>0</v>
      </c>
      <c r="BU386" s="162">
        <v>0</v>
      </c>
      <c r="BV386" s="162">
        <v>0</v>
      </c>
      <c r="BW386" s="162"/>
      <c r="BX386" s="162"/>
      <c r="BY386" s="162">
        <v>0</v>
      </c>
      <c r="BZ386" s="162">
        <v>0</v>
      </c>
      <c r="CA386" s="162">
        <v>0</v>
      </c>
      <c r="CB386" s="162">
        <v>0</v>
      </c>
      <c r="CC386" s="162">
        <v>0</v>
      </c>
      <c r="CD386" s="162">
        <v>0</v>
      </c>
      <c r="CE386" s="162">
        <f>VLOOKUP(I386,[120]REV33!$A:$O,11,0)</f>
        <v>0</v>
      </c>
      <c r="CF386" s="162">
        <f>VLOOKUP(I386,[120]REV33!$A:$O,12,0)</f>
        <v>0</v>
      </c>
      <c r="CG386" s="162"/>
      <c r="CH386" s="162"/>
      <c r="CI386" s="162"/>
      <c r="CJ386" s="162"/>
      <c r="CK386" s="162"/>
      <c r="CL386" s="162"/>
      <c r="CM386" s="162"/>
      <c r="CN386" s="162"/>
      <c r="CO386" s="162">
        <v>0</v>
      </c>
      <c r="CP386" s="162">
        <v>0</v>
      </c>
      <c r="CQ386" s="162">
        <v>0</v>
      </c>
      <c r="CR386" s="162">
        <v>0</v>
      </c>
      <c r="CS386" s="209">
        <f>Q386+S386+U386+W386+Y386+AA386+AC386+AE386+AG386+AI386+AK386+AM386+AO386+AQ386+AS386+AU386+AW386+AY386+BA386+BC386+BE386+BG386+BI386+BK386+BM386+BO386+BQ386+BS386+BU386+BW386+BY386+CA386+CC386+CE386+CG386+CI386+CK386+CM386+CO386+CQ386</f>
        <v>100</v>
      </c>
      <c r="CT386" s="209">
        <f>R386+T386+V386+X386+Z386+AB386+AD386+AF386+AH386+AJ386+AL386+AN386+AP386+AR386+AT386+AV386+AX386+AZ386+BB386+BD386+BF386+BH386+BJ386+BL386+BN386+BP386+BR386+BT386+BV386+BX386+BZ386+CB386+CD386+CF386+CH386+CJ386+CL386+CN386+CP386+CR386</f>
        <v>0</v>
      </c>
      <c r="CU386" s="206" t="s">
        <v>1000</v>
      </c>
      <c r="CV386" s="156"/>
      <c r="CZ386" s="157"/>
      <c r="DA386" s="152">
        <f t="shared" si="344"/>
        <v>100</v>
      </c>
      <c r="DB386" s="152" t="str">
        <f t="shared" si="345"/>
        <v>0</v>
      </c>
      <c r="DC386" s="153"/>
      <c r="DD386" s="158" t="s">
        <v>2212</v>
      </c>
      <c r="DE386" s="156" t="s">
        <v>435</v>
      </c>
      <c r="DF386" s="174" t="s">
        <v>1251</v>
      </c>
      <c r="DG386" s="175" t="s">
        <v>1252</v>
      </c>
      <c r="DH386" s="240" t="s">
        <v>477</v>
      </c>
      <c r="DI386" s="187">
        <v>45940</v>
      </c>
      <c r="DJ386" s="429">
        <v>100</v>
      </c>
      <c r="DK386" s="240" t="s">
        <v>477</v>
      </c>
      <c r="DL386" s="189">
        <v>60</v>
      </c>
      <c r="DM386" s="181">
        <f t="shared" si="346"/>
        <v>6600.0000000000009</v>
      </c>
      <c r="DN386" s="446">
        <f t="shared" si="347"/>
        <v>0.10000000000000016</v>
      </c>
      <c r="DO386" s="160">
        <f t="shared" si="348"/>
        <v>6000</v>
      </c>
      <c r="DP386" s="159">
        <v>45954</v>
      </c>
      <c r="DQ386" s="152">
        <f>SUMIF($I:$I,I386,$DJ:$DJ)</f>
        <v>100</v>
      </c>
      <c r="DR386" s="152">
        <f>SUMIF($I:$I,I386,$DK:$DK)</f>
        <v>0</v>
      </c>
      <c r="EO386" s="152">
        <f>SUMIF($I:$I,I386,$EC:$EC)</f>
        <v>0</v>
      </c>
      <c r="EP386" s="151">
        <f>SUMIF($I:$I,I386,$ED:$ED)</f>
        <v>0</v>
      </c>
      <c r="EQ386" s="153"/>
      <c r="ER386" s="153"/>
      <c r="ES386" s="153"/>
      <c r="ET386" s="153"/>
      <c r="EU386" s="152">
        <f t="shared" si="349"/>
        <v>100</v>
      </c>
      <c r="EV386" s="152">
        <f t="shared" si="350"/>
        <v>0</v>
      </c>
      <c r="EW386" s="152">
        <f t="shared" si="351"/>
        <v>0</v>
      </c>
      <c r="EX386" s="152">
        <f t="shared" si="352"/>
        <v>0</v>
      </c>
      <c r="EY386" s="151" t="str">
        <f t="shared" si="353"/>
        <v>Đủ</v>
      </c>
    </row>
    <row r="387" spans="1:155" s="155" customFormat="1" ht="38.5" hidden="1" customHeight="1">
      <c r="A387" s="208" t="str">
        <f t="shared" si="342"/>
        <v>Hiện</v>
      </c>
      <c r="B387" s="151" t="str">
        <f t="shared" si="343"/>
        <v>Đủ</v>
      </c>
      <c r="C387" s="409">
        <f t="shared" si="341"/>
        <v>0</v>
      </c>
      <c r="D387" s="154" t="s">
        <v>435</v>
      </c>
      <c r="E387" s="154">
        <f>C387*DL387*1.1</f>
        <v>0</v>
      </c>
      <c r="F387" s="154"/>
      <c r="G387" s="151"/>
      <c r="H387" s="364"/>
      <c r="I387" s="171" t="s">
        <v>904</v>
      </c>
      <c r="J387" s="164" t="s">
        <v>863</v>
      </c>
      <c r="K387" s="171" t="s">
        <v>905</v>
      </c>
      <c r="L387" s="171" t="s">
        <v>865</v>
      </c>
      <c r="M387" s="163" t="s">
        <v>345</v>
      </c>
      <c r="N387" s="173">
        <v>0</v>
      </c>
      <c r="O387" s="419">
        <v>80</v>
      </c>
      <c r="P387" s="205"/>
      <c r="S387" s="161"/>
      <c r="T387" s="162"/>
      <c r="U387" s="162"/>
      <c r="V387" s="162"/>
      <c r="W387" s="162"/>
      <c r="X387" s="162"/>
      <c r="Y387" s="162"/>
      <c r="Z387" s="162"/>
      <c r="AA387" s="162"/>
      <c r="AB387" s="162"/>
      <c r="AC387" s="162"/>
      <c r="AD387" s="162"/>
      <c r="AE387" s="162"/>
      <c r="AF387" s="162"/>
      <c r="AG387" s="162"/>
      <c r="AH387" s="162"/>
      <c r="AI387" s="162"/>
      <c r="AJ387" s="162"/>
      <c r="AK387" s="162">
        <v>100</v>
      </c>
      <c r="AL387" s="162">
        <v>0</v>
      </c>
      <c r="AM387" s="162"/>
      <c r="AN387" s="162"/>
      <c r="AO387" s="162">
        <v>0</v>
      </c>
      <c r="AP387" s="162">
        <v>0</v>
      </c>
      <c r="AQ387" s="162">
        <v>0</v>
      </c>
      <c r="AR387" s="162">
        <v>0</v>
      </c>
      <c r="AS387" s="162">
        <v>0</v>
      </c>
      <c r="AT387" s="162">
        <v>0</v>
      </c>
      <c r="AU387" s="162">
        <v>0</v>
      </c>
      <c r="AV387" s="162">
        <v>0</v>
      </c>
      <c r="AW387" s="162">
        <v>0</v>
      </c>
      <c r="AX387" s="162">
        <v>0</v>
      </c>
      <c r="AY387" s="162">
        <v>0</v>
      </c>
      <c r="AZ387" s="162">
        <v>0</v>
      </c>
      <c r="BA387" s="162"/>
      <c r="BB387" s="162"/>
      <c r="BC387" s="162">
        <v>0</v>
      </c>
      <c r="BD387" s="162">
        <v>0</v>
      </c>
      <c r="BE387" s="162">
        <v>0</v>
      </c>
      <c r="BF387" s="162">
        <v>0</v>
      </c>
      <c r="BG387" s="162">
        <v>0</v>
      </c>
      <c r="BH387" s="162">
        <v>0</v>
      </c>
      <c r="BI387" s="162">
        <v>0</v>
      </c>
      <c r="BJ387" s="162">
        <v>0</v>
      </c>
      <c r="BK387" s="162">
        <v>0</v>
      </c>
      <c r="BL387" s="162">
        <v>0</v>
      </c>
      <c r="BM387" s="162">
        <v>0</v>
      </c>
      <c r="BN387" s="162">
        <v>0</v>
      </c>
      <c r="BO387" s="162"/>
      <c r="BP387" s="162"/>
      <c r="BQ387" s="162">
        <v>0</v>
      </c>
      <c r="BR387" s="162">
        <v>0</v>
      </c>
      <c r="BS387" s="162">
        <v>0</v>
      </c>
      <c r="BT387" s="162">
        <v>0</v>
      </c>
      <c r="BU387" s="162">
        <v>0</v>
      </c>
      <c r="BV387" s="162">
        <v>0</v>
      </c>
      <c r="BW387" s="162"/>
      <c r="BX387" s="162"/>
      <c r="BY387" s="162">
        <v>0</v>
      </c>
      <c r="BZ387" s="162">
        <v>0</v>
      </c>
      <c r="CA387" s="162">
        <v>0</v>
      </c>
      <c r="CB387" s="162">
        <v>0</v>
      </c>
      <c r="CC387" s="162">
        <v>0</v>
      </c>
      <c r="CD387" s="162">
        <v>0</v>
      </c>
      <c r="CE387" s="162">
        <f>VLOOKUP(I387,[120]REV33!$A:$O,11,0)</f>
        <v>0</v>
      </c>
      <c r="CF387" s="162">
        <f>VLOOKUP(I387,[120]REV33!$A:$O,12,0)</f>
        <v>0</v>
      </c>
      <c r="CG387" s="162"/>
      <c r="CH387" s="162"/>
      <c r="CI387" s="162"/>
      <c r="CJ387" s="162"/>
      <c r="CK387" s="162"/>
      <c r="CL387" s="162"/>
      <c r="CM387" s="162"/>
      <c r="CN387" s="162"/>
      <c r="CO387" s="162">
        <v>0</v>
      </c>
      <c r="CP387" s="162">
        <v>0</v>
      </c>
      <c r="CQ387" s="162">
        <v>0</v>
      </c>
      <c r="CR387" s="162">
        <v>0</v>
      </c>
      <c r="CS387" s="209">
        <f>Q387+S387+U387+W387+Y387+AA387+AC387+AE387+AG387+AI387+AK387+AM387+AO387+AQ387+AS387+AU387+AW387+AY387+BA387+BC387+BE387+BG387+BI387+BK387+BM387+BO387+BQ387+BS387+BU387+BW387+BY387+CA387+CC387+CE387+CG387+CI387+CK387+CM387+CO387+CQ387</f>
        <v>100</v>
      </c>
      <c r="CT387" s="209">
        <f>R387+T387+V387+X387+Z387+AB387+AD387+AF387+AH387+AJ387+AL387+AN387+AP387+AR387+AT387+AV387+AX387+AZ387+BB387+BD387+BF387+BH387+BJ387+BL387+BN387+BP387+BR387+BT387+BV387+BX387+BZ387+CB387+CD387+CF387+CH387+CJ387+CL387+CN387+CP387+CR387</f>
        <v>0</v>
      </c>
      <c r="CU387" s="206" t="s">
        <v>1000</v>
      </c>
      <c r="CV387" s="156"/>
      <c r="CZ387" s="157"/>
      <c r="DA387" s="152">
        <f t="shared" si="344"/>
        <v>100</v>
      </c>
      <c r="DB387" s="152" t="str">
        <f t="shared" si="345"/>
        <v>0</v>
      </c>
      <c r="DC387" s="153"/>
      <c r="DD387" s="158" t="s">
        <v>2212</v>
      </c>
      <c r="DE387" s="156" t="s">
        <v>435</v>
      </c>
      <c r="DF387" s="174" t="s">
        <v>1253</v>
      </c>
      <c r="DG387" s="175" t="s">
        <v>1254</v>
      </c>
      <c r="DH387" s="240" t="s">
        <v>477</v>
      </c>
      <c r="DI387" s="187">
        <v>45940</v>
      </c>
      <c r="DJ387" s="429">
        <v>100</v>
      </c>
      <c r="DK387" s="240" t="s">
        <v>477</v>
      </c>
      <c r="DL387" s="189">
        <v>122000</v>
      </c>
      <c r="DM387" s="181">
        <f t="shared" si="346"/>
        <v>13420000.000000002</v>
      </c>
      <c r="DN387" s="446">
        <f t="shared" si="347"/>
        <v>0.10000000000000016</v>
      </c>
      <c r="DO387" s="160">
        <f t="shared" si="348"/>
        <v>12200000</v>
      </c>
      <c r="DP387" s="159">
        <v>45954</v>
      </c>
      <c r="DQ387" s="152">
        <f>SUMIF($I:$I,I387,$DJ:$DJ)</f>
        <v>100</v>
      </c>
      <c r="DR387" s="152">
        <f>SUMIF($I:$I,I387,$DK:$DK)</f>
        <v>0</v>
      </c>
      <c r="EO387" s="152">
        <f>SUMIF($I:$I,I387,$EC:$EC)</f>
        <v>0</v>
      </c>
      <c r="EP387" s="151">
        <f>SUMIF($I:$I,I387,$ED:$ED)</f>
        <v>0</v>
      </c>
      <c r="EQ387" s="153"/>
      <c r="ER387" s="153"/>
      <c r="ES387" s="153"/>
      <c r="ET387" s="153"/>
      <c r="EU387" s="152">
        <f t="shared" si="349"/>
        <v>100</v>
      </c>
      <c r="EV387" s="152">
        <f t="shared" si="350"/>
        <v>0</v>
      </c>
      <c r="EW387" s="152">
        <f t="shared" si="351"/>
        <v>0</v>
      </c>
      <c r="EX387" s="152">
        <f t="shared" si="352"/>
        <v>0</v>
      </c>
      <c r="EY387" s="151" t="str">
        <f t="shared" si="353"/>
        <v>Đủ</v>
      </c>
    </row>
    <row r="388" spans="1:155" s="155" customFormat="1" ht="14" hidden="1" customHeight="1">
      <c r="A388" s="208" t="str">
        <f t="shared" si="342"/>
        <v>Hiện</v>
      </c>
      <c r="B388" s="151" t="str">
        <f t="shared" si="343"/>
        <v>Đủ</v>
      </c>
      <c r="C388" s="409">
        <f t="shared" si="341"/>
        <v>0</v>
      </c>
      <c r="D388" s="154" t="s">
        <v>435</v>
      </c>
      <c r="E388" s="154">
        <f>C388*DL388*1.1</f>
        <v>0</v>
      </c>
      <c r="F388" s="154"/>
      <c r="G388" s="151"/>
      <c r="H388" s="364"/>
      <c r="I388" s="171" t="s">
        <v>906</v>
      </c>
      <c r="J388" s="164" t="s">
        <v>863</v>
      </c>
      <c r="K388" s="171" t="s">
        <v>907</v>
      </c>
      <c r="L388" s="171" t="s">
        <v>865</v>
      </c>
      <c r="M388" s="163" t="s">
        <v>345</v>
      </c>
      <c r="N388" s="173">
        <v>0</v>
      </c>
      <c r="O388" s="419">
        <v>88</v>
      </c>
      <c r="P388" s="205"/>
      <c r="S388" s="161"/>
      <c r="T388" s="162"/>
      <c r="U388" s="162"/>
      <c r="V388" s="162"/>
      <c r="W388" s="162"/>
      <c r="X388" s="162"/>
      <c r="Y388" s="162"/>
      <c r="Z388" s="162"/>
      <c r="AA388" s="162"/>
      <c r="AB388" s="162"/>
      <c r="AC388" s="162"/>
      <c r="AD388" s="162"/>
      <c r="AE388" s="162"/>
      <c r="AF388" s="162"/>
      <c r="AG388" s="162"/>
      <c r="AH388" s="162"/>
      <c r="AI388" s="162"/>
      <c r="AJ388" s="162"/>
      <c r="AK388" s="162">
        <v>92</v>
      </c>
      <c r="AL388" s="162">
        <v>0</v>
      </c>
      <c r="AM388" s="162"/>
      <c r="AN388" s="162"/>
      <c r="AO388" s="162">
        <v>0</v>
      </c>
      <c r="AP388" s="162">
        <v>0</v>
      </c>
      <c r="AQ388" s="162">
        <v>0</v>
      </c>
      <c r="AR388" s="162">
        <v>0</v>
      </c>
      <c r="AS388" s="162">
        <v>0</v>
      </c>
      <c r="AT388" s="162">
        <v>0</v>
      </c>
      <c r="AU388" s="162">
        <v>0</v>
      </c>
      <c r="AV388" s="162">
        <v>0</v>
      </c>
      <c r="AW388" s="162">
        <v>0</v>
      </c>
      <c r="AX388" s="162">
        <v>0</v>
      </c>
      <c r="AY388" s="162">
        <v>0</v>
      </c>
      <c r="AZ388" s="162">
        <v>0</v>
      </c>
      <c r="BA388" s="162"/>
      <c r="BB388" s="162"/>
      <c r="BC388" s="162">
        <v>0</v>
      </c>
      <c r="BD388" s="162">
        <v>0</v>
      </c>
      <c r="BE388" s="162">
        <v>0</v>
      </c>
      <c r="BF388" s="162">
        <v>0</v>
      </c>
      <c r="BG388" s="162">
        <v>0</v>
      </c>
      <c r="BH388" s="162">
        <v>0</v>
      </c>
      <c r="BI388" s="162">
        <v>0</v>
      </c>
      <c r="BJ388" s="162">
        <v>0</v>
      </c>
      <c r="BK388" s="162">
        <v>0</v>
      </c>
      <c r="BL388" s="162">
        <v>0</v>
      </c>
      <c r="BM388" s="162">
        <v>0</v>
      </c>
      <c r="BN388" s="162">
        <v>0</v>
      </c>
      <c r="BO388" s="162"/>
      <c r="BP388" s="162"/>
      <c r="BQ388" s="162">
        <v>0</v>
      </c>
      <c r="BR388" s="162">
        <v>0</v>
      </c>
      <c r="BS388" s="162">
        <v>0</v>
      </c>
      <c r="BT388" s="162">
        <v>0</v>
      </c>
      <c r="BU388" s="162">
        <v>0</v>
      </c>
      <c r="BV388" s="162">
        <v>0</v>
      </c>
      <c r="BW388" s="162"/>
      <c r="BX388" s="162"/>
      <c r="BY388" s="162">
        <v>0</v>
      </c>
      <c r="BZ388" s="162">
        <v>0</v>
      </c>
      <c r="CA388" s="162">
        <v>0</v>
      </c>
      <c r="CB388" s="162">
        <v>0</v>
      </c>
      <c r="CC388" s="162">
        <v>0</v>
      </c>
      <c r="CD388" s="162">
        <v>0</v>
      </c>
      <c r="CE388" s="162">
        <f>VLOOKUP(I388,[120]REV33!$A:$O,11,0)</f>
        <v>0</v>
      </c>
      <c r="CF388" s="162">
        <f>VLOOKUP(I388,[120]REV33!$A:$O,12,0)</f>
        <v>0</v>
      </c>
      <c r="CG388" s="162"/>
      <c r="CH388" s="162"/>
      <c r="CI388" s="162"/>
      <c r="CJ388" s="162"/>
      <c r="CK388" s="162"/>
      <c r="CL388" s="162"/>
      <c r="CM388" s="162"/>
      <c r="CN388" s="162"/>
      <c r="CO388" s="162">
        <v>0</v>
      </c>
      <c r="CP388" s="162">
        <v>0</v>
      </c>
      <c r="CQ388" s="162">
        <v>0</v>
      </c>
      <c r="CR388" s="162">
        <v>0</v>
      </c>
      <c r="CS388" s="209">
        <f>Q388+S388+U388+W388+Y388+AA388+AC388+AE388+AG388+AI388+AK388+AM388+AO388+AQ388+AS388+AU388+AW388+AY388+BA388+BC388+BE388+BG388+BI388+BK388+BM388+BO388+BQ388+BS388+BU388+BW388+BY388+CA388+CC388+CE388+CG388+CI388+CK388+CM388+CO388+CQ388</f>
        <v>92</v>
      </c>
      <c r="CT388" s="209">
        <f>R388+T388+V388+X388+Z388+AB388+AD388+AF388+AH388+AJ388+AL388+AN388+AP388+AR388+AT388+AV388+AX388+AZ388+BB388+BD388+BF388+BH388+BJ388+BL388+BN388+BP388+BR388+BT388+BV388+BX388+BZ388+CB388+CD388+CF388+CH388+CJ388+CL388+CN388+CP388+CR388</f>
        <v>0</v>
      </c>
      <c r="CU388" s="206" t="s">
        <v>1000</v>
      </c>
      <c r="CV388" s="156"/>
      <c r="CZ388" s="157"/>
      <c r="DA388" s="152">
        <f t="shared" si="344"/>
        <v>92</v>
      </c>
      <c r="DB388" s="152" t="str">
        <f t="shared" si="345"/>
        <v>0</v>
      </c>
      <c r="DC388" s="153"/>
      <c r="DD388" s="158" t="s">
        <v>2212</v>
      </c>
      <c r="DE388" s="156" t="s">
        <v>435</v>
      </c>
      <c r="DF388" s="174" t="s">
        <v>1255</v>
      </c>
      <c r="DG388" s="175" t="s">
        <v>1252</v>
      </c>
      <c r="DH388" s="240" t="s">
        <v>477</v>
      </c>
      <c r="DI388" s="187">
        <v>45940</v>
      </c>
      <c r="DJ388" s="429">
        <v>92</v>
      </c>
      <c r="DK388" s="240" t="s">
        <v>477</v>
      </c>
      <c r="DL388" s="189">
        <v>90</v>
      </c>
      <c r="DM388" s="181">
        <f t="shared" si="346"/>
        <v>9108</v>
      </c>
      <c r="DN388" s="446">
        <f t="shared" si="347"/>
        <v>0.1</v>
      </c>
      <c r="DO388" s="160">
        <f t="shared" si="348"/>
        <v>8280</v>
      </c>
      <c r="DP388" s="159">
        <v>45954</v>
      </c>
      <c r="DQ388" s="152">
        <f>SUMIF($I:$I,I388,$DJ:$DJ)</f>
        <v>92</v>
      </c>
      <c r="DR388" s="152">
        <f>SUMIF($I:$I,I388,$DK:$DK)</f>
        <v>0</v>
      </c>
      <c r="EO388" s="152">
        <f>SUMIF($I:$I,I388,$EC:$EC)</f>
        <v>0</v>
      </c>
      <c r="EP388" s="151">
        <f>SUMIF($I:$I,I388,$ED:$ED)</f>
        <v>0</v>
      </c>
      <c r="EQ388" s="153"/>
      <c r="ER388" s="153"/>
      <c r="ES388" s="153"/>
      <c r="ET388" s="153"/>
      <c r="EU388" s="152">
        <f t="shared" si="349"/>
        <v>92</v>
      </c>
      <c r="EV388" s="152">
        <f t="shared" si="350"/>
        <v>0</v>
      </c>
      <c r="EW388" s="152">
        <f t="shared" si="351"/>
        <v>0</v>
      </c>
      <c r="EX388" s="152">
        <f t="shared" si="352"/>
        <v>0</v>
      </c>
      <c r="EY388" s="151" t="str">
        <f t="shared" si="353"/>
        <v>Đủ</v>
      </c>
    </row>
    <row r="389" spans="1:155" s="155" customFormat="1" ht="14" customHeight="1">
      <c r="A389" s="208" t="str">
        <f t="shared" si="342"/>
        <v>Hiện</v>
      </c>
      <c r="B389" s="151" t="str">
        <f t="shared" si="343"/>
        <v>Thiếu</v>
      </c>
      <c r="C389" s="409">
        <f t="shared" si="341"/>
        <v>80</v>
      </c>
      <c r="D389" s="154" t="s">
        <v>435</v>
      </c>
      <c r="E389" s="154">
        <f>C389*DL389*1.1</f>
        <v>15840.000000000002</v>
      </c>
      <c r="F389" s="154"/>
      <c r="G389" s="151"/>
      <c r="H389" s="364"/>
      <c r="I389" s="163" t="s">
        <v>908</v>
      </c>
      <c r="J389" s="164" t="s">
        <v>863</v>
      </c>
      <c r="K389" s="171" t="s">
        <v>909</v>
      </c>
      <c r="L389" s="171" t="s">
        <v>865</v>
      </c>
      <c r="M389" s="163" t="s">
        <v>345</v>
      </c>
      <c r="N389" s="173">
        <v>0</v>
      </c>
      <c r="O389" s="419">
        <v>284</v>
      </c>
      <c r="P389" s="205"/>
      <c r="S389" s="161"/>
      <c r="T389" s="162"/>
      <c r="U389" s="162"/>
      <c r="V389" s="162"/>
      <c r="W389" s="162"/>
      <c r="X389" s="162"/>
      <c r="Y389" s="162"/>
      <c r="Z389" s="162"/>
      <c r="AA389" s="162"/>
      <c r="AB389" s="162"/>
      <c r="AC389" s="162"/>
      <c r="AD389" s="162"/>
      <c r="AE389" s="162"/>
      <c r="AF389" s="162"/>
      <c r="AG389" s="162"/>
      <c r="AH389" s="162"/>
      <c r="AI389" s="162"/>
      <c r="AJ389" s="162"/>
      <c r="AK389" s="162">
        <v>300</v>
      </c>
      <c r="AL389" s="162">
        <v>0</v>
      </c>
      <c r="AM389" s="162"/>
      <c r="AN389" s="162"/>
      <c r="AO389" s="162">
        <v>0</v>
      </c>
      <c r="AP389" s="162">
        <v>0</v>
      </c>
      <c r="AQ389" s="162">
        <v>0</v>
      </c>
      <c r="AR389" s="162">
        <v>0</v>
      </c>
      <c r="AS389" s="162">
        <v>0</v>
      </c>
      <c r="AT389" s="162">
        <v>0</v>
      </c>
      <c r="AU389" s="162">
        <v>0</v>
      </c>
      <c r="AV389" s="162">
        <v>0</v>
      </c>
      <c r="AW389" s="162">
        <v>0</v>
      </c>
      <c r="AX389" s="162">
        <v>0</v>
      </c>
      <c r="AY389" s="162">
        <v>0</v>
      </c>
      <c r="AZ389" s="162">
        <v>0</v>
      </c>
      <c r="BA389" s="162"/>
      <c r="BB389" s="162"/>
      <c r="BC389" s="162">
        <v>0</v>
      </c>
      <c r="BD389" s="162">
        <v>0</v>
      </c>
      <c r="BE389" s="162">
        <v>0</v>
      </c>
      <c r="BF389" s="162">
        <v>0</v>
      </c>
      <c r="BG389" s="162">
        <v>0</v>
      </c>
      <c r="BH389" s="162">
        <v>0</v>
      </c>
      <c r="BI389" s="162">
        <v>0</v>
      </c>
      <c r="BJ389" s="162">
        <v>0</v>
      </c>
      <c r="BK389" s="162">
        <v>0</v>
      </c>
      <c r="BL389" s="162">
        <v>0</v>
      </c>
      <c r="BM389" s="162">
        <v>0</v>
      </c>
      <c r="BN389" s="162">
        <v>0</v>
      </c>
      <c r="BO389" s="162"/>
      <c r="BP389" s="162"/>
      <c r="BQ389" s="162">
        <v>0</v>
      </c>
      <c r="BR389" s="162">
        <v>0</v>
      </c>
      <c r="BS389" s="162">
        <v>0</v>
      </c>
      <c r="BT389" s="162">
        <v>0</v>
      </c>
      <c r="BU389" s="162">
        <v>0</v>
      </c>
      <c r="BV389" s="162">
        <v>0</v>
      </c>
      <c r="BW389" s="162"/>
      <c r="BX389" s="162"/>
      <c r="BY389" s="162">
        <v>0</v>
      </c>
      <c r="BZ389" s="162">
        <v>0</v>
      </c>
      <c r="CA389" s="162">
        <v>0</v>
      </c>
      <c r="CB389" s="162">
        <v>0</v>
      </c>
      <c r="CC389" s="162">
        <v>0</v>
      </c>
      <c r="CD389" s="162">
        <v>0</v>
      </c>
      <c r="CE389" s="162">
        <f>VLOOKUP(I389,[120]REV33!$A:$O,11,0)</f>
        <v>0</v>
      </c>
      <c r="CF389" s="162">
        <f>VLOOKUP(I389,[120]REV33!$A:$O,12,0)</f>
        <v>0</v>
      </c>
      <c r="CG389" s="162"/>
      <c r="CH389" s="162"/>
      <c r="CI389" s="162"/>
      <c r="CJ389" s="162"/>
      <c r="CK389" s="162"/>
      <c r="CL389" s="162"/>
      <c r="CM389" s="162"/>
      <c r="CN389" s="162"/>
      <c r="CO389" s="162">
        <v>80</v>
      </c>
      <c r="CP389" s="162">
        <v>0</v>
      </c>
      <c r="CQ389" s="162">
        <v>0</v>
      </c>
      <c r="CR389" s="162">
        <v>0</v>
      </c>
      <c r="CS389" s="209">
        <f>Q389+S389+U389+W389+Y389+AA389+AC389+AE389+AG389+AI389+AK389+AM389+AO389+AQ389+AS389+AU389+AW389+AY389+BA389+BC389+BE389+BG389+BI389+BK389+BM389+BO389+BQ389+BS389+BU389+BW389+BY389+CA389+CC389+CE389+CG389+CI389+CK389+CM389+CO389+CQ389</f>
        <v>380</v>
      </c>
      <c r="CT389" s="209">
        <f>R389+T389+V389+X389+Z389+AB389+AD389+AF389+AH389+AJ389+AL389+AN389+AP389+AR389+AT389+AV389+AX389+AZ389+BB389+BD389+BF389+BH389+BJ389+BL389+BN389+BP389+BR389+BT389+BV389+BX389+BZ389+CB389+CD389+CF389+CH389+CJ389+CL389+CN389+CP389+CR389</f>
        <v>0</v>
      </c>
      <c r="CU389" s="206" t="s">
        <v>2599</v>
      </c>
      <c r="CV389" s="156"/>
      <c r="CZ389" s="157"/>
      <c r="DA389" s="152">
        <f t="shared" si="344"/>
        <v>380</v>
      </c>
      <c r="DB389" s="152" t="str">
        <f t="shared" si="345"/>
        <v>0</v>
      </c>
      <c r="DC389" s="153"/>
      <c r="DD389" s="158" t="s">
        <v>2212</v>
      </c>
      <c r="DE389" s="156" t="s">
        <v>435</v>
      </c>
      <c r="DF389" s="174" t="s">
        <v>1256</v>
      </c>
      <c r="DG389" s="175" t="s">
        <v>1252</v>
      </c>
      <c r="DH389" s="240" t="s">
        <v>477</v>
      </c>
      <c r="DI389" s="187">
        <v>45940</v>
      </c>
      <c r="DJ389" s="429">
        <v>300</v>
      </c>
      <c r="DK389" s="240" t="s">
        <v>477</v>
      </c>
      <c r="DL389" s="189">
        <v>180</v>
      </c>
      <c r="DM389" s="181">
        <f t="shared" si="346"/>
        <v>59400.000000000007</v>
      </c>
      <c r="DN389" s="446">
        <f t="shared" si="347"/>
        <v>0.10000000000000013</v>
      </c>
      <c r="DO389" s="160">
        <f t="shared" si="348"/>
        <v>54000</v>
      </c>
      <c r="DP389" s="159">
        <v>45954</v>
      </c>
      <c r="DQ389" s="152">
        <f>SUMIF($I:$I,I389,$DJ:$DJ)</f>
        <v>300</v>
      </c>
      <c r="DR389" s="152">
        <f>SUMIF($I:$I,I389,$DK:$DK)</f>
        <v>0</v>
      </c>
      <c r="EO389" s="152">
        <f>SUMIF($I:$I,I389,$EC:$EC)</f>
        <v>0</v>
      </c>
      <c r="EP389" s="151">
        <f>SUMIF($I:$I,I389,$ED:$ED)</f>
        <v>0</v>
      </c>
      <c r="EQ389" s="153"/>
      <c r="ER389" s="153"/>
      <c r="ES389" s="153"/>
      <c r="ET389" s="153"/>
      <c r="EU389" s="152">
        <f t="shared" si="349"/>
        <v>300</v>
      </c>
      <c r="EV389" s="152">
        <f t="shared" si="350"/>
        <v>0</v>
      </c>
      <c r="EW389" s="152">
        <f t="shared" si="351"/>
        <v>80</v>
      </c>
      <c r="EX389" s="152">
        <f t="shared" si="352"/>
        <v>0</v>
      </c>
      <c r="EY389" s="151" t="str">
        <f t="shared" si="353"/>
        <v>Thiếu</v>
      </c>
    </row>
    <row r="390" spans="1:155" s="155" customFormat="1" ht="14" hidden="1" customHeight="1">
      <c r="A390" s="208" t="str">
        <f t="shared" si="342"/>
        <v>Hiện</v>
      </c>
      <c r="B390" s="151" t="str">
        <f t="shared" si="343"/>
        <v>Đủ</v>
      </c>
      <c r="C390" s="409">
        <f t="shared" si="341"/>
        <v>0</v>
      </c>
      <c r="D390" s="154" t="s">
        <v>435</v>
      </c>
      <c r="E390" s="154">
        <f>C390*DL390*1.1</f>
        <v>0</v>
      </c>
      <c r="F390" s="154"/>
      <c r="G390" s="151"/>
      <c r="H390" s="364"/>
      <c r="I390" s="171" t="s">
        <v>910</v>
      </c>
      <c r="J390" s="164" t="s">
        <v>863</v>
      </c>
      <c r="K390" s="171" t="s">
        <v>911</v>
      </c>
      <c r="L390" s="171" t="s">
        <v>865</v>
      </c>
      <c r="M390" s="163" t="s">
        <v>345</v>
      </c>
      <c r="N390" s="173">
        <v>0</v>
      </c>
      <c r="O390" s="419">
        <v>312</v>
      </c>
      <c r="P390" s="205"/>
      <c r="S390" s="161"/>
      <c r="T390" s="162"/>
      <c r="U390" s="162"/>
      <c r="V390" s="162"/>
      <c r="W390" s="162"/>
      <c r="X390" s="162"/>
      <c r="Y390" s="162"/>
      <c r="Z390" s="162"/>
      <c r="AA390" s="162"/>
      <c r="AB390" s="162"/>
      <c r="AC390" s="162"/>
      <c r="AD390" s="162"/>
      <c r="AE390" s="162"/>
      <c r="AF390" s="162"/>
      <c r="AG390" s="162"/>
      <c r="AH390" s="162"/>
      <c r="AI390" s="162"/>
      <c r="AJ390" s="162"/>
      <c r="AK390" s="162">
        <v>332</v>
      </c>
      <c r="AL390" s="162">
        <v>0</v>
      </c>
      <c r="AM390" s="162"/>
      <c r="AN390" s="162"/>
      <c r="AO390" s="162">
        <v>0</v>
      </c>
      <c r="AP390" s="162">
        <v>0</v>
      </c>
      <c r="AQ390" s="162">
        <v>0</v>
      </c>
      <c r="AR390" s="162">
        <v>0</v>
      </c>
      <c r="AS390" s="162">
        <v>0</v>
      </c>
      <c r="AT390" s="162">
        <v>0</v>
      </c>
      <c r="AU390" s="162">
        <v>0</v>
      </c>
      <c r="AV390" s="162">
        <v>0</v>
      </c>
      <c r="AW390" s="162">
        <v>0</v>
      </c>
      <c r="AX390" s="162">
        <v>0</v>
      </c>
      <c r="AY390" s="162">
        <v>0</v>
      </c>
      <c r="AZ390" s="162">
        <v>0</v>
      </c>
      <c r="BA390" s="162"/>
      <c r="BB390" s="162"/>
      <c r="BC390" s="162">
        <v>0</v>
      </c>
      <c r="BD390" s="162">
        <v>0</v>
      </c>
      <c r="BE390" s="162">
        <v>0</v>
      </c>
      <c r="BF390" s="162">
        <v>0</v>
      </c>
      <c r="BG390" s="162">
        <v>0</v>
      </c>
      <c r="BH390" s="162">
        <v>0</v>
      </c>
      <c r="BI390" s="162">
        <v>0</v>
      </c>
      <c r="BJ390" s="162">
        <v>0</v>
      </c>
      <c r="BK390" s="162">
        <v>0</v>
      </c>
      <c r="BL390" s="162">
        <v>0</v>
      </c>
      <c r="BM390" s="162">
        <v>0</v>
      </c>
      <c r="BN390" s="162">
        <v>0</v>
      </c>
      <c r="BO390" s="162"/>
      <c r="BP390" s="162"/>
      <c r="BQ390" s="162">
        <v>0</v>
      </c>
      <c r="BR390" s="162">
        <v>0</v>
      </c>
      <c r="BS390" s="162">
        <v>0</v>
      </c>
      <c r="BT390" s="162">
        <v>0</v>
      </c>
      <c r="BU390" s="162">
        <v>0</v>
      </c>
      <c r="BV390" s="162">
        <v>0</v>
      </c>
      <c r="BW390" s="162"/>
      <c r="BX390" s="162"/>
      <c r="BY390" s="162">
        <v>0</v>
      </c>
      <c r="BZ390" s="162">
        <v>0</v>
      </c>
      <c r="CA390" s="162">
        <v>0</v>
      </c>
      <c r="CB390" s="162">
        <v>0</v>
      </c>
      <c r="CC390" s="162">
        <v>0</v>
      </c>
      <c r="CD390" s="162">
        <v>0</v>
      </c>
      <c r="CE390" s="162">
        <f>VLOOKUP(I390,[120]REV33!$A:$O,11,0)</f>
        <v>0</v>
      </c>
      <c r="CF390" s="162">
        <f>VLOOKUP(I390,[120]REV33!$A:$O,12,0)</f>
        <v>0</v>
      </c>
      <c r="CG390" s="162"/>
      <c r="CH390" s="162"/>
      <c r="CI390" s="162"/>
      <c r="CJ390" s="162"/>
      <c r="CK390" s="162"/>
      <c r="CL390" s="162"/>
      <c r="CM390" s="162"/>
      <c r="CN390" s="162"/>
      <c r="CO390" s="162">
        <v>0</v>
      </c>
      <c r="CP390" s="162">
        <v>0</v>
      </c>
      <c r="CQ390" s="162">
        <v>0</v>
      </c>
      <c r="CR390" s="162">
        <v>0</v>
      </c>
      <c r="CS390" s="209">
        <f>Q390+S390+U390+W390+Y390+AA390+AC390+AE390+AG390+AI390+AK390+AM390+AO390+AQ390+AS390+AU390+AW390+AY390+BA390+BC390+BE390+BG390+BI390+BK390+BM390+BO390+BQ390+BS390+BU390+BW390+BY390+CA390+CC390+CE390+CG390+CI390+CK390+CM390+CO390+CQ390</f>
        <v>332</v>
      </c>
      <c r="CT390" s="209">
        <f>R390+T390+V390+X390+Z390+AB390+AD390+AF390+AH390+AJ390+AL390+AN390+AP390+AR390+AT390+AV390+AX390+AZ390+BB390+BD390+BF390+BH390+BJ390+BL390+BN390+BP390+BR390+BT390+BV390+BX390+BZ390+CB390+CD390+CF390+CH390+CJ390+CL390+CN390+CP390+CR390</f>
        <v>0</v>
      </c>
      <c r="CU390" s="206" t="s">
        <v>1000</v>
      </c>
      <c r="CV390" s="156"/>
      <c r="CZ390" s="157"/>
      <c r="DA390" s="152">
        <f t="shared" si="344"/>
        <v>332</v>
      </c>
      <c r="DB390" s="152" t="str">
        <f t="shared" si="345"/>
        <v>0</v>
      </c>
      <c r="DC390" s="153"/>
      <c r="DD390" s="158" t="s">
        <v>2212</v>
      </c>
      <c r="DE390" s="156" t="s">
        <v>435</v>
      </c>
      <c r="DF390" s="174" t="s">
        <v>1257</v>
      </c>
      <c r="DG390" s="175" t="s">
        <v>1258</v>
      </c>
      <c r="DH390" s="240" t="s">
        <v>477</v>
      </c>
      <c r="DI390" s="187">
        <v>45940</v>
      </c>
      <c r="DJ390" s="429">
        <v>332</v>
      </c>
      <c r="DK390" s="240" t="s">
        <v>477</v>
      </c>
      <c r="DL390" s="189">
        <v>520</v>
      </c>
      <c r="DM390" s="181">
        <f t="shared" si="346"/>
        <v>189904.00000000003</v>
      </c>
      <c r="DN390" s="446">
        <f t="shared" si="347"/>
        <v>0.10000000000000017</v>
      </c>
      <c r="DO390" s="160">
        <f t="shared" si="348"/>
        <v>172640</v>
      </c>
      <c r="DP390" s="159">
        <v>45954</v>
      </c>
      <c r="DQ390" s="152">
        <f>SUMIF($I:$I,I390,$DJ:$DJ)</f>
        <v>332</v>
      </c>
      <c r="DR390" s="152">
        <f>SUMIF($I:$I,I390,$DK:$DK)</f>
        <v>0</v>
      </c>
      <c r="EO390" s="152">
        <f>SUMIF($I:$I,I390,$EC:$EC)</f>
        <v>0</v>
      </c>
      <c r="EP390" s="151">
        <f>SUMIF($I:$I,I390,$ED:$ED)</f>
        <v>0</v>
      </c>
      <c r="EQ390" s="153"/>
      <c r="ER390" s="153"/>
      <c r="ES390" s="153"/>
      <c r="ET390" s="153"/>
      <c r="EU390" s="152">
        <f t="shared" si="349"/>
        <v>332</v>
      </c>
      <c r="EV390" s="152">
        <f t="shared" si="350"/>
        <v>0</v>
      </c>
      <c r="EW390" s="152">
        <f t="shared" si="351"/>
        <v>0</v>
      </c>
      <c r="EX390" s="152">
        <f t="shared" si="352"/>
        <v>0</v>
      </c>
      <c r="EY390" s="151" t="str">
        <f t="shared" si="353"/>
        <v>Đủ</v>
      </c>
    </row>
    <row r="391" spans="1:155" s="155" customFormat="1" ht="14" customHeight="1">
      <c r="A391" s="208" t="str">
        <f t="shared" si="342"/>
        <v>Hiện</v>
      </c>
      <c r="B391" s="151" t="str">
        <f t="shared" si="343"/>
        <v>Thiếu</v>
      </c>
      <c r="C391" s="409">
        <f t="shared" si="341"/>
        <v>120</v>
      </c>
      <c r="D391" s="154" t="s">
        <v>435</v>
      </c>
      <c r="E391" s="154">
        <f>C391*DL391*1.1</f>
        <v>47520.000000000007</v>
      </c>
      <c r="F391" s="154"/>
      <c r="G391" s="151"/>
      <c r="H391" s="364"/>
      <c r="I391" s="163" t="s">
        <v>912</v>
      </c>
      <c r="J391" s="164" t="s">
        <v>863</v>
      </c>
      <c r="K391" s="171" t="s">
        <v>913</v>
      </c>
      <c r="L391" s="171" t="s">
        <v>865</v>
      </c>
      <c r="M391" s="163" t="s">
        <v>345</v>
      </c>
      <c r="N391" s="173">
        <v>0</v>
      </c>
      <c r="O391" s="419">
        <v>64</v>
      </c>
      <c r="P391" s="205"/>
      <c r="S391" s="161"/>
      <c r="T391" s="162"/>
      <c r="U391" s="162"/>
      <c r="V391" s="162"/>
      <c r="W391" s="162"/>
      <c r="X391" s="162"/>
      <c r="Y391" s="162"/>
      <c r="Z391" s="162"/>
      <c r="AA391" s="162"/>
      <c r="AB391" s="162"/>
      <c r="AC391" s="162"/>
      <c r="AD391" s="162"/>
      <c r="AE391" s="162"/>
      <c r="AF391" s="162"/>
      <c r="AG391" s="162"/>
      <c r="AH391" s="162"/>
      <c r="AI391" s="162"/>
      <c r="AJ391" s="162"/>
      <c r="AK391" s="162">
        <v>76</v>
      </c>
      <c r="AL391" s="162">
        <v>0</v>
      </c>
      <c r="AM391" s="162"/>
      <c r="AN391" s="162"/>
      <c r="AO391" s="162">
        <v>0</v>
      </c>
      <c r="AP391" s="162">
        <v>0</v>
      </c>
      <c r="AQ391" s="162">
        <v>0</v>
      </c>
      <c r="AR391" s="162">
        <v>0</v>
      </c>
      <c r="AS391" s="162">
        <v>0</v>
      </c>
      <c r="AT391" s="162">
        <v>0</v>
      </c>
      <c r="AU391" s="162">
        <v>0</v>
      </c>
      <c r="AV391" s="162">
        <v>0</v>
      </c>
      <c r="AW391" s="162">
        <v>0</v>
      </c>
      <c r="AX391" s="162">
        <v>0</v>
      </c>
      <c r="AY391" s="162">
        <v>0</v>
      </c>
      <c r="AZ391" s="162">
        <v>0</v>
      </c>
      <c r="BA391" s="162"/>
      <c r="BB391" s="162"/>
      <c r="BC391" s="162">
        <v>0</v>
      </c>
      <c r="BD391" s="162">
        <v>0</v>
      </c>
      <c r="BE391" s="162">
        <v>0</v>
      </c>
      <c r="BF391" s="162">
        <v>0</v>
      </c>
      <c r="BG391" s="162">
        <v>0</v>
      </c>
      <c r="BH391" s="162">
        <v>0</v>
      </c>
      <c r="BI391" s="162">
        <v>0</v>
      </c>
      <c r="BJ391" s="162">
        <v>0</v>
      </c>
      <c r="BK391" s="162">
        <v>0</v>
      </c>
      <c r="BL391" s="162">
        <v>0</v>
      </c>
      <c r="BM391" s="162">
        <v>0</v>
      </c>
      <c r="BN391" s="162">
        <v>0</v>
      </c>
      <c r="BO391" s="162"/>
      <c r="BP391" s="162"/>
      <c r="BQ391" s="162">
        <v>0</v>
      </c>
      <c r="BR391" s="162">
        <v>0</v>
      </c>
      <c r="BS391" s="162">
        <v>0</v>
      </c>
      <c r="BT391" s="162">
        <v>0</v>
      </c>
      <c r="BU391" s="162">
        <v>0</v>
      </c>
      <c r="BV391" s="162">
        <v>0</v>
      </c>
      <c r="BW391" s="162"/>
      <c r="BX391" s="162"/>
      <c r="BY391" s="162">
        <v>0</v>
      </c>
      <c r="BZ391" s="162">
        <v>0</v>
      </c>
      <c r="CA391" s="162">
        <v>0</v>
      </c>
      <c r="CB391" s="162">
        <v>0</v>
      </c>
      <c r="CC391" s="162">
        <v>0</v>
      </c>
      <c r="CD391" s="162">
        <v>0</v>
      </c>
      <c r="CE391" s="162">
        <f>VLOOKUP(I391,[120]REV33!$A:$O,11,0)</f>
        <v>0</v>
      </c>
      <c r="CF391" s="162">
        <f>VLOOKUP(I391,[120]REV33!$A:$O,12,0)</f>
        <v>0</v>
      </c>
      <c r="CG391" s="162"/>
      <c r="CH391" s="162"/>
      <c r="CI391" s="162"/>
      <c r="CJ391" s="162"/>
      <c r="CK391" s="162"/>
      <c r="CL391" s="162"/>
      <c r="CM391" s="162"/>
      <c r="CN391" s="162"/>
      <c r="CO391" s="162">
        <v>120</v>
      </c>
      <c r="CP391" s="162">
        <v>0</v>
      </c>
      <c r="CQ391" s="162">
        <v>0</v>
      </c>
      <c r="CR391" s="162">
        <v>0</v>
      </c>
      <c r="CS391" s="209">
        <f>Q391+S391+U391+W391+Y391+AA391+AC391+AE391+AG391+AI391+AK391+AM391+AO391+AQ391+AS391+AU391+AW391+AY391+BA391+BC391+BE391+BG391+BI391+BK391+BM391+BO391+BQ391+BS391+BU391+BW391+BY391+CA391+CC391+CE391+CG391+CI391+CK391+CM391+CO391+CQ391</f>
        <v>196</v>
      </c>
      <c r="CT391" s="209">
        <f>R391+T391+V391+X391+Z391+AB391+AD391+AF391+AH391+AJ391+AL391+AN391+AP391+AR391+AT391+AV391+AX391+AZ391+BB391+BD391+BF391+BH391+BJ391+BL391+BN391+BP391+BR391+BT391+BV391+BX391+BZ391+CB391+CD391+CF391+CH391+CJ391+CL391+CN391+CP391+CR391</f>
        <v>0</v>
      </c>
      <c r="CU391" s="206" t="s">
        <v>2599</v>
      </c>
      <c r="CV391" s="156"/>
      <c r="CZ391" s="157"/>
      <c r="DA391" s="152">
        <f t="shared" si="344"/>
        <v>196</v>
      </c>
      <c r="DB391" s="152" t="str">
        <f t="shared" si="345"/>
        <v>0</v>
      </c>
      <c r="DC391" s="153"/>
      <c r="DD391" s="158" t="s">
        <v>2212</v>
      </c>
      <c r="DE391" s="156" t="s">
        <v>435</v>
      </c>
      <c r="DF391" s="174" t="s">
        <v>1259</v>
      </c>
      <c r="DG391" s="175" t="s">
        <v>1252</v>
      </c>
      <c r="DH391" s="240" t="s">
        <v>477</v>
      </c>
      <c r="DI391" s="187">
        <v>45940</v>
      </c>
      <c r="DJ391" s="429">
        <v>76</v>
      </c>
      <c r="DK391" s="240" t="s">
        <v>477</v>
      </c>
      <c r="DL391" s="189">
        <v>360</v>
      </c>
      <c r="DM391" s="181">
        <f t="shared" si="346"/>
        <v>30096.000000000004</v>
      </c>
      <c r="DN391" s="446">
        <f t="shared" si="347"/>
        <v>0.10000000000000013</v>
      </c>
      <c r="DO391" s="160">
        <f t="shared" si="348"/>
        <v>27360</v>
      </c>
      <c r="DP391" s="159">
        <v>45954</v>
      </c>
      <c r="DQ391" s="152">
        <f>SUMIF($I:$I,I391,$DJ:$DJ)</f>
        <v>76</v>
      </c>
      <c r="DR391" s="152">
        <f>SUMIF($I:$I,I391,$DK:$DK)</f>
        <v>0</v>
      </c>
      <c r="EO391" s="152">
        <f>SUMIF($I:$I,I391,$EC:$EC)</f>
        <v>0</v>
      </c>
      <c r="EP391" s="151">
        <f>SUMIF($I:$I,I391,$ED:$ED)</f>
        <v>0</v>
      </c>
      <c r="EQ391" s="153"/>
      <c r="ER391" s="153"/>
      <c r="ES391" s="153"/>
      <c r="ET391" s="153"/>
      <c r="EU391" s="152">
        <f t="shared" si="349"/>
        <v>76</v>
      </c>
      <c r="EV391" s="152">
        <f t="shared" si="350"/>
        <v>0</v>
      </c>
      <c r="EW391" s="152">
        <f t="shared" si="351"/>
        <v>120</v>
      </c>
      <c r="EX391" s="152">
        <f t="shared" si="352"/>
        <v>0</v>
      </c>
      <c r="EY391" s="151" t="str">
        <f t="shared" si="353"/>
        <v>Thiếu</v>
      </c>
    </row>
    <row r="392" spans="1:155" s="155" customFormat="1" ht="14" hidden="1" customHeight="1">
      <c r="A392" s="208" t="str">
        <f t="shared" si="342"/>
        <v>Hiện</v>
      </c>
      <c r="B392" s="151" t="str">
        <f t="shared" si="343"/>
        <v>Đủ</v>
      </c>
      <c r="C392" s="409">
        <f t="shared" si="341"/>
        <v>0</v>
      </c>
      <c r="D392" s="154" t="s">
        <v>435</v>
      </c>
      <c r="E392" s="154">
        <f>C392*DL392*1.1</f>
        <v>0</v>
      </c>
      <c r="F392" s="154"/>
      <c r="G392" s="151"/>
      <c r="H392" s="364"/>
      <c r="I392" s="171" t="s">
        <v>914</v>
      </c>
      <c r="J392" s="164" t="s">
        <v>863</v>
      </c>
      <c r="K392" s="171" t="s">
        <v>915</v>
      </c>
      <c r="L392" s="171" t="s">
        <v>868</v>
      </c>
      <c r="M392" s="163" t="s">
        <v>345</v>
      </c>
      <c r="N392" s="173">
        <v>0</v>
      </c>
      <c r="O392" s="419">
        <v>328</v>
      </c>
      <c r="P392" s="205"/>
      <c r="S392" s="161"/>
      <c r="T392" s="162"/>
      <c r="U392" s="162"/>
      <c r="V392" s="162"/>
      <c r="W392" s="162"/>
      <c r="X392" s="162"/>
      <c r="Y392" s="162"/>
      <c r="Z392" s="162"/>
      <c r="AA392" s="162"/>
      <c r="AB392" s="162"/>
      <c r="AC392" s="162"/>
      <c r="AD392" s="162"/>
      <c r="AE392" s="162"/>
      <c r="AF392" s="162"/>
      <c r="AG392" s="162"/>
      <c r="AH392" s="162"/>
      <c r="AI392" s="162"/>
      <c r="AJ392" s="162"/>
      <c r="AK392" s="162">
        <v>358</v>
      </c>
      <c r="AL392" s="162">
        <v>0</v>
      </c>
      <c r="AM392" s="162"/>
      <c r="AN392" s="162"/>
      <c r="AO392" s="162">
        <v>0</v>
      </c>
      <c r="AP392" s="162">
        <v>0</v>
      </c>
      <c r="AQ392" s="162">
        <v>0</v>
      </c>
      <c r="AR392" s="162">
        <v>0</v>
      </c>
      <c r="AS392" s="162">
        <v>0</v>
      </c>
      <c r="AT392" s="162">
        <v>0</v>
      </c>
      <c r="AU392" s="162">
        <v>0</v>
      </c>
      <c r="AV392" s="162">
        <v>0</v>
      </c>
      <c r="AW392" s="162">
        <v>0</v>
      </c>
      <c r="AX392" s="162">
        <v>0</v>
      </c>
      <c r="AY392" s="162">
        <v>0</v>
      </c>
      <c r="AZ392" s="162">
        <v>0</v>
      </c>
      <c r="BA392" s="162"/>
      <c r="BB392" s="162"/>
      <c r="BC392" s="162">
        <v>0</v>
      </c>
      <c r="BD392" s="162">
        <v>0</v>
      </c>
      <c r="BE392" s="162">
        <v>0</v>
      </c>
      <c r="BF392" s="162">
        <v>0</v>
      </c>
      <c r="BG392" s="162">
        <v>0</v>
      </c>
      <c r="BH392" s="162">
        <v>0</v>
      </c>
      <c r="BI392" s="162">
        <v>0</v>
      </c>
      <c r="BJ392" s="162">
        <v>0</v>
      </c>
      <c r="BK392" s="162">
        <v>0</v>
      </c>
      <c r="BL392" s="162">
        <v>0</v>
      </c>
      <c r="BM392" s="162">
        <v>0</v>
      </c>
      <c r="BN392" s="162">
        <v>0</v>
      </c>
      <c r="BO392" s="162"/>
      <c r="BP392" s="162"/>
      <c r="BQ392" s="162">
        <v>0</v>
      </c>
      <c r="BR392" s="162">
        <v>0</v>
      </c>
      <c r="BS392" s="162">
        <v>0</v>
      </c>
      <c r="BT392" s="162">
        <v>0</v>
      </c>
      <c r="BU392" s="162">
        <v>0</v>
      </c>
      <c r="BV392" s="162">
        <v>0</v>
      </c>
      <c r="BW392" s="162"/>
      <c r="BX392" s="162"/>
      <c r="BY392" s="162">
        <v>0</v>
      </c>
      <c r="BZ392" s="162">
        <v>0</v>
      </c>
      <c r="CA392" s="162">
        <v>0</v>
      </c>
      <c r="CB392" s="162">
        <v>0</v>
      </c>
      <c r="CC392" s="162">
        <v>0</v>
      </c>
      <c r="CD392" s="162">
        <v>0</v>
      </c>
      <c r="CE392" s="162">
        <f>VLOOKUP(I392,[120]REV33!$A:$O,11,0)</f>
        <v>0</v>
      </c>
      <c r="CF392" s="162">
        <f>VLOOKUP(I392,[120]REV33!$A:$O,12,0)</f>
        <v>0</v>
      </c>
      <c r="CG392" s="162"/>
      <c r="CH392" s="162"/>
      <c r="CI392" s="162"/>
      <c r="CJ392" s="162"/>
      <c r="CK392" s="162"/>
      <c r="CL392" s="162"/>
      <c r="CM392" s="162"/>
      <c r="CN392" s="162"/>
      <c r="CO392" s="162">
        <v>0</v>
      </c>
      <c r="CP392" s="162">
        <v>0</v>
      </c>
      <c r="CQ392" s="162">
        <v>0</v>
      </c>
      <c r="CR392" s="162">
        <v>0</v>
      </c>
      <c r="CS392" s="209">
        <f>Q392+S392+U392+W392+Y392+AA392+AC392+AE392+AG392+AI392+AK392+AM392+AO392+AQ392+AS392+AU392+AW392+AY392+BA392+BC392+BE392+BG392+BI392+BK392+BM392+BO392+BQ392+BS392+BU392+BW392+BY392+CA392+CC392+CE392+CG392+CI392+CK392+CM392+CO392+CQ392</f>
        <v>358</v>
      </c>
      <c r="CT392" s="209">
        <f>R392+T392+V392+X392+Z392+AB392+AD392+AF392+AH392+AJ392+AL392+AN392+AP392+AR392+AT392+AV392+AX392+AZ392+BB392+BD392+BF392+BH392+BJ392+BL392+BN392+BP392+BR392+BT392+BV392+BX392+BZ392+CB392+CD392+CF392+CH392+CJ392+CL392+CN392+CP392+CR392</f>
        <v>0</v>
      </c>
      <c r="CU392" s="206" t="s">
        <v>1000</v>
      </c>
      <c r="CV392" s="156"/>
      <c r="CZ392" s="157"/>
      <c r="DA392" s="152">
        <f t="shared" si="344"/>
        <v>358</v>
      </c>
      <c r="DB392" s="152" t="str">
        <f t="shared" si="345"/>
        <v>0</v>
      </c>
      <c r="DC392" s="153"/>
      <c r="DD392" s="158" t="s">
        <v>2212</v>
      </c>
      <c r="DE392" s="156" t="s">
        <v>435</v>
      </c>
      <c r="DF392" s="174" t="s">
        <v>1259</v>
      </c>
      <c r="DG392" s="175" t="s">
        <v>1252</v>
      </c>
      <c r="DH392" s="240" t="s">
        <v>477</v>
      </c>
      <c r="DI392" s="187">
        <v>45940</v>
      </c>
      <c r="DJ392" s="429">
        <v>358</v>
      </c>
      <c r="DK392" s="240" t="s">
        <v>477</v>
      </c>
      <c r="DL392" s="189">
        <v>360</v>
      </c>
      <c r="DM392" s="181">
        <f t="shared" si="346"/>
        <v>141768</v>
      </c>
      <c r="DN392" s="446">
        <f t="shared" si="347"/>
        <v>0.1</v>
      </c>
      <c r="DO392" s="160">
        <f t="shared" si="348"/>
        <v>128880</v>
      </c>
      <c r="DP392" s="159">
        <v>45954</v>
      </c>
      <c r="DQ392" s="152">
        <f>SUMIF($I:$I,I392,$DJ:$DJ)</f>
        <v>358</v>
      </c>
      <c r="DR392" s="152">
        <f>SUMIF($I:$I,I392,$DK:$DK)</f>
        <v>0</v>
      </c>
      <c r="EO392" s="152">
        <f>SUMIF($I:$I,I392,$EC:$EC)</f>
        <v>0</v>
      </c>
      <c r="EP392" s="151">
        <f>SUMIF($I:$I,I392,$ED:$ED)</f>
        <v>0</v>
      </c>
      <c r="EQ392" s="153"/>
      <c r="ER392" s="153"/>
      <c r="ES392" s="153"/>
      <c r="ET392" s="153"/>
      <c r="EU392" s="152">
        <f t="shared" si="349"/>
        <v>358</v>
      </c>
      <c r="EV392" s="152">
        <f t="shared" si="350"/>
        <v>0</v>
      </c>
      <c r="EW392" s="152">
        <f t="shared" si="351"/>
        <v>0</v>
      </c>
      <c r="EX392" s="152">
        <f t="shared" si="352"/>
        <v>0</v>
      </c>
      <c r="EY392" s="151" t="str">
        <f t="shared" si="353"/>
        <v>Đủ</v>
      </c>
    </row>
    <row r="393" spans="1:155" s="155" customFormat="1" ht="14" hidden="1" customHeight="1">
      <c r="A393" s="208" t="str">
        <f t="shared" si="342"/>
        <v>Hiện</v>
      </c>
      <c r="B393" s="151" t="str">
        <f t="shared" si="343"/>
        <v>Đủ</v>
      </c>
      <c r="C393" s="409">
        <f t="shared" si="341"/>
        <v>0</v>
      </c>
      <c r="D393" s="154" t="s">
        <v>435</v>
      </c>
      <c r="E393" s="154">
        <f>C393*DL393*1.1</f>
        <v>0</v>
      </c>
      <c r="F393" s="154"/>
      <c r="G393" s="151"/>
      <c r="H393" s="364"/>
      <c r="I393" s="171" t="s">
        <v>916</v>
      </c>
      <c r="J393" s="164" t="s">
        <v>917</v>
      </c>
      <c r="K393" s="171" t="s">
        <v>918</v>
      </c>
      <c r="L393" s="171" t="s">
        <v>838</v>
      </c>
      <c r="M393" s="163" t="s">
        <v>345</v>
      </c>
      <c r="N393" s="173">
        <v>0</v>
      </c>
      <c r="O393" s="419">
        <v>20</v>
      </c>
      <c r="P393" s="205"/>
      <c r="S393" s="161"/>
      <c r="T393" s="162"/>
      <c r="U393" s="162"/>
      <c r="V393" s="162"/>
      <c r="W393" s="162"/>
      <c r="X393" s="162"/>
      <c r="Y393" s="162"/>
      <c r="Z393" s="162"/>
      <c r="AA393" s="162"/>
      <c r="AB393" s="162"/>
      <c r="AC393" s="162"/>
      <c r="AD393" s="162"/>
      <c r="AE393" s="162"/>
      <c r="AF393" s="162"/>
      <c r="AG393" s="162"/>
      <c r="AH393" s="162"/>
      <c r="AI393" s="162"/>
      <c r="AJ393" s="162"/>
      <c r="AK393" s="162">
        <v>30</v>
      </c>
      <c r="AL393" s="162">
        <v>0</v>
      </c>
      <c r="AM393" s="162"/>
      <c r="AN393" s="162"/>
      <c r="AO393" s="162">
        <v>0</v>
      </c>
      <c r="AP393" s="162">
        <v>0</v>
      </c>
      <c r="AQ393" s="162">
        <v>0</v>
      </c>
      <c r="AR393" s="162">
        <v>0</v>
      </c>
      <c r="AS393" s="162">
        <v>0</v>
      </c>
      <c r="AT393" s="162">
        <v>0</v>
      </c>
      <c r="AU393" s="162">
        <v>0</v>
      </c>
      <c r="AV393" s="162">
        <v>0</v>
      </c>
      <c r="AW393" s="162">
        <v>0</v>
      </c>
      <c r="AX393" s="162">
        <v>0</v>
      </c>
      <c r="AY393" s="162">
        <v>0</v>
      </c>
      <c r="AZ393" s="162">
        <v>0</v>
      </c>
      <c r="BA393" s="162"/>
      <c r="BB393" s="162"/>
      <c r="BC393" s="162">
        <v>0</v>
      </c>
      <c r="BD393" s="162">
        <v>0</v>
      </c>
      <c r="BE393" s="162">
        <v>0</v>
      </c>
      <c r="BF393" s="162">
        <v>0</v>
      </c>
      <c r="BG393" s="162">
        <v>0</v>
      </c>
      <c r="BH393" s="162">
        <v>0</v>
      </c>
      <c r="BI393" s="162">
        <v>0</v>
      </c>
      <c r="BJ393" s="162">
        <v>0</v>
      </c>
      <c r="BK393" s="162">
        <v>0</v>
      </c>
      <c r="BL393" s="162">
        <v>0</v>
      </c>
      <c r="BM393" s="162">
        <v>0</v>
      </c>
      <c r="BN393" s="162">
        <v>0</v>
      </c>
      <c r="BO393" s="162"/>
      <c r="BP393" s="162"/>
      <c r="BQ393" s="162">
        <v>0</v>
      </c>
      <c r="BR393" s="162">
        <v>0</v>
      </c>
      <c r="BS393" s="162">
        <v>0</v>
      </c>
      <c r="BT393" s="162">
        <v>0</v>
      </c>
      <c r="BU393" s="162">
        <v>0</v>
      </c>
      <c r="BV393" s="162">
        <v>0</v>
      </c>
      <c r="BW393" s="162"/>
      <c r="BX393" s="162"/>
      <c r="BY393" s="162">
        <v>0</v>
      </c>
      <c r="BZ393" s="162">
        <v>0</v>
      </c>
      <c r="CA393" s="162">
        <v>0</v>
      </c>
      <c r="CB393" s="162">
        <v>0</v>
      </c>
      <c r="CC393" s="162">
        <v>0</v>
      </c>
      <c r="CD393" s="162">
        <v>0</v>
      </c>
      <c r="CE393" s="162">
        <f>VLOOKUP(I393,[120]REV33!$A:$O,11,0)</f>
        <v>0</v>
      </c>
      <c r="CF393" s="162">
        <f>VLOOKUP(I393,[120]REV33!$A:$O,12,0)</f>
        <v>0</v>
      </c>
      <c r="CG393" s="162"/>
      <c r="CH393" s="162"/>
      <c r="CI393" s="162"/>
      <c r="CJ393" s="162"/>
      <c r="CK393" s="162"/>
      <c r="CL393" s="162"/>
      <c r="CM393" s="162"/>
      <c r="CN393" s="162"/>
      <c r="CO393" s="162">
        <v>0</v>
      </c>
      <c r="CP393" s="162">
        <v>0</v>
      </c>
      <c r="CQ393" s="162">
        <v>0</v>
      </c>
      <c r="CR393" s="162">
        <v>0</v>
      </c>
      <c r="CS393" s="209">
        <f>Q393+S393+U393+W393+Y393+AA393+AC393+AE393+AG393+AI393+AK393+AM393+AO393+AQ393+AS393+AU393+AW393+AY393+BA393+BC393+BE393+BG393+BI393+BK393+BM393+BO393+BQ393+BS393+BU393+BW393+BY393+CA393+CC393+CE393+CG393+CI393+CK393+CM393+CO393+CQ393</f>
        <v>30</v>
      </c>
      <c r="CT393" s="209">
        <f>R393+T393+V393+X393+Z393+AB393+AD393+AF393+AH393+AJ393+AL393+AN393+AP393+AR393+AT393+AV393+AX393+AZ393+BB393+BD393+BF393+BH393+BJ393+BL393+BN393+BP393+BR393+BT393+BV393+BX393+BZ393+CB393+CD393+CF393+CH393+CJ393+CL393+CN393+CP393+CR393</f>
        <v>0</v>
      </c>
      <c r="CU393" s="206" t="s">
        <v>1000</v>
      </c>
      <c r="CV393" s="156"/>
      <c r="CZ393" s="157"/>
      <c r="DA393" s="152">
        <f t="shared" si="344"/>
        <v>30</v>
      </c>
      <c r="DB393" s="152" t="str">
        <f t="shared" si="345"/>
        <v>0</v>
      </c>
      <c r="DC393" s="153"/>
      <c r="DD393" s="158" t="s">
        <v>2212</v>
      </c>
      <c r="DE393" s="156" t="s">
        <v>435</v>
      </c>
      <c r="DF393" s="174" t="s">
        <v>1260</v>
      </c>
      <c r="DG393" s="175" t="s">
        <v>1261</v>
      </c>
      <c r="DH393" s="240" t="s">
        <v>477</v>
      </c>
      <c r="DI393" s="187">
        <v>45940</v>
      </c>
      <c r="DJ393" s="429">
        <v>30</v>
      </c>
      <c r="DK393" s="240" t="s">
        <v>477</v>
      </c>
      <c r="DL393" s="189">
        <v>12000</v>
      </c>
      <c r="DM393" s="181">
        <f t="shared" si="346"/>
        <v>396000.00000000006</v>
      </c>
      <c r="DN393" s="446">
        <f t="shared" si="347"/>
        <v>0.10000000000000016</v>
      </c>
      <c r="DO393" s="160">
        <f t="shared" si="348"/>
        <v>360000</v>
      </c>
      <c r="DP393" s="159">
        <v>45954</v>
      </c>
      <c r="DQ393" s="152">
        <f>SUMIF($I:$I,I393,$DJ:$DJ)</f>
        <v>30</v>
      </c>
      <c r="DR393" s="152">
        <f>SUMIF($I:$I,I393,$DK:$DK)</f>
        <v>0</v>
      </c>
      <c r="EO393" s="152">
        <f>SUMIF($I:$I,I393,$EC:$EC)</f>
        <v>0</v>
      </c>
      <c r="EP393" s="151">
        <f>SUMIF($I:$I,I393,$ED:$ED)</f>
        <v>0</v>
      </c>
      <c r="EQ393" s="153"/>
      <c r="ER393" s="153"/>
      <c r="ES393" s="153"/>
      <c r="ET393" s="153"/>
      <c r="EU393" s="152">
        <f t="shared" si="349"/>
        <v>30</v>
      </c>
      <c r="EV393" s="152">
        <f t="shared" si="350"/>
        <v>0</v>
      </c>
      <c r="EW393" s="152">
        <f t="shared" si="351"/>
        <v>0</v>
      </c>
      <c r="EX393" s="152">
        <f t="shared" si="352"/>
        <v>0</v>
      </c>
      <c r="EY393" s="151" t="str">
        <f t="shared" si="353"/>
        <v>Đủ</v>
      </c>
    </row>
    <row r="394" spans="1:155" s="155" customFormat="1" ht="14" hidden="1" customHeight="1">
      <c r="A394" s="208" t="str">
        <f t="shared" si="342"/>
        <v>Hiện</v>
      </c>
      <c r="B394" s="151" t="str">
        <f t="shared" si="343"/>
        <v>Đủ</v>
      </c>
      <c r="C394" s="409">
        <f t="shared" si="341"/>
        <v>0</v>
      </c>
      <c r="D394" s="154" t="s">
        <v>435</v>
      </c>
      <c r="E394" s="154">
        <f>C394*DL394*1.1</f>
        <v>0</v>
      </c>
      <c r="F394" s="154"/>
      <c r="G394" s="151"/>
      <c r="H394" s="364"/>
      <c r="I394" s="171" t="s">
        <v>919</v>
      </c>
      <c r="J394" s="164" t="s">
        <v>917</v>
      </c>
      <c r="K394" s="171" t="s">
        <v>920</v>
      </c>
      <c r="L394" s="171" t="s">
        <v>838</v>
      </c>
      <c r="M394" s="163" t="s">
        <v>345</v>
      </c>
      <c r="N394" s="173">
        <v>0</v>
      </c>
      <c r="O394" s="419">
        <v>20</v>
      </c>
      <c r="P394" s="205"/>
      <c r="S394" s="161"/>
      <c r="T394" s="162"/>
      <c r="U394" s="162"/>
      <c r="V394" s="162"/>
      <c r="W394" s="162"/>
      <c r="X394" s="162"/>
      <c r="Y394" s="162"/>
      <c r="Z394" s="162"/>
      <c r="AA394" s="162"/>
      <c r="AB394" s="162"/>
      <c r="AC394" s="162"/>
      <c r="AD394" s="162"/>
      <c r="AE394" s="162"/>
      <c r="AF394" s="162"/>
      <c r="AG394" s="162"/>
      <c r="AH394" s="162"/>
      <c r="AI394" s="162"/>
      <c r="AJ394" s="162"/>
      <c r="AK394" s="162">
        <v>30</v>
      </c>
      <c r="AL394" s="162">
        <v>0</v>
      </c>
      <c r="AM394" s="162"/>
      <c r="AN394" s="162"/>
      <c r="AO394" s="162">
        <v>0</v>
      </c>
      <c r="AP394" s="162">
        <v>0</v>
      </c>
      <c r="AQ394" s="162">
        <v>0</v>
      </c>
      <c r="AR394" s="162">
        <v>0</v>
      </c>
      <c r="AS394" s="162">
        <v>0</v>
      </c>
      <c r="AT394" s="162">
        <v>0</v>
      </c>
      <c r="AU394" s="162">
        <v>0</v>
      </c>
      <c r="AV394" s="162">
        <v>0</v>
      </c>
      <c r="AW394" s="162">
        <v>0</v>
      </c>
      <c r="AX394" s="162">
        <v>0</v>
      </c>
      <c r="AY394" s="162">
        <v>0</v>
      </c>
      <c r="AZ394" s="162">
        <v>0</v>
      </c>
      <c r="BA394" s="162"/>
      <c r="BB394" s="162"/>
      <c r="BC394" s="162">
        <v>0</v>
      </c>
      <c r="BD394" s="162">
        <v>0</v>
      </c>
      <c r="BE394" s="162">
        <v>0</v>
      </c>
      <c r="BF394" s="162">
        <v>0</v>
      </c>
      <c r="BG394" s="162">
        <v>0</v>
      </c>
      <c r="BH394" s="162">
        <v>0</v>
      </c>
      <c r="BI394" s="162">
        <v>0</v>
      </c>
      <c r="BJ394" s="162">
        <v>0</v>
      </c>
      <c r="BK394" s="162">
        <v>0</v>
      </c>
      <c r="BL394" s="162">
        <v>0</v>
      </c>
      <c r="BM394" s="162">
        <v>0</v>
      </c>
      <c r="BN394" s="162">
        <v>0</v>
      </c>
      <c r="BO394" s="162"/>
      <c r="BP394" s="162"/>
      <c r="BQ394" s="162">
        <v>0</v>
      </c>
      <c r="BR394" s="162">
        <v>0</v>
      </c>
      <c r="BS394" s="162">
        <v>0</v>
      </c>
      <c r="BT394" s="162">
        <v>0</v>
      </c>
      <c r="BU394" s="162">
        <v>0</v>
      </c>
      <c r="BV394" s="162">
        <v>0</v>
      </c>
      <c r="BW394" s="162"/>
      <c r="BX394" s="162"/>
      <c r="BY394" s="162">
        <v>0</v>
      </c>
      <c r="BZ394" s="162">
        <v>0</v>
      </c>
      <c r="CA394" s="162">
        <v>0</v>
      </c>
      <c r="CB394" s="162">
        <v>0</v>
      </c>
      <c r="CC394" s="162">
        <v>0</v>
      </c>
      <c r="CD394" s="162">
        <v>0</v>
      </c>
      <c r="CE394" s="162">
        <f>VLOOKUP(I394,[120]REV33!$A:$O,11,0)</f>
        <v>0</v>
      </c>
      <c r="CF394" s="162">
        <f>VLOOKUP(I394,[120]REV33!$A:$O,12,0)</f>
        <v>0</v>
      </c>
      <c r="CG394" s="162"/>
      <c r="CH394" s="162"/>
      <c r="CI394" s="162"/>
      <c r="CJ394" s="162"/>
      <c r="CK394" s="162"/>
      <c r="CL394" s="162"/>
      <c r="CM394" s="162"/>
      <c r="CN394" s="162"/>
      <c r="CO394" s="162">
        <v>0</v>
      </c>
      <c r="CP394" s="162">
        <v>0</v>
      </c>
      <c r="CQ394" s="162">
        <v>0</v>
      </c>
      <c r="CR394" s="162">
        <v>0</v>
      </c>
      <c r="CS394" s="209">
        <f>Q394+S394+U394+W394+Y394+AA394+AC394+AE394+AG394+AI394+AK394+AM394+AO394+AQ394+AS394+AU394+AW394+AY394+BA394+BC394+BE394+BG394+BI394+BK394+BM394+BO394+BQ394+BS394+BU394+BW394+BY394+CA394+CC394+CE394+CG394+CI394+CK394+CM394+CO394+CQ394</f>
        <v>30</v>
      </c>
      <c r="CT394" s="209">
        <f>R394+T394+V394+X394+Z394+AB394+AD394+AF394+AH394+AJ394+AL394+AN394+AP394+AR394+AT394+AV394+AX394+AZ394+BB394+BD394+BF394+BH394+BJ394+BL394+BN394+BP394+BR394+BT394+BV394+BX394+BZ394+CB394+CD394+CF394+CH394+CJ394+CL394+CN394+CP394+CR394</f>
        <v>0</v>
      </c>
      <c r="CU394" s="206" t="s">
        <v>1000</v>
      </c>
      <c r="CV394" s="156"/>
      <c r="CZ394" s="157"/>
      <c r="DA394" s="152">
        <f t="shared" si="344"/>
        <v>30</v>
      </c>
      <c r="DB394" s="152" t="str">
        <f t="shared" si="345"/>
        <v>0</v>
      </c>
      <c r="DC394" s="153"/>
      <c r="DD394" s="158" t="s">
        <v>2212</v>
      </c>
      <c r="DE394" s="156" t="s">
        <v>435</v>
      </c>
      <c r="DF394" s="174" t="s">
        <v>1262</v>
      </c>
      <c r="DG394" s="175" t="s">
        <v>1261</v>
      </c>
      <c r="DH394" s="240" t="s">
        <v>477</v>
      </c>
      <c r="DI394" s="187">
        <v>45940</v>
      </c>
      <c r="DJ394" s="429">
        <v>30</v>
      </c>
      <c r="DK394" s="240" t="s">
        <v>477</v>
      </c>
      <c r="DL394" s="189">
        <v>12000</v>
      </c>
      <c r="DM394" s="181">
        <f t="shared" si="346"/>
        <v>396000.00000000006</v>
      </c>
      <c r="DN394" s="446">
        <f t="shared" si="347"/>
        <v>0.10000000000000016</v>
      </c>
      <c r="DO394" s="160">
        <f t="shared" si="348"/>
        <v>360000</v>
      </c>
      <c r="DP394" s="159">
        <v>45954</v>
      </c>
      <c r="DQ394" s="152">
        <f>SUMIF($I:$I,I394,$DJ:$DJ)</f>
        <v>30</v>
      </c>
      <c r="DR394" s="152">
        <f>SUMIF($I:$I,I394,$DK:$DK)</f>
        <v>0</v>
      </c>
      <c r="EO394" s="152">
        <f>SUMIF($I:$I,I394,$EC:$EC)</f>
        <v>0</v>
      </c>
      <c r="EP394" s="151">
        <f>SUMIF($I:$I,I394,$ED:$ED)</f>
        <v>0</v>
      </c>
      <c r="EQ394" s="153"/>
      <c r="ER394" s="153"/>
      <c r="ES394" s="153"/>
      <c r="ET394" s="153"/>
      <c r="EU394" s="152">
        <f t="shared" si="349"/>
        <v>30</v>
      </c>
      <c r="EV394" s="152">
        <f t="shared" si="350"/>
        <v>0</v>
      </c>
      <c r="EW394" s="152">
        <f t="shared" si="351"/>
        <v>0</v>
      </c>
      <c r="EX394" s="152">
        <f t="shared" si="352"/>
        <v>0</v>
      </c>
      <c r="EY394" s="151" t="str">
        <f t="shared" si="353"/>
        <v>Đủ</v>
      </c>
    </row>
    <row r="395" spans="1:155" s="155" customFormat="1" ht="14" hidden="1" customHeight="1">
      <c r="A395" s="208" t="str">
        <f t="shared" si="342"/>
        <v>Hiện</v>
      </c>
      <c r="B395" s="151" t="str">
        <f t="shared" si="343"/>
        <v>Thừa</v>
      </c>
      <c r="C395" s="434">
        <f t="shared" si="341"/>
        <v>-170</v>
      </c>
      <c r="D395" s="154" t="s">
        <v>435</v>
      </c>
      <c r="E395" s="154">
        <f>C395*DL395*1.1</f>
        <v>-5984000.0000000009</v>
      </c>
      <c r="F395" s="154"/>
      <c r="G395" s="151"/>
      <c r="H395" s="364"/>
      <c r="I395" s="171" t="s">
        <v>921</v>
      </c>
      <c r="J395" s="164" t="s">
        <v>922</v>
      </c>
      <c r="K395" s="171" t="s">
        <v>923</v>
      </c>
      <c r="L395" s="171" t="s">
        <v>838</v>
      </c>
      <c r="M395" s="163" t="s">
        <v>345</v>
      </c>
      <c r="N395" s="173">
        <v>0</v>
      </c>
      <c r="O395" s="419">
        <v>160</v>
      </c>
      <c r="P395" s="205"/>
      <c r="S395" s="161"/>
      <c r="T395" s="162"/>
      <c r="U395" s="162"/>
      <c r="V395" s="162"/>
      <c r="W395" s="162"/>
      <c r="X395" s="162"/>
      <c r="Y395" s="162"/>
      <c r="Z395" s="162"/>
      <c r="AA395" s="162"/>
      <c r="AB395" s="162"/>
      <c r="AC395" s="162"/>
      <c r="AD395" s="162"/>
      <c r="AE395" s="162"/>
      <c r="AF395" s="162"/>
      <c r="AG395" s="162"/>
      <c r="AH395" s="162"/>
      <c r="AI395" s="162"/>
      <c r="AJ395" s="162"/>
      <c r="AK395" s="162">
        <v>170</v>
      </c>
      <c r="AL395" s="162">
        <v>0</v>
      </c>
      <c r="AM395" s="162"/>
      <c r="AN395" s="162"/>
      <c r="AO395" s="162">
        <v>0</v>
      </c>
      <c r="AP395" s="162">
        <v>0</v>
      </c>
      <c r="AQ395" s="162">
        <v>0</v>
      </c>
      <c r="AR395" s="162">
        <v>0</v>
      </c>
      <c r="AS395" s="162">
        <v>0</v>
      </c>
      <c r="AT395" s="162">
        <v>0</v>
      </c>
      <c r="AU395" s="162">
        <v>0</v>
      </c>
      <c r="AV395" s="162">
        <v>0</v>
      </c>
      <c r="AW395" s="162">
        <v>0</v>
      </c>
      <c r="AX395" s="162">
        <v>0</v>
      </c>
      <c r="AY395" s="162">
        <v>0</v>
      </c>
      <c r="AZ395" s="162">
        <v>0</v>
      </c>
      <c r="BA395" s="162"/>
      <c r="BB395" s="162"/>
      <c r="BC395" s="162">
        <v>0</v>
      </c>
      <c r="BD395" s="162">
        <v>0</v>
      </c>
      <c r="BE395" s="162">
        <v>0</v>
      </c>
      <c r="BF395" s="162">
        <v>0</v>
      </c>
      <c r="BG395" s="162">
        <v>-170</v>
      </c>
      <c r="BH395" s="162">
        <v>0</v>
      </c>
      <c r="BI395" s="162">
        <v>0</v>
      </c>
      <c r="BJ395" s="162">
        <v>0</v>
      </c>
      <c r="BK395" s="162">
        <v>0</v>
      </c>
      <c r="BL395" s="162">
        <v>0</v>
      </c>
      <c r="BM395" s="162">
        <v>0</v>
      </c>
      <c r="BN395" s="162">
        <v>0</v>
      </c>
      <c r="BO395" s="162"/>
      <c r="BP395" s="162"/>
      <c r="BQ395" s="162">
        <v>0</v>
      </c>
      <c r="BR395" s="162">
        <v>0</v>
      </c>
      <c r="BS395" s="162">
        <v>0</v>
      </c>
      <c r="BT395" s="162">
        <v>0</v>
      </c>
      <c r="BU395" s="162">
        <v>0</v>
      </c>
      <c r="BV395" s="162">
        <v>0</v>
      </c>
      <c r="BW395" s="162"/>
      <c r="BX395" s="162"/>
      <c r="BY395" s="162">
        <v>0</v>
      </c>
      <c r="BZ395" s="162">
        <v>0</v>
      </c>
      <c r="CA395" s="162">
        <v>0</v>
      </c>
      <c r="CB395" s="162">
        <v>0</v>
      </c>
      <c r="CC395" s="162">
        <v>0</v>
      </c>
      <c r="CD395" s="162">
        <v>0</v>
      </c>
      <c r="CE395" s="162">
        <f>VLOOKUP(I395,[120]REV33!$A:$O,11,0)</f>
        <v>0</v>
      </c>
      <c r="CF395" s="162">
        <f>VLOOKUP(I395,[120]REV33!$A:$O,12,0)</f>
        <v>0</v>
      </c>
      <c r="CG395" s="162"/>
      <c r="CH395" s="162"/>
      <c r="CI395" s="162"/>
      <c r="CJ395" s="162"/>
      <c r="CK395" s="162"/>
      <c r="CL395" s="162"/>
      <c r="CM395" s="162"/>
      <c r="CN395" s="162"/>
      <c r="CO395" s="162">
        <v>0</v>
      </c>
      <c r="CP395" s="162">
        <v>0</v>
      </c>
      <c r="CQ395" s="162">
        <v>0</v>
      </c>
      <c r="CR395" s="162">
        <v>0</v>
      </c>
      <c r="CS395" s="209">
        <f>Q395+S395+U395+W395+Y395+AA395+AC395+AE395+AG395+AI395+AK395+AM395+AO395+AQ395+AS395+AU395+AW395+AY395+BA395+BC395+BE395+BG395+BI395+BK395+BM395+BO395+BQ395+BS395+BU395+BW395+BY395+CA395+CC395+CE395+CG395+CI395+CK395+CM395+CO395+CQ395</f>
        <v>0</v>
      </c>
      <c r="CT395" s="209">
        <f>R395+T395+V395+X395+Z395+AB395+AD395+AF395+AH395+AJ395+AL395+AN395+AP395+AR395+AT395+AV395+AX395+AZ395+BB395+BD395+BF395+BH395+BJ395+BL395+BN395+BP395+BR395+BT395+BV395+BX395+BZ395+CB395+CD395+CF395+CH395+CJ395+CL395+CN395+CP395+CR395</f>
        <v>0</v>
      </c>
      <c r="CU395" s="206" t="s">
        <v>2054</v>
      </c>
      <c r="CV395" s="156"/>
      <c r="CZ395" s="157"/>
      <c r="DA395" s="152" t="str">
        <f t="shared" si="344"/>
        <v>0</v>
      </c>
      <c r="DB395" s="152" t="str">
        <f t="shared" si="345"/>
        <v>0</v>
      </c>
      <c r="DC395" s="153"/>
      <c r="DD395" s="158" t="s">
        <v>2212</v>
      </c>
      <c r="DE395" s="156" t="s">
        <v>435</v>
      </c>
      <c r="DF395" s="174" t="s">
        <v>1263</v>
      </c>
      <c r="DG395" s="175" t="s">
        <v>1264</v>
      </c>
      <c r="DH395" s="240" t="s">
        <v>477</v>
      </c>
      <c r="DI395" s="187">
        <v>45940</v>
      </c>
      <c r="DJ395" s="429">
        <v>170</v>
      </c>
      <c r="DK395" s="240" t="s">
        <v>477</v>
      </c>
      <c r="DL395" s="189">
        <v>32000</v>
      </c>
      <c r="DM395" s="181">
        <f t="shared" si="346"/>
        <v>5984000.0000000009</v>
      </c>
      <c r="DN395" s="446">
        <f t="shared" si="347"/>
        <v>0.10000000000000017</v>
      </c>
      <c r="DO395" s="160">
        <f t="shared" si="348"/>
        <v>5440000</v>
      </c>
      <c r="DP395" s="159">
        <v>45954</v>
      </c>
      <c r="DQ395" s="152">
        <f>SUMIF($I:$I,I395,$DJ:$DJ)</f>
        <v>170</v>
      </c>
      <c r="DR395" s="152">
        <f>SUMIF($I:$I,I395,$DK:$DK)</f>
        <v>0</v>
      </c>
      <c r="EO395" s="152">
        <f>SUMIF($I:$I,I395,$EC:$EC)</f>
        <v>0</v>
      </c>
      <c r="EP395" s="151">
        <f>SUMIF($I:$I,I395,$ED:$ED)</f>
        <v>0</v>
      </c>
      <c r="EQ395" s="153"/>
      <c r="ER395" s="153"/>
      <c r="ES395" s="153"/>
      <c r="ET395" s="153"/>
      <c r="EU395" s="152">
        <f t="shared" si="349"/>
        <v>170</v>
      </c>
      <c r="EV395" s="152">
        <f t="shared" si="350"/>
        <v>0</v>
      </c>
      <c r="EW395" s="152">
        <f t="shared" si="351"/>
        <v>-170</v>
      </c>
      <c r="EX395" s="152">
        <f t="shared" si="352"/>
        <v>0</v>
      </c>
      <c r="EY395" s="151" t="str">
        <f t="shared" si="353"/>
        <v>Thừa</v>
      </c>
    </row>
    <row r="396" spans="1:155" s="155" customFormat="1" ht="14" hidden="1" customHeight="1">
      <c r="A396" s="208" t="str">
        <f t="shared" si="342"/>
        <v>Hiện</v>
      </c>
      <c r="B396" s="151" t="str">
        <f t="shared" si="343"/>
        <v>Đủ</v>
      </c>
      <c r="C396" s="409">
        <f t="shared" si="341"/>
        <v>0</v>
      </c>
      <c r="D396" s="154"/>
      <c r="E396" s="154">
        <f>C396*DL396*1.1</f>
        <v>0</v>
      </c>
      <c r="F396" s="154" t="s">
        <v>1501</v>
      </c>
      <c r="G396" s="151"/>
      <c r="H396" s="364"/>
      <c r="I396" s="164" t="s">
        <v>924</v>
      </c>
      <c r="J396" s="164" t="s">
        <v>925</v>
      </c>
      <c r="K396" s="171" t="s">
        <v>926</v>
      </c>
      <c r="L396" s="171" t="s">
        <v>753</v>
      </c>
      <c r="M396" s="163" t="s">
        <v>345</v>
      </c>
      <c r="N396" s="173">
        <v>0</v>
      </c>
      <c r="O396" s="419">
        <v>24</v>
      </c>
      <c r="P396" s="205"/>
      <c r="S396" s="161"/>
      <c r="T396" s="162"/>
      <c r="U396" s="162"/>
      <c r="V396" s="162"/>
      <c r="W396" s="162"/>
      <c r="X396" s="162"/>
      <c r="Y396" s="162"/>
      <c r="Z396" s="162"/>
      <c r="AA396" s="162"/>
      <c r="AB396" s="162"/>
      <c r="AC396" s="162"/>
      <c r="AD396" s="162"/>
      <c r="AE396" s="162"/>
      <c r="AF396" s="162"/>
      <c r="AG396" s="162"/>
      <c r="AH396" s="162"/>
      <c r="AI396" s="162"/>
      <c r="AJ396" s="162"/>
      <c r="AK396" s="162">
        <v>28</v>
      </c>
      <c r="AL396" s="162">
        <v>0</v>
      </c>
      <c r="AM396" s="162"/>
      <c r="AN396" s="162"/>
      <c r="AO396" s="162">
        <v>0</v>
      </c>
      <c r="AP396" s="162">
        <v>0</v>
      </c>
      <c r="AQ396" s="162">
        <v>0</v>
      </c>
      <c r="AR396" s="162">
        <v>0</v>
      </c>
      <c r="AS396" s="162">
        <v>0</v>
      </c>
      <c r="AT396" s="162">
        <v>0</v>
      </c>
      <c r="AU396" s="162">
        <v>0</v>
      </c>
      <c r="AV396" s="162">
        <v>0</v>
      </c>
      <c r="AW396" s="162">
        <v>0</v>
      </c>
      <c r="AX396" s="162">
        <v>0</v>
      </c>
      <c r="AY396" s="162">
        <v>0</v>
      </c>
      <c r="AZ396" s="162">
        <v>0</v>
      </c>
      <c r="BA396" s="162"/>
      <c r="BB396" s="162"/>
      <c r="BC396" s="162">
        <v>0</v>
      </c>
      <c r="BD396" s="162">
        <v>0</v>
      </c>
      <c r="BE396" s="162">
        <v>0</v>
      </c>
      <c r="BF396" s="162">
        <v>0</v>
      </c>
      <c r="BG396" s="162">
        <v>0</v>
      </c>
      <c r="BH396" s="162">
        <v>0</v>
      </c>
      <c r="BI396" s="162">
        <v>0</v>
      </c>
      <c r="BJ396" s="162">
        <v>0</v>
      </c>
      <c r="BK396" s="162">
        <v>0</v>
      </c>
      <c r="BL396" s="162">
        <v>0</v>
      </c>
      <c r="BM396" s="162">
        <v>2</v>
      </c>
      <c r="BN396" s="162">
        <v>0</v>
      </c>
      <c r="BO396" s="162"/>
      <c r="BP396" s="162"/>
      <c r="BQ396" s="162">
        <v>0</v>
      </c>
      <c r="BR396" s="162">
        <v>0</v>
      </c>
      <c r="BS396" s="162">
        <v>0</v>
      </c>
      <c r="BT396" s="162">
        <v>0</v>
      </c>
      <c r="BU396" s="162">
        <v>0</v>
      </c>
      <c r="BV396" s="162">
        <v>0</v>
      </c>
      <c r="BW396" s="162"/>
      <c r="BX396" s="162"/>
      <c r="BY396" s="162">
        <v>0</v>
      </c>
      <c r="BZ396" s="162">
        <v>0</v>
      </c>
      <c r="CA396" s="162">
        <v>0</v>
      </c>
      <c r="CB396" s="162">
        <v>0</v>
      </c>
      <c r="CC396" s="162">
        <v>0</v>
      </c>
      <c r="CD396" s="162">
        <v>0</v>
      </c>
      <c r="CE396" s="162">
        <f>VLOOKUP(I396,[120]REV33!$A:$O,11,0)</f>
        <v>0</v>
      </c>
      <c r="CF396" s="162">
        <f>VLOOKUP(I396,[120]REV33!$A:$O,12,0)</f>
        <v>0</v>
      </c>
      <c r="CG396" s="162"/>
      <c r="CH396" s="162"/>
      <c r="CI396" s="162"/>
      <c r="CJ396" s="162"/>
      <c r="CK396" s="162"/>
      <c r="CL396" s="162"/>
      <c r="CM396" s="162"/>
      <c r="CN396" s="162"/>
      <c r="CO396" s="162">
        <v>0</v>
      </c>
      <c r="CP396" s="162">
        <v>0</v>
      </c>
      <c r="CQ396" s="162">
        <v>0</v>
      </c>
      <c r="CR396" s="162">
        <v>0</v>
      </c>
      <c r="CS396" s="209">
        <f>Q396+S396+U396+W396+Y396+AA396+AC396+AE396+AG396+AI396+AK396+AM396+AO396+AQ396+AS396+AU396+AW396+AY396+BA396+BC396+BE396+BG396+BI396+BK396+BM396+BO396+BQ396+BS396+BU396+BW396+BY396+CA396+CC396+CE396+CG396+CI396+CK396+CM396+CO396+CQ396</f>
        <v>30</v>
      </c>
      <c r="CT396" s="209">
        <f>R396+T396+V396+X396+Z396+AB396+AD396+AF396+AH396+AJ396+AL396+AN396+AP396+AR396+AT396+AV396+AX396+AZ396+BB396+BD396+BF396+BH396+BJ396+BL396+BN396+BP396+BR396+BT396+BV396+BX396+BZ396+CB396+CD396+CF396+CH396+CJ396+CL396+CN396+CP396+CR396</f>
        <v>0</v>
      </c>
      <c r="CU396" s="206" t="s">
        <v>1883</v>
      </c>
      <c r="CV396" s="156"/>
      <c r="CZ396" s="157"/>
      <c r="DA396" s="152">
        <f t="shared" si="344"/>
        <v>30</v>
      </c>
      <c r="DB396" s="152" t="str">
        <f t="shared" si="345"/>
        <v>0</v>
      </c>
      <c r="DC396" s="153"/>
      <c r="DD396" s="158" t="s">
        <v>2212</v>
      </c>
      <c r="DE396" s="156" t="s">
        <v>435</v>
      </c>
      <c r="DF396" s="174" t="s">
        <v>1265</v>
      </c>
      <c r="DG396" s="175" t="s">
        <v>1266</v>
      </c>
      <c r="DH396" s="240" t="s">
        <v>477</v>
      </c>
      <c r="DI396" s="187">
        <v>45940</v>
      </c>
      <c r="DJ396" s="429">
        <v>28</v>
      </c>
      <c r="DK396" s="240" t="s">
        <v>477</v>
      </c>
      <c r="DL396" s="189">
        <v>13920</v>
      </c>
      <c r="DM396" s="181">
        <f t="shared" si="346"/>
        <v>428736.00000000006</v>
      </c>
      <c r="DN396" s="446">
        <f t="shared" si="347"/>
        <v>0.10000000000000014</v>
      </c>
      <c r="DO396" s="160">
        <f t="shared" si="348"/>
        <v>389760</v>
      </c>
      <c r="DP396" s="159">
        <v>45954</v>
      </c>
      <c r="DQ396" s="152">
        <f>SUMIF($I:$I,I396,$DJ:$DJ)</f>
        <v>30</v>
      </c>
      <c r="DR396" s="152">
        <f>SUMIF($I:$I,I396,$DK:$DK)</f>
        <v>0</v>
      </c>
      <c r="EO396" s="152">
        <f>SUMIF($I:$I,I396,$EC:$EC)</f>
        <v>0</v>
      </c>
      <c r="EP396" s="151">
        <f>SUMIF($I:$I,I396,$ED:$ED)</f>
        <v>0</v>
      </c>
      <c r="EQ396" s="153"/>
      <c r="ER396" s="153"/>
      <c r="ES396" s="153"/>
      <c r="ET396" s="153"/>
      <c r="EU396" s="152">
        <f t="shared" si="349"/>
        <v>30</v>
      </c>
      <c r="EV396" s="152">
        <f t="shared" si="350"/>
        <v>0</v>
      </c>
      <c r="EW396" s="152">
        <f t="shared" si="351"/>
        <v>0</v>
      </c>
      <c r="EX396" s="152">
        <f t="shared" si="352"/>
        <v>0</v>
      </c>
      <c r="EY396" s="151" t="str">
        <f t="shared" si="353"/>
        <v>Đủ</v>
      </c>
    </row>
    <row r="397" spans="1:155" s="155" customFormat="1" ht="14" hidden="1" customHeight="1">
      <c r="A397" s="208" t="str">
        <f t="shared" si="342"/>
        <v>ok</v>
      </c>
      <c r="B397" s="151"/>
      <c r="C397" s="409"/>
      <c r="D397" s="154"/>
      <c r="E397" s="154"/>
      <c r="F397" s="154"/>
      <c r="G397" s="151"/>
      <c r="H397" s="364"/>
      <c r="I397" s="164" t="s">
        <v>924</v>
      </c>
      <c r="J397" s="164" t="s">
        <v>925</v>
      </c>
      <c r="K397" s="171" t="s">
        <v>926</v>
      </c>
      <c r="L397" s="171" t="s">
        <v>753</v>
      </c>
      <c r="M397" s="163" t="s">
        <v>345</v>
      </c>
      <c r="N397" s="173"/>
      <c r="O397" s="419"/>
      <c r="P397" s="205"/>
      <c r="S397" s="161"/>
      <c r="T397" s="162"/>
      <c r="U397" s="162"/>
      <c r="V397" s="162"/>
      <c r="W397" s="162"/>
      <c r="X397" s="162"/>
      <c r="Y397" s="162"/>
      <c r="Z397" s="162"/>
      <c r="AA397" s="162"/>
      <c r="AB397" s="162"/>
      <c r="AC397" s="162"/>
      <c r="AD397" s="162"/>
      <c r="AE397" s="162"/>
      <c r="AF397" s="162"/>
      <c r="AG397" s="162"/>
      <c r="AH397" s="162"/>
      <c r="AI397" s="162"/>
      <c r="AJ397" s="162"/>
      <c r="AK397" s="162"/>
      <c r="AL397" s="162"/>
      <c r="AM397" s="162"/>
      <c r="AN397" s="162"/>
      <c r="AO397" s="162"/>
      <c r="AP397" s="162"/>
      <c r="AQ397" s="162"/>
      <c r="AR397" s="162"/>
      <c r="AS397" s="162"/>
      <c r="AT397" s="162"/>
      <c r="AU397" s="162"/>
      <c r="AV397" s="162"/>
      <c r="AW397" s="162"/>
      <c r="AX397" s="162"/>
      <c r="AY397" s="162"/>
      <c r="AZ397" s="162"/>
      <c r="BA397" s="162"/>
      <c r="BB397" s="162"/>
      <c r="BC397" s="162"/>
      <c r="BD397" s="162"/>
      <c r="BE397" s="162"/>
      <c r="BF397" s="162"/>
      <c r="BG397" s="162"/>
      <c r="BH397" s="162"/>
      <c r="BI397" s="162"/>
      <c r="BJ397" s="162"/>
      <c r="BK397" s="162"/>
      <c r="BL397" s="162"/>
      <c r="BM397" s="162"/>
      <c r="BN397" s="162"/>
      <c r="BO397" s="162"/>
      <c r="BP397" s="162"/>
      <c r="BQ397" s="162"/>
      <c r="BR397" s="162"/>
      <c r="BS397" s="162"/>
      <c r="BT397" s="162"/>
      <c r="BU397" s="162"/>
      <c r="BV397" s="162"/>
      <c r="BW397" s="162"/>
      <c r="BX397" s="162"/>
      <c r="BY397" s="162"/>
      <c r="BZ397" s="162"/>
      <c r="CA397" s="162"/>
      <c r="CB397" s="162"/>
      <c r="CC397" s="162"/>
      <c r="CD397" s="162"/>
      <c r="CE397" s="162"/>
      <c r="CF397" s="162"/>
      <c r="CG397" s="162"/>
      <c r="CH397" s="162"/>
      <c r="CI397" s="162"/>
      <c r="CJ397" s="162"/>
      <c r="CK397" s="162"/>
      <c r="CL397" s="162"/>
      <c r="CM397" s="162"/>
      <c r="CN397" s="162"/>
      <c r="CO397" s="162"/>
      <c r="CP397" s="162"/>
      <c r="CQ397" s="162"/>
      <c r="CR397" s="162"/>
      <c r="CS397" s="209"/>
      <c r="CT397" s="209"/>
      <c r="CU397" s="206"/>
      <c r="CV397" s="156"/>
      <c r="CZ397" s="157"/>
      <c r="DA397" s="152"/>
      <c r="DB397" s="152"/>
      <c r="DC397" s="153"/>
      <c r="DD397" s="158" t="s">
        <v>374</v>
      </c>
      <c r="DE397" s="156" t="s">
        <v>435</v>
      </c>
      <c r="DF397" s="174" t="s">
        <v>1265</v>
      </c>
      <c r="DG397" s="175" t="s">
        <v>1266</v>
      </c>
      <c r="DH397" s="240" t="s">
        <v>477</v>
      </c>
      <c r="DJ397" s="429">
        <v>2</v>
      </c>
      <c r="DK397" s="240" t="s">
        <v>477</v>
      </c>
      <c r="DL397" s="189">
        <v>13920</v>
      </c>
      <c r="DM397" s="181">
        <f t="shared" si="346"/>
        <v>30624.000000000004</v>
      </c>
      <c r="DN397" s="446">
        <f t="shared" si="347"/>
        <v>0.10000000000000013</v>
      </c>
      <c r="DO397" s="160">
        <f t="shared" si="348"/>
        <v>27840</v>
      </c>
      <c r="DP397" s="159">
        <v>45966</v>
      </c>
      <c r="DQ397" s="152">
        <f>SUMIF($I:$I,I397,$DJ:$DJ)</f>
        <v>30</v>
      </c>
      <c r="DR397" s="152"/>
      <c r="EO397" s="152"/>
      <c r="EP397" s="151"/>
      <c r="EQ397" s="153"/>
      <c r="ER397" s="153"/>
      <c r="ES397" s="153"/>
      <c r="ET397" s="153"/>
      <c r="EU397" s="152"/>
      <c r="EV397" s="152"/>
      <c r="EW397" s="152"/>
      <c r="EX397" s="152"/>
      <c r="EY397" s="151"/>
    </row>
    <row r="398" spans="1:155" s="155" customFormat="1" ht="14" hidden="1" customHeight="1">
      <c r="A398" s="208" t="str">
        <f t="shared" si="342"/>
        <v>Hiện</v>
      </c>
      <c r="B398" s="151" t="str">
        <f t="shared" si="343"/>
        <v>Đủ</v>
      </c>
      <c r="C398" s="409">
        <f t="shared" si="341"/>
        <v>0</v>
      </c>
      <c r="D398" s="154"/>
      <c r="E398" s="154">
        <f>C398*DL398*1.1</f>
        <v>0</v>
      </c>
      <c r="F398" s="154"/>
      <c r="G398" s="151"/>
      <c r="H398" s="364"/>
      <c r="I398" s="171" t="s">
        <v>927</v>
      </c>
      <c r="J398" s="164" t="s">
        <v>925</v>
      </c>
      <c r="K398" s="171" t="s">
        <v>928</v>
      </c>
      <c r="L398" s="171" t="s">
        <v>753</v>
      </c>
      <c r="M398" s="163" t="s">
        <v>345</v>
      </c>
      <c r="N398" s="173">
        <v>0</v>
      </c>
      <c r="O398" s="419">
        <v>160</v>
      </c>
      <c r="P398" s="205"/>
      <c r="S398" s="161"/>
      <c r="T398" s="162"/>
      <c r="U398" s="162"/>
      <c r="V398" s="162"/>
      <c r="W398" s="162"/>
      <c r="X398" s="162"/>
      <c r="Y398" s="162"/>
      <c r="Z398" s="162"/>
      <c r="AA398" s="162"/>
      <c r="AB398" s="162"/>
      <c r="AC398" s="162"/>
      <c r="AD398" s="162"/>
      <c r="AE398" s="162"/>
      <c r="AF398" s="162"/>
      <c r="AG398" s="162"/>
      <c r="AH398" s="162"/>
      <c r="AI398" s="162"/>
      <c r="AJ398" s="162"/>
      <c r="AK398" s="162">
        <v>170</v>
      </c>
      <c r="AL398" s="162">
        <v>0</v>
      </c>
      <c r="AM398" s="162"/>
      <c r="AN398" s="162"/>
      <c r="AO398" s="162">
        <v>0</v>
      </c>
      <c r="AP398" s="162">
        <v>0</v>
      </c>
      <c r="AQ398" s="162">
        <v>0</v>
      </c>
      <c r="AR398" s="162">
        <v>0</v>
      </c>
      <c r="AS398" s="162">
        <v>0</v>
      </c>
      <c r="AT398" s="162">
        <v>0</v>
      </c>
      <c r="AU398" s="162">
        <v>0</v>
      </c>
      <c r="AV398" s="162">
        <v>0</v>
      </c>
      <c r="AW398" s="162">
        <v>0</v>
      </c>
      <c r="AX398" s="162">
        <v>0</v>
      </c>
      <c r="AY398" s="162">
        <v>0</v>
      </c>
      <c r="AZ398" s="162">
        <v>0</v>
      </c>
      <c r="BA398" s="162"/>
      <c r="BB398" s="162"/>
      <c r="BC398" s="162">
        <v>0</v>
      </c>
      <c r="BD398" s="162">
        <v>0</v>
      </c>
      <c r="BE398" s="162">
        <v>0</v>
      </c>
      <c r="BF398" s="162">
        <v>0</v>
      </c>
      <c r="BG398" s="162">
        <v>0</v>
      </c>
      <c r="BH398" s="162">
        <v>0</v>
      </c>
      <c r="BI398" s="162">
        <v>0</v>
      </c>
      <c r="BJ398" s="162">
        <v>0</v>
      </c>
      <c r="BK398" s="162">
        <v>0</v>
      </c>
      <c r="BL398" s="162">
        <v>0</v>
      </c>
      <c r="BM398" s="162">
        <v>0</v>
      </c>
      <c r="BN398" s="162">
        <v>0</v>
      </c>
      <c r="BO398" s="162"/>
      <c r="BP398" s="162"/>
      <c r="BQ398" s="162">
        <v>0</v>
      </c>
      <c r="BR398" s="162">
        <v>0</v>
      </c>
      <c r="BS398" s="162">
        <v>0</v>
      </c>
      <c r="BT398" s="162">
        <v>0</v>
      </c>
      <c r="BU398" s="162">
        <v>0</v>
      </c>
      <c r="BV398" s="162">
        <v>0</v>
      </c>
      <c r="BW398" s="162"/>
      <c r="BX398" s="162"/>
      <c r="BY398" s="162">
        <v>0</v>
      </c>
      <c r="BZ398" s="162">
        <v>0</v>
      </c>
      <c r="CA398" s="162">
        <v>0</v>
      </c>
      <c r="CB398" s="162">
        <v>0</v>
      </c>
      <c r="CC398" s="162">
        <v>0</v>
      </c>
      <c r="CD398" s="162">
        <v>0</v>
      </c>
      <c r="CE398" s="162">
        <f>VLOOKUP(I398,[120]REV33!$A:$O,11,0)</f>
        <v>0</v>
      </c>
      <c r="CF398" s="162">
        <f>VLOOKUP(I398,[120]REV33!$A:$O,12,0)</f>
        <v>0</v>
      </c>
      <c r="CG398" s="162"/>
      <c r="CH398" s="162"/>
      <c r="CI398" s="162"/>
      <c r="CJ398" s="162"/>
      <c r="CK398" s="162"/>
      <c r="CL398" s="162"/>
      <c r="CM398" s="162"/>
      <c r="CN398" s="162"/>
      <c r="CO398" s="162">
        <v>0</v>
      </c>
      <c r="CP398" s="162">
        <v>0</v>
      </c>
      <c r="CQ398" s="162">
        <v>0</v>
      </c>
      <c r="CR398" s="162">
        <v>0</v>
      </c>
      <c r="CS398" s="209">
        <f>Q398+S398+U398+W398+Y398+AA398+AC398+AE398+AG398+AI398+AK398+AM398+AO398+AQ398+AS398+AU398+AW398+AY398+BA398+BC398+BE398+BG398+BI398+BK398+BM398+BO398+BQ398+BS398+BU398+BW398+BY398+CA398+CC398+CE398+CG398+CI398+CK398+CM398+CO398+CQ398</f>
        <v>170</v>
      </c>
      <c r="CT398" s="209">
        <f>R398+T398+V398+X398+Z398+AB398+AD398+AF398+AH398+AJ398+AL398+AN398+AP398+AR398+AT398+AV398+AX398+AZ398+BB398+BD398+BF398+BH398+BJ398+BL398+BN398+BP398+BR398+BT398+BV398+BX398+BZ398+CB398+CD398+CF398+CH398+CJ398+CL398+CN398+CP398+CR398</f>
        <v>0</v>
      </c>
      <c r="CU398" s="206" t="s">
        <v>1000</v>
      </c>
      <c r="CV398" s="156"/>
      <c r="CZ398" s="157"/>
      <c r="DA398" s="152">
        <f t="shared" ref="DA398:DA443" si="354">IF(CS398&gt;CW398,CS398-CW398,"0")</f>
        <v>170</v>
      </c>
      <c r="DB398" s="152" t="str">
        <f t="shared" ref="DB398:DB443" si="355">IF(CT398&gt;CX398,CT398-CX398,"0")</f>
        <v>0</v>
      </c>
      <c r="DC398" s="153"/>
      <c r="DD398" s="158" t="s">
        <v>2212</v>
      </c>
      <c r="DE398" s="156" t="s">
        <v>435</v>
      </c>
      <c r="DF398" s="174" t="s">
        <v>1267</v>
      </c>
      <c r="DG398" s="175" t="s">
        <v>1266</v>
      </c>
      <c r="DH398" s="240" t="s">
        <v>477</v>
      </c>
      <c r="DI398" s="187">
        <v>45940</v>
      </c>
      <c r="DJ398" s="429">
        <v>170</v>
      </c>
      <c r="DK398" s="240" t="s">
        <v>477</v>
      </c>
      <c r="DL398" s="189">
        <v>16240</v>
      </c>
      <c r="DM398" s="181">
        <f t="shared" si="346"/>
        <v>3036880.0000000005</v>
      </c>
      <c r="DN398" s="446">
        <f t="shared" si="347"/>
        <v>0.10000000000000017</v>
      </c>
      <c r="DO398" s="160">
        <f t="shared" si="348"/>
        <v>2760800</v>
      </c>
      <c r="DP398" s="159">
        <v>45954</v>
      </c>
      <c r="DQ398" s="152">
        <f>SUMIF($I:$I,I398,$DJ:$DJ)</f>
        <v>170</v>
      </c>
      <c r="DR398" s="152">
        <f>SUMIF($I:$I,I398,$DK:$DK)</f>
        <v>0</v>
      </c>
      <c r="EO398" s="152">
        <f>SUMIF($I:$I,I398,$EC:$EC)</f>
        <v>0</v>
      </c>
      <c r="EP398" s="151">
        <f>SUMIF($I:$I,I398,$ED:$ED)</f>
        <v>0</v>
      </c>
      <c r="EQ398" s="153"/>
      <c r="ER398" s="153"/>
      <c r="ES398" s="153"/>
      <c r="ET398" s="153"/>
      <c r="EU398" s="152">
        <f t="shared" ref="EU398:EU443" si="356">DQ398+EO398</f>
        <v>170</v>
      </c>
      <c r="EV398" s="152">
        <f t="shared" ref="EV398:EV443" si="357">DR398+EP398</f>
        <v>0</v>
      </c>
      <c r="EW398" s="152">
        <f t="shared" ref="EW398:EW443" si="358">DA398-EU398</f>
        <v>0</v>
      </c>
      <c r="EX398" s="152">
        <f t="shared" ref="EX398:EX443" si="359">DB398-EV398</f>
        <v>0</v>
      </c>
      <c r="EY398" s="151" t="str">
        <f t="shared" ref="EY398:EY443" si="360">IF(EW398&lt;0,"Thừa",IF(EW398=0,"Đủ","Thiếu"))</f>
        <v>Đủ</v>
      </c>
    </row>
    <row r="399" spans="1:155" s="155" customFormat="1" ht="14" hidden="1" customHeight="1">
      <c r="A399" s="208" t="str">
        <f t="shared" si="342"/>
        <v>Hiện</v>
      </c>
      <c r="B399" s="151" t="str">
        <f t="shared" si="343"/>
        <v>Đủ</v>
      </c>
      <c r="C399" s="409">
        <f t="shared" si="341"/>
        <v>0</v>
      </c>
      <c r="D399" s="154"/>
      <c r="E399" s="154">
        <f>C399*DL399*1.1</f>
        <v>0</v>
      </c>
      <c r="F399" s="154"/>
      <c r="G399" s="151"/>
      <c r="H399" s="364"/>
      <c r="I399" s="171" t="s">
        <v>929</v>
      </c>
      <c r="J399" s="164" t="s">
        <v>925</v>
      </c>
      <c r="K399" s="171" t="s">
        <v>930</v>
      </c>
      <c r="L399" s="171" t="s">
        <v>753</v>
      </c>
      <c r="M399" s="163" t="s">
        <v>345</v>
      </c>
      <c r="N399" s="173">
        <v>0</v>
      </c>
      <c r="O399" s="419">
        <v>40</v>
      </c>
      <c r="P399" s="205"/>
      <c r="S399" s="161"/>
      <c r="T399" s="162"/>
      <c r="U399" s="162"/>
      <c r="V399" s="162"/>
      <c r="W399" s="162"/>
      <c r="X399" s="162"/>
      <c r="Y399" s="162"/>
      <c r="Z399" s="162"/>
      <c r="AA399" s="162"/>
      <c r="AB399" s="162"/>
      <c r="AC399" s="162"/>
      <c r="AD399" s="162"/>
      <c r="AE399" s="162"/>
      <c r="AF399" s="162"/>
      <c r="AG399" s="162"/>
      <c r="AH399" s="162"/>
      <c r="AI399" s="162"/>
      <c r="AJ399" s="162"/>
      <c r="AK399" s="162">
        <v>50</v>
      </c>
      <c r="AL399" s="162">
        <v>0</v>
      </c>
      <c r="AM399" s="162"/>
      <c r="AN399" s="162"/>
      <c r="AO399" s="162">
        <v>0</v>
      </c>
      <c r="AP399" s="162">
        <v>0</v>
      </c>
      <c r="AQ399" s="162">
        <v>0</v>
      </c>
      <c r="AR399" s="162">
        <v>0</v>
      </c>
      <c r="AS399" s="162">
        <v>0</v>
      </c>
      <c r="AT399" s="162">
        <v>0</v>
      </c>
      <c r="AU399" s="162">
        <v>0</v>
      </c>
      <c r="AV399" s="162">
        <v>0</v>
      </c>
      <c r="AW399" s="162">
        <v>0</v>
      </c>
      <c r="AX399" s="162">
        <v>0</v>
      </c>
      <c r="AY399" s="162">
        <v>0</v>
      </c>
      <c r="AZ399" s="162">
        <v>0</v>
      </c>
      <c r="BA399" s="162"/>
      <c r="BB399" s="162"/>
      <c r="BC399" s="162">
        <v>0</v>
      </c>
      <c r="BD399" s="162">
        <v>0</v>
      </c>
      <c r="BE399" s="162">
        <v>0</v>
      </c>
      <c r="BF399" s="162">
        <v>0</v>
      </c>
      <c r="BG399" s="162">
        <v>0</v>
      </c>
      <c r="BH399" s="162">
        <v>0</v>
      </c>
      <c r="BI399" s="162">
        <v>0</v>
      </c>
      <c r="BJ399" s="162">
        <v>0</v>
      </c>
      <c r="BK399" s="162">
        <v>0</v>
      </c>
      <c r="BL399" s="162">
        <v>0</v>
      </c>
      <c r="BM399" s="162">
        <v>0</v>
      </c>
      <c r="BN399" s="162">
        <v>0</v>
      </c>
      <c r="BO399" s="162"/>
      <c r="BP399" s="162"/>
      <c r="BQ399" s="162">
        <v>0</v>
      </c>
      <c r="BR399" s="162">
        <v>0</v>
      </c>
      <c r="BS399" s="162">
        <v>0</v>
      </c>
      <c r="BT399" s="162">
        <v>0</v>
      </c>
      <c r="BU399" s="162">
        <v>0</v>
      </c>
      <c r="BV399" s="162">
        <v>0</v>
      </c>
      <c r="BW399" s="162"/>
      <c r="BX399" s="162"/>
      <c r="BY399" s="162">
        <v>0</v>
      </c>
      <c r="BZ399" s="162">
        <v>0</v>
      </c>
      <c r="CA399" s="162">
        <v>0</v>
      </c>
      <c r="CB399" s="162">
        <v>0</v>
      </c>
      <c r="CC399" s="162">
        <v>0</v>
      </c>
      <c r="CD399" s="162">
        <v>0</v>
      </c>
      <c r="CE399" s="162">
        <f>VLOOKUP(I399,[120]REV33!$A:$O,11,0)</f>
        <v>0</v>
      </c>
      <c r="CF399" s="162">
        <f>VLOOKUP(I399,[120]REV33!$A:$O,12,0)</f>
        <v>0</v>
      </c>
      <c r="CG399" s="162"/>
      <c r="CH399" s="162"/>
      <c r="CI399" s="162"/>
      <c r="CJ399" s="162"/>
      <c r="CK399" s="162"/>
      <c r="CL399" s="162"/>
      <c r="CM399" s="162"/>
      <c r="CN399" s="162"/>
      <c r="CO399" s="162">
        <v>0</v>
      </c>
      <c r="CP399" s="162">
        <v>0</v>
      </c>
      <c r="CQ399" s="162">
        <v>0</v>
      </c>
      <c r="CR399" s="162">
        <v>0</v>
      </c>
      <c r="CS399" s="209">
        <f>Q399+S399+U399+W399+Y399+AA399+AC399+AE399+AG399+AI399+AK399+AM399+AO399+AQ399+AS399+AU399+AW399+AY399+BA399+BC399+BE399+BG399+BI399+BK399+BM399+BO399+BQ399+BS399+BU399+BW399+BY399+CA399+CC399+CE399+CG399+CI399+CK399+CM399+CO399+CQ399</f>
        <v>50</v>
      </c>
      <c r="CT399" s="209">
        <f>R399+T399+V399+X399+Z399+AB399+AD399+AF399+AH399+AJ399+AL399+AN399+AP399+AR399+AT399+AV399+AX399+AZ399+BB399+BD399+BF399+BH399+BJ399+BL399+BN399+BP399+BR399+BT399+BV399+BX399+BZ399+CB399+CD399+CF399+CH399+CJ399+CL399+CN399+CP399+CR399</f>
        <v>0</v>
      </c>
      <c r="CU399" s="206" t="s">
        <v>1000</v>
      </c>
      <c r="CV399" s="156"/>
      <c r="CZ399" s="157"/>
      <c r="DA399" s="152">
        <f t="shared" si="354"/>
        <v>50</v>
      </c>
      <c r="DB399" s="152" t="str">
        <f t="shared" si="355"/>
        <v>0</v>
      </c>
      <c r="DC399" s="153"/>
      <c r="DD399" s="158" t="s">
        <v>2212</v>
      </c>
      <c r="DE399" s="156" t="s">
        <v>435</v>
      </c>
      <c r="DF399" s="174" t="s">
        <v>1268</v>
      </c>
      <c r="DG399" s="175" t="s">
        <v>1266</v>
      </c>
      <c r="DH399" s="240" t="s">
        <v>477</v>
      </c>
      <c r="DI399" s="187">
        <v>45940</v>
      </c>
      <c r="DJ399" s="429">
        <v>50</v>
      </c>
      <c r="DK399" s="240" t="s">
        <v>477</v>
      </c>
      <c r="DL399" s="189">
        <v>23200</v>
      </c>
      <c r="DM399" s="181">
        <f t="shared" si="346"/>
        <v>1276000</v>
      </c>
      <c r="DN399" s="446">
        <f t="shared" si="347"/>
        <v>0.1</v>
      </c>
      <c r="DO399" s="160">
        <f t="shared" si="348"/>
        <v>1160000</v>
      </c>
      <c r="DP399" s="159">
        <v>45954</v>
      </c>
      <c r="DQ399" s="152">
        <f>SUMIF($I:$I,I399,$DJ:$DJ)</f>
        <v>50</v>
      </c>
      <c r="DR399" s="152">
        <f>SUMIF($I:$I,I399,$DK:$DK)</f>
        <v>0</v>
      </c>
      <c r="EO399" s="152">
        <f>SUMIF($I:$I,I399,$EC:$EC)</f>
        <v>0</v>
      </c>
      <c r="EP399" s="151">
        <f>SUMIF($I:$I,I399,$ED:$ED)</f>
        <v>0</v>
      </c>
      <c r="EQ399" s="153"/>
      <c r="ER399" s="153"/>
      <c r="ES399" s="153"/>
      <c r="ET399" s="153"/>
      <c r="EU399" s="152">
        <f t="shared" si="356"/>
        <v>50</v>
      </c>
      <c r="EV399" s="152">
        <f t="shared" si="357"/>
        <v>0</v>
      </c>
      <c r="EW399" s="152">
        <f t="shared" si="358"/>
        <v>0</v>
      </c>
      <c r="EX399" s="152">
        <f t="shared" si="359"/>
        <v>0</v>
      </c>
      <c r="EY399" s="151" t="str">
        <f t="shared" si="360"/>
        <v>Đủ</v>
      </c>
    </row>
    <row r="400" spans="1:155" s="155" customFormat="1" ht="14" hidden="1" customHeight="1">
      <c r="A400" s="208" t="str">
        <f t="shared" si="342"/>
        <v>Hiện</v>
      </c>
      <c r="B400" s="151" t="str">
        <f t="shared" si="343"/>
        <v>Đủ</v>
      </c>
      <c r="C400" s="409">
        <f t="shared" si="341"/>
        <v>0</v>
      </c>
      <c r="D400" s="154"/>
      <c r="E400" s="154">
        <f>C400*DL400*1.1</f>
        <v>0</v>
      </c>
      <c r="F400" s="154"/>
      <c r="G400" s="151"/>
      <c r="H400" s="364"/>
      <c r="I400" s="171" t="s">
        <v>931</v>
      </c>
      <c r="J400" s="164" t="s">
        <v>922</v>
      </c>
      <c r="K400" s="171" t="s">
        <v>932</v>
      </c>
      <c r="L400" s="171" t="s">
        <v>838</v>
      </c>
      <c r="M400" s="163" t="s">
        <v>345</v>
      </c>
      <c r="N400" s="173">
        <v>0</v>
      </c>
      <c r="O400" s="419">
        <v>120</v>
      </c>
      <c r="P400" s="205"/>
      <c r="S400" s="161"/>
      <c r="T400" s="162"/>
      <c r="U400" s="162"/>
      <c r="V400" s="162"/>
      <c r="W400" s="162"/>
      <c r="X400" s="162"/>
      <c r="Y400" s="162"/>
      <c r="Z400" s="162"/>
      <c r="AA400" s="162"/>
      <c r="AB400" s="162"/>
      <c r="AC400" s="162"/>
      <c r="AD400" s="162"/>
      <c r="AE400" s="162"/>
      <c r="AF400" s="162"/>
      <c r="AG400" s="162"/>
      <c r="AH400" s="162"/>
      <c r="AI400" s="162"/>
      <c r="AJ400" s="162"/>
      <c r="AK400" s="162">
        <v>130</v>
      </c>
      <c r="AL400" s="162">
        <v>0</v>
      </c>
      <c r="AM400" s="162"/>
      <c r="AN400" s="162"/>
      <c r="AO400" s="162">
        <v>0</v>
      </c>
      <c r="AP400" s="162">
        <v>0</v>
      </c>
      <c r="AQ400" s="162">
        <v>0</v>
      </c>
      <c r="AR400" s="162">
        <v>0</v>
      </c>
      <c r="AS400" s="162">
        <v>0</v>
      </c>
      <c r="AT400" s="162">
        <v>0</v>
      </c>
      <c r="AU400" s="162">
        <v>0</v>
      </c>
      <c r="AV400" s="162">
        <v>0</v>
      </c>
      <c r="AW400" s="162">
        <v>0</v>
      </c>
      <c r="AX400" s="162">
        <v>0</v>
      </c>
      <c r="AY400" s="162">
        <v>0</v>
      </c>
      <c r="AZ400" s="162">
        <v>0</v>
      </c>
      <c r="BA400" s="162"/>
      <c r="BB400" s="162"/>
      <c r="BC400" s="162">
        <v>0</v>
      </c>
      <c r="BD400" s="162">
        <v>0</v>
      </c>
      <c r="BE400" s="162">
        <v>0</v>
      </c>
      <c r="BF400" s="162">
        <v>0</v>
      </c>
      <c r="BG400" s="162">
        <v>0</v>
      </c>
      <c r="BH400" s="162">
        <v>0</v>
      </c>
      <c r="BI400" s="162">
        <v>0</v>
      </c>
      <c r="BJ400" s="162">
        <v>0</v>
      </c>
      <c r="BK400" s="162">
        <v>0</v>
      </c>
      <c r="BL400" s="162">
        <v>0</v>
      </c>
      <c r="BM400" s="162">
        <v>0</v>
      </c>
      <c r="BN400" s="162">
        <v>0</v>
      </c>
      <c r="BO400" s="162"/>
      <c r="BP400" s="162"/>
      <c r="BQ400" s="162">
        <v>0</v>
      </c>
      <c r="BR400" s="162">
        <v>0</v>
      </c>
      <c r="BS400" s="162">
        <v>0</v>
      </c>
      <c r="BT400" s="162">
        <v>0</v>
      </c>
      <c r="BU400" s="162">
        <v>0</v>
      </c>
      <c r="BV400" s="162">
        <v>0</v>
      </c>
      <c r="BW400" s="162"/>
      <c r="BX400" s="162"/>
      <c r="BY400" s="162">
        <v>0</v>
      </c>
      <c r="BZ400" s="162">
        <v>0</v>
      </c>
      <c r="CA400" s="162">
        <v>0</v>
      </c>
      <c r="CB400" s="162">
        <v>0</v>
      </c>
      <c r="CC400" s="162">
        <v>0</v>
      </c>
      <c r="CD400" s="162">
        <v>0</v>
      </c>
      <c r="CE400" s="162">
        <f>VLOOKUP(I400,[120]REV33!$A:$O,11,0)</f>
        <v>0</v>
      </c>
      <c r="CF400" s="162">
        <f>VLOOKUP(I400,[120]REV33!$A:$O,12,0)</f>
        <v>0</v>
      </c>
      <c r="CG400" s="162"/>
      <c r="CH400" s="162"/>
      <c r="CI400" s="162"/>
      <c r="CJ400" s="162"/>
      <c r="CK400" s="162"/>
      <c r="CL400" s="162"/>
      <c r="CM400" s="162"/>
      <c r="CN400" s="162"/>
      <c r="CO400" s="162">
        <v>0</v>
      </c>
      <c r="CP400" s="162">
        <v>0</v>
      </c>
      <c r="CQ400" s="162">
        <v>0</v>
      </c>
      <c r="CR400" s="162">
        <v>0</v>
      </c>
      <c r="CS400" s="209">
        <f>Q400+S400+U400+W400+Y400+AA400+AC400+AE400+AG400+AI400+AK400+AM400+AO400+AQ400+AS400+AU400+AW400+AY400+BA400+BC400+BE400+BG400+BI400+BK400+BM400+BO400+BQ400+BS400+BU400+BW400+BY400+CA400+CC400+CE400+CG400+CI400+CK400+CM400+CO400+CQ400</f>
        <v>130</v>
      </c>
      <c r="CT400" s="209">
        <f>R400+T400+V400+X400+Z400+AB400+AD400+AF400+AH400+AJ400+AL400+AN400+AP400+AR400+AT400+AV400+AX400+AZ400+BB400+BD400+BF400+BH400+BJ400+BL400+BN400+BP400+BR400+BT400+BV400+BX400+BZ400+CB400+CD400+CF400+CH400+CJ400+CL400+CN400+CP400+CR400</f>
        <v>0</v>
      </c>
      <c r="CU400" s="206" t="s">
        <v>1000</v>
      </c>
      <c r="CV400" s="156"/>
      <c r="CZ400" s="157"/>
      <c r="DA400" s="152">
        <f t="shared" si="354"/>
        <v>130</v>
      </c>
      <c r="DB400" s="152" t="str">
        <f t="shared" si="355"/>
        <v>0</v>
      </c>
      <c r="DC400" s="153"/>
      <c r="DD400" s="158" t="s">
        <v>2212</v>
      </c>
      <c r="DE400" s="156" t="s">
        <v>435</v>
      </c>
      <c r="DF400" s="174" t="s">
        <v>1269</v>
      </c>
      <c r="DG400" s="175" t="s">
        <v>1270</v>
      </c>
      <c r="DH400" s="240" t="s">
        <v>477</v>
      </c>
      <c r="DI400" s="187">
        <v>45940</v>
      </c>
      <c r="DJ400" s="429">
        <v>130</v>
      </c>
      <c r="DK400" s="240" t="s">
        <v>477</v>
      </c>
      <c r="DL400" s="189">
        <v>2660</v>
      </c>
      <c r="DM400" s="181">
        <f t="shared" si="346"/>
        <v>380380.00000000006</v>
      </c>
      <c r="DN400" s="446">
        <f t="shared" si="347"/>
        <v>0.10000000000000017</v>
      </c>
      <c r="DO400" s="160">
        <f t="shared" si="348"/>
        <v>345800</v>
      </c>
      <c r="DP400" s="159">
        <v>45954</v>
      </c>
      <c r="DQ400" s="152">
        <f>SUMIF($I:$I,I400,$DJ:$DJ)</f>
        <v>130</v>
      </c>
      <c r="DR400" s="152">
        <f>SUMIF($I:$I,I400,$DK:$DK)</f>
        <v>0</v>
      </c>
      <c r="EO400" s="152">
        <f>SUMIF($I:$I,I400,$EC:$EC)</f>
        <v>0</v>
      </c>
      <c r="EP400" s="151">
        <f>SUMIF($I:$I,I400,$ED:$ED)</f>
        <v>0</v>
      </c>
      <c r="EQ400" s="153"/>
      <c r="ER400" s="153"/>
      <c r="ES400" s="153"/>
      <c r="ET400" s="153"/>
      <c r="EU400" s="152">
        <f t="shared" si="356"/>
        <v>130</v>
      </c>
      <c r="EV400" s="152">
        <f t="shared" si="357"/>
        <v>0</v>
      </c>
      <c r="EW400" s="152">
        <f t="shared" si="358"/>
        <v>0</v>
      </c>
      <c r="EX400" s="152">
        <f t="shared" si="359"/>
        <v>0</v>
      </c>
      <c r="EY400" s="151" t="str">
        <f t="shared" si="360"/>
        <v>Đủ</v>
      </c>
    </row>
    <row r="401" spans="1:155" s="155" customFormat="1" ht="14" hidden="1" customHeight="1">
      <c r="A401" s="208" t="str">
        <f t="shared" si="342"/>
        <v>Hiện</v>
      </c>
      <c r="B401" s="151" t="str">
        <f t="shared" si="343"/>
        <v>Đủ</v>
      </c>
      <c r="C401" s="409">
        <f t="shared" si="341"/>
        <v>0</v>
      </c>
      <c r="D401" s="154"/>
      <c r="E401" s="154">
        <f>C401*DL401*1.1</f>
        <v>0</v>
      </c>
      <c r="F401" s="154"/>
      <c r="G401" s="151"/>
      <c r="H401" s="364"/>
      <c r="I401" s="171" t="s">
        <v>933</v>
      </c>
      <c r="J401" s="164" t="s">
        <v>922</v>
      </c>
      <c r="K401" s="171" t="s">
        <v>934</v>
      </c>
      <c r="L401" s="171" t="s">
        <v>935</v>
      </c>
      <c r="M401" s="163" t="s">
        <v>345</v>
      </c>
      <c r="N401" s="173">
        <v>0</v>
      </c>
      <c r="O401" s="419">
        <v>144</v>
      </c>
      <c r="P401" s="205"/>
      <c r="S401" s="161"/>
      <c r="T401" s="162"/>
      <c r="U401" s="162"/>
      <c r="V401" s="162"/>
      <c r="W401" s="162"/>
      <c r="X401" s="162"/>
      <c r="Y401" s="162"/>
      <c r="Z401" s="162"/>
      <c r="AA401" s="162"/>
      <c r="AB401" s="162"/>
      <c r="AC401" s="162"/>
      <c r="AD401" s="162"/>
      <c r="AE401" s="162"/>
      <c r="AF401" s="162"/>
      <c r="AG401" s="162"/>
      <c r="AH401" s="162"/>
      <c r="AI401" s="162"/>
      <c r="AJ401" s="162"/>
      <c r="AK401" s="162">
        <v>164</v>
      </c>
      <c r="AL401" s="162">
        <v>0</v>
      </c>
      <c r="AM401" s="162"/>
      <c r="AN401" s="162"/>
      <c r="AO401" s="162">
        <v>0</v>
      </c>
      <c r="AP401" s="162">
        <v>0</v>
      </c>
      <c r="AQ401" s="162">
        <v>0</v>
      </c>
      <c r="AR401" s="162">
        <v>0</v>
      </c>
      <c r="AS401" s="162">
        <v>0</v>
      </c>
      <c r="AT401" s="162">
        <v>0</v>
      </c>
      <c r="AU401" s="162">
        <v>0</v>
      </c>
      <c r="AV401" s="162">
        <v>0</v>
      </c>
      <c r="AW401" s="162">
        <v>0</v>
      </c>
      <c r="AX401" s="162">
        <v>0</v>
      </c>
      <c r="AY401" s="162">
        <v>0</v>
      </c>
      <c r="AZ401" s="162">
        <v>0</v>
      </c>
      <c r="BA401" s="162"/>
      <c r="BB401" s="162"/>
      <c r="BC401" s="162">
        <v>0</v>
      </c>
      <c r="BD401" s="162">
        <v>0</v>
      </c>
      <c r="BE401" s="162">
        <v>0</v>
      </c>
      <c r="BF401" s="162">
        <v>0</v>
      </c>
      <c r="BG401" s="162">
        <v>0</v>
      </c>
      <c r="BH401" s="162">
        <v>0</v>
      </c>
      <c r="BI401" s="162">
        <v>0</v>
      </c>
      <c r="BJ401" s="162">
        <v>0</v>
      </c>
      <c r="BK401" s="162">
        <v>0</v>
      </c>
      <c r="BL401" s="162">
        <v>0</v>
      </c>
      <c r="BM401" s="162">
        <v>0</v>
      </c>
      <c r="BN401" s="162">
        <v>0</v>
      </c>
      <c r="BO401" s="162"/>
      <c r="BP401" s="162"/>
      <c r="BQ401" s="162">
        <v>0</v>
      </c>
      <c r="BR401" s="162">
        <v>0</v>
      </c>
      <c r="BS401" s="162">
        <v>0</v>
      </c>
      <c r="BT401" s="162">
        <v>0</v>
      </c>
      <c r="BU401" s="162">
        <v>0</v>
      </c>
      <c r="BV401" s="162">
        <v>0</v>
      </c>
      <c r="BW401" s="162"/>
      <c r="BX401" s="162"/>
      <c r="BY401" s="162">
        <v>0</v>
      </c>
      <c r="BZ401" s="162">
        <v>0</v>
      </c>
      <c r="CA401" s="162">
        <v>0</v>
      </c>
      <c r="CB401" s="162">
        <v>0</v>
      </c>
      <c r="CC401" s="162">
        <v>0</v>
      </c>
      <c r="CD401" s="162">
        <v>0</v>
      </c>
      <c r="CE401" s="162">
        <f>VLOOKUP(I401,[120]REV33!$A:$O,11,0)</f>
        <v>0</v>
      </c>
      <c r="CF401" s="162">
        <f>VLOOKUP(I401,[120]REV33!$A:$O,12,0)</f>
        <v>0</v>
      </c>
      <c r="CG401" s="162"/>
      <c r="CH401" s="162"/>
      <c r="CI401" s="162"/>
      <c r="CJ401" s="162"/>
      <c r="CK401" s="162"/>
      <c r="CL401" s="162"/>
      <c r="CM401" s="162"/>
      <c r="CN401" s="162"/>
      <c r="CO401" s="162">
        <v>0</v>
      </c>
      <c r="CP401" s="162">
        <v>0</v>
      </c>
      <c r="CQ401" s="162">
        <v>0</v>
      </c>
      <c r="CR401" s="162">
        <v>0</v>
      </c>
      <c r="CS401" s="209">
        <f>Q401+S401+U401+W401+Y401+AA401+AC401+AE401+AG401+AI401+AK401+AM401+AO401+AQ401+AS401+AU401+AW401+AY401+BA401+BC401+BE401+BG401+BI401+BK401+BM401+BO401+BQ401+BS401+BU401+BW401+BY401+CA401+CC401+CE401+CG401+CI401+CK401+CM401+CO401+CQ401</f>
        <v>164</v>
      </c>
      <c r="CT401" s="209">
        <f>R401+T401+V401+X401+Z401+AB401+AD401+AF401+AH401+AJ401+AL401+AN401+AP401+AR401+AT401+AV401+AX401+AZ401+BB401+BD401+BF401+BH401+BJ401+BL401+BN401+BP401+BR401+BT401+BV401+BX401+BZ401+CB401+CD401+CF401+CH401+CJ401+CL401+CN401+CP401+CR401</f>
        <v>0</v>
      </c>
      <c r="CU401" s="206" t="s">
        <v>1000</v>
      </c>
      <c r="CV401" s="156"/>
      <c r="CZ401" s="157"/>
      <c r="DA401" s="152">
        <f t="shared" si="354"/>
        <v>164</v>
      </c>
      <c r="DB401" s="152" t="str">
        <f t="shared" si="355"/>
        <v>0</v>
      </c>
      <c r="DC401" s="153"/>
      <c r="DD401" s="158" t="s">
        <v>2212</v>
      </c>
      <c r="DE401" s="156" t="s">
        <v>435</v>
      </c>
      <c r="DF401" s="174" t="s">
        <v>1271</v>
      </c>
      <c r="DG401" s="175" t="s">
        <v>1272</v>
      </c>
      <c r="DH401" s="240" t="s">
        <v>477</v>
      </c>
      <c r="DI401" s="187">
        <v>45940</v>
      </c>
      <c r="DJ401" s="429">
        <v>164</v>
      </c>
      <c r="DK401" s="240" t="s">
        <v>477</v>
      </c>
      <c r="DL401" s="189">
        <v>450</v>
      </c>
      <c r="DM401" s="181">
        <f t="shared" si="346"/>
        <v>81180</v>
      </c>
      <c r="DN401" s="446">
        <f t="shared" si="347"/>
        <v>0.1</v>
      </c>
      <c r="DO401" s="160">
        <f t="shared" si="348"/>
        <v>73800</v>
      </c>
      <c r="DP401" s="159">
        <v>45954</v>
      </c>
      <c r="DQ401" s="152">
        <f>SUMIF($I:$I,I401,$DJ:$DJ)</f>
        <v>164</v>
      </c>
      <c r="DR401" s="152">
        <f>SUMIF($I:$I,I401,$DK:$DK)</f>
        <v>0</v>
      </c>
      <c r="EO401" s="152">
        <f>SUMIF($I:$I,I401,$EC:$EC)</f>
        <v>0</v>
      </c>
      <c r="EP401" s="151">
        <f>SUMIF($I:$I,I401,$ED:$ED)</f>
        <v>0</v>
      </c>
      <c r="EQ401" s="153"/>
      <c r="ER401" s="153"/>
      <c r="ES401" s="153"/>
      <c r="ET401" s="153"/>
      <c r="EU401" s="152">
        <f t="shared" si="356"/>
        <v>164</v>
      </c>
      <c r="EV401" s="152">
        <f t="shared" si="357"/>
        <v>0</v>
      </c>
      <c r="EW401" s="152">
        <f t="shared" si="358"/>
        <v>0</v>
      </c>
      <c r="EX401" s="152">
        <f t="shared" si="359"/>
        <v>0</v>
      </c>
      <c r="EY401" s="151" t="str">
        <f t="shared" si="360"/>
        <v>Đủ</v>
      </c>
    </row>
    <row r="402" spans="1:155" s="155" customFormat="1" ht="14" hidden="1" customHeight="1">
      <c r="A402" s="208" t="str">
        <f t="shared" si="342"/>
        <v>Hiện</v>
      </c>
      <c r="B402" s="151" t="str">
        <f t="shared" si="343"/>
        <v>Đủ</v>
      </c>
      <c r="C402" s="409">
        <f t="shared" si="341"/>
        <v>0</v>
      </c>
      <c r="D402" s="154"/>
      <c r="E402" s="154">
        <f>C402*DL402*1.1</f>
        <v>0</v>
      </c>
      <c r="F402" s="154"/>
      <c r="G402" s="151"/>
      <c r="H402" s="364"/>
      <c r="I402" s="171" t="s">
        <v>936</v>
      </c>
      <c r="J402" s="164" t="s">
        <v>922</v>
      </c>
      <c r="K402" s="171" t="s">
        <v>937</v>
      </c>
      <c r="L402" s="171" t="s">
        <v>938</v>
      </c>
      <c r="M402" s="163" t="s">
        <v>345</v>
      </c>
      <c r="N402" s="173">
        <v>0</v>
      </c>
      <c r="O402" s="419">
        <v>1304</v>
      </c>
      <c r="P402" s="205"/>
      <c r="S402" s="161"/>
      <c r="T402" s="162"/>
      <c r="U402" s="162"/>
      <c r="V402" s="162"/>
      <c r="W402" s="162"/>
      <c r="X402" s="162"/>
      <c r="Y402" s="162"/>
      <c r="Z402" s="162"/>
      <c r="AA402" s="162"/>
      <c r="AB402" s="162"/>
      <c r="AC402" s="162"/>
      <c r="AD402" s="162"/>
      <c r="AE402" s="162"/>
      <c r="AF402" s="162"/>
      <c r="AG402" s="162"/>
      <c r="AH402" s="162"/>
      <c r="AI402" s="162"/>
      <c r="AJ402" s="162"/>
      <c r="AK402" s="162">
        <v>1398</v>
      </c>
      <c r="AL402" s="162">
        <v>0</v>
      </c>
      <c r="AM402" s="162"/>
      <c r="AN402" s="162"/>
      <c r="AO402" s="162">
        <v>0</v>
      </c>
      <c r="AP402" s="162">
        <v>0</v>
      </c>
      <c r="AQ402" s="162">
        <v>0</v>
      </c>
      <c r="AR402" s="162">
        <v>0</v>
      </c>
      <c r="AS402" s="162">
        <v>0</v>
      </c>
      <c r="AT402" s="162">
        <v>0</v>
      </c>
      <c r="AU402" s="162">
        <v>0</v>
      </c>
      <c r="AV402" s="162">
        <v>0</v>
      </c>
      <c r="AW402" s="162">
        <v>0</v>
      </c>
      <c r="AX402" s="162">
        <v>0</v>
      </c>
      <c r="AY402" s="162">
        <v>0</v>
      </c>
      <c r="AZ402" s="162">
        <v>0</v>
      </c>
      <c r="BA402" s="162"/>
      <c r="BB402" s="162"/>
      <c r="BC402" s="162">
        <v>0</v>
      </c>
      <c r="BD402" s="162">
        <v>0</v>
      </c>
      <c r="BE402" s="162">
        <v>0</v>
      </c>
      <c r="BF402" s="162">
        <v>0</v>
      </c>
      <c r="BG402" s="162">
        <v>0</v>
      </c>
      <c r="BH402" s="162">
        <v>0</v>
      </c>
      <c r="BI402" s="162">
        <v>0</v>
      </c>
      <c r="BJ402" s="162">
        <v>0</v>
      </c>
      <c r="BK402" s="162">
        <v>0</v>
      </c>
      <c r="BL402" s="162">
        <v>0</v>
      </c>
      <c r="BM402" s="162">
        <v>0</v>
      </c>
      <c r="BN402" s="162">
        <v>0</v>
      </c>
      <c r="BO402" s="162"/>
      <c r="BP402" s="162"/>
      <c r="BQ402" s="162">
        <v>0</v>
      </c>
      <c r="BR402" s="162">
        <v>0</v>
      </c>
      <c r="BS402" s="162">
        <v>0</v>
      </c>
      <c r="BT402" s="162">
        <v>0</v>
      </c>
      <c r="BU402" s="162">
        <v>0</v>
      </c>
      <c r="BV402" s="162">
        <v>0</v>
      </c>
      <c r="BW402" s="162"/>
      <c r="BX402" s="162"/>
      <c r="BY402" s="162">
        <v>0</v>
      </c>
      <c r="BZ402" s="162">
        <v>0</v>
      </c>
      <c r="CA402" s="162">
        <v>0</v>
      </c>
      <c r="CB402" s="162">
        <v>0</v>
      </c>
      <c r="CC402" s="162">
        <v>0</v>
      </c>
      <c r="CD402" s="162">
        <v>0</v>
      </c>
      <c r="CE402" s="162">
        <f>VLOOKUP(I402,[120]REV33!$A:$O,11,0)</f>
        <v>0</v>
      </c>
      <c r="CF402" s="162">
        <f>VLOOKUP(I402,[120]REV33!$A:$O,12,0)</f>
        <v>0</v>
      </c>
      <c r="CG402" s="162"/>
      <c r="CH402" s="162"/>
      <c r="CI402" s="162"/>
      <c r="CJ402" s="162"/>
      <c r="CK402" s="162"/>
      <c r="CL402" s="162"/>
      <c r="CM402" s="162"/>
      <c r="CN402" s="162"/>
      <c r="CO402" s="162">
        <v>0</v>
      </c>
      <c r="CP402" s="162">
        <v>0</v>
      </c>
      <c r="CQ402" s="162">
        <v>0</v>
      </c>
      <c r="CR402" s="162">
        <v>0</v>
      </c>
      <c r="CS402" s="209">
        <f>Q402+S402+U402+W402+Y402+AA402+AC402+AE402+AG402+AI402+AK402+AM402+AO402+AQ402+AS402+AU402+AW402+AY402+BA402+BC402+BE402+BG402+BI402+BK402+BM402+BO402+BQ402+BS402+BU402+BW402+BY402+CA402+CC402+CE402+CG402+CI402+CK402+CM402+CO402+CQ402</f>
        <v>1398</v>
      </c>
      <c r="CT402" s="209">
        <f>R402+T402+V402+X402+Z402+AB402+AD402+AF402+AH402+AJ402+AL402+AN402+AP402+AR402+AT402+AV402+AX402+AZ402+BB402+BD402+BF402+BH402+BJ402+BL402+BN402+BP402+BR402+BT402+BV402+BX402+BZ402+CB402+CD402+CF402+CH402+CJ402+CL402+CN402+CP402+CR402</f>
        <v>0</v>
      </c>
      <c r="CU402" s="206" t="s">
        <v>1000</v>
      </c>
      <c r="CV402" s="156"/>
      <c r="CZ402" s="157"/>
      <c r="DA402" s="152">
        <f t="shared" si="354"/>
        <v>1398</v>
      </c>
      <c r="DB402" s="152" t="str">
        <f t="shared" si="355"/>
        <v>0</v>
      </c>
      <c r="DC402" s="153"/>
      <c r="DD402" s="158" t="s">
        <v>2212</v>
      </c>
      <c r="DE402" s="156" t="s">
        <v>435</v>
      </c>
      <c r="DF402" s="174" t="s">
        <v>1271</v>
      </c>
      <c r="DG402" s="175" t="s">
        <v>1272</v>
      </c>
      <c r="DH402" s="240" t="s">
        <v>477</v>
      </c>
      <c r="DI402" s="187">
        <v>45940</v>
      </c>
      <c r="DJ402" s="429">
        <v>1398</v>
      </c>
      <c r="DK402" s="240" t="s">
        <v>477</v>
      </c>
      <c r="DL402" s="189">
        <v>450</v>
      </c>
      <c r="DM402" s="181">
        <f t="shared" si="346"/>
        <v>692010</v>
      </c>
      <c r="DN402" s="446">
        <f t="shared" si="347"/>
        <v>0.1</v>
      </c>
      <c r="DO402" s="160">
        <f t="shared" si="348"/>
        <v>629100</v>
      </c>
      <c r="DP402" s="159">
        <v>45954</v>
      </c>
      <c r="DQ402" s="152">
        <f>SUMIF($I:$I,I402,$DJ:$DJ)</f>
        <v>1398</v>
      </c>
      <c r="DR402" s="152">
        <f>SUMIF($I:$I,I402,$DK:$DK)</f>
        <v>0</v>
      </c>
      <c r="EO402" s="152">
        <f>SUMIF($I:$I,I402,$EC:$EC)</f>
        <v>0</v>
      </c>
      <c r="EP402" s="151">
        <f>SUMIF($I:$I,I402,$ED:$ED)</f>
        <v>0</v>
      </c>
      <c r="EQ402" s="153"/>
      <c r="ER402" s="153"/>
      <c r="ES402" s="153"/>
      <c r="ET402" s="153"/>
      <c r="EU402" s="152">
        <f t="shared" si="356"/>
        <v>1398</v>
      </c>
      <c r="EV402" s="152">
        <f t="shared" si="357"/>
        <v>0</v>
      </c>
      <c r="EW402" s="152">
        <f t="shared" si="358"/>
        <v>0</v>
      </c>
      <c r="EX402" s="152">
        <f t="shared" si="359"/>
        <v>0</v>
      </c>
      <c r="EY402" s="151" t="str">
        <f t="shared" si="360"/>
        <v>Đủ</v>
      </c>
    </row>
    <row r="403" spans="1:155" s="155" customFormat="1" ht="14" hidden="1" customHeight="1">
      <c r="A403" s="208" t="str">
        <f t="shared" si="342"/>
        <v>Hiện</v>
      </c>
      <c r="B403" s="151" t="str">
        <f t="shared" si="343"/>
        <v>Đủ</v>
      </c>
      <c r="C403" s="409">
        <f t="shared" si="341"/>
        <v>0</v>
      </c>
      <c r="D403" s="154"/>
      <c r="E403" s="154">
        <f>C403*DL403*1.1</f>
        <v>0</v>
      </c>
      <c r="F403" s="154"/>
      <c r="G403" s="151"/>
      <c r="H403" s="364"/>
      <c r="I403" s="171" t="s">
        <v>939</v>
      </c>
      <c r="J403" s="164" t="s">
        <v>922</v>
      </c>
      <c r="K403" s="171" t="s">
        <v>940</v>
      </c>
      <c r="L403" s="171" t="s">
        <v>938</v>
      </c>
      <c r="M403" s="163" t="s">
        <v>345</v>
      </c>
      <c r="N403" s="173">
        <v>0</v>
      </c>
      <c r="O403" s="419">
        <v>3584</v>
      </c>
      <c r="P403" s="205"/>
      <c r="S403" s="161"/>
      <c r="T403" s="162"/>
      <c r="U403" s="162"/>
      <c r="V403" s="162"/>
      <c r="W403" s="162"/>
      <c r="X403" s="162"/>
      <c r="Y403" s="162"/>
      <c r="Z403" s="162"/>
      <c r="AA403" s="162"/>
      <c r="AB403" s="162"/>
      <c r="AC403" s="162"/>
      <c r="AD403" s="162"/>
      <c r="AE403" s="162"/>
      <c r="AF403" s="162"/>
      <c r="AG403" s="162"/>
      <c r="AH403" s="162"/>
      <c r="AI403" s="162"/>
      <c r="AJ403" s="162"/>
      <c r="AK403" s="162">
        <v>3808</v>
      </c>
      <c r="AL403" s="162">
        <v>0</v>
      </c>
      <c r="AM403" s="162"/>
      <c r="AN403" s="162"/>
      <c r="AO403" s="162">
        <v>0</v>
      </c>
      <c r="AP403" s="162">
        <v>0</v>
      </c>
      <c r="AQ403" s="162">
        <v>0</v>
      </c>
      <c r="AR403" s="162">
        <v>0</v>
      </c>
      <c r="AS403" s="162">
        <v>0</v>
      </c>
      <c r="AT403" s="162">
        <v>0</v>
      </c>
      <c r="AU403" s="162">
        <v>0</v>
      </c>
      <c r="AV403" s="162">
        <v>0</v>
      </c>
      <c r="AW403" s="162">
        <v>0</v>
      </c>
      <c r="AX403" s="162">
        <v>0</v>
      </c>
      <c r="AY403" s="162">
        <v>0</v>
      </c>
      <c r="AZ403" s="162">
        <v>0</v>
      </c>
      <c r="BA403" s="162"/>
      <c r="BB403" s="162"/>
      <c r="BC403" s="162">
        <v>0</v>
      </c>
      <c r="BD403" s="162">
        <v>0</v>
      </c>
      <c r="BE403" s="162">
        <v>0</v>
      </c>
      <c r="BF403" s="162">
        <v>0</v>
      </c>
      <c r="BG403" s="162">
        <v>0</v>
      </c>
      <c r="BH403" s="162">
        <v>0</v>
      </c>
      <c r="BI403" s="162">
        <v>0</v>
      </c>
      <c r="BJ403" s="162">
        <v>0</v>
      </c>
      <c r="BK403" s="162">
        <v>0</v>
      </c>
      <c r="BL403" s="162">
        <v>0</v>
      </c>
      <c r="BM403" s="162">
        <v>0</v>
      </c>
      <c r="BN403" s="162">
        <v>0</v>
      </c>
      <c r="BO403" s="162"/>
      <c r="BP403" s="162"/>
      <c r="BQ403" s="162">
        <v>0</v>
      </c>
      <c r="BR403" s="162">
        <v>0</v>
      </c>
      <c r="BS403" s="162">
        <v>0</v>
      </c>
      <c r="BT403" s="162">
        <v>0</v>
      </c>
      <c r="BU403" s="162">
        <v>0</v>
      </c>
      <c r="BV403" s="162">
        <v>0</v>
      </c>
      <c r="BW403" s="162"/>
      <c r="BX403" s="162"/>
      <c r="BY403" s="162">
        <v>0</v>
      </c>
      <c r="BZ403" s="162">
        <v>0</v>
      </c>
      <c r="CA403" s="162">
        <v>0</v>
      </c>
      <c r="CB403" s="162">
        <v>0</v>
      </c>
      <c r="CC403" s="162">
        <v>0</v>
      </c>
      <c r="CD403" s="162">
        <v>0</v>
      </c>
      <c r="CE403" s="162">
        <f>VLOOKUP(I403,[120]REV33!$A:$O,11,0)</f>
        <v>0</v>
      </c>
      <c r="CF403" s="162">
        <f>VLOOKUP(I403,[120]REV33!$A:$O,12,0)</f>
        <v>0</v>
      </c>
      <c r="CG403" s="162"/>
      <c r="CH403" s="162"/>
      <c r="CI403" s="162"/>
      <c r="CJ403" s="162"/>
      <c r="CK403" s="162"/>
      <c r="CL403" s="162"/>
      <c r="CM403" s="162"/>
      <c r="CN403" s="162"/>
      <c r="CO403" s="162">
        <v>0</v>
      </c>
      <c r="CP403" s="162">
        <v>0</v>
      </c>
      <c r="CQ403" s="162">
        <v>0</v>
      </c>
      <c r="CR403" s="162">
        <v>0</v>
      </c>
      <c r="CS403" s="209">
        <f>Q403+S403+U403+W403+Y403+AA403+AC403+AE403+AG403+AI403+AK403+AM403+AO403+AQ403+AS403+AU403+AW403+AY403+BA403+BC403+BE403+BG403+BI403+BK403+BM403+BO403+BQ403+BS403+BU403+BW403+BY403+CA403+CC403+CE403+CG403+CI403+CK403+CM403+CO403+CQ403</f>
        <v>3808</v>
      </c>
      <c r="CT403" s="209">
        <f>R403+T403+V403+X403+Z403+AB403+AD403+AF403+AH403+AJ403+AL403+AN403+AP403+AR403+AT403+AV403+AX403+AZ403+BB403+BD403+BF403+BH403+BJ403+BL403+BN403+BP403+BR403+BT403+BV403+BX403+BZ403+CB403+CD403+CF403+CH403+CJ403+CL403+CN403+CP403+CR403</f>
        <v>0</v>
      </c>
      <c r="CU403" s="206" t="s">
        <v>1000</v>
      </c>
      <c r="CV403" s="156"/>
      <c r="CZ403" s="157"/>
      <c r="DA403" s="152">
        <f t="shared" si="354"/>
        <v>3808</v>
      </c>
      <c r="DB403" s="152" t="str">
        <f t="shared" si="355"/>
        <v>0</v>
      </c>
      <c r="DC403" s="153"/>
      <c r="DD403" s="158" t="s">
        <v>2212</v>
      </c>
      <c r="DE403" s="156" t="s">
        <v>435</v>
      </c>
      <c r="DF403" s="174" t="s">
        <v>1273</v>
      </c>
      <c r="DG403" s="175" t="s">
        <v>1272</v>
      </c>
      <c r="DH403" s="240" t="s">
        <v>477</v>
      </c>
      <c r="DI403" s="187">
        <v>45940</v>
      </c>
      <c r="DJ403" s="429">
        <v>3808</v>
      </c>
      <c r="DK403" s="240" t="s">
        <v>477</v>
      </c>
      <c r="DL403" s="189">
        <v>780</v>
      </c>
      <c r="DM403" s="181">
        <f t="shared" si="346"/>
        <v>3267264.0000000005</v>
      </c>
      <c r="DN403" s="446">
        <f t="shared" si="347"/>
        <v>0.10000000000000016</v>
      </c>
      <c r="DO403" s="160">
        <f t="shared" si="348"/>
        <v>2970240</v>
      </c>
      <c r="DP403" s="159">
        <v>45954</v>
      </c>
      <c r="DQ403" s="152">
        <f>SUMIF($I:$I,I403,$DJ:$DJ)</f>
        <v>3808</v>
      </c>
      <c r="DR403" s="152">
        <f>SUMIF($I:$I,I403,$DK:$DK)</f>
        <v>0</v>
      </c>
      <c r="EO403" s="152">
        <f>SUMIF($I:$I,I403,$EC:$EC)</f>
        <v>0</v>
      </c>
      <c r="EP403" s="151">
        <f>SUMIF($I:$I,I403,$ED:$ED)</f>
        <v>0</v>
      </c>
      <c r="EQ403" s="153"/>
      <c r="ER403" s="153"/>
      <c r="ES403" s="153"/>
      <c r="ET403" s="153"/>
      <c r="EU403" s="152">
        <f t="shared" si="356"/>
        <v>3808</v>
      </c>
      <c r="EV403" s="152">
        <f t="shared" si="357"/>
        <v>0</v>
      </c>
      <c r="EW403" s="152">
        <f t="shared" si="358"/>
        <v>0</v>
      </c>
      <c r="EX403" s="152">
        <f t="shared" si="359"/>
        <v>0</v>
      </c>
      <c r="EY403" s="151" t="str">
        <f t="shared" si="360"/>
        <v>Đủ</v>
      </c>
    </row>
    <row r="404" spans="1:155" s="155" customFormat="1" ht="14" hidden="1" customHeight="1">
      <c r="A404" s="208" t="str">
        <f t="shared" si="342"/>
        <v>Hiện</v>
      </c>
      <c r="B404" s="151" t="str">
        <f t="shared" si="343"/>
        <v>Đủ</v>
      </c>
      <c r="C404" s="409">
        <f t="shared" si="341"/>
        <v>0</v>
      </c>
      <c r="D404" s="154"/>
      <c r="E404" s="154">
        <f>C404*DL404*1.1</f>
        <v>0</v>
      </c>
      <c r="F404" s="154"/>
      <c r="G404" s="151"/>
      <c r="H404" s="364"/>
      <c r="I404" s="171" t="s">
        <v>941</v>
      </c>
      <c r="J404" s="164" t="s">
        <v>922</v>
      </c>
      <c r="K404" s="171" t="s">
        <v>942</v>
      </c>
      <c r="L404" s="171" t="s">
        <v>943</v>
      </c>
      <c r="M404" s="163" t="s">
        <v>345</v>
      </c>
      <c r="N404" s="173">
        <v>0</v>
      </c>
      <c r="O404" s="419">
        <v>200</v>
      </c>
      <c r="P404" s="205"/>
      <c r="S404" s="161"/>
      <c r="T404" s="162"/>
      <c r="U404" s="162"/>
      <c r="V404" s="162"/>
      <c r="W404" s="162"/>
      <c r="X404" s="162"/>
      <c r="Y404" s="162"/>
      <c r="Z404" s="162"/>
      <c r="AA404" s="162"/>
      <c r="AB404" s="162"/>
      <c r="AC404" s="162"/>
      <c r="AD404" s="162"/>
      <c r="AE404" s="162"/>
      <c r="AF404" s="162"/>
      <c r="AG404" s="162"/>
      <c r="AH404" s="162"/>
      <c r="AI404" s="162"/>
      <c r="AJ404" s="162"/>
      <c r="AK404" s="162">
        <v>210</v>
      </c>
      <c r="AL404" s="162">
        <v>0</v>
      </c>
      <c r="AM404" s="162"/>
      <c r="AN404" s="162"/>
      <c r="AO404" s="162">
        <v>0</v>
      </c>
      <c r="AP404" s="162">
        <v>0</v>
      </c>
      <c r="AQ404" s="162">
        <v>0</v>
      </c>
      <c r="AR404" s="162">
        <v>0</v>
      </c>
      <c r="AS404" s="162">
        <v>0</v>
      </c>
      <c r="AT404" s="162">
        <v>0</v>
      </c>
      <c r="AU404" s="162">
        <v>0</v>
      </c>
      <c r="AV404" s="162">
        <v>0</v>
      </c>
      <c r="AW404" s="162">
        <v>0</v>
      </c>
      <c r="AX404" s="162">
        <v>0</v>
      </c>
      <c r="AY404" s="162">
        <v>0</v>
      </c>
      <c r="AZ404" s="162">
        <v>0</v>
      </c>
      <c r="BA404" s="162"/>
      <c r="BB404" s="162"/>
      <c r="BC404" s="162">
        <v>0</v>
      </c>
      <c r="BD404" s="162">
        <v>0</v>
      </c>
      <c r="BE404" s="162">
        <v>0</v>
      </c>
      <c r="BF404" s="162">
        <v>0</v>
      </c>
      <c r="BG404" s="162">
        <v>0</v>
      </c>
      <c r="BH404" s="162">
        <v>0</v>
      </c>
      <c r="BI404" s="162">
        <v>0</v>
      </c>
      <c r="BJ404" s="162">
        <v>0</v>
      </c>
      <c r="BK404" s="162">
        <v>0</v>
      </c>
      <c r="BL404" s="162">
        <v>0</v>
      </c>
      <c r="BM404" s="162">
        <v>0</v>
      </c>
      <c r="BN404" s="162">
        <v>0</v>
      </c>
      <c r="BO404" s="162"/>
      <c r="BP404" s="162"/>
      <c r="BQ404" s="162">
        <v>0</v>
      </c>
      <c r="BR404" s="162">
        <v>0</v>
      </c>
      <c r="BS404" s="162">
        <v>0</v>
      </c>
      <c r="BT404" s="162">
        <v>0</v>
      </c>
      <c r="BU404" s="162">
        <v>0</v>
      </c>
      <c r="BV404" s="162">
        <v>0</v>
      </c>
      <c r="BW404" s="162"/>
      <c r="BX404" s="162"/>
      <c r="BY404" s="162">
        <v>0</v>
      </c>
      <c r="BZ404" s="162">
        <v>0</v>
      </c>
      <c r="CA404" s="162">
        <v>0</v>
      </c>
      <c r="CB404" s="162">
        <v>0</v>
      </c>
      <c r="CC404" s="162">
        <v>0</v>
      </c>
      <c r="CD404" s="162">
        <v>0</v>
      </c>
      <c r="CE404" s="162">
        <f>VLOOKUP(I404,[120]REV33!$A:$O,11,0)</f>
        <v>0</v>
      </c>
      <c r="CF404" s="162">
        <f>VLOOKUP(I404,[120]REV33!$A:$O,12,0)</f>
        <v>0</v>
      </c>
      <c r="CG404" s="162"/>
      <c r="CH404" s="162"/>
      <c r="CI404" s="162"/>
      <c r="CJ404" s="162"/>
      <c r="CK404" s="162"/>
      <c r="CL404" s="162"/>
      <c r="CM404" s="162"/>
      <c r="CN404" s="162"/>
      <c r="CO404" s="162">
        <v>0</v>
      </c>
      <c r="CP404" s="162">
        <v>0</v>
      </c>
      <c r="CQ404" s="162">
        <v>0</v>
      </c>
      <c r="CR404" s="162">
        <v>0</v>
      </c>
      <c r="CS404" s="209">
        <f>Q404+S404+U404+W404+Y404+AA404+AC404+AE404+AG404+AI404+AK404+AM404+AO404+AQ404+AS404+AU404+AW404+AY404+BA404+BC404+BE404+BG404+BI404+BK404+BM404+BO404+BQ404+BS404+BU404+BW404+BY404+CA404+CC404+CE404+CG404+CI404+CK404+CM404+CO404+CQ404</f>
        <v>210</v>
      </c>
      <c r="CT404" s="209">
        <f>R404+T404+V404+X404+Z404+AB404+AD404+AF404+AH404+AJ404+AL404+AN404+AP404+AR404+AT404+AV404+AX404+AZ404+BB404+BD404+BF404+BH404+BJ404+BL404+BN404+BP404+BR404+BT404+BV404+BX404+BZ404+CB404+CD404+CF404+CH404+CJ404+CL404+CN404+CP404+CR404</f>
        <v>0</v>
      </c>
      <c r="CU404" s="206" t="s">
        <v>1000</v>
      </c>
      <c r="CV404" s="156"/>
      <c r="CZ404" s="157"/>
      <c r="DA404" s="152">
        <f t="shared" si="354"/>
        <v>210</v>
      </c>
      <c r="DB404" s="152" t="str">
        <f t="shared" si="355"/>
        <v>0</v>
      </c>
      <c r="DC404" s="153"/>
      <c r="DD404" s="158" t="s">
        <v>2212</v>
      </c>
      <c r="DE404" s="156" t="s">
        <v>435</v>
      </c>
      <c r="DF404" s="174" t="s">
        <v>1273</v>
      </c>
      <c r="DG404" s="175" t="s">
        <v>1272</v>
      </c>
      <c r="DH404" s="240" t="s">
        <v>477</v>
      </c>
      <c r="DI404" s="187">
        <v>45940</v>
      </c>
      <c r="DJ404" s="429">
        <v>210</v>
      </c>
      <c r="DK404" s="240" t="s">
        <v>477</v>
      </c>
      <c r="DL404" s="189">
        <v>780</v>
      </c>
      <c r="DM404" s="181">
        <f t="shared" si="346"/>
        <v>180180</v>
      </c>
      <c r="DN404" s="446">
        <f t="shared" si="347"/>
        <v>0.1</v>
      </c>
      <c r="DO404" s="160">
        <f t="shared" si="348"/>
        <v>163800</v>
      </c>
      <c r="DP404" s="159">
        <v>45954</v>
      </c>
      <c r="DQ404" s="152">
        <f>SUMIF($I:$I,I404,$DJ:$DJ)</f>
        <v>210</v>
      </c>
      <c r="DR404" s="152">
        <f>SUMIF($I:$I,I404,$DK:$DK)</f>
        <v>0</v>
      </c>
      <c r="EO404" s="152">
        <f>SUMIF($I:$I,I404,$EC:$EC)</f>
        <v>0</v>
      </c>
      <c r="EP404" s="151">
        <f>SUMIF($I:$I,I404,$ED:$ED)</f>
        <v>0</v>
      </c>
      <c r="EQ404" s="153"/>
      <c r="ER404" s="153"/>
      <c r="ES404" s="153"/>
      <c r="ET404" s="153"/>
      <c r="EU404" s="152">
        <f t="shared" si="356"/>
        <v>210</v>
      </c>
      <c r="EV404" s="152">
        <f t="shared" si="357"/>
        <v>0</v>
      </c>
      <c r="EW404" s="152">
        <f t="shared" si="358"/>
        <v>0</v>
      </c>
      <c r="EX404" s="152">
        <f t="shared" si="359"/>
        <v>0</v>
      </c>
      <c r="EY404" s="151" t="str">
        <f t="shared" si="360"/>
        <v>Đủ</v>
      </c>
    </row>
    <row r="405" spans="1:155" s="155" customFormat="1" ht="14" hidden="1" customHeight="1">
      <c r="A405" s="208" t="str">
        <f t="shared" si="342"/>
        <v>Hiện</v>
      </c>
      <c r="B405" s="151" t="str">
        <f t="shared" si="343"/>
        <v>Đủ</v>
      </c>
      <c r="C405" s="409">
        <f t="shared" si="341"/>
        <v>0</v>
      </c>
      <c r="D405" s="154"/>
      <c r="E405" s="154">
        <f>C405*DL405*1.1</f>
        <v>0</v>
      </c>
      <c r="F405" s="154"/>
      <c r="G405" s="151"/>
      <c r="H405" s="364"/>
      <c r="I405" s="171" t="s">
        <v>944</v>
      </c>
      <c r="J405" s="164" t="s">
        <v>922</v>
      </c>
      <c r="K405" s="171" t="s">
        <v>945</v>
      </c>
      <c r="L405" s="171" t="s">
        <v>838</v>
      </c>
      <c r="M405" s="163" t="s">
        <v>345</v>
      </c>
      <c r="N405" s="173">
        <v>0</v>
      </c>
      <c r="O405" s="419">
        <v>32</v>
      </c>
      <c r="P405" s="205"/>
      <c r="S405" s="161"/>
      <c r="T405" s="162"/>
      <c r="U405" s="162"/>
      <c r="V405" s="162"/>
      <c r="W405" s="162"/>
      <c r="X405" s="162"/>
      <c r="Y405" s="162"/>
      <c r="Z405" s="162"/>
      <c r="AA405" s="162"/>
      <c r="AB405" s="162"/>
      <c r="AC405" s="162"/>
      <c r="AD405" s="162"/>
      <c r="AE405" s="162"/>
      <c r="AF405" s="162"/>
      <c r="AG405" s="162"/>
      <c r="AH405" s="162"/>
      <c r="AI405" s="162"/>
      <c r="AJ405" s="162"/>
      <c r="AK405" s="162">
        <v>36</v>
      </c>
      <c r="AL405" s="162">
        <v>0</v>
      </c>
      <c r="AM405" s="162"/>
      <c r="AN405" s="162"/>
      <c r="AO405" s="162">
        <v>0</v>
      </c>
      <c r="AP405" s="162">
        <v>0</v>
      </c>
      <c r="AQ405" s="162">
        <v>0</v>
      </c>
      <c r="AR405" s="162">
        <v>0</v>
      </c>
      <c r="AS405" s="162">
        <v>0</v>
      </c>
      <c r="AT405" s="162">
        <v>0</v>
      </c>
      <c r="AU405" s="162">
        <v>0</v>
      </c>
      <c r="AV405" s="162">
        <v>0</v>
      </c>
      <c r="AW405" s="162">
        <v>0</v>
      </c>
      <c r="AX405" s="162">
        <v>0</v>
      </c>
      <c r="AY405" s="162">
        <v>0</v>
      </c>
      <c r="AZ405" s="162">
        <v>0</v>
      </c>
      <c r="BA405" s="162"/>
      <c r="BB405" s="162"/>
      <c r="BC405" s="162">
        <v>0</v>
      </c>
      <c r="BD405" s="162">
        <v>0</v>
      </c>
      <c r="BE405" s="162">
        <v>0</v>
      </c>
      <c r="BF405" s="162">
        <v>0</v>
      </c>
      <c r="BG405" s="162">
        <v>0</v>
      </c>
      <c r="BH405" s="162">
        <v>0</v>
      </c>
      <c r="BI405" s="162">
        <v>0</v>
      </c>
      <c r="BJ405" s="162">
        <v>0</v>
      </c>
      <c r="BK405" s="162">
        <v>0</v>
      </c>
      <c r="BL405" s="162">
        <v>0</v>
      </c>
      <c r="BM405" s="162">
        <v>0</v>
      </c>
      <c r="BN405" s="162">
        <v>0</v>
      </c>
      <c r="BO405" s="162"/>
      <c r="BP405" s="162"/>
      <c r="BQ405" s="162">
        <v>0</v>
      </c>
      <c r="BR405" s="162">
        <v>0</v>
      </c>
      <c r="BS405" s="162">
        <v>0</v>
      </c>
      <c r="BT405" s="162">
        <v>0</v>
      </c>
      <c r="BU405" s="162">
        <v>0</v>
      </c>
      <c r="BV405" s="162">
        <v>0</v>
      </c>
      <c r="BW405" s="162"/>
      <c r="BX405" s="162"/>
      <c r="BY405" s="162">
        <v>0</v>
      </c>
      <c r="BZ405" s="162">
        <v>0</v>
      </c>
      <c r="CA405" s="162">
        <v>0</v>
      </c>
      <c r="CB405" s="162">
        <v>0</v>
      </c>
      <c r="CC405" s="162">
        <v>0</v>
      </c>
      <c r="CD405" s="162">
        <v>0</v>
      </c>
      <c r="CE405" s="162">
        <f>VLOOKUP(I405,[120]REV33!$A:$O,11,0)</f>
        <v>0</v>
      </c>
      <c r="CF405" s="162">
        <f>VLOOKUP(I405,[120]REV33!$A:$O,12,0)</f>
        <v>0</v>
      </c>
      <c r="CG405" s="162"/>
      <c r="CH405" s="162"/>
      <c r="CI405" s="162"/>
      <c r="CJ405" s="162"/>
      <c r="CK405" s="162"/>
      <c r="CL405" s="162"/>
      <c r="CM405" s="162"/>
      <c r="CN405" s="162"/>
      <c r="CO405" s="162">
        <v>0</v>
      </c>
      <c r="CP405" s="162">
        <v>0</v>
      </c>
      <c r="CQ405" s="162">
        <v>0</v>
      </c>
      <c r="CR405" s="162">
        <v>0</v>
      </c>
      <c r="CS405" s="209">
        <f>Q405+S405+U405+W405+Y405+AA405+AC405+AE405+AG405+AI405+AK405+AM405+AO405+AQ405+AS405+AU405+AW405+AY405+BA405+BC405+BE405+BG405+BI405+BK405+BM405+BO405+BQ405+BS405+BU405+BW405+BY405+CA405+CC405+CE405+CG405+CI405+CK405+CM405+CO405+CQ405</f>
        <v>36</v>
      </c>
      <c r="CT405" s="209">
        <f>R405+T405+V405+X405+Z405+AB405+AD405+AF405+AH405+AJ405+AL405+AN405+AP405+AR405+AT405+AV405+AX405+AZ405+BB405+BD405+BF405+BH405+BJ405+BL405+BN405+BP405+BR405+BT405+BV405+BX405+BZ405+CB405+CD405+CF405+CH405+CJ405+CL405+CN405+CP405+CR405</f>
        <v>0</v>
      </c>
      <c r="CU405" s="206" t="s">
        <v>1000</v>
      </c>
      <c r="CV405" s="156"/>
      <c r="CZ405" s="157"/>
      <c r="DA405" s="152">
        <f t="shared" si="354"/>
        <v>36</v>
      </c>
      <c r="DB405" s="152" t="str">
        <f t="shared" si="355"/>
        <v>0</v>
      </c>
      <c r="DC405" s="153"/>
      <c r="DD405" s="158" t="s">
        <v>2212</v>
      </c>
      <c r="DE405" s="156" t="s">
        <v>435</v>
      </c>
      <c r="DF405" s="174" t="s">
        <v>1273</v>
      </c>
      <c r="DG405" s="175" t="s">
        <v>1272</v>
      </c>
      <c r="DH405" s="240" t="s">
        <v>477</v>
      </c>
      <c r="DI405" s="187">
        <v>45940</v>
      </c>
      <c r="DJ405" s="429">
        <v>36</v>
      </c>
      <c r="DK405" s="240" t="s">
        <v>477</v>
      </c>
      <c r="DL405" s="189">
        <v>780</v>
      </c>
      <c r="DM405" s="181">
        <f t="shared" si="346"/>
        <v>30888.000000000004</v>
      </c>
      <c r="DN405" s="446">
        <f t="shared" si="347"/>
        <v>0.10000000000000013</v>
      </c>
      <c r="DO405" s="160">
        <f t="shared" si="348"/>
        <v>28080</v>
      </c>
      <c r="DP405" s="159">
        <v>45954</v>
      </c>
      <c r="DQ405" s="152">
        <f>SUMIF($I:$I,I405,$DJ:$DJ)</f>
        <v>36</v>
      </c>
      <c r="DR405" s="152">
        <f>SUMIF($I:$I,I405,$DK:$DK)</f>
        <v>0</v>
      </c>
      <c r="EO405" s="152">
        <f>SUMIF($I:$I,I405,$EC:$EC)</f>
        <v>0</v>
      </c>
      <c r="EP405" s="151">
        <f>SUMIF($I:$I,I405,$ED:$ED)</f>
        <v>0</v>
      </c>
      <c r="EQ405" s="153"/>
      <c r="ER405" s="153"/>
      <c r="ES405" s="153"/>
      <c r="ET405" s="153"/>
      <c r="EU405" s="152">
        <f t="shared" si="356"/>
        <v>36</v>
      </c>
      <c r="EV405" s="152">
        <f t="shared" si="357"/>
        <v>0</v>
      </c>
      <c r="EW405" s="152">
        <f t="shared" si="358"/>
        <v>0</v>
      </c>
      <c r="EX405" s="152">
        <f t="shared" si="359"/>
        <v>0</v>
      </c>
      <c r="EY405" s="151" t="str">
        <f t="shared" si="360"/>
        <v>Đủ</v>
      </c>
    </row>
    <row r="406" spans="1:155" s="155" customFormat="1" ht="14" hidden="1" customHeight="1">
      <c r="A406" s="208" t="str">
        <f t="shared" si="342"/>
        <v>Hiện</v>
      </c>
      <c r="B406" s="151" t="str">
        <f t="shared" si="343"/>
        <v>Đủ</v>
      </c>
      <c r="C406" s="409">
        <f t="shared" si="341"/>
        <v>0</v>
      </c>
      <c r="D406" s="154"/>
      <c r="E406" s="154">
        <f>C406*DL406*1.1</f>
        <v>0</v>
      </c>
      <c r="F406" s="154"/>
      <c r="G406" s="151"/>
      <c r="H406" s="364"/>
      <c r="I406" s="171" t="s">
        <v>946</v>
      </c>
      <c r="J406" s="164" t="s">
        <v>922</v>
      </c>
      <c r="K406" s="171" t="s">
        <v>947</v>
      </c>
      <c r="L406" s="171" t="s">
        <v>943</v>
      </c>
      <c r="M406" s="163" t="s">
        <v>345</v>
      </c>
      <c r="N406" s="173">
        <v>0</v>
      </c>
      <c r="O406" s="419">
        <v>40</v>
      </c>
      <c r="P406" s="205"/>
      <c r="S406" s="161"/>
      <c r="T406" s="162"/>
      <c r="U406" s="162"/>
      <c r="V406" s="162"/>
      <c r="W406" s="162"/>
      <c r="X406" s="162"/>
      <c r="Y406" s="162"/>
      <c r="Z406" s="162"/>
      <c r="AA406" s="162"/>
      <c r="AB406" s="162"/>
      <c r="AC406" s="162"/>
      <c r="AD406" s="162"/>
      <c r="AE406" s="162"/>
      <c r="AF406" s="162"/>
      <c r="AG406" s="162"/>
      <c r="AH406" s="162"/>
      <c r="AI406" s="162"/>
      <c r="AJ406" s="162"/>
      <c r="AK406" s="162">
        <v>50</v>
      </c>
      <c r="AL406" s="162">
        <v>0</v>
      </c>
      <c r="AM406" s="162"/>
      <c r="AN406" s="162"/>
      <c r="AO406" s="162">
        <v>0</v>
      </c>
      <c r="AP406" s="162">
        <v>0</v>
      </c>
      <c r="AQ406" s="162">
        <v>0</v>
      </c>
      <c r="AR406" s="162">
        <v>0</v>
      </c>
      <c r="AS406" s="162">
        <v>0</v>
      </c>
      <c r="AT406" s="162">
        <v>0</v>
      </c>
      <c r="AU406" s="162">
        <v>0</v>
      </c>
      <c r="AV406" s="162">
        <v>0</v>
      </c>
      <c r="AW406" s="162">
        <v>0</v>
      </c>
      <c r="AX406" s="162">
        <v>0</v>
      </c>
      <c r="AY406" s="162">
        <v>0</v>
      </c>
      <c r="AZ406" s="162">
        <v>0</v>
      </c>
      <c r="BA406" s="162"/>
      <c r="BB406" s="162"/>
      <c r="BC406" s="162">
        <v>0</v>
      </c>
      <c r="BD406" s="162">
        <v>0</v>
      </c>
      <c r="BE406" s="162">
        <v>0</v>
      </c>
      <c r="BF406" s="162">
        <v>0</v>
      </c>
      <c r="BG406" s="162">
        <v>0</v>
      </c>
      <c r="BH406" s="162">
        <v>0</v>
      </c>
      <c r="BI406" s="162">
        <v>0</v>
      </c>
      <c r="BJ406" s="162">
        <v>0</v>
      </c>
      <c r="BK406" s="162">
        <v>0</v>
      </c>
      <c r="BL406" s="162">
        <v>0</v>
      </c>
      <c r="BM406" s="162">
        <v>0</v>
      </c>
      <c r="BN406" s="162">
        <v>0</v>
      </c>
      <c r="BO406" s="162"/>
      <c r="BP406" s="162"/>
      <c r="BQ406" s="162">
        <v>0</v>
      </c>
      <c r="BR406" s="162">
        <v>0</v>
      </c>
      <c r="BS406" s="162">
        <v>0</v>
      </c>
      <c r="BT406" s="162">
        <v>0</v>
      </c>
      <c r="BU406" s="162">
        <v>0</v>
      </c>
      <c r="BV406" s="162">
        <v>0</v>
      </c>
      <c r="BW406" s="162"/>
      <c r="BX406" s="162"/>
      <c r="BY406" s="162">
        <v>0</v>
      </c>
      <c r="BZ406" s="162">
        <v>0</v>
      </c>
      <c r="CA406" s="162">
        <v>0</v>
      </c>
      <c r="CB406" s="162">
        <v>0</v>
      </c>
      <c r="CC406" s="162">
        <v>0</v>
      </c>
      <c r="CD406" s="162">
        <v>0</v>
      </c>
      <c r="CE406" s="162">
        <f>VLOOKUP(I406,[120]REV33!$A:$O,11,0)</f>
        <v>0</v>
      </c>
      <c r="CF406" s="162">
        <f>VLOOKUP(I406,[120]REV33!$A:$O,12,0)</f>
        <v>0</v>
      </c>
      <c r="CG406" s="162"/>
      <c r="CH406" s="162"/>
      <c r="CI406" s="162"/>
      <c r="CJ406" s="162"/>
      <c r="CK406" s="162"/>
      <c r="CL406" s="162"/>
      <c r="CM406" s="162"/>
      <c r="CN406" s="162"/>
      <c r="CO406" s="162">
        <v>0</v>
      </c>
      <c r="CP406" s="162">
        <v>0</v>
      </c>
      <c r="CQ406" s="162">
        <v>0</v>
      </c>
      <c r="CR406" s="162">
        <v>0</v>
      </c>
      <c r="CS406" s="209">
        <f>Q406+S406+U406+W406+Y406+AA406+AC406+AE406+AG406+AI406+AK406+AM406+AO406+AQ406+AS406+AU406+AW406+AY406+BA406+BC406+BE406+BG406+BI406+BK406+BM406+BO406+BQ406+BS406+BU406+BW406+BY406+CA406+CC406+CE406+CG406+CI406+CK406+CM406+CO406+CQ406</f>
        <v>50</v>
      </c>
      <c r="CT406" s="209">
        <f>R406+T406+V406+X406+Z406+AB406+AD406+AF406+AH406+AJ406+AL406+AN406+AP406+AR406+AT406+AV406+AX406+AZ406+BB406+BD406+BF406+BH406+BJ406+BL406+BN406+BP406+BR406+BT406+BV406+BX406+BZ406+CB406+CD406+CF406+CH406+CJ406+CL406+CN406+CP406+CR406</f>
        <v>0</v>
      </c>
      <c r="CU406" s="206" t="s">
        <v>1000</v>
      </c>
      <c r="CV406" s="156"/>
      <c r="CZ406" s="157"/>
      <c r="DA406" s="152">
        <f t="shared" si="354"/>
        <v>50</v>
      </c>
      <c r="DB406" s="152" t="str">
        <f t="shared" si="355"/>
        <v>0</v>
      </c>
      <c r="DC406" s="153"/>
      <c r="DD406" s="158" t="s">
        <v>2212</v>
      </c>
      <c r="DE406" s="156" t="s">
        <v>435</v>
      </c>
      <c r="DF406" s="174" t="s">
        <v>1274</v>
      </c>
      <c r="DG406" s="175" t="s">
        <v>1275</v>
      </c>
      <c r="DH406" s="240" t="s">
        <v>477</v>
      </c>
      <c r="DI406" s="187">
        <v>45940</v>
      </c>
      <c r="DJ406" s="429">
        <v>50</v>
      </c>
      <c r="DK406" s="240" t="s">
        <v>477</v>
      </c>
      <c r="DL406" s="189">
        <v>5550</v>
      </c>
      <c r="DM406" s="181">
        <f t="shared" si="346"/>
        <v>305250</v>
      </c>
      <c r="DN406" s="446">
        <f t="shared" si="347"/>
        <v>0.1</v>
      </c>
      <c r="DO406" s="160">
        <f t="shared" si="348"/>
        <v>277500</v>
      </c>
      <c r="DP406" s="159">
        <v>45954</v>
      </c>
      <c r="DQ406" s="152">
        <f>SUMIF($I:$I,I406,$DJ:$DJ)</f>
        <v>50</v>
      </c>
      <c r="DR406" s="152">
        <f>SUMIF($I:$I,I406,$DK:$DK)</f>
        <v>0</v>
      </c>
      <c r="EO406" s="152">
        <f>SUMIF($I:$I,I406,$EC:$EC)</f>
        <v>0</v>
      </c>
      <c r="EP406" s="151">
        <f>SUMIF($I:$I,I406,$ED:$ED)</f>
        <v>0</v>
      </c>
      <c r="EQ406" s="153"/>
      <c r="ER406" s="153"/>
      <c r="ES406" s="153"/>
      <c r="ET406" s="153"/>
      <c r="EU406" s="152">
        <f t="shared" si="356"/>
        <v>50</v>
      </c>
      <c r="EV406" s="152">
        <f t="shared" si="357"/>
        <v>0</v>
      </c>
      <c r="EW406" s="152">
        <f t="shared" si="358"/>
        <v>0</v>
      </c>
      <c r="EX406" s="152">
        <f t="shared" si="359"/>
        <v>0</v>
      </c>
      <c r="EY406" s="151" t="str">
        <f t="shared" si="360"/>
        <v>Đủ</v>
      </c>
    </row>
    <row r="407" spans="1:155" s="155" customFormat="1" ht="14" hidden="1" customHeight="1">
      <c r="A407" s="208" t="str">
        <f t="shared" si="342"/>
        <v>Hiện</v>
      </c>
      <c r="B407" s="151" t="str">
        <f t="shared" si="343"/>
        <v>Đủ</v>
      </c>
      <c r="C407" s="409">
        <f t="shared" si="341"/>
        <v>0</v>
      </c>
      <c r="D407" s="154"/>
      <c r="E407" s="154">
        <f>C407*DL407*1.1</f>
        <v>0</v>
      </c>
      <c r="F407" s="154"/>
      <c r="G407" s="151"/>
      <c r="H407" s="364"/>
      <c r="I407" s="171" t="s">
        <v>948</v>
      </c>
      <c r="J407" s="164" t="s">
        <v>922</v>
      </c>
      <c r="K407" s="171" t="s">
        <v>949</v>
      </c>
      <c r="L407" s="171" t="s">
        <v>950</v>
      </c>
      <c r="M407" s="163" t="s">
        <v>345</v>
      </c>
      <c r="N407" s="173">
        <v>0</v>
      </c>
      <c r="O407" s="419">
        <v>32</v>
      </c>
      <c r="P407" s="205"/>
      <c r="S407" s="161"/>
      <c r="T407" s="162"/>
      <c r="U407" s="162"/>
      <c r="V407" s="162"/>
      <c r="W407" s="162"/>
      <c r="X407" s="162"/>
      <c r="Y407" s="162"/>
      <c r="Z407" s="162"/>
      <c r="AA407" s="162"/>
      <c r="AB407" s="162"/>
      <c r="AC407" s="162"/>
      <c r="AD407" s="162"/>
      <c r="AE407" s="162"/>
      <c r="AF407" s="162"/>
      <c r="AG407" s="162"/>
      <c r="AH407" s="162"/>
      <c r="AI407" s="162"/>
      <c r="AJ407" s="162"/>
      <c r="AK407" s="162">
        <v>36</v>
      </c>
      <c r="AL407" s="162">
        <v>0</v>
      </c>
      <c r="AM407" s="162"/>
      <c r="AN407" s="162"/>
      <c r="AO407" s="162">
        <v>0</v>
      </c>
      <c r="AP407" s="162">
        <v>0</v>
      </c>
      <c r="AQ407" s="162">
        <v>0</v>
      </c>
      <c r="AR407" s="162">
        <v>0</v>
      </c>
      <c r="AS407" s="162">
        <v>0</v>
      </c>
      <c r="AT407" s="162">
        <v>0</v>
      </c>
      <c r="AU407" s="162">
        <v>0</v>
      </c>
      <c r="AV407" s="162">
        <v>0</v>
      </c>
      <c r="AW407" s="162">
        <v>0</v>
      </c>
      <c r="AX407" s="162">
        <v>0</v>
      </c>
      <c r="AY407" s="162">
        <v>0</v>
      </c>
      <c r="AZ407" s="162">
        <v>0</v>
      </c>
      <c r="BA407" s="162"/>
      <c r="BB407" s="162"/>
      <c r="BC407" s="162">
        <v>0</v>
      </c>
      <c r="BD407" s="162">
        <v>0</v>
      </c>
      <c r="BE407" s="162">
        <v>0</v>
      </c>
      <c r="BF407" s="162">
        <v>0</v>
      </c>
      <c r="BG407" s="162">
        <v>0</v>
      </c>
      <c r="BH407" s="162">
        <v>0</v>
      </c>
      <c r="BI407" s="162">
        <v>0</v>
      </c>
      <c r="BJ407" s="162">
        <v>0</v>
      </c>
      <c r="BK407" s="162">
        <v>0</v>
      </c>
      <c r="BL407" s="162">
        <v>0</v>
      </c>
      <c r="BM407" s="162">
        <v>0</v>
      </c>
      <c r="BN407" s="162">
        <v>0</v>
      </c>
      <c r="BO407" s="162"/>
      <c r="BP407" s="162"/>
      <c r="BQ407" s="162">
        <v>0</v>
      </c>
      <c r="BR407" s="162">
        <v>0</v>
      </c>
      <c r="BS407" s="162">
        <v>0</v>
      </c>
      <c r="BT407" s="162">
        <v>0</v>
      </c>
      <c r="BU407" s="162">
        <v>0</v>
      </c>
      <c r="BV407" s="162">
        <v>0</v>
      </c>
      <c r="BW407" s="162"/>
      <c r="BX407" s="162"/>
      <c r="BY407" s="162">
        <v>0</v>
      </c>
      <c r="BZ407" s="162">
        <v>0</v>
      </c>
      <c r="CA407" s="162">
        <v>0</v>
      </c>
      <c r="CB407" s="162">
        <v>0</v>
      </c>
      <c r="CC407" s="162">
        <v>0</v>
      </c>
      <c r="CD407" s="162">
        <v>0</v>
      </c>
      <c r="CE407" s="162">
        <f>VLOOKUP(I407,[120]REV33!$A:$O,11,0)</f>
        <v>0</v>
      </c>
      <c r="CF407" s="162">
        <f>VLOOKUP(I407,[120]REV33!$A:$O,12,0)</f>
        <v>0</v>
      </c>
      <c r="CG407" s="162"/>
      <c r="CH407" s="162"/>
      <c r="CI407" s="162"/>
      <c r="CJ407" s="162"/>
      <c r="CK407" s="162"/>
      <c r="CL407" s="162"/>
      <c r="CM407" s="162"/>
      <c r="CN407" s="162"/>
      <c r="CO407" s="162">
        <v>0</v>
      </c>
      <c r="CP407" s="162">
        <v>0</v>
      </c>
      <c r="CQ407" s="162">
        <v>0</v>
      </c>
      <c r="CR407" s="162">
        <v>0</v>
      </c>
      <c r="CS407" s="209">
        <f>Q407+S407+U407+W407+Y407+AA407+AC407+AE407+AG407+AI407+AK407+AM407+AO407+AQ407+AS407+AU407+AW407+AY407+BA407+BC407+BE407+BG407+BI407+BK407+BM407+BO407+BQ407+BS407+BU407+BW407+BY407+CA407+CC407+CE407+CG407+CI407+CK407+CM407+CO407+CQ407</f>
        <v>36</v>
      </c>
      <c r="CT407" s="209">
        <f>R407+T407+V407+X407+Z407+AB407+AD407+AF407+AH407+AJ407+AL407+AN407+AP407+AR407+AT407+AV407+AX407+AZ407+BB407+BD407+BF407+BH407+BJ407+BL407+BN407+BP407+BR407+BT407+BV407+BX407+BZ407+CB407+CD407+CF407+CH407+CJ407+CL407+CN407+CP407+CR407</f>
        <v>0</v>
      </c>
      <c r="CU407" s="206" t="s">
        <v>1000</v>
      </c>
      <c r="CV407" s="156"/>
      <c r="CZ407" s="157"/>
      <c r="DA407" s="152">
        <f t="shared" si="354"/>
        <v>36</v>
      </c>
      <c r="DB407" s="152" t="str">
        <f t="shared" si="355"/>
        <v>0</v>
      </c>
      <c r="DC407" s="153"/>
      <c r="DD407" s="158" t="s">
        <v>2212</v>
      </c>
      <c r="DE407" s="156" t="s">
        <v>435</v>
      </c>
      <c r="DF407" s="174" t="s">
        <v>1276</v>
      </c>
      <c r="DG407" s="175" t="s">
        <v>1270</v>
      </c>
      <c r="DH407" s="240" t="s">
        <v>477</v>
      </c>
      <c r="DI407" s="187">
        <v>45940</v>
      </c>
      <c r="DJ407" s="429">
        <v>36</v>
      </c>
      <c r="DK407" s="240" t="s">
        <v>477</v>
      </c>
      <c r="DL407" s="189">
        <v>9420</v>
      </c>
      <c r="DM407" s="181">
        <f t="shared" si="346"/>
        <v>373032.00000000006</v>
      </c>
      <c r="DN407" s="446">
        <f t="shared" si="347"/>
        <v>0.10000000000000017</v>
      </c>
      <c r="DO407" s="160">
        <f t="shared" si="348"/>
        <v>339120</v>
      </c>
      <c r="DP407" s="159">
        <v>45954</v>
      </c>
      <c r="DQ407" s="152">
        <f>SUMIF($I:$I,I407,$DJ:$DJ)</f>
        <v>36</v>
      </c>
      <c r="DR407" s="152">
        <f>SUMIF($I:$I,I407,$DK:$DK)</f>
        <v>0</v>
      </c>
      <c r="EO407" s="152">
        <f>SUMIF($I:$I,I407,$EC:$EC)</f>
        <v>0</v>
      </c>
      <c r="EP407" s="151">
        <f>SUMIF($I:$I,I407,$ED:$ED)</f>
        <v>0</v>
      </c>
      <c r="EQ407" s="153"/>
      <c r="ER407" s="153"/>
      <c r="ES407" s="153"/>
      <c r="ET407" s="153"/>
      <c r="EU407" s="152">
        <f t="shared" si="356"/>
        <v>36</v>
      </c>
      <c r="EV407" s="152">
        <f t="shared" si="357"/>
        <v>0</v>
      </c>
      <c r="EW407" s="152">
        <f t="shared" si="358"/>
        <v>0</v>
      </c>
      <c r="EX407" s="152">
        <f t="shared" si="359"/>
        <v>0</v>
      </c>
      <c r="EY407" s="151" t="str">
        <f t="shared" si="360"/>
        <v>Đủ</v>
      </c>
    </row>
    <row r="408" spans="1:155" s="155" customFormat="1" ht="14" hidden="1" customHeight="1">
      <c r="A408" s="208" t="str">
        <f t="shared" si="342"/>
        <v>Hiện</v>
      </c>
      <c r="B408" s="151" t="str">
        <f t="shared" si="343"/>
        <v>Đủ</v>
      </c>
      <c r="C408" s="409">
        <f t="shared" si="341"/>
        <v>0</v>
      </c>
      <c r="D408" s="154"/>
      <c r="E408" s="154">
        <f>C408*DL408*1.1</f>
        <v>0</v>
      </c>
      <c r="F408" s="154"/>
      <c r="G408" s="151"/>
      <c r="H408" s="364"/>
      <c r="I408" s="171" t="s">
        <v>951</v>
      </c>
      <c r="J408" s="164" t="s">
        <v>922</v>
      </c>
      <c r="K408" s="171" t="s">
        <v>952</v>
      </c>
      <c r="L408" s="171" t="s">
        <v>938</v>
      </c>
      <c r="M408" s="163" t="s">
        <v>345</v>
      </c>
      <c r="N408" s="173">
        <v>0</v>
      </c>
      <c r="O408" s="419">
        <v>8484</v>
      </c>
      <c r="P408" s="205"/>
      <c r="S408" s="161"/>
      <c r="T408" s="162"/>
      <c r="U408" s="162"/>
      <c r="V408" s="162"/>
      <c r="W408" s="162"/>
      <c r="X408" s="162"/>
      <c r="Y408" s="162"/>
      <c r="Z408" s="162"/>
      <c r="AA408" s="162"/>
      <c r="AB408" s="162"/>
      <c r="AC408" s="162"/>
      <c r="AD408" s="162"/>
      <c r="AE408" s="162"/>
      <c r="AF408" s="162"/>
      <c r="AG408" s="162"/>
      <c r="AH408" s="162"/>
      <c r="AI408" s="162"/>
      <c r="AJ408" s="162"/>
      <c r="AK408" s="162">
        <v>8946</v>
      </c>
      <c r="AL408" s="162">
        <v>0</v>
      </c>
      <c r="AM408" s="162"/>
      <c r="AN408" s="162"/>
      <c r="AO408" s="162">
        <v>0</v>
      </c>
      <c r="AP408" s="162">
        <v>0</v>
      </c>
      <c r="AQ408" s="162">
        <v>0</v>
      </c>
      <c r="AR408" s="162">
        <v>0</v>
      </c>
      <c r="AS408" s="162">
        <v>0</v>
      </c>
      <c r="AT408" s="162">
        <v>0</v>
      </c>
      <c r="AU408" s="162">
        <v>0</v>
      </c>
      <c r="AV408" s="162">
        <v>0</v>
      </c>
      <c r="AW408" s="162">
        <v>0</v>
      </c>
      <c r="AX408" s="162">
        <v>0</v>
      </c>
      <c r="AY408" s="162">
        <v>0</v>
      </c>
      <c r="AZ408" s="162">
        <v>0</v>
      </c>
      <c r="BA408" s="162"/>
      <c r="BB408" s="162"/>
      <c r="BC408" s="162">
        <v>0</v>
      </c>
      <c r="BD408" s="162">
        <v>0</v>
      </c>
      <c r="BE408" s="162">
        <v>0</v>
      </c>
      <c r="BF408" s="162">
        <v>0</v>
      </c>
      <c r="BG408" s="162">
        <v>0</v>
      </c>
      <c r="BH408" s="162">
        <v>0</v>
      </c>
      <c r="BI408" s="162">
        <v>0</v>
      </c>
      <c r="BJ408" s="162">
        <v>0</v>
      </c>
      <c r="BK408" s="162">
        <v>0</v>
      </c>
      <c r="BL408" s="162">
        <v>0</v>
      </c>
      <c r="BM408" s="162">
        <v>0</v>
      </c>
      <c r="BN408" s="162">
        <v>0</v>
      </c>
      <c r="BO408" s="162"/>
      <c r="BP408" s="162"/>
      <c r="BQ408" s="162">
        <v>0</v>
      </c>
      <c r="BR408" s="162">
        <v>0</v>
      </c>
      <c r="BS408" s="162">
        <v>0</v>
      </c>
      <c r="BT408" s="162">
        <v>0</v>
      </c>
      <c r="BU408" s="162">
        <v>0</v>
      </c>
      <c r="BV408" s="162">
        <v>0</v>
      </c>
      <c r="BW408" s="162"/>
      <c r="BX408" s="162"/>
      <c r="BY408" s="162">
        <v>0</v>
      </c>
      <c r="BZ408" s="162">
        <v>0</v>
      </c>
      <c r="CA408" s="162">
        <v>0</v>
      </c>
      <c r="CB408" s="162">
        <v>0</v>
      </c>
      <c r="CC408" s="162">
        <v>0</v>
      </c>
      <c r="CD408" s="162">
        <v>0</v>
      </c>
      <c r="CE408" s="162">
        <f>VLOOKUP(I408,[120]REV33!$A:$O,11,0)</f>
        <v>0</v>
      </c>
      <c r="CF408" s="162">
        <f>VLOOKUP(I408,[120]REV33!$A:$O,12,0)</f>
        <v>0</v>
      </c>
      <c r="CG408" s="162"/>
      <c r="CH408" s="162"/>
      <c r="CI408" s="162"/>
      <c r="CJ408" s="162"/>
      <c r="CK408" s="162"/>
      <c r="CL408" s="162"/>
      <c r="CM408" s="162"/>
      <c r="CN408" s="162"/>
      <c r="CO408" s="162">
        <v>0</v>
      </c>
      <c r="CP408" s="162">
        <v>0</v>
      </c>
      <c r="CQ408" s="162">
        <v>0</v>
      </c>
      <c r="CR408" s="162">
        <v>0</v>
      </c>
      <c r="CS408" s="209">
        <f>Q408+S408+U408+W408+Y408+AA408+AC408+AE408+AG408+AI408+AK408+AM408+AO408+AQ408+AS408+AU408+AW408+AY408+BA408+BC408+BE408+BG408+BI408+BK408+BM408+BO408+BQ408+BS408+BU408+BW408+BY408+CA408+CC408+CE408+CG408+CI408+CK408+CM408+CO408+CQ408</f>
        <v>8946</v>
      </c>
      <c r="CT408" s="209">
        <f>R408+T408+V408+X408+Z408+AB408+AD408+AF408+AH408+AJ408+AL408+AN408+AP408+AR408+AT408+AV408+AX408+AZ408+BB408+BD408+BF408+BH408+BJ408+BL408+BN408+BP408+BR408+BT408+BV408+BX408+BZ408+CB408+CD408+CF408+CH408+CJ408+CL408+CN408+CP408+CR408</f>
        <v>0</v>
      </c>
      <c r="CU408" s="206" t="s">
        <v>1000</v>
      </c>
      <c r="CV408" s="156"/>
      <c r="CZ408" s="157"/>
      <c r="DA408" s="152">
        <f t="shared" si="354"/>
        <v>8946</v>
      </c>
      <c r="DB408" s="152" t="str">
        <f t="shared" si="355"/>
        <v>0</v>
      </c>
      <c r="DC408" s="153"/>
      <c r="DD408" s="158" t="s">
        <v>2212</v>
      </c>
      <c r="DE408" s="156" t="s">
        <v>435</v>
      </c>
      <c r="DF408" s="174" t="s">
        <v>1277</v>
      </c>
      <c r="DG408" s="175" t="s">
        <v>1272</v>
      </c>
      <c r="DH408" s="240" t="s">
        <v>477</v>
      </c>
      <c r="DI408" s="187">
        <v>45940</v>
      </c>
      <c r="DJ408" s="429">
        <v>8946</v>
      </c>
      <c r="DK408" s="240" t="s">
        <v>477</v>
      </c>
      <c r="DL408" s="189">
        <v>1410</v>
      </c>
      <c r="DM408" s="181">
        <f t="shared" si="346"/>
        <v>13875246.000000002</v>
      </c>
      <c r="DN408" s="446">
        <f t="shared" si="347"/>
        <v>0.10000000000000014</v>
      </c>
      <c r="DO408" s="160">
        <f t="shared" si="348"/>
        <v>12613860</v>
      </c>
      <c r="DP408" s="159">
        <v>45954</v>
      </c>
      <c r="DQ408" s="152">
        <f>SUMIF($I:$I,I408,$DJ:$DJ)</f>
        <v>8946</v>
      </c>
      <c r="DR408" s="152">
        <f>SUMIF($I:$I,I408,$DK:$DK)</f>
        <v>0</v>
      </c>
      <c r="EO408" s="152">
        <f>SUMIF($I:$I,I408,$EC:$EC)</f>
        <v>0</v>
      </c>
      <c r="EP408" s="151">
        <f>SUMIF($I:$I,I408,$ED:$ED)</f>
        <v>0</v>
      </c>
      <c r="EQ408" s="153"/>
      <c r="ER408" s="153"/>
      <c r="ES408" s="153"/>
      <c r="ET408" s="153"/>
      <c r="EU408" s="152">
        <f t="shared" si="356"/>
        <v>8946</v>
      </c>
      <c r="EV408" s="152">
        <f t="shared" si="357"/>
        <v>0</v>
      </c>
      <c r="EW408" s="152">
        <f t="shared" si="358"/>
        <v>0</v>
      </c>
      <c r="EX408" s="152">
        <f t="shared" si="359"/>
        <v>0</v>
      </c>
      <c r="EY408" s="151" t="str">
        <f t="shared" si="360"/>
        <v>Đủ</v>
      </c>
    </row>
    <row r="409" spans="1:155" s="155" customFormat="1" ht="14" hidden="1" customHeight="1">
      <c r="A409" s="208" t="str">
        <f t="shared" si="342"/>
        <v>Hiện</v>
      </c>
      <c r="B409" s="151" t="str">
        <f t="shared" si="343"/>
        <v>Đủ</v>
      </c>
      <c r="C409" s="409">
        <f t="shared" si="341"/>
        <v>0</v>
      </c>
      <c r="D409" s="154"/>
      <c r="E409" s="154">
        <f>C409*DL409*1.1</f>
        <v>0</v>
      </c>
      <c r="F409" s="154"/>
      <c r="G409" s="151"/>
      <c r="H409" s="364"/>
      <c r="I409" s="171" t="s">
        <v>953</v>
      </c>
      <c r="J409" s="164" t="s">
        <v>922</v>
      </c>
      <c r="K409" s="171" t="s">
        <v>954</v>
      </c>
      <c r="L409" s="171" t="s">
        <v>943</v>
      </c>
      <c r="M409" s="163" t="s">
        <v>345</v>
      </c>
      <c r="N409" s="173">
        <v>0</v>
      </c>
      <c r="O409" s="419">
        <v>80</v>
      </c>
      <c r="P409" s="205"/>
      <c r="S409" s="161"/>
      <c r="T409" s="162"/>
      <c r="U409" s="162"/>
      <c r="V409" s="162"/>
      <c r="W409" s="162"/>
      <c r="X409" s="162"/>
      <c r="Y409" s="162"/>
      <c r="Z409" s="162"/>
      <c r="AA409" s="162"/>
      <c r="AB409" s="162"/>
      <c r="AC409" s="162"/>
      <c r="AD409" s="162"/>
      <c r="AE409" s="162"/>
      <c r="AF409" s="162"/>
      <c r="AG409" s="162"/>
      <c r="AH409" s="162"/>
      <c r="AI409" s="162"/>
      <c r="AJ409" s="162"/>
      <c r="AK409" s="162">
        <v>90</v>
      </c>
      <c r="AL409" s="162">
        <v>0</v>
      </c>
      <c r="AM409" s="162"/>
      <c r="AN409" s="162"/>
      <c r="AO409" s="162">
        <v>0</v>
      </c>
      <c r="AP409" s="162">
        <v>0</v>
      </c>
      <c r="AQ409" s="162">
        <v>0</v>
      </c>
      <c r="AR409" s="162">
        <v>0</v>
      </c>
      <c r="AS409" s="162">
        <v>0</v>
      </c>
      <c r="AT409" s="162">
        <v>0</v>
      </c>
      <c r="AU409" s="162">
        <v>0</v>
      </c>
      <c r="AV409" s="162">
        <v>0</v>
      </c>
      <c r="AW409" s="162">
        <v>0</v>
      </c>
      <c r="AX409" s="162">
        <v>0</v>
      </c>
      <c r="AY409" s="162">
        <v>0</v>
      </c>
      <c r="AZ409" s="162">
        <v>0</v>
      </c>
      <c r="BA409" s="162"/>
      <c r="BB409" s="162"/>
      <c r="BC409" s="162">
        <v>0</v>
      </c>
      <c r="BD409" s="162">
        <v>0</v>
      </c>
      <c r="BE409" s="162">
        <v>0</v>
      </c>
      <c r="BF409" s="162">
        <v>0</v>
      </c>
      <c r="BG409" s="162">
        <v>0</v>
      </c>
      <c r="BH409" s="162">
        <v>0</v>
      </c>
      <c r="BI409" s="162">
        <v>0</v>
      </c>
      <c r="BJ409" s="162">
        <v>0</v>
      </c>
      <c r="BK409" s="162">
        <v>0</v>
      </c>
      <c r="BL409" s="162">
        <v>0</v>
      </c>
      <c r="BM409" s="162">
        <v>0</v>
      </c>
      <c r="BN409" s="162">
        <v>0</v>
      </c>
      <c r="BO409" s="162"/>
      <c r="BP409" s="162"/>
      <c r="BQ409" s="162">
        <v>0</v>
      </c>
      <c r="BR409" s="162">
        <v>0</v>
      </c>
      <c r="BS409" s="162">
        <v>0</v>
      </c>
      <c r="BT409" s="162">
        <v>0</v>
      </c>
      <c r="BU409" s="162">
        <v>0</v>
      </c>
      <c r="BV409" s="162">
        <v>0</v>
      </c>
      <c r="BW409" s="162"/>
      <c r="BX409" s="162"/>
      <c r="BY409" s="162">
        <v>0</v>
      </c>
      <c r="BZ409" s="162">
        <v>0</v>
      </c>
      <c r="CA409" s="162">
        <v>0</v>
      </c>
      <c r="CB409" s="162">
        <v>0</v>
      </c>
      <c r="CC409" s="162">
        <v>0</v>
      </c>
      <c r="CD409" s="162">
        <v>0</v>
      </c>
      <c r="CE409" s="162">
        <f>VLOOKUP(I409,[120]REV33!$A:$O,11,0)</f>
        <v>0</v>
      </c>
      <c r="CF409" s="162">
        <f>VLOOKUP(I409,[120]REV33!$A:$O,12,0)</f>
        <v>0</v>
      </c>
      <c r="CG409" s="162"/>
      <c r="CH409" s="162"/>
      <c r="CI409" s="162"/>
      <c r="CJ409" s="162"/>
      <c r="CK409" s="162"/>
      <c r="CL409" s="162"/>
      <c r="CM409" s="162"/>
      <c r="CN409" s="162"/>
      <c r="CO409" s="162">
        <v>0</v>
      </c>
      <c r="CP409" s="162">
        <v>0</v>
      </c>
      <c r="CQ409" s="162">
        <v>0</v>
      </c>
      <c r="CR409" s="162">
        <v>0</v>
      </c>
      <c r="CS409" s="209">
        <f>Q409+S409+U409+W409+Y409+AA409+AC409+AE409+AG409+AI409+AK409+AM409+AO409+AQ409+AS409+AU409+AW409+AY409+BA409+BC409+BE409+BG409+BI409+BK409+BM409+BO409+BQ409+BS409+BU409+BW409+BY409+CA409+CC409+CE409+CG409+CI409+CK409+CM409+CO409+CQ409</f>
        <v>90</v>
      </c>
      <c r="CT409" s="209">
        <f>R409+T409+V409+X409+Z409+AB409+AD409+AF409+AH409+AJ409+AL409+AN409+AP409+AR409+AT409+AV409+AX409+AZ409+BB409+BD409+BF409+BH409+BJ409+BL409+BN409+BP409+BR409+BT409+BV409+BX409+BZ409+CB409+CD409+CF409+CH409+CJ409+CL409+CN409+CP409+CR409</f>
        <v>0</v>
      </c>
      <c r="CU409" s="206" t="s">
        <v>1000</v>
      </c>
      <c r="CV409" s="156"/>
      <c r="CZ409" s="157"/>
      <c r="DA409" s="152">
        <f t="shared" si="354"/>
        <v>90</v>
      </c>
      <c r="DB409" s="152" t="str">
        <f t="shared" si="355"/>
        <v>0</v>
      </c>
      <c r="DC409" s="153"/>
      <c r="DD409" s="158" t="s">
        <v>2212</v>
      </c>
      <c r="DE409" s="156" t="s">
        <v>435</v>
      </c>
      <c r="DF409" s="174" t="s">
        <v>1277</v>
      </c>
      <c r="DG409" s="175" t="s">
        <v>1272</v>
      </c>
      <c r="DH409" s="240" t="s">
        <v>477</v>
      </c>
      <c r="DI409" s="187">
        <v>45940</v>
      </c>
      <c r="DJ409" s="429">
        <v>90</v>
      </c>
      <c r="DK409" s="240" t="s">
        <v>477</v>
      </c>
      <c r="DL409" s="189">
        <v>1410</v>
      </c>
      <c r="DM409" s="181">
        <f t="shared" si="346"/>
        <v>139590</v>
      </c>
      <c r="DN409" s="446">
        <f t="shared" si="347"/>
        <v>0.1</v>
      </c>
      <c r="DO409" s="160">
        <f t="shared" si="348"/>
        <v>126900</v>
      </c>
      <c r="DP409" s="159">
        <v>45954</v>
      </c>
      <c r="DQ409" s="152">
        <f>SUMIF($I:$I,I409,$DJ:$DJ)</f>
        <v>90</v>
      </c>
      <c r="DR409" s="152">
        <f>SUMIF($I:$I,I409,$DK:$DK)</f>
        <v>0</v>
      </c>
      <c r="EO409" s="152">
        <f>SUMIF($I:$I,I409,$EC:$EC)</f>
        <v>0</v>
      </c>
      <c r="EP409" s="151">
        <f>SUMIF($I:$I,I409,$ED:$ED)</f>
        <v>0</v>
      </c>
      <c r="EQ409" s="153"/>
      <c r="ER409" s="153"/>
      <c r="ES409" s="153"/>
      <c r="ET409" s="153"/>
      <c r="EU409" s="152">
        <f t="shared" si="356"/>
        <v>90</v>
      </c>
      <c r="EV409" s="152">
        <f t="shared" si="357"/>
        <v>0</v>
      </c>
      <c r="EW409" s="152">
        <f t="shared" si="358"/>
        <v>0</v>
      </c>
      <c r="EX409" s="152">
        <f t="shared" si="359"/>
        <v>0</v>
      </c>
      <c r="EY409" s="151" t="str">
        <f t="shared" si="360"/>
        <v>Đủ</v>
      </c>
    </row>
    <row r="410" spans="1:155" s="155" customFormat="1" ht="14" hidden="1" customHeight="1">
      <c r="A410" s="208" t="str">
        <f t="shared" si="342"/>
        <v>Hiện</v>
      </c>
      <c r="B410" s="151" t="str">
        <f t="shared" si="343"/>
        <v>Đủ</v>
      </c>
      <c r="C410" s="409">
        <f t="shared" si="341"/>
        <v>0</v>
      </c>
      <c r="D410" s="154"/>
      <c r="E410" s="154">
        <f>C410*DL410*1.1</f>
        <v>0</v>
      </c>
      <c r="F410" s="154"/>
      <c r="G410" s="151"/>
      <c r="H410" s="364"/>
      <c r="I410" s="171" t="s">
        <v>955</v>
      </c>
      <c r="J410" s="164" t="s">
        <v>922</v>
      </c>
      <c r="K410" s="171" t="s">
        <v>956</v>
      </c>
      <c r="L410" s="171" t="s">
        <v>838</v>
      </c>
      <c r="M410" s="163" t="s">
        <v>345</v>
      </c>
      <c r="N410" s="173">
        <v>0</v>
      </c>
      <c r="O410" s="419">
        <v>18304</v>
      </c>
      <c r="P410" s="205"/>
      <c r="S410" s="161"/>
      <c r="T410" s="162"/>
      <c r="U410" s="162"/>
      <c r="V410" s="162"/>
      <c r="W410" s="162"/>
      <c r="X410" s="162"/>
      <c r="Y410" s="162"/>
      <c r="Z410" s="162"/>
      <c r="AA410" s="162"/>
      <c r="AB410" s="162"/>
      <c r="AC410" s="162"/>
      <c r="AD410" s="162"/>
      <c r="AE410" s="162"/>
      <c r="AF410" s="162"/>
      <c r="AG410" s="162"/>
      <c r="AH410" s="162"/>
      <c r="AI410" s="162"/>
      <c r="AJ410" s="162"/>
      <c r="AK410" s="162">
        <v>19234</v>
      </c>
      <c r="AL410" s="162">
        <v>0</v>
      </c>
      <c r="AM410" s="162"/>
      <c r="AN410" s="162"/>
      <c r="AO410" s="162">
        <v>0</v>
      </c>
      <c r="AP410" s="162">
        <v>0</v>
      </c>
      <c r="AQ410" s="162">
        <v>0</v>
      </c>
      <c r="AR410" s="162">
        <v>0</v>
      </c>
      <c r="AS410" s="162">
        <v>0</v>
      </c>
      <c r="AT410" s="162">
        <v>0</v>
      </c>
      <c r="AU410" s="162">
        <v>0</v>
      </c>
      <c r="AV410" s="162">
        <v>0</v>
      </c>
      <c r="AW410" s="162">
        <v>0</v>
      </c>
      <c r="AX410" s="162">
        <v>0</v>
      </c>
      <c r="AY410" s="162">
        <v>0</v>
      </c>
      <c r="AZ410" s="162">
        <v>0</v>
      </c>
      <c r="BA410" s="162"/>
      <c r="BB410" s="162"/>
      <c r="BC410" s="162">
        <v>0</v>
      </c>
      <c r="BD410" s="162">
        <v>0</v>
      </c>
      <c r="BE410" s="162">
        <v>0</v>
      </c>
      <c r="BF410" s="162">
        <v>0</v>
      </c>
      <c r="BG410" s="162">
        <v>0</v>
      </c>
      <c r="BH410" s="162">
        <v>0</v>
      </c>
      <c r="BI410" s="162">
        <v>0</v>
      </c>
      <c r="BJ410" s="162">
        <v>0</v>
      </c>
      <c r="BK410" s="162">
        <v>0</v>
      </c>
      <c r="BL410" s="162">
        <v>0</v>
      </c>
      <c r="BM410" s="162">
        <v>0</v>
      </c>
      <c r="BN410" s="162">
        <v>0</v>
      </c>
      <c r="BO410" s="162"/>
      <c r="BP410" s="162"/>
      <c r="BQ410" s="162">
        <v>0</v>
      </c>
      <c r="BR410" s="162">
        <v>0</v>
      </c>
      <c r="BS410" s="162">
        <v>0</v>
      </c>
      <c r="BT410" s="162">
        <v>0</v>
      </c>
      <c r="BU410" s="162">
        <v>0</v>
      </c>
      <c r="BV410" s="162">
        <v>0</v>
      </c>
      <c r="BW410" s="162"/>
      <c r="BX410" s="162"/>
      <c r="BY410" s="162">
        <v>0</v>
      </c>
      <c r="BZ410" s="162">
        <v>0</v>
      </c>
      <c r="CA410" s="162">
        <v>0</v>
      </c>
      <c r="CB410" s="162">
        <v>0</v>
      </c>
      <c r="CC410" s="162">
        <v>0</v>
      </c>
      <c r="CD410" s="162">
        <v>0</v>
      </c>
      <c r="CE410" s="162">
        <f>VLOOKUP(I410,[120]REV33!$A:$O,11,0)</f>
        <v>0</v>
      </c>
      <c r="CF410" s="162">
        <f>VLOOKUP(I410,[120]REV33!$A:$O,12,0)</f>
        <v>0</v>
      </c>
      <c r="CG410" s="162"/>
      <c r="CH410" s="162"/>
      <c r="CI410" s="162"/>
      <c r="CJ410" s="162"/>
      <c r="CK410" s="162"/>
      <c r="CL410" s="162"/>
      <c r="CM410" s="162"/>
      <c r="CN410" s="162"/>
      <c r="CO410" s="162">
        <v>0</v>
      </c>
      <c r="CP410" s="162">
        <v>0</v>
      </c>
      <c r="CQ410" s="162">
        <v>0</v>
      </c>
      <c r="CR410" s="162">
        <v>0</v>
      </c>
      <c r="CS410" s="209">
        <f>Q410+S410+U410+W410+Y410+AA410+AC410+AE410+AG410+AI410+AK410+AM410+AO410+AQ410+AS410+AU410+AW410+AY410+BA410+BC410+BE410+BG410+BI410+BK410+BM410+BO410+BQ410+BS410+BU410+BW410+BY410+CA410+CC410+CE410+CG410+CI410+CK410+CM410+CO410+CQ410</f>
        <v>19234</v>
      </c>
      <c r="CT410" s="209">
        <f>R410+T410+V410+X410+Z410+AB410+AD410+AF410+AH410+AJ410+AL410+AN410+AP410+AR410+AT410+AV410+AX410+AZ410+BB410+BD410+BF410+BH410+BJ410+BL410+BN410+BP410+BR410+BT410+BV410+BX410+BZ410+CB410+CD410+CF410+CH410+CJ410+CL410+CN410+CP410+CR410</f>
        <v>0</v>
      </c>
      <c r="CU410" s="206" t="s">
        <v>1000</v>
      </c>
      <c r="CV410" s="156"/>
      <c r="CZ410" s="157"/>
      <c r="DA410" s="152">
        <f t="shared" si="354"/>
        <v>19234</v>
      </c>
      <c r="DB410" s="152" t="str">
        <f t="shared" si="355"/>
        <v>0</v>
      </c>
      <c r="DC410" s="153"/>
      <c r="DD410" s="158" t="s">
        <v>2212</v>
      </c>
      <c r="DE410" s="156" t="s">
        <v>435</v>
      </c>
      <c r="DF410" s="174" t="s">
        <v>1277</v>
      </c>
      <c r="DG410" s="175" t="s">
        <v>1272</v>
      </c>
      <c r="DH410" s="240" t="s">
        <v>477</v>
      </c>
      <c r="DI410" s="187">
        <v>45940</v>
      </c>
      <c r="DJ410" s="429">
        <v>19234</v>
      </c>
      <c r="DK410" s="240" t="s">
        <v>477</v>
      </c>
      <c r="DL410" s="189">
        <v>1410</v>
      </c>
      <c r="DM410" s="181">
        <f t="shared" si="346"/>
        <v>29831934.000000004</v>
      </c>
      <c r="DN410" s="446">
        <f t="shared" si="347"/>
        <v>0.10000000000000013</v>
      </c>
      <c r="DO410" s="160">
        <f t="shared" si="348"/>
        <v>27119940</v>
      </c>
      <c r="DP410" s="159">
        <v>45954</v>
      </c>
      <c r="DQ410" s="152">
        <f>SUMIF($I:$I,I410,$DJ:$DJ)</f>
        <v>19234</v>
      </c>
      <c r="DR410" s="152">
        <f>SUMIF($I:$I,I410,$DK:$DK)</f>
        <v>0</v>
      </c>
      <c r="EO410" s="152">
        <f>SUMIF($I:$I,I410,$EC:$EC)</f>
        <v>0</v>
      </c>
      <c r="EP410" s="151">
        <f>SUMIF($I:$I,I410,$ED:$ED)</f>
        <v>0</v>
      </c>
      <c r="EQ410" s="153"/>
      <c r="ER410" s="153"/>
      <c r="ES410" s="153"/>
      <c r="ET410" s="153"/>
      <c r="EU410" s="152">
        <f t="shared" si="356"/>
        <v>19234</v>
      </c>
      <c r="EV410" s="152">
        <f t="shared" si="357"/>
        <v>0</v>
      </c>
      <c r="EW410" s="152">
        <f t="shared" si="358"/>
        <v>0</v>
      </c>
      <c r="EX410" s="152">
        <f t="shared" si="359"/>
        <v>0</v>
      </c>
      <c r="EY410" s="151" t="str">
        <f t="shared" si="360"/>
        <v>Đủ</v>
      </c>
    </row>
    <row r="411" spans="1:155" s="155" customFormat="1" ht="14" hidden="1" customHeight="1">
      <c r="A411" s="208" t="str">
        <f t="shared" si="342"/>
        <v>Hiện</v>
      </c>
      <c r="B411" s="151" t="str">
        <f t="shared" si="343"/>
        <v>Đủ</v>
      </c>
      <c r="C411" s="409">
        <f t="shared" si="341"/>
        <v>0</v>
      </c>
      <c r="D411" s="154"/>
      <c r="E411" s="154">
        <f>C411*DL411*1.1</f>
        <v>0</v>
      </c>
      <c r="F411" s="154"/>
      <c r="G411" s="151"/>
      <c r="H411" s="364"/>
      <c r="I411" s="171" t="s">
        <v>957</v>
      </c>
      <c r="J411" s="164" t="s">
        <v>922</v>
      </c>
      <c r="K411" s="171" t="s">
        <v>958</v>
      </c>
      <c r="L411" s="171" t="s">
        <v>935</v>
      </c>
      <c r="M411" s="163" t="s">
        <v>345</v>
      </c>
      <c r="N411" s="173">
        <v>0</v>
      </c>
      <c r="O411" s="419">
        <v>328</v>
      </c>
      <c r="P411" s="205"/>
      <c r="S411" s="161"/>
      <c r="T411" s="162"/>
      <c r="U411" s="162"/>
      <c r="V411" s="162"/>
      <c r="W411" s="162"/>
      <c r="X411" s="162"/>
      <c r="Y411" s="162"/>
      <c r="Z411" s="162"/>
      <c r="AA411" s="162"/>
      <c r="AB411" s="162"/>
      <c r="AC411" s="162"/>
      <c r="AD411" s="162"/>
      <c r="AE411" s="162"/>
      <c r="AF411" s="162"/>
      <c r="AG411" s="162"/>
      <c r="AH411" s="162"/>
      <c r="AI411" s="162"/>
      <c r="AJ411" s="162"/>
      <c r="AK411" s="162">
        <v>350</v>
      </c>
      <c r="AL411" s="162">
        <v>0</v>
      </c>
      <c r="AM411" s="162"/>
      <c r="AN411" s="162"/>
      <c r="AO411" s="162">
        <v>0</v>
      </c>
      <c r="AP411" s="162">
        <v>0</v>
      </c>
      <c r="AQ411" s="162">
        <v>0</v>
      </c>
      <c r="AR411" s="162">
        <v>0</v>
      </c>
      <c r="AS411" s="162">
        <v>0</v>
      </c>
      <c r="AT411" s="162">
        <v>0</v>
      </c>
      <c r="AU411" s="162">
        <v>0</v>
      </c>
      <c r="AV411" s="162">
        <v>0</v>
      </c>
      <c r="AW411" s="162">
        <v>0</v>
      </c>
      <c r="AX411" s="162">
        <v>0</v>
      </c>
      <c r="AY411" s="162">
        <v>0</v>
      </c>
      <c r="AZ411" s="162">
        <v>0</v>
      </c>
      <c r="BA411" s="162"/>
      <c r="BB411" s="162"/>
      <c r="BC411" s="162">
        <v>0</v>
      </c>
      <c r="BD411" s="162">
        <v>0</v>
      </c>
      <c r="BE411" s="162">
        <v>0</v>
      </c>
      <c r="BF411" s="162">
        <v>0</v>
      </c>
      <c r="BG411" s="162">
        <v>0</v>
      </c>
      <c r="BH411" s="162">
        <v>0</v>
      </c>
      <c r="BI411" s="162">
        <v>0</v>
      </c>
      <c r="BJ411" s="162">
        <v>0</v>
      </c>
      <c r="BK411" s="162">
        <v>0</v>
      </c>
      <c r="BL411" s="162">
        <v>0</v>
      </c>
      <c r="BM411" s="162">
        <v>0</v>
      </c>
      <c r="BN411" s="162">
        <v>0</v>
      </c>
      <c r="BO411" s="162"/>
      <c r="BP411" s="162"/>
      <c r="BQ411" s="162">
        <v>0</v>
      </c>
      <c r="BR411" s="162">
        <v>0</v>
      </c>
      <c r="BS411" s="162">
        <v>0</v>
      </c>
      <c r="BT411" s="162">
        <v>0</v>
      </c>
      <c r="BU411" s="162">
        <v>0</v>
      </c>
      <c r="BV411" s="162">
        <v>0</v>
      </c>
      <c r="BW411" s="162"/>
      <c r="BX411" s="162"/>
      <c r="BY411" s="162">
        <v>0</v>
      </c>
      <c r="BZ411" s="162">
        <v>0</v>
      </c>
      <c r="CA411" s="162">
        <v>0</v>
      </c>
      <c r="CB411" s="162">
        <v>0</v>
      </c>
      <c r="CC411" s="162">
        <v>0</v>
      </c>
      <c r="CD411" s="162">
        <v>0</v>
      </c>
      <c r="CE411" s="162">
        <f>VLOOKUP(I411,[120]REV33!$A:$O,11,0)</f>
        <v>0</v>
      </c>
      <c r="CF411" s="162">
        <f>VLOOKUP(I411,[120]REV33!$A:$O,12,0)</f>
        <v>0</v>
      </c>
      <c r="CG411" s="162"/>
      <c r="CH411" s="162"/>
      <c r="CI411" s="162"/>
      <c r="CJ411" s="162"/>
      <c r="CK411" s="162"/>
      <c r="CL411" s="162"/>
      <c r="CM411" s="162"/>
      <c r="CN411" s="162"/>
      <c r="CO411" s="162">
        <v>0</v>
      </c>
      <c r="CP411" s="162">
        <v>0</v>
      </c>
      <c r="CQ411" s="162">
        <v>0</v>
      </c>
      <c r="CR411" s="162">
        <v>0</v>
      </c>
      <c r="CS411" s="209">
        <f>Q411+S411+U411+W411+Y411+AA411+AC411+AE411+AG411+AI411+AK411+AM411+AO411+AQ411+AS411+AU411+AW411+AY411+BA411+BC411+BE411+BG411+BI411+BK411+BM411+BO411+BQ411+BS411+BU411+BW411+BY411+CA411+CC411+CE411+CG411+CI411+CK411+CM411+CO411+CQ411</f>
        <v>350</v>
      </c>
      <c r="CT411" s="209">
        <f>R411+T411+V411+X411+Z411+AB411+AD411+AF411+AH411+AJ411+AL411+AN411+AP411+AR411+AT411+AV411+AX411+AZ411+BB411+BD411+BF411+BH411+BJ411+BL411+BN411+BP411+BR411+BT411+BV411+BX411+BZ411+CB411+CD411+CF411+CH411+CJ411+CL411+CN411+CP411+CR411</f>
        <v>0</v>
      </c>
      <c r="CU411" s="206" t="s">
        <v>1000</v>
      </c>
      <c r="CV411" s="156"/>
      <c r="CZ411" s="157"/>
      <c r="DA411" s="152">
        <f t="shared" si="354"/>
        <v>350</v>
      </c>
      <c r="DB411" s="152" t="str">
        <f t="shared" si="355"/>
        <v>0</v>
      </c>
      <c r="DC411" s="153"/>
      <c r="DD411" s="158" t="s">
        <v>2212</v>
      </c>
      <c r="DE411" s="156" t="s">
        <v>435</v>
      </c>
      <c r="DF411" s="174" t="s">
        <v>1278</v>
      </c>
      <c r="DG411" s="175" t="s">
        <v>1275</v>
      </c>
      <c r="DH411" s="240" t="s">
        <v>477</v>
      </c>
      <c r="DI411" s="187">
        <v>45940</v>
      </c>
      <c r="DJ411" s="429">
        <v>350</v>
      </c>
      <c r="DK411" s="240" t="s">
        <v>477</v>
      </c>
      <c r="DL411" s="189">
        <v>10230</v>
      </c>
      <c r="DM411" s="181">
        <f t="shared" si="346"/>
        <v>3938550.0000000005</v>
      </c>
      <c r="DN411" s="446">
        <f t="shared" si="347"/>
        <v>0.10000000000000013</v>
      </c>
      <c r="DO411" s="160">
        <f t="shared" si="348"/>
        <v>3580500</v>
      </c>
      <c r="DP411" s="159">
        <v>45954</v>
      </c>
      <c r="DQ411" s="152">
        <f>SUMIF($I:$I,I411,$DJ:$DJ)</f>
        <v>350</v>
      </c>
      <c r="DR411" s="152">
        <f>SUMIF($I:$I,I411,$DK:$DK)</f>
        <v>0</v>
      </c>
      <c r="EO411" s="152">
        <f>SUMIF($I:$I,I411,$EC:$EC)</f>
        <v>0</v>
      </c>
      <c r="EP411" s="151">
        <f>SUMIF($I:$I,I411,$ED:$ED)</f>
        <v>0</v>
      </c>
      <c r="EQ411" s="153"/>
      <c r="ER411" s="153"/>
      <c r="ES411" s="153"/>
      <c r="ET411" s="153"/>
      <c r="EU411" s="152">
        <f t="shared" si="356"/>
        <v>350</v>
      </c>
      <c r="EV411" s="152">
        <f t="shared" si="357"/>
        <v>0</v>
      </c>
      <c r="EW411" s="152">
        <f t="shared" si="358"/>
        <v>0</v>
      </c>
      <c r="EX411" s="152">
        <f t="shared" si="359"/>
        <v>0</v>
      </c>
      <c r="EY411" s="151" t="str">
        <f t="shared" si="360"/>
        <v>Đủ</v>
      </c>
    </row>
    <row r="412" spans="1:155" s="155" customFormat="1" ht="14" hidden="1" customHeight="1">
      <c r="A412" s="208" t="str">
        <f t="shared" ref="A412:A443" si="361">IF(I412=I411,"ok","Hiện")</f>
        <v>Hiện</v>
      </c>
      <c r="B412" s="151" t="str">
        <f t="shared" si="343"/>
        <v>Đủ</v>
      </c>
      <c r="C412" s="409">
        <f t="shared" si="341"/>
        <v>0</v>
      </c>
      <c r="D412" s="154"/>
      <c r="E412" s="154">
        <f>C412*DL412*1.1</f>
        <v>0</v>
      </c>
      <c r="F412" s="154"/>
      <c r="G412" s="151"/>
      <c r="H412" s="364"/>
      <c r="I412" s="171" t="s">
        <v>959</v>
      </c>
      <c r="J412" s="164" t="s">
        <v>922</v>
      </c>
      <c r="K412" s="171" t="s">
        <v>960</v>
      </c>
      <c r="L412" s="171" t="s">
        <v>938</v>
      </c>
      <c r="M412" s="163" t="s">
        <v>345</v>
      </c>
      <c r="N412" s="173">
        <v>0</v>
      </c>
      <c r="O412" s="419">
        <v>4036</v>
      </c>
      <c r="P412" s="205"/>
      <c r="S412" s="161"/>
      <c r="T412" s="162"/>
      <c r="U412" s="162"/>
      <c r="V412" s="162"/>
      <c r="W412" s="162"/>
      <c r="X412" s="162"/>
      <c r="Y412" s="162"/>
      <c r="Z412" s="162"/>
      <c r="AA412" s="162"/>
      <c r="AB412" s="162"/>
      <c r="AC412" s="162"/>
      <c r="AD412" s="162"/>
      <c r="AE412" s="162"/>
      <c r="AF412" s="162"/>
      <c r="AG412" s="162"/>
      <c r="AH412" s="162"/>
      <c r="AI412" s="162"/>
      <c r="AJ412" s="162"/>
      <c r="AK412" s="162">
        <v>4258</v>
      </c>
      <c r="AL412" s="162">
        <v>0</v>
      </c>
      <c r="AM412" s="162"/>
      <c r="AN412" s="162"/>
      <c r="AO412" s="162">
        <v>0</v>
      </c>
      <c r="AP412" s="162">
        <v>0</v>
      </c>
      <c r="AQ412" s="162">
        <v>0</v>
      </c>
      <c r="AR412" s="162">
        <v>0</v>
      </c>
      <c r="AS412" s="162">
        <v>0</v>
      </c>
      <c r="AT412" s="162">
        <v>0</v>
      </c>
      <c r="AU412" s="162">
        <v>0</v>
      </c>
      <c r="AV412" s="162">
        <v>0</v>
      </c>
      <c r="AW412" s="162">
        <v>0</v>
      </c>
      <c r="AX412" s="162">
        <v>0</v>
      </c>
      <c r="AY412" s="162">
        <v>0</v>
      </c>
      <c r="AZ412" s="162">
        <v>0</v>
      </c>
      <c r="BA412" s="162"/>
      <c r="BB412" s="162"/>
      <c r="BC412" s="162">
        <v>0</v>
      </c>
      <c r="BD412" s="162">
        <v>0</v>
      </c>
      <c r="BE412" s="162">
        <v>0</v>
      </c>
      <c r="BF412" s="162">
        <v>0</v>
      </c>
      <c r="BG412" s="162">
        <v>0</v>
      </c>
      <c r="BH412" s="162">
        <v>0</v>
      </c>
      <c r="BI412" s="162">
        <v>0</v>
      </c>
      <c r="BJ412" s="162">
        <v>0</v>
      </c>
      <c r="BK412" s="162">
        <v>0</v>
      </c>
      <c r="BL412" s="162">
        <v>0</v>
      </c>
      <c r="BM412" s="162">
        <v>0</v>
      </c>
      <c r="BN412" s="162">
        <v>0</v>
      </c>
      <c r="BO412" s="162"/>
      <c r="BP412" s="162"/>
      <c r="BQ412" s="162">
        <v>0</v>
      </c>
      <c r="BR412" s="162">
        <v>0</v>
      </c>
      <c r="BS412" s="162">
        <v>0</v>
      </c>
      <c r="BT412" s="162">
        <v>0</v>
      </c>
      <c r="BU412" s="162">
        <v>0</v>
      </c>
      <c r="BV412" s="162">
        <v>0</v>
      </c>
      <c r="BW412" s="162"/>
      <c r="BX412" s="162"/>
      <c r="BY412" s="162">
        <v>0</v>
      </c>
      <c r="BZ412" s="162">
        <v>0</v>
      </c>
      <c r="CA412" s="162">
        <v>0</v>
      </c>
      <c r="CB412" s="162">
        <v>0</v>
      </c>
      <c r="CC412" s="162">
        <v>0</v>
      </c>
      <c r="CD412" s="162">
        <v>0</v>
      </c>
      <c r="CE412" s="162">
        <f>VLOOKUP(I412,[120]REV33!$A:$O,11,0)</f>
        <v>0</v>
      </c>
      <c r="CF412" s="162">
        <f>VLOOKUP(I412,[120]REV33!$A:$O,12,0)</f>
        <v>0</v>
      </c>
      <c r="CG412" s="162"/>
      <c r="CH412" s="162"/>
      <c r="CI412" s="162"/>
      <c r="CJ412" s="162"/>
      <c r="CK412" s="162"/>
      <c r="CL412" s="162"/>
      <c r="CM412" s="162"/>
      <c r="CN412" s="162"/>
      <c r="CO412" s="162">
        <v>0</v>
      </c>
      <c r="CP412" s="162">
        <v>0</v>
      </c>
      <c r="CQ412" s="162">
        <v>0</v>
      </c>
      <c r="CR412" s="162">
        <v>0</v>
      </c>
      <c r="CS412" s="209">
        <f>Q412+S412+U412+W412+Y412+AA412+AC412+AE412+AG412+AI412+AK412+AM412+AO412+AQ412+AS412+AU412+AW412+AY412+BA412+BC412+BE412+BG412+BI412+BK412+BM412+BO412+BQ412+BS412+BU412+BW412+BY412+CA412+CC412+CE412+CG412+CI412+CK412+CM412+CO412+CQ412</f>
        <v>4258</v>
      </c>
      <c r="CT412" s="209">
        <f>R412+T412+V412+X412+Z412+AB412+AD412+AF412+AH412+AJ412+AL412+AN412+AP412+AR412+AT412+AV412+AX412+AZ412+BB412+BD412+BF412+BH412+BJ412+BL412+BN412+BP412+BR412+BT412+BV412+BX412+BZ412+CB412+CD412+CF412+CH412+CJ412+CL412+CN412+CP412+CR412</f>
        <v>0</v>
      </c>
      <c r="CU412" s="206" t="s">
        <v>1000</v>
      </c>
      <c r="CV412" s="156"/>
      <c r="CZ412" s="157"/>
      <c r="DA412" s="152">
        <f t="shared" si="354"/>
        <v>4258</v>
      </c>
      <c r="DB412" s="152" t="str">
        <f t="shared" si="355"/>
        <v>0</v>
      </c>
      <c r="DC412" s="153"/>
      <c r="DD412" s="158" t="s">
        <v>2212</v>
      </c>
      <c r="DE412" s="156" t="s">
        <v>435</v>
      </c>
      <c r="DF412" s="174" t="s">
        <v>1278</v>
      </c>
      <c r="DG412" s="175" t="s">
        <v>1275</v>
      </c>
      <c r="DH412" s="240" t="s">
        <v>477</v>
      </c>
      <c r="DI412" s="187">
        <v>45940</v>
      </c>
      <c r="DJ412" s="429">
        <v>4258</v>
      </c>
      <c r="DK412" s="240" t="s">
        <v>477</v>
      </c>
      <c r="DL412" s="189">
        <v>10230</v>
      </c>
      <c r="DM412" s="181">
        <f t="shared" ref="DM412:DM428" si="362">DL412*DJ412*1.1</f>
        <v>47915274.000000007</v>
      </c>
      <c r="DN412" s="446">
        <f t="shared" ref="DN412:DN428" si="363">(DM412-DO412)/DO412</f>
        <v>0.10000000000000017</v>
      </c>
      <c r="DO412" s="160">
        <f t="shared" ref="DO412:DO428" si="364">DL412*DJ412</f>
        <v>43559340</v>
      </c>
      <c r="DP412" s="159">
        <v>45954</v>
      </c>
      <c r="DQ412" s="152">
        <f>SUMIF($I:$I,I412,$DJ:$DJ)</f>
        <v>4258</v>
      </c>
      <c r="DR412" s="152">
        <f>SUMIF($I:$I,I412,$DK:$DK)</f>
        <v>0</v>
      </c>
      <c r="EO412" s="152">
        <f>SUMIF($I:$I,I412,$EC:$EC)</f>
        <v>0</v>
      </c>
      <c r="EP412" s="151">
        <f>SUMIF($I:$I,I412,$ED:$ED)</f>
        <v>0</v>
      </c>
      <c r="EQ412" s="153"/>
      <c r="ER412" s="153"/>
      <c r="ES412" s="153"/>
      <c r="ET412" s="153"/>
      <c r="EU412" s="152">
        <f t="shared" si="356"/>
        <v>4258</v>
      </c>
      <c r="EV412" s="152">
        <f t="shared" si="357"/>
        <v>0</v>
      </c>
      <c r="EW412" s="152">
        <f t="shared" si="358"/>
        <v>0</v>
      </c>
      <c r="EX412" s="152">
        <f t="shared" si="359"/>
        <v>0</v>
      </c>
      <c r="EY412" s="151" t="str">
        <f t="shared" si="360"/>
        <v>Đủ</v>
      </c>
    </row>
    <row r="413" spans="1:155" s="155" customFormat="1" ht="14" hidden="1" customHeight="1">
      <c r="A413" s="208" t="str">
        <f t="shared" si="361"/>
        <v>Hiện</v>
      </c>
      <c r="B413" s="151" t="str">
        <f t="shared" si="343"/>
        <v>Đủ</v>
      </c>
      <c r="C413" s="409">
        <f t="shared" si="341"/>
        <v>0</v>
      </c>
      <c r="D413" s="154"/>
      <c r="E413" s="154">
        <f>C413*DL413*1.1</f>
        <v>0</v>
      </c>
      <c r="F413" s="154"/>
      <c r="G413" s="151"/>
      <c r="H413" s="364"/>
      <c r="I413" s="171" t="s">
        <v>961</v>
      </c>
      <c r="J413" s="164" t="s">
        <v>922</v>
      </c>
      <c r="K413" s="171" t="s">
        <v>962</v>
      </c>
      <c r="L413" s="171" t="s">
        <v>938</v>
      </c>
      <c r="M413" s="163" t="s">
        <v>345</v>
      </c>
      <c r="N413" s="173">
        <v>0</v>
      </c>
      <c r="O413" s="419">
        <v>3832</v>
      </c>
      <c r="P413" s="205"/>
      <c r="S413" s="161"/>
      <c r="T413" s="162"/>
      <c r="U413" s="162"/>
      <c r="V413" s="162"/>
      <c r="W413" s="162"/>
      <c r="X413" s="162"/>
      <c r="Y413" s="162"/>
      <c r="Z413" s="162"/>
      <c r="AA413" s="162"/>
      <c r="AB413" s="162"/>
      <c r="AC413" s="162"/>
      <c r="AD413" s="162"/>
      <c r="AE413" s="162"/>
      <c r="AF413" s="162"/>
      <c r="AG413" s="162"/>
      <c r="AH413" s="162"/>
      <c r="AI413" s="162"/>
      <c r="AJ413" s="162"/>
      <c r="AK413" s="162">
        <v>4044</v>
      </c>
      <c r="AL413" s="162">
        <v>0</v>
      </c>
      <c r="AM413" s="162"/>
      <c r="AN413" s="162"/>
      <c r="AO413" s="162">
        <v>0</v>
      </c>
      <c r="AP413" s="162">
        <v>0</v>
      </c>
      <c r="AQ413" s="162">
        <v>0</v>
      </c>
      <c r="AR413" s="162">
        <v>0</v>
      </c>
      <c r="AS413" s="162">
        <v>0</v>
      </c>
      <c r="AT413" s="162">
        <v>0</v>
      </c>
      <c r="AU413" s="162">
        <v>0</v>
      </c>
      <c r="AV413" s="162">
        <v>0</v>
      </c>
      <c r="AW413" s="162">
        <v>0</v>
      </c>
      <c r="AX413" s="162">
        <v>0</v>
      </c>
      <c r="AY413" s="162">
        <v>0</v>
      </c>
      <c r="AZ413" s="162">
        <v>0</v>
      </c>
      <c r="BA413" s="162"/>
      <c r="BB413" s="162"/>
      <c r="BC413" s="162">
        <v>0</v>
      </c>
      <c r="BD413" s="162">
        <v>0</v>
      </c>
      <c r="BE413" s="162">
        <v>0</v>
      </c>
      <c r="BF413" s="162">
        <v>0</v>
      </c>
      <c r="BG413" s="162">
        <v>0</v>
      </c>
      <c r="BH413" s="162">
        <v>0</v>
      </c>
      <c r="BI413" s="162">
        <v>0</v>
      </c>
      <c r="BJ413" s="162">
        <v>0</v>
      </c>
      <c r="BK413" s="162">
        <v>0</v>
      </c>
      <c r="BL413" s="162">
        <v>0</v>
      </c>
      <c r="BM413" s="162">
        <v>0</v>
      </c>
      <c r="BN413" s="162">
        <v>0</v>
      </c>
      <c r="BO413" s="162"/>
      <c r="BP413" s="162"/>
      <c r="BQ413" s="162">
        <v>0</v>
      </c>
      <c r="BR413" s="162">
        <v>0</v>
      </c>
      <c r="BS413" s="162">
        <v>0</v>
      </c>
      <c r="BT413" s="162">
        <v>0</v>
      </c>
      <c r="BU413" s="162">
        <v>0</v>
      </c>
      <c r="BV413" s="162">
        <v>0</v>
      </c>
      <c r="BW413" s="162"/>
      <c r="BX413" s="162"/>
      <c r="BY413" s="162">
        <v>0</v>
      </c>
      <c r="BZ413" s="162">
        <v>0</v>
      </c>
      <c r="CA413" s="162">
        <v>0</v>
      </c>
      <c r="CB413" s="162">
        <v>0</v>
      </c>
      <c r="CC413" s="162">
        <v>0</v>
      </c>
      <c r="CD413" s="162">
        <v>0</v>
      </c>
      <c r="CE413" s="162">
        <f>VLOOKUP(I413,[120]REV33!$A:$O,11,0)</f>
        <v>0</v>
      </c>
      <c r="CF413" s="162">
        <f>VLOOKUP(I413,[120]REV33!$A:$O,12,0)</f>
        <v>0</v>
      </c>
      <c r="CG413" s="162"/>
      <c r="CH413" s="162"/>
      <c r="CI413" s="162"/>
      <c r="CJ413" s="162"/>
      <c r="CK413" s="162"/>
      <c r="CL413" s="162"/>
      <c r="CM413" s="162"/>
      <c r="CN413" s="162"/>
      <c r="CO413" s="162">
        <v>0</v>
      </c>
      <c r="CP413" s="162">
        <v>0</v>
      </c>
      <c r="CQ413" s="162">
        <v>0</v>
      </c>
      <c r="CR413" s="162">
        <v>0</v>
      </c>
      <c r="CS413" s="209">
        <f>Q413+S413+U413+W413+Y413+AA413+AC413+AE413+AG413+AI413+AK413+AM413+AO413+AQ413+AS413+AU413+AW413+AY413+BA413+BC413+BE413+BG413+BI413+BK413+BM413+BO413+BQ413+BS413+BU413+BW413+BY413+CA413+CC413+CE413+CG413+CI413+CK413+CM413+CO413+CQ413</f>
        <v>4044</v>
      </c>
      <c r="CT413" s="209">
        <f>R413+T413+V413+X413+Z413+AB413+AD413+AF413+AH413+AJ413+AL413+AN413+AP413+AR413+AT413+AV413+AX413+AZ413+BB413+BD413+BF413+BH413+BJ413+BL413+BN413+BP413+BR413+BT413+BV413+BX413+BZ413+CB413+CD413+CF413+CH413+CJ413+CL413+CN413+CP413+CR413</f>
        <v>0</v>
      </c>
      <c r="CU413" s="206" t="s">
        <v>1000</v>
      </c>
      <c r="CV413" s="156"/>
      <c r="CZ413" s="157"/>
      <c r="DA413" s="152">
        <f t="shared" si="354"/>
        <v>4044</v>
      </c>
      <c r="DB413" s="152" t="str">
        <f t="shared" si="355"/>
        <v>0</v>
      </c>
      <c r="DC413" s="153"/>
      <c r="DD413" s="158" t="s">
        <v>2212</v>
      </c>
      <c r="DE413" s="156" t="s">
        <v>435</v>
      </c>
      <c r="DF413" s="174" t="s">
        <v>1279</v>
      </c>
      <c r="DG413" s="175" t="s">
        <v>1272</v>
      </c>
      <c r="DH413" s="240" t="s">
        <v>477</v>
      </c>
      <c r="DI413" s="187">
        <v>45940</v>
      </c>
      <c r="DJ413" s="429">
        <v>4044</v>
      </c>
      <c r="DK413" s="240" t="s">
        <v>477</v>
      </c>
      <c r="DL413" s="189">
        <v>2150</v>
      </c>
      <c r="DM413" s="181">
        <f t="shared" si="362"/>
        <v>9564060</v>
      </c>
      <c r="DN413" s="446">
        <f t="shared" si="363"/>
        <v>0.1</v>
      </c>
      <c r="DO413" s="160">
        <f t="shared" si="364"/>
        <v>8694600</v>
      </c>
      <c r="DP413" s="159">
        <v>45954</v>
      </c>
      <c r="DQ413" s="152">
        <f>SUMIF($I:$I,I413,$DJ:$DJ)</f>
        <v>4044</v>
      </c>
      <c r="DR413" s="152">
        <f>SUMIF($I:$I,I413,$DK:$DK)</f>
        <v>0</v>
      </c>
      <c r="EO413" s="152">
        <f>SUMIF($I:$I,I413,$EC:$EC)</f>
        <v>0</v>
      </c>
      <c r="EP413" s="151">
        <f>SUMIF($I:$I,I413,$ED:$ED)</f>
        <v>0</v>
      </c>
      <c r="EQ413" s="153"/>
      <c r="ER413" s="153"/>
      <c r="ES413" s="153"/>
      <c r="ET413" s="153"/>
      <c r="EU413" s="152">
        <f t="shared" si="356"/>
        <v>4044</v>
      </c>
      <c r="EV413" s="152">
        <f t="shared" si="357"/>
        <v>0</v>
      </c>
      <c r="EW413" s="152">
        <f t="shared" si="358"/>
        <v>0</v>
      </c>
      <c r="EX413" s="152">
        <f t="shared" si="359"/>
        <v>0</v>
      </c>
      <c r="EY413" s="151" t="str">
        <f t="shared" si="360"/>
        <v>Đủ</v>
      </c>
    </row>
    <row r="414" spans="1:155" s="155" customFormat="1" ht="14" customHeight="1">
      <c r="A414" s="208" t="str">
        <f t="shared" si="361"/>
        <v>Hiện</v>
      </c>
      <c r="B414" s="151" t="str">
        <f t="shared" si="343"/>
        <v>Thiếu</v>
      </c>
      <c r="C414" s="409">
        <f t="shared" si="341"/>
        <v>2696</v>
      </c>
      <c r="D414" s="154" t="s">
        <v>2042</v>
      </c>
      <c r="E414" s="154"/>
      <c r="F414" s="154"/>
      <c r="G414" s="151"/>
      <c r="H414" s="364"/>
      <c r="I414" s="163" t="s">
        <v>963</v>
      </c>
      <c r="J414" s="164" t="s">
        <v>922</v>
      </c>
      <c r="K414" s="171" t="s">
        <v>964</v>
      </c>
      <c r="L414" s="171" t="s">
        <v>838</v>
      </c>
      <c r="M414" s="163" t="s">
        <v>345</v>
      </c>
      <c r="N414" s="173">
        <v>0</v>
      </c>
      <c r="O414" s="419">
        <v>1368</v>
      </c>
      <c r="P414" s="205"/>
      <c r="S414" s="161"/>
      <c r="T414" s="162"/>
      <c r="U414" s="162"/>
      <c r="V414" s="162"/>
      <c r="W414" s="162"/>
      <c r="X414" s="162"/>
      <c r="Y414" s="162"/>
      <c r="Z414" s="162"/>
      <c r="AA414" s="162"/>
      <c r="AB414" s="162"/>
      <c r="AC414" s="162"/>
      <c r="AD414" s="162"/>
      <c r="AE414" s="162"/>
      <c r="AF414" s="162"/>
      <c r="AG414" s="162"/>
      <c r="AH414" s="162"/>
      <c r="AI414" s="162"/>
      <c r="AJ414" s="162"/>
      <c r="AK414" s="162">
        <v>1452</v>
      </c>
      <c r="AL414" s="162">
        <v>0</v>
      </c>
      <c r="AM414" s="162"/>
      <c r="AN414" s="162"/>
      <c r="AO414" s="162">
        <v>0</v>
      </c>
      <c r="AP414" s="162">
        <v>0</v>
      </c>
      <c r="AQ414" s="162">
        <v>0</v>
      </c>
      <c r="AR414" s="162">
        <v>0</v>
      </c>
      <c r="AS414" s="162">
        <v>0</v>
      </c>
      <c r="AT414" s="162">
        <v>0</v>
      </c>
      <c r="AU414" s="162">
        <v>0</v>
      </c>
      <c r="AV414" s="162">
        <v>0</v>
      </c>
      <c r="AW414" s="162">
        <v>0</v>
      </c>
      <c r="AX414" s="162">
        <v>0</v>
      </c>
      <c r="AY414" s="162">
        <v>0</v>
      </c>
      <c r="AZ414" s="162">
        <v>0</v>
      </c>
      <c r="BA414" s="162"/>
      <c r="BB414" s="162"/>
      <c r="BC414" s="162">
        <v>0</v>
      </c>
      <c r="BD414" s="162">
        <v>0</v>
      </c>
      <c r="BE414" s="162">
        <v>0</v>
      </c>
      <c r="BF414" s="162">
        <v>0</v>
      </c>
      <c r="BG414" s="162">
        <v>0</v>
      </c>
      <c r="BH414" s="162">
        <v>0</v>
      </c>
      <c r="BI414" s="162">
        <v>0</v>
      </c>
      <c r="BJ414" s="162">
        <v>0</v>
      </c>
      <c r="BK414" s="162">
        <v>0</v>
      </c>
      <c r="BL414" s="162">
        <v>0</v>
      </c>
      <c r="BM414" s="162">
        <v>0</v>
      </c>
      <c r="BN414" s="162">
        <v>0</v>
      </c>
      <c r="BO414" s="162"/>
      <c r="BP414" s="162"/>
      <c r="BQ414" s="162">
        <v>0</v>
      </c>
      <c r="BR414" s="162">
        <v>0</v>
      </c>
      <c r="BS414" s="162">
        <v>0</v>
      </c>
      <c r="BT414" s="162">
        <v>0</v>
      </c>
      <c r="BU414" s="162">
        <v>0</v>
      </c>
      <c r="BV414" s="162">
        <v>0</v>
      </c>
      <c r="BW414" s="162"/>
      <c r="BX414" s="162"/>
      <c r="BY414" s="162">
        <v>0</v>
      </c>
      <c r="BZ414" s="162">
        <v>0</v>
      </c>
      <c r="CA414" s="162">
        <v>0</v>
      </c>
      <c r="CB414" s="162">
        <v>0</v>
      </c>
      <c r="CC414" s="162">
        <v>0</v>
      </c>
      <c r="CD414" s="162">
        <v>0</v>
      </c>
      <c r="CE414" s="162">
        <f>VLOOKUP(I414,[120]REV33!$A:$O,11,0)</f>
        <v>0</v>
      </c>
      <c r="CF414" s="162">
        <f>VLOOKUP(I414,[120]REV33!$A:$O,12,0)</f>
        <v>0</v>
      </c>
      <c r="CG414" s="162"/>
      <c r="CH414" s="162"/>
      <c r="CI414" s="162"/>
      <c r="CJ414" s="162"/>
      <c r="CK414" s="162"/>
      <c r="CL414" s="162"/>
      <c r="CM414" s="162"/>
      <c r="CN414" s="162"/>
      <c r="CO414" s="162">
        <v>0</v>
      </c>
      <c r="CP414" s="162">
        <v>0</v>
      </c>
      <c r="CQ414" s="162">
        <v>2696</v>
      </c>
      <c r="CR414" s="162">
        <v>0</v>
      </c>
      <c r="CS414" s="209">
        <f>Q414+S414+U414+W414+Y414+AA414+AC414+AE414+AG414+AI414+AK414+AM414+AO414+AQ414+AS414+AU414+AW414+AY414+BA414+BC414+BE414+BG414+BI414+BK414+BM414+BO414+BQ414+BS414+BU414+BW414+BY414+CA414+CC414+CE414+CG414+CI414+CK414+CM414+CO414+CQ414</f>
        <v>4148</v>
      </c>
      <c r="CT414" s="209">
        <f>R414+T414+V414+X414+Z414+AB414+AD414+AF414+AH414+AJ414+AL414+AN414+AP414+AR414+AT414+AV414+AX414+AZ414+BB414+BD414+BF414+BH414+BJ414+BL414+BN414+BP414+BR414+BT414+BV414+BX414+BZ414+CB414+CD414+CF414+CH414+CJ414+CL414+CN414+CP414+CR414</f>
        <v>0</v>
      </c>
      <c r="CU414" s="206" t="s">
        <v>2872</v>
      </c>
      <c r="CV414" s="156"/>
      <c r="CZ414" s="157"/>
      <c r="DA414" s="152">
        <f t="shared" si="354"/>
        <v>4148</v>
      </c>
      <c r="DB414" s="152" t="str">
        <f t="shared" si="355"/>
        <v>0</v>
      </c>
      <c r="DC414" s="153"/>
      <c r="DD414" s="158" t="s">
        <v>2212</v>
      </c>
      <c r="DE414" s="156" t="s">
        <v>435</v>
      </c>
      <c r="DF414" s="174" t="s">
        <v>1279</v>
      </c>
      <c r="DG414" s="175" t="s">
        <v>1272</v>
      </c>
      <c r="DH414" s="240" t="s">
        <v>477</v>
      </c>
      <c r="DI414" s="187">
        <v>45940</v>
      </c>
      <c r="DJ414" s="429">
        <v>1452</v>
      </c>
      <c r="DK414" s="240" t="s">
        <v>477</v>
      </c>
      <c r="DL414" s="189">
        <v>2150</v>
      </c>
      <c r="DM414" s="181">
        <f t="shared" si="362"/>
        <v>3433980.0000000005</v>
      </c>
      <c r="DN414" s="446">
        <f t="shared" si="363"/>
        <v>0.10000000000000014</v>
      </c>
      <c r="DO414" s="160">
        <f t="shared" si="364"/>
        <v>3121800</v>
      </c>
      <c r="DP414" s="159">
        <v>45954</v>
      </c>
      <c r="DQ414" s="152">
        <f>SUMIF($I:$I,I414,$DJ:$DJ)</f>
        <v>1452</v>
      </c>
      <c r="DR414" s="152">
        <f>SUMIF($I:$I,I414,$DK:$DK)</f>
        <v>0</v>
      </c>
      <c r="EO414" s="152">
        <f>SUMIF($I:$I,I414,$EC:$EC)</f>
        <v>0</v>
      </c>
      <c r="EP414" s="151">
        <f>SUMIF($I:$I,I414,$ED:$ED)</f>
        <v>0</v>
      </c>
      <c r="EQ414" s="153"/>
      <c r="ER414" s="153"/>
      <c r="ES414" s="153"/>
      <c r="ET414" s="153"/>
      <c r="EU414" s="152">
        <f t="shared" si="356"/>
        <v>1452</v>
      </c>
      <c r="EV414" s="152">
        <f t="shared" si="357"/>
        <v>0</v>
      </c>
      <c r="EW414" s="152">
        <f t="shared" si="358"/>
        <v>2696</v>
      </c>
      <c r="EX414" s="152">
        <f t="shared" si="359"/>
        <v>0</v>
      </c>
      <c r="EY414" s="151" t="str">
        <f t="shared" si="360"/>
        <v>Thiếu</v>
      </c>
    </row>
    <row r="415" spans="1:155" s="155" customFormat="1" ht="14" hidden="1" customHeight="1">
      <c r="A415" s="208" t="str">
        <f t="shared" si="361"/>
        <v>Hiện</v>
      </c>
      <c r="B415" s="151" t="str">
        <f t="shared" si="343"/>
        <v>Đủ</v>
      </c>
      <c r="C415" s="409">
        <f t="shared" si="341"/>
        <v>0</v>
      </c>
      <c r="D415" s="154"/>
      <c r="E415" s="154">
        <f>C415*DL415*1.1</f>
        <v>0</v>
      </c>
      <c r="F415" s="154"/>
      <c r="G415" s="151"/>
      <c r="H415" s="364"/>
      <c r="I415" s="171" t="s">
        <v>965</v>
      </c>
      <c r="J415" s="164" t="s">
        <v>922</v>
      </c>
      <c r="K415" s="171" t="s">
        <v>966</v>
      </c>
      <c r="L415" s="171" t="s">
        <v>938</v>
      </c>
      <c r="M415" s="163" t="s">
        <v>345</v>
      </c>
      <c r="N415" s="173">
        <v>0</v>
      </c>
      <c r="O415" s="419">
        <v>160</v>
      </c>
      <c r="P415" s="205"/>
      <c r="S415" s="161"/>
      <c r="T415" s="162"/>
      <c r="U415" s="162"/>
      <c r="V415" s="162"/>
      <c r="W415" s="162"/>
      <c r="X415" s="162"/>
      <c r="Y415" s="162"/>
      <c r="Z415" s="162"/>
      <c r="AA415" s="162"/>
      <c r="AB415" s="162"/>
      <c r="AC415" s="162"/>
      <c r="AD415" s="162"/>
      <c r="AE415" s="162"/>
      <c r="AF415" s="162"/>
      <c r="AG415" s="162"/>
      <c r="AH415" s="162"/>
      <c r="AI415" s="162"/>
      <c r="AJ415" s="162"/>
      <c r="AK415" s="162">
        <v>170</v>
      </c>
      <c r="AL415" s="162">
        <v>0</v>
      </c>
      <c r="AM415" s="162"/>
      <c r="AN415" s="162"/>
      <c r="AO415" s="162">
        <v>0</v>
      </c>
      <c r="AP415" s="162">
        <v>0</v>
      </c>
      <c r="AQ415" s="162">
        <v>0</v>
      </c>
      <c r="AR415" s="162">
        <v>0</v>
      </c>
      <c r="AS415" s="162">
        <v>0</v>
      </c>
      <c r="AT415" s="162">
        <v>0</v>
      </c>
      <c r="AU415" s="162">
        <v>0</v>
      </c>
      <c r="AV415" s="162">
        <v>0</v>
      </c>
      <c r="AW415" s="162">
        <v>0</v>
      </c>
      <c r="AX415" s="162">
        <v>0</v>
      </c>
      <c r="AY415" s="162">
        <v>0</v>
      </c>
      <c r="AZ415" s="162">
        <v>0</v>
      </c>
      <c r="BA415" s="162"/>
      <c r="BB415" s="162"/>
      <c r="BC415" s="162">
        <v>0</v>
      </c>
      <c r="BD415" s="162">
        <v>0</v>
      </c>
      <c r="BE415" s="162">
        <v>0</v>
      </c>
      <c r="BF415" s="162">
        <v>0</v>
      </c>
      <c r="BG415" s="162">
        <v>0</v>
      </c>
      <c r="BH415" s="162">
        <v>0</v>
      </c>
      <c r="BI415" s="162">
        <v>0</v>
      </c>
      <c r="BJ415" s="162">
        <v>0</v>
      </c>
      <c r="BK415" s="162">
        <v>0</v>
      </c>
      <c r="BL415" s="162">
        <v>0</v>
      </c>
      <c r="BM415" s="162">
        <v>0</v>
      </c>
      <c r="BN415" s="162">
        <v>0</v>
      </c>
      <c r="BO415" s="162"/>
      <c r="BP415" s="162"/>
      <c r="BQ415" s="162">
        <v>0</v>
      </c>
      <c r="BR415" s="162">
        <v>0</v>
      </c>
      <c r="BS415" s="162">
        <v>0</v>
      </c>
      <c r="BT415" s="162">
        <v>0</v>
      </c>
      <c r="BU415" s="162">
        <v>0</v>
      </c>
      <c r="BV415" s="162">
        <v>0</v>
      </c>
      <c r="BW415" s="162"/>
      <c r="BX415" s="162"/>
      <c r="BY415" s="162">
        <v>0</v>
      </c>
      <c r="BZ415" s="162">
        <v>0</v>
      </c>
      <c r="CA415" s="162">
        <v>0</v>
      </c>
      <c r="CB415" s="162">
        <v>0</v>
      </c>
      <c r="CC415" s="162">
        <v>0</v>
      </c>
      <c r="CD415" s="162">
        <v>0</v>
      </c>
      <c r="CE415" s="162">
        <f>VLOOKUP(I415,[120]REV33!$A:$O,11,0)</f>
        <v>0</v>
      </c>
      <c r="CF415" s="162">
        <f>VLOOKUP(I415,[120]REV33!$A:$O,12,0)</f>
        <v>0</v>
      </c>
      <c r="CG415" s="162"/>
      <c r="CH415" s="162"/>
      <c r="CI415" s="162"/>
      <c r="CJ415" s="162"/>
      <c r="CK415" s="162"/>
      <c r="CL415" s="162"/>
      <c r="CM415" s="162"/>
      <c r="CN415" s="162"/>
      <c r="CO415" s="162">
        <v>0</v>
      </c>
      <c r="CP415" s="162">
        <v>0</v>
      </c>
      <c r="CQ415" s="162">
        <v>0</v>
      </c>
      <c r="CR415" s="162">
        <v>0</v>
      </c>
      <c r="CS415" s="209">
        <f>Q415+S415+U415+W415+Y415+AA415+AC415+AE415+AG415+AI415+AK415+AM415+AO415+AQ415+AS415+AU415+AW415+AY415+BA415+BC415+BE415+BG415+BI415+BK415+BM415+BO415+BQ415+BS415+BU415+BW415+BY415+CA415+CC415+CE415+CG415+CI415+CK415+CM415+CO415+CQ415</f>
        <v>170</v>
      </c>
      <c r="CT415" s="209">
        <f>R415+T415+V415+X415+Z415+AB415+AD415+AF415+AH415+AJ415+AL415+AN415+AP415+AR415+AT415+AV415+AX415+AZ415+BB415+BD415+BF415+BH415+BJ415+BL415+BN415+BP415+BR415+BT415+BV415+BX415+BZ415+CB415+CD415+CF415+CH415+CJ415+CL415+CN415+CP415+CR415</f>
        <v>0</v>
      </c>
      <c r="CU415" s="206" t="s">
        <v>1000</v>
      </c>
      <c r="CV415" s="156"/>
      <c r="CZ415" s="157"/>
      <c r="DA415" s="152">
        <f t="shared" si="354"/>
        <v>170</v>
      </c>
      <c r="DB415" s="152" t="str">
        <f t="shared" si="355"/>
        <v>0</v>
      </c>
      <c r="DC415" s="153"/>
      <c r="DD415" s="158" t="s">
        <v>2212</v>
      </c>
      <c r="DE415" s="156" t="s">
        <v>435</v>
      </c>
      <c r="DF415" s="174" t="s">
        <v>1279</v>
      </c>
      <c r="DG415" s="176" t="s">
        <v>1272</v>
      </c>
      <c r="DH415" s="240" t="s">
        <v>477</v>
      </c>
      <c r="DI415" s="187">
        <v>45940</v>
      </c>
      <c r="DJ415" s="429">
        <v>170</v>
      </c>
      <c r="DK415" s="240" t="s">
        <v>477</v>
      </c>
      <c r="DL415" s="189">
        <v>2150</v>
      </c>
      <c r="DM415" s="181">
        <f t="shared" si="362"/>
        <v>402050.00000000006</v>
      </c>
      <c r="DN415" s="446">
        <f t="shared" si="363"/>
        <v>0.10000000000000016</v>
      </c>
      <c r="DO415" s="160">
        <f t="shared" si="364"/>
        <v>365500</v>
      </c>
      <c r="DP415" s="159">
        <v>45954</v>
      </c>
      <c r="DQ415" s="152">
        <f>SUMIF($I:$I,I415,$DJ:$DJ)</f>
        <v>170</v>
      </c>
      <c r="DR415" s="152">
        <f>SUMIF($I:$I,I415,$DK:$DK)</f>
        <v>0</v>
      </c>
      <c r="EO415" s="152">
        <f>SUMIF($I:$I,I415,$EC:$EC)</f>
        <v>0</v>
      </c>
      <c r="EP415" s="151">
        <f>SUMIF($I:$I,I415,$ED:$ED)</f>
        <v>0</v>
      </c>
      <c r="EQ415" s="153"/>
      <c r="ER415" s="153"/>
      <c r="ES415" s="153"/>
      <c r="ET415" s="153"/>
      <c r="EU415" s="152">
        <f t="shared" si="356"/>
        <v>170</v>
      </c>
      <c r="EV415" s="152">
        <f t="shared" si="357"/>
        <v>0</v>
      </c>
      <c r="EW415" s="152">
        <f t="shared" si="358"/>
        <v>0</v>
      </c>
      <c r="EX415" s="152">
        <f t="shared" si="359"/>
        <v>0</v>
      </c>
      <c r="EY415" s="151" t="str">
        <f t="shared" si="360"/>
        <v>Đủ</v>
      </c>
    </row>
    <row r="416" spans="1:155" s="155" customFormat="1" ht="14" hidden="1" customHeight="1">
      <c r="A416" s="208" t="str">
        <f t="shared" si="361"/>
        <v>Hiện</v>
      </c>
      <c r="B416" s="151" t="str">
        <f t="shared" si="343"/>
        <v>Đủ</v>
      </c>
      <c r="C416" s="409">
        <f t="shared" si="341"/>
        <v>0</v>
      </c>
      <c r="D416" s="154"/>
      <c r="E416" s="154">
        <f>C416*DL416*1.1</f>
        <v>0</v>
      </c>
      <c r="F416" s="154"/>
      <c r="G416" s="151"/>
      <c r="H416" s="364"/>
      <c r="I416" s="171" t="s">
        <v>967</v>
      </c>
      <c r="J416" s="164" t="s">
        <v>922</v>
      </c>
      <c r="K416" s="171" t="s">
        <v>968</v>
      </c>
      <c r="L416" s="171" t="s">
        <v>969</v>
      </c>
      <c r="M416" s="163" t="s">
        <v>345</v>
      </c>
      <c r="N416" s="173">
        <v>0</v>
      </c>
      <c r="O416" s="419">
        <v>320</v>
      </c>
      <c r="P416" s="205"/>
      <c r="S416" s="161"/>
      <c r="T416" s="162"/>
      <c r="U416" s="162"/>
      <c r="V416" s="162"/>
      <c r="W416" s="162"/>
      <c r="X416" s="162"/>
      <c r="Y416" s="162"/>
      <c r="Z416" s="162"/>
      <c r="AA416" s="162"/>
      <c r="AB416" s="162"/>
      <c r="AC416" s="162"/>
      <c r="AD416" s="162"/>
      <c r="AE416" s="162"/>
      <c r="AF416" s="162"/>
      <c r="AG416" s="162"/>
      <c r="AH416" s="162"/>
      <c r="AI416" s="162"/>
      <c r="AJ416" s="162"/>
      <c r="AK416" s="162">
        <v>340</v>
      </c>
      <c r="AL416" s="162">
        <v>0</v>
      </c>
      <c r="AM416" s="162"/>
      <c r="AN416" s="162"/>
      <c r="AO416" s="162">
        <v>0</v>
      </c>
      <c r="AP416" s="162">
        <v>0</v>
      </c>
      <c r="AQ416" s="162">
        <v>0</v>
      </c>
      <c r="AR416" s="162">
        <v>0</v>
      </c>
      <c r="AS416" s="162">
        <v>0</v>
      </c>
      <c r="AT416" s="162">
        <v>0</v>
      </c>
      <c r="AU416" s="162">
        <v>0</v>
      </c>
      <c r="AV416" s="162">
        <v>0</v>
      </c>
      <c r="AW416" s="162">
        <v>0</v>
      </c>
      <c r="AX416" s="162">
        <v>0</v>
      </c>
      <c r="AY416" s="162">
        <v>0</v>
      </c>
      <c r="AZ416" s="162">
        <v>0</v>
      </c>
      <c r="BA416" s="162"/>
      <c r="BB416" s="162"/>
      <c r="BC416" s="162">
        <v>0</v>
      </c>
      <c r="BD416" s="162">
        <v>0</v>
      </c>
      <c r="BE416" s="162">
        <v>0</v>
      </c>
      <c r="BF416" s="162">
        <v>0</v>
      </c>
      <c r="BG416" s="162">
        <v>0</v>
      </c>
      <c r="BH416" s="162">
        <v>0</v>
      </c>
      <c r="BI416" s="162">
        <v>0</v>
      </c>
      <c r="BJ416" s="162">
        <v>0</v>
      </c>
      <c r="BK416" s="162">
        <v>0</v>
      </c>
      <c r="BL416" s="162">
        <v>0</v>
      </c>
      <c r="BM416" s="162">
        <v>0</v>
      </c>
      <c r="BN416" s="162">
        <v>0</v>
      </c>
      <c r="BO416" s="162"/>
      <c r="BP416" s="162"/>
      <c r="BQ416" s="162">
        <v>0</v>
      </c>
      <c r="BR416" s="162">
        <v>0</v>
      </c>
      <c r="BS416" s="162">
        <v>0</v>
      </c>
      <c r="BT416" s="162">
        <v>0</v>
      </c>
      <c r="BU416" s="162">
        <v>0</v>
      </c>
      <c r="BV416" s="162">
        <v>0</v>
      </c>
      <c r="BW416" s="162"/>
      <c r="BX416" s="162"/>
      <c r="BY416" s="162">
        <v>0</v>
      </c>
      <c r="BZ416" s="162">
        <v>0</v>
      </c>
      <c r="CA416" s="162">
        <v>0</v>
      </c>
      <c r="CB416" s="162">
        <v>0</v>
      </c>
      <c r="CC416" s="162">
        <v>0</v>
      </c>
      <c r="CD416" s="162">
        <v>0</v>
      </c>
      <c r="CE416" s="162">
        <f>VLOOKUP(I416,[120]REV33!$A:$O,11,0)</f>
        <v>0</v>
      </c>
      <c r="CF416" s="162">
        <f>VLOOKUP(I416,[120]REV33!$A:$O,12,0)</f>
        <v>0</v>
      </c>
      <c r="CG416" s="162"/>
      <c r="CH416" s="162"/>
      <c r="CI416" s="162"/>
      <c r="CJ416" s="162"/>
      <c r="CK416" s="162"/>
      <c r="CL416" s="162"/>
      <c r="CM416" s="162"/>
      <c r="CN416" s="162"/>
      <c r="CO416" s="162">
        <v>0</v>
      </c>
      <c r="CP416" s="162">
        <v>0</v>
      </c>
      <c r="CQ416" s="162">
        <v>0</v>
      </c>
      <c r="CR416" s="162">
        <v>0</v>
      </c>
      <c r="CS416" s="209">
        <f>Q416+S416+U416+W416+Y416+AA416+AC416+AE416+AG416+AI416+AK416+AM416+AO416+AQ416+AS416+AU416+AW416+AY416+BA416+BC416+BE416+BG416+BI416+BK416+BM416+BO416+BQ416+BS416+BU416+BW416+BY416+CA416+CC416+CE416+CG416+CI416+CK416+CM416+CO416+CQ416</f>
        <v>340</v>
      </c>
      <c r="CT416" s="209">
        <f>R416+T416+V416+X416+Z416+AB416+AD416+AF416+AH416+AJ416+AL416+AN416+AP416+AR416+AT416+AV416+AX416+AZ416+BB416+BD416+BF416+BH416+BJ416+BL416+BN416+BP416+BR416+BT416+BV416+BX416+BZ416+CB416+CD416+CF416+CH416+CJ416+CL416+CN416+CP416+CR416</f>
        <v>0</v>
      </c>
      <c r="CU416" s="206" t="s">
        <v>1000</v>
      </c>
      <c r="CV416" s="156"/>
      <c r="CZ416" s="157"/>
      <c r="DA416" s="152">
        <f t="shared" si="354"/>
        <v>340</v>
      </c>
      <c r="DB416" s="152" t="str">
        <f t="shared" si="355"/>
        <v>0</v>
      </c>
      <c r="DC416" s="153"/>
      <c r="DD416" s="158" t="s">
        <v>2212</v>
      </c>
      <c r="DE416" s="156" t="s">
        <v>435</v>
      </c>
      <c r="DF416" s="174" t="s">
        <v>1280</v>
      </c>
      <c r="DG416" s="175" t="s">
        <v>1272</v>
      </c>
      <c r="DH416" s="240" t="s">
        <v>477</v>
      </c>
      <c r="DI416" s="187">
        <v>45940</v>
      </c>
      <c r="DJ416" s="429">
        <v>340</v>
      </c>
      <c r="DK416" s="240" t="s">
        <v>477</v>
      </c>
      <c r="DL416" s="189">
        <v>4040</v>
      </c>
      <c r="DM416" s="181">
        <f t="shared" si="362"/>
        <v>1510960.0000000002</v>
      </c>
      <c r="DN416" s="446">
        <f t="shared" si="363"/>
        <v>0.10000000000000017</v>
      </c>
      <c r="DO416" s="160">
        <f t="shared" si="364"/>
        <v>1373600</v>
      </c>
      <c r="DP416" s="159">
        <v>45954</v>
      </c>
      <c r="DQ416" s="152">
        <f>SUMIF($I:$I,I416,$DJ:$DJ)</f>
        <v>340</v>
      </c>
      <c r="DR416" s="152">
        <f>SUMIF($I:$I,I416,$DK:$DK)</f>
        <v>0</v>
      </c>
      <c r="EO416" s="152">
        <f>SUMIF($I:$I,I416,$EC:$EC)</f>
        <v>0</v>
      </c>
      <c r="EP416" s="151">
        <f>SUMIF($I:$I,I416,$ED:$ED)</f>
        <v>0</v>
      </c>
      <c r="EQ416" s="153"/>
      <c r="ER416" s="153"/>
      <c r="ES416" s="153"/>
      <c r="ET416" s="153"/>
      <c r="EU416" s="152">
        <f t="shared" si="356"/>
        <v>340</v>
      </c>
      <c r="EV416" s="152">
        <f t="shared" si="357"/>
        <v>0</v>
      </c>
      <c r="EW416" s="152">
        <f t="shared" si="358"/>
        <v>0</v>
      </c>
      <c r="EX416" s="152">
        <f t="shared" si="359"/>
        <v>0</v>
      </c>
      <c r="EY416" s="151" t="str">
        <f t="shared" si="360"/>
        <v>Đủ</v>
      </c>
    </row>
    <row r="417" spans="1:155" s="155" customFormat="1" ht="14" hidden="1" customHeight="1">
      <c r="A417" s="208" t="str">
        <f t="shared" si="361"/>
        <v>Hiện</v>
      </c>
      <c r="B417" s="151" t="str">
        <f t="shared" si="343"/>
        <v>Đủ</v>
      </c>
      <c r="C417" s="409">
        <f t="shared" si="341"/>
        <v>0</v>
      </c>
      <c r="D417" s="154"/>
      <c r="E417" s="154">
        <f>C417*DL417*1.1</f>
        <v>0</v>
      </c>
      <c r="F417" s="154"/>
      <c r="G417" s="151"/>
      <c r="H417" s="364"/>
      <c r="I417" s="171" t="s">
        <v>970</v>
      </c>
      <c r="J417" s="164" t="s">
        <v>922</v>
      </c>
      <c r="K417" s="171" t="s">
        <v>971</v>
      </c>
      <c r="L417" s="171" t="s">
        <v>972</v>
      </c>
      <c r="M417" s="163" t="s">
        <v>345</v>
      </c>
      <c r="N417" s="173">
        <v>0</v>
      </c>
      <c r="O417" s="419">
        <v>160</v>
      </c>
      <c r="P417" s="205"/>
      <c r="S417" s="161"/>
      <c r="T417" s="162"/>
      <c r="U417" s="162"/>
      <c r="V417" s="162"/>
      <c r="W417" s="162"/>
      <c r="X417" s="162"/>
      <c r="Y417" s="162"/>
      <c r="Z417" s="162"/>
      <c r="AA417" s="162"/>
      <c r="AB417" s="162"/>
      <c r="AC417" s="162"/>
      <c r="AD417" s="162"/>
      <c r="AE417" s="162"/>
      <c r="AF417" s="162"/>
      <c r="AG417" s="162"/>
      <c r="AH417" s="162"/>
      <c r="AI417" s="162"/>
      <c r="AJ417" s="162"/>
      <c r="AK417" s="162">
        <v>170</v>
      </c>
      <c r="AL417" s="162">
        <v>0</v>
      </c>
      <c r="AM417" s="162"/>
      <c r="AN417" s="162"/>
      <c r="AO417" s="162">
        <v>0</v>
      </c>
      <c r="AP417" s="162">
        <v>0</v>
      </c>
      <c r="AQ417" s="162">
        <v>0</v>
      </c>
      <c r="AR417" s="162">
        <v>0</v>
      </c>
      <c r="AS417" s="162">
        <v>0</v>
      </c>
      <c r="AT417" s="162">
        <v>0</v>
      </c>
      <c r="AU417" s="162">
        <v>0</v>
      </c>
      <c r="AV417" s="162">
        <v>0</v>
      </c>
      <c r="AW417" s="162">
        <v>0</v>
      </c>
      <c r="AX417" s="162">
        <v>0</v>
      </c>
      <c r="AY417" s="162">
        <v>0</v>
      </c>
      <c r="AZ417" s="162">
        <v>0</v>
      </c>
      <c r="BA417" s="162"/>
      <c r="BB417" s="162"/>
      <c r="BC417" s="162">
        <v>0</v>
      </c>
      <c r="BD417" s="162">
        <v>0</v>
      </c>
      <c r="BE417" s="162">
        <v>0</v>
      </c>
      <c r="BF417" s="162">
        <v>0</v>
      </c>
      <c r="BG417" s="162">
        <v>0</v>
      </c>
      <c r="BH417" s="162">
        <v>0</v>
      </c>
      <c r="BI417" s="162">
        <v>0</v>
      </c>
      <c r="BJ417" s="162">
        <v>0</v>
      </c>
      <c r="BK417" s="162">
        <v>0</v>
      </c>
      <c r="BL417" s="162">
        <v>0</v>
      </c>
      <c r="BM417" s="162">
        <v>0</v>
      </c>
      <c r="BN417" s="162">
        <v>0</v>
      </c>
      <c r="BO417" s="162"/>
      <c r="BP417" s="162"/>
      <c r="BQ417" s="162">
        <v>0</v>
      </c>
      <c r="BR417" s="162">
        <v>0</v>
      </c>
      <c r="BS417" s="162">
        <v>0</v>
      </c>
      <c r="BT417" s="162">
        <v>0</v>
      </c>
      <c r="BU417" s="162">
        <v>0</v>
      </c>
      <c r="BV417" s="162">
        <v>0</v>
      </c>
      <c r="BW417" s="162"/>
      <c r="BX417" s="162"/>
      <c r="BY417" s="162">
        <v>0</v>
      </c>
      <c r="BZ417" s="162">
        <v>0</v>
      </c>
      <c r="CA417" s="162">
        <v>0</v>
      </c>
      <c r="CB417" s="162">
        <v>0</v>
      </c>
      <c r="CC417" s="162">
        <v>0</v>
      </c>
      <c r="CD417" s="162">
        <v>0</v>
      </c>
      <c r="CE417" s="162">
        <f>VLOOKUP(I417,[120]REV33!$A:$O,11,0)</f>
        <v>0</v>
      </c>
      <c r="CF417" s="162">
        <f>VLOOKUP(I417,[120]REV33!$A:$O,12,0)</f>
        <v>0</v>
      </c>
      <c r="CG417" s="162"/>
      <c r="CH417" s="162"/>
      <c r="CI417" s="162"/>
      <c r="CJ417" s="162"/>
      <c r="CK417" s="162"/>
      <c r="CL417" s="162"/>
      <c r="CM417" s="162"/>
      <c r="CN417" s="162"/>
      <c r="CO417" s="162">
        <v>0</v>
      </c>
      <c r="CP417" s="162">
        <v>0</v>
      </c>
      <c r="CQ417" s="162">
        <v>0</v>
      </c>
      <c r="CR417" s="162">
        <v>0</v>
      </c>
      <c r="CS417" s="209">
        <f>Q417+S417+U417+W417+Y417+AA417+AC417+AE417+AG417+AI417+AK417+AM417+AO417+AQ417+AS417+AU417+AW417+AY417+BA417+BC417+BE417+BG417+BI417+BK417+BM417+BO417+BQ417+BS417+BU417+BW417+BY417+CA417+CC417+CE417+CG417+CI417+CK417+CM417+CO417+CQ417</f>
        <v>170</v>
      </c>
      <c r="CT417" s="209">
        <f>R417+T417+V417+X417+Z417+AB417+AD417+AF417+AH417+AJ417+AL417+AN417+AP417+AR417+AT417+AV417+AX417+AZ417+BB417+BD417+BF417+BH417+BJ417+BL417+BN417+BP417+BR417+BT417+BV417+BX417+BZ417+CB417+CD417+CF417+CH417+CJ417+CL417+CN417+CP417+CR417</f>
        <v>0</v>
      </c>
      <c r="CU417" s="206" t="s">
        <v>1000</v>
      </c>
      <c r="CV417" s="156"/>
      <c r="CZ417" s="157"/>
      <c r="DA417" s="152">
        <f t="shared" si="354"/>
        <v>170</v>
      </c>
      <c r="DB417" s="152" t="str">
        <f t="shared" si="355"/>
        <v>0</v>
      </c>
      <c r="DC417" s="153"/>
      <c r="DD417" s="158" t="s">
        <v>2212</v>
      </c>
      <c r="DE417" s="156" t="s">
        <v>435</v>
      </c>
      <c r="DF417" s="174" t="s">
        <v>1281</v>
      </c>
      <c r="DG417" s="175" t="s">
        <v>1282</v>
      </c>
      <c r="DH417" s="240" t="s">
        <v>477</v>
      </c>
      <c r="DI417" s="187">
        <v>45940</v>
      </c>
      <c r="DJ417" s="429">
        <v>170</v>
      </c>
      <c r="DK417" s="240" t="s">
        <v>477</v>
      </c>
      <c r="DL417" s="189">
        <v>8000</v>
      </c>
      <c r="DM417" s="181">
        <f t="shared" si="362"/>
        <v>1496000.0000000002</v>
      </c>
      <c r="DN417" s="446">
        <f t="shared" si="363"/>
        <v>0.10000000000000017</v>
      </c>
      <c r="DO417" s="160">
        <f t="shared" si="364"/>
        <v>1360000</v>
      </c>
      <c r="DP417" s="159">
        <v>45954</v>
      </c>
      <c r="DQ417" s="152">
        <f>SUMIF($I:$I,I417,$DJ:$DJ)</f>
        <v>170</v>
      </c>
      <c r="DR417" s="152">
        <f>SUMIF($I:$I,I417,$DK:$DK)</f>
        <v>0</v>
      </c>
      <c r="EO417" s="152">
        <f>SUMIF($I:$I,I417,$EC:$EC)</f>
        <v>0</v>
      </c>
      <c r="EP417" s="151">
        <f>SUMIF($I:$I,I417,$ED:$ED)</f>
        <v>0</v>
      </c>
      <c r="EQ417" s="153"/>
      <c r="ER417" s="153"/>
      <c r="ES417" s="153"/>
      <c r="ET417" s="153"/>
      <c r="EU417" s="152">
        <f t="shared" si="356"/>
        <v>170</v>
      </c>
      <c r="EV417" s="152">
        <f t="shared" si="357"/>
        <v>0</v>
      </c>
      <c r="EW417" s="152">
        <f t="shared" si="358"/>
        <v>0</v>
      </c>
      <c r="EX417" s="152">
        <f t="shared" si="359"/>
        <v>0</v>
      </c>
      <c r="EY417" s="151" t="str">
        <f t="shared" si="360"/>
        <v>Đủ</v>
      </c>
    </row>
    <row r="418" spans="1:155" s="155" customFormat="1" ht="14" hidden="1" customHeight="1">
      <c r="A418" s="208" t="str">
        <f t="shared" si="361"/>
        <v>Hiện</v>
      </c>
      <c r="B418" s="151" t="str">
        <f t="shared" si="343"/>
        <v>Đủ</v>
      </c>
      <c r="C418" s="409">
        <f t="shared" si="341"/>
        <v>0</v>
      </c>
      <c r="D418" s="154"/>
      <c r="E418" s="154">
        <f>C418*DL418*1.1</f>
        <v>0</v>
      </c>
      <c r="F418" s="154"/>
      <c r="G418" s="151"/>
      <c r="H418" s="364"/>
      <c r="I418" s="171" t="s">
        <v>973</v>
      </c>
      <c r="J418" s="164" t="s">
        <v>922</v>
      </c>
      <c r="K418" s="171" t="s">
        <v>974</v>
      </c>
      <c r="L418" s="171" t="s">
        <v>938</v>
      </c>
      <c r="M418" s="163" t="s">
        <v>345</v>
      </c>
      <c r="N418" s="173">
        <v>0</v>
      </c>
      <c r="O418" s="419">
        <v>4064</v>
      </c>
      <c r="P418" s="205"/>
      <c r="S418" s="161"/>
      <c r="T418" s="162"/>
      <c r="U418" s="162"/>
      <c r="V418" s="162"/>
      <c r="W418" s="162"/>
      <c r="X418" s="162"/>
      <c r="Y418" s="162"/>
      <c r="Z418" s="162"/>
      <c r="AA418" s="162"/>
      <c r="AB418" s="162"/>
      <c r="AC418" s="162"/>
      <c r="AD418" s="162"/>
      <c r="AE418" s="162"/>
      <c r="AF418" s="162"/>
      <c r="AG418" s="162"/>
      <c r="AH418" s="162"/>
      <c r="AI418" s="162"/>
      <c r="AJ418" s="162"/>
      <c r="AK418" s="162">
        <v>4276</v>
      </c>
      <c r="AL418" s="162">
        <v>0</v>
      </c>
      <c r="AM418" s="162"/>
      <c r="AN418" s="162"/>
      <c r="AO418" s="162">
        <v>0</v>
      </c>
      <c r="AP418" s="162">
        <v>0</v>
      </c>
      <c r="AQ418" s="162">
        <v>0</v>
      </c>
      <c r="AR418" s="162">
        <v>0</v>
      </c>
      <c r="AS418" s="162">
        <v>0</v>
      </c>
      <c r="AT418" s="162">
        <v>0</v>
      </c>
      <c r="AU418" s="162">
        <v>0</v>
      </c>
      <c r="AV418" s="162">
        <v>0</v>
      </c>
      <c r="AW418" s="162">
        <v>0</v>
      </c>
      <c r="AX418" s="162">
        <v>0</v>
      </c>
      <c r="AY418" s="162">
        <v>0</v>
      </c>
      <c r="AZ418" s="162">
        <v>0</v>
      </c>
      <c r="BA418" s="162"/>
      <c r="BB418" s="162"/>
      <c r="BC418" s="162">
        <v>0</v>
      </c>
      <c r="BD418" s="162">
        <v>0</v>
      </c>
      <c r="BE418" s="162">
        <v>0</v>
      </c>
      <c r="BF418" s="162">
        <v>0</v>
      </c>
      <c r="BG418" s="162">
        <v>0</v>
      </c>
      <c r="BH418" s="162">
        <v>0</v>
      </c>
      <c r="BI418" s="162">
        <v>0</v>
      </c>
      <c r="BJ418" s="162">
        <v>0</v>
      </c>
      <c r="BK418" s="162">
        <v>0</v>
      </c>
      <c r="BL418" s="162">
        <v>0</v>
      </c>
      <c r="BM418" s="162">
        <v>0</v>
      </c>
      <c r="BN418" s="162">
        <v>0</v>
      </c>
      <c r="BO418" s="162"/>
      <c r="BP418" s="162"/>
      <c r="BQ418" s="162">
        <v>0</v>
      </c>
      <c r="BR418" s="162">
        <v>0</v>
      </c>
      <c r="BS418" s="162">
        <v>0</v>
      </c>
      <c r="BT418" s="162">
        <v>0</v>
      </c>
      <c r="BU418" s="162">
        <v>0</v>
      </c>
      <c r="BV418" s="162">
        <v>0</v>
      </c>
      <c r="BW418" s="162"/>
      <c r="BX418" s="162"/>
      <c r="BY418" s="162">
        <v>0</v>
      </c>
      <c r="BZ418" s="162">
        <v>0</v>
      </c>
      <c r="CA418" s="162">
        <v>0</v>
      </c>
      <c r="CB418" s="162">
        <v>0</v>
      </c>
      <c r="CC418" s="162">
        <v>0</v>
      </c>
      <c r="CD418" s="162">
        <v>0</v>
      </c>
      <c r="CE418" s="162">
        <f>VLOOKUP(I418,[120]REV33!$A:$O,11,0)</f>
        <v>0</v>
      </c>
      <c r="CF418" s="162">
        <f>VLOOKUP(I418,[120]REV33!$A:$O,12,0)</f>
        <v>0</v>
      </c>
      <c r="CG418" s="162"/>
      <c r="CH418" s="162"/>
      <c r="CI418" s="162"/>
      <c r="CJ418" s="162"/>
      <c r="CK418" s="162"/>
      <c r="CL418" s="162"/>
      <c r="CM418" s="162"/>
      <c r="CN418" s="162"/>
      <c r="CO418" s="162">
        <v>0</v>
      </c>
      <c r="CP418" s="162">
        <v>0</v>
      </c>
      <c r="CQ418" s="162">
        <v>0</v>
      </c>
      <c r="CR418" s="162">
        <v>0</v>
      </c>
      <c r="CS418" s="209">
        <f>Q418+S418+U418+W418+Y418+AA418+AC418+AE418+AG418+AI418+AK418+AM418+AO418+AQ418+AS418+AU418+AW418+AY418+BA418+BC418+BE418+BG418+BI418+BK418+BM418+BO418+BQ418+BS418+BU418+BW418+BY418+CA418+CC418+CE418+CG418+CI418+CK418+CM418+CO418+CQ418</f>
        <v>4276</v>
      </c>
      <c r="CT418" s="209">
        <f>R418+T418+V418+X418+Z418+AB418+AD418+AF418+AH418+AJ418+AL418+AN418+AP418+AR418+AT418+AV418+AX418+AZ418+BB418+BD418+BF418+BH418+BJ418+BL418+BN418+BP418+BR418+BT418+BV418+BX418+BZ418+CB418+CD418+CF418+CH418+CJ418+CL418+CN418+CP418+CR418</f>
        <v>0</v>
      </c>
      <c r="CU418" s="206" t="s">
        <v>1000</v>
      </c>
      <c r="CV418" s="156"/>
      <c r="CZ418" s="157"/>
      <c r="DA418" s="152">
        <f t="shared" si="354"/>
        <v>4276</v>
      </c>
      <c r="DB418" s="152" t="str">
        <f t="shared" si="355"/>
        <v>0</v>
      </c>
      <c r="DC418" s="153"/>
      <c r="DD418" s="158" t="s">
        <v>2212</v>
      </c>
      <c r="DE418" s="156" t="s">
        <v>435</v>
      </c>
      <c r="DF418" s="174" t="s">
        <v>1280</v>
      </c>
      <c r="DG418" s="175" t="s">
        <v>1272</v>
      </c>
      <c r="DH418" s="240" t="s">
        <v>477</v>
      </c>
      <c r="DI418" s="187">
        <v>45940</v>
      </c>
      <c r="DJ418" s="429">
        <v>4276</v>
      </c>
      <c r="DK418" s="240" t="s">
        <v>477</v>
      </c>
      <c r="DL418" s="189">
        <v>4040</v>
      </c>
      <c r="DM418" s="181">
        <f t="shared" si="362"/>
        <v>19002544</v>
      </c>
      <c r="DN418" s="446">
        <f t="shared" si="363"/>
        <v>0.1</v>
      </c>
      <c r="DO418" s="160">
        <f t="shared" si="364"/>
        <v>17275040</v>
      </c>
      <c r="DP418" s="159">
        <v>45954</v>
      </c>
      <c r="DQ418" s="152">
        <f>SUMIF($I:$I,I418,$DJ:$DJ)</f>
        <v>4276</v>
      </c>
      <c r="DR418" s="152">
        <f>SUMIF($I:$I,I418,$DK:$DK)</f>
        <v>0</v>
      </c>
      <c r="EO418" s="152">
        <f>SUMIF($I:$I,I418,$EC:$EC)</f>
        <v>0</v>
      </c>
      <c r="EP418" s="151">
        <f>SUMIF($I:$I,I418,$ED:$ED)</f>
        <v>0</v>
      </c>
      <c r="EQ418" s="153"/>
      <c r="ER418" s="153"/>
      <c r="ES418" s="153"/>
      <c r="ET418" s="153"/>
      <c r="EU418" s="152">
        <f t="shared" si="356"/>
        <v>4276</v>
      </c>
      <c r="EV418" s="152">
        <f t="shared" si="357"/>
        <v>0</v>
      </c>
      <c r="EW418" s="152">
        <f t="shared" si="358"/>
        <v>0</v>
      </c>
      <c r="EX418" s="152">
        <f t="shared" si="359"/>
        <v>0</v>
      </c>
      <c r="EY418" s="151" t="str">
        <f t="shared" si="360"/>
        <v>Đủ</v>
      </c>
    </row>
    <row r="419" spans="1:155" s="155" customFormat="1" ht="14" hidden="1" customHeight="1">
      <c r="A419" s="208" t="str">
        <f t="shared" si="361"/>
        <v>Hiện</v>
      </c>
      <c r="B419" s="151" t="str">
        <f t="shared" si="343"/>
        <v>Đủ</v>
      </c>
      <c r="C419" s="409">
        <f t="shared" si="341"/>
        <v>0</v>
      </c>
      <c r="D419" s="154"/>
      <c r="E419" s="154">
        <f>C419*DL419*1.1</f>
        <v>0</v>
      </c>
      <c r="F419" s="154"/>
      <c r="G419" s="151"/>
      <c r="H419" s="364"/>
      <c r="I419" s="171" t="s">
        <v>975</v>
      </c>
      <c r="J419" s="164" t="s">
        <v>922</v>
      </c>
      <c r="K419" s="171" t="s">
        <v>976</v>
      </c>
      <c r="L419" s="171" t="s">
        <v>938</v>
      </c>
      <c r="M419" s="163" t="s">
        <v>345</v>
      </c>
      <c r="N419" s="173">
        <v>0</v>
      </c>
      <c r="O419" s="419">
        <v>1440</v>
      </c>
      <c r="P419" s="205"/>
      <c r="S419" s="161"/>
      <c r="T419" s="162"/>
      <c r="U419" s="162"/>
      <c r="V419" s="162"/>
      <c r="W419" s="162"/>
      <c r="X419" s="162"/>
      <c r="Y419" s="162"/>
      <c r="Z419" s="162"/>
      <c r="AA419" s="162"/>
      <c r="AB419" s="162"/>
      <c r="AC419" s="162"/>
      <c r="AD419" s="162"/>
      <c r="AE419" s="162"/>
      <c r="AF419" s="162"/>
      <c r="AG419" s="162"/>
      <c r="AH419" s="162"/>
      <c r="AI419" s="162"/>
      <c r="AJ419" s="162"/>
      <c r="AK419" s="162">
        <v>1520</v>
      </c>
      <c r="AL419" s="162">
        <v>0</v>
      </c>
      <c r="AM419" s="162"/>
      <c r="AN419" s="162"/>
      <c r="AO419" s="162">
        <v>0</v>
      </c>
      <c r="AP419" s="162">
        <v>0</v>
      </c>
      <c r="AQ419" s="162">
        <v>0</v>
      </c>
      <c r="AR419" s="162">
        <v>0</v>
      </c>
      <c r="AS419" s="162">
        <v>0</v>
      </c>
      <c r="AT419" s="162">
        <v>0</v>
      </c>
      <c r="AU419" s="162">
        <v>0</v>
      </c>
      <c r="AV419" s="162">
        <v>0</v>
      </c>
      <c r="AW419" s="162">
        <v>0</v>
      </c>
      <c r="AX419" s="162">
        <v>0</v>
      </c>
      <c r="AY419" s="162">
        <v>0</v>
      </c>
      <c r="AZ419" s="162">
        <v>0</v>
      </c>
      <c r="BA419" s="162"/>
      <c r="BB419" s="162"/>
      <c r="BC419" s="162">
        <v>0</v>
      </c>
      <c r="BD419" s="162">
        <v>0</v>
      </c>
      <c r="BE419" s="162">
        <v>0</v>
      </c>
      <c r="BF419" s="162">
        <v>0</v>
      </c>
      <c r="BG419" s="162">
        <v>0</v>
      </c>
      <c r="BH419" s="162">
        <v>0</v>
      </c>
      <c r="BI419" s="162">
        <v>0</v>
      </c>
      <c r="BJ419" s="162">
        <v>0</v>
      </c>
      <c r="BK419" s="162">
        <v>0</v>
      </c>
      <c r="BL419" s="162">
        <v>0</v>
      </c>
      <c r="BM419" s="162">
        <v>0</v>
      </c>
      <c r="BN419" s="162">
        <v>0</v>
      </c>
      <c r="BO419" s="162"/>
      <c r="BP419" s="162"/>
      <c r="BQ419" s="162">
        <v>0</v>
      </c>
      <c r="BR419" s="162">
        <v>0</v>
      </c>
      <c r="BS419" s="162">
        <v>0</v>
      </c>
      <c r="BT419" s="162">
        <v>0</v>
      </c>
      <c r="BU419" s="162">
        <v>0</v>
      </c>
      <c r="BV419" s="162">
        <v>0</v>
      </c>
      <c r="BW419" s="162"/>
      <c r="BX419" s="162"/>
      <c r="BY419" s="162">
        <v>0</v>
      </c>
      <c r="BZ419" s="162">
        <v>0</v>
      </c>
      <c r="CA419" s="162">
        <v>0</v>
      </c>
      <c r="CB419" s="162">
        <v>0</v>
      </c>
      <c r="CC419" s="162">
        <v>0</v>
      </c>
      <c r="CD419" s="162">
        <v>0</v>
      </c>
      <c r="CE419" s="162">
        <f>VLOOKUP(I419,[120]REV33!$A:$O,11,0)</f>
        <v>0</v>
      </c>
      <c r="CF419" s="162">
        <f>VLOOKUP(I419,[120]REV33!$A:$O,12,0)</f>
        <v>0</v>
      </c>
      <c r="CG419" s="162"/>
      <c r="CH419" s="162"/>
      <c r="CI419" s="162"/>
      <c r="CJ419" s="162"/>
      <c r="CK419" s="162"/>
      <c r="CL419" s="162"/>
      <c r="CM419" s="162"/>
      <c r="CN419" s="162"/>
      <c r="CO419" s="162">
        <v>0</v>
      </c>
      <c r="CP419" s="162">
        <v>0</v>
      </c>
      <c r="CQ419" s="162">
        <v>0</v>
      </c>
      <c r="CR419" s="162">
        <v>0</v>
      </c>
      <c r="CS419" s="209">
        <f>Q419+S419+U419+W419+Y419+AA419+AC419+AE419+AG419+AI419+AK419+AM419+AO419+AQ419+AS419+AU419+AW419+AY419+BA419+BC419+BE419+BG419+BI419+BK419+BM419+BO419+BQ419+BS419+BU419+BW419+BY419+CA419+CC419+CE419+CG419+CI419+CK419+CM419+CO419+CQ419</f>
        <v>1520</v>
      </c>
      <c r="CT419" s="209">
        <f>R419+T419+V419+X419+Z419+AB419+AD419+AF419+AH419+AJ419+AL419+AN419+AP419+AR419+AT419+AV419+AX419+AZ419+BB419+BD419+BF419+BH419+BJ419+BL419+BN419+BP419+BR419+BT419+BV419+BX419+BZ419+CB419+CD419+CF419+CH419+CJ419+CL419+CN419+CP419+CR419</f>
        <v>0</v>
      </c>
      <c r="CU419" s="206" t="s">
        <v>1000</v>
      </c>
      <c r="CV419" s="156"/>
      <c r="CZ419" s="157"/>
      <c r="DA419" s="152">
        <f t="shared" si="354"/>
        <v>1520</v>
      </c>
      <c r="DB419" s="152" t="str">
        <f t="shared" si="355"/>
        <v>0</v>
      </c>
      <c r="DC419" s="153"/>
      <c r="DD419" s="158" t="s">
        <v>2212</v>
      </c>
      <c r="DE419" s="156" t="s">
        <v>435</v>
      </c>
      <c r="DF419" s="174" t="s">
        <v>1283</v>
      </c>
      <c r="DG419" s="175" t="s">
        <v>1272</v>
      </c>
      <c r="DH419" s="240" t="s">
        <v>477</v>
      </c>
      <c r="DI419" s="187">
        <v>45940</v>
      </c>
      <c r="DJ419" s="429">
        <v>1520</v>
      </c>
      <c r="DK419" s="240" t="s">
        <v>477</v>
      </c>
      <c r="DL419" s="189">
        <v>6700</v>
      </c>
      <c r="DM419" s="181">
        <f t="shared" si="362"/>
        <v>11202400</v>
      </c>
      <c r="DN419" s="446">
        <f t="shared" si="363"/>
        <v>0.1</v>
      </c>
      <c r="DO419" s="160">
        <f t="shared" si="364"/>
        <v>10184000</v>
      </c>
      <c r="DP419" s="159">
        <v>45954</v>
      </c>
      <c r="DQ419" s="152">
        <f>SUMIF($I:$I,I419,$DJ:$DJ)</f>
        <v>1520</v>
      </c>
      <c r="DR419" s="152">
        <f>SUMIF($I:$I,I419,$DK:$DK)</f>
        <v>0</v>
      </c>
      <c r="EO419" s="152">
        <f>SUMIF($I:$I,I419,$EC:$EC)</f>
        <v>0</v>
      </c>
      <c r="EP419" s="151">
        <f>SUMIF($I:$I,I419,$ED:$ED)</f>
        <v>0</v>
      </c>
      <c r="EQ419" s="153"/>
      <c r="ER419" s="153"/>
      <c r="ES419" s="153"/>
      <c r="ET419" s="153"/>
      <c r="EU419" s="152">
        <f t="shared" si="356"/>
        <v>1520</v>
      </c>
      <c r="EV419" s="152">
        <f t="shared" si="357"/>
        <v>0</v>
      </c>
      <c r="EW419" s="152">
        <f t="shared" si="358"/>
        <v>0</v>
      </c>
      <c r="EX419" s="152">
        <f t="shared" si="359"/>
        <v>0</v>
      </c>
      <c r="EY419" s="151" t="str">
        <f t="shared" si="360"/>
        <v>Đủ</v>
      </c>
    </row>
    <row r="420" spans="1:155" s="155" customFormat="1" ht="14" hidden="1" customHeight="1">
      <c r="A420" s="208" t="str">
        <f t="shared" si="361"/>
        <v>Hiện</v>
      </c>
      <c r="B420" s="151" t="str">
        <f t="shared" si="343"/>
        <v>Đủ</v>
      </c>
      <c r="C420" s="409">
        <f t="shared" si="341"/>
        <v>0</v>
      </c>
      <c r="D420" s="154"/>
      <c r="E420" s="154">
        <f>C420*DL420*1.1</f>
        <v>0</v>
      </c>
      <c r="F420" s="154"/>
      <c r="G420" s="151"/>
      <c r="H420" s="364"/>
      <c r="I420" s="171" t="s">
        <v>977</v>
      </c>
      <c r="J420" s="164" t="s">
        <v>922</v>
      </c>
      <c r="K420" s="171" t="s">
        <v>978</v>
      </c>
      <c r="L420" s="171" t="s">
        <v>935</v>
      </c>
      <c r="M420" s="163" t="s">
        <v>345</v>
      </c>
      <c r="N420" s="173">
        <v>0</v>
      </c>
      <c r="O420" s="419">
        <v>160</v>
      </c>
      <c r="P420" s="205"/>
      <c r="S420" s="161"/>
      <c r="T420" s="162"/>
      <c r="U420" s="162"/>
      <c r="V420" s="162"/>
      <c r="W420" s="162"/>
      <c r="X420" s="162"/>
      <c r="Y420" s="162"/>
      <c r="Z420" s="162"/>
      <c r="AA420" s="162"/>
      <c r="AB420" s="162"/>
      <c r="AC420" s="162"/>
      <c r="AD420" s="162"/>
      <c r="AE420" s="162"/>
      <c r="AF420" s="162"/>
      <c r="AG420" s="162"/>
      <c r="AH420" s="162"/>
      <c r="AI420" s="162"/>
      <c r="AJ420" s="162"/>
      <c r="AK420" s="162">
        <v>180</v>
      </c>
      <c r="AL420" s="162">
        <v>0</v>
      </c>
      <c r="AM420" s="162"/>
      <c r="AN420" s="162"/>
      <c r="AO420" s="162">
        <v>0</v>
      </c>
      <c r="AP420" s="162">
        <v>0</v>
      </c>
      <c r="AQ420" s="162">
        <v>0</v>
      </c>
      <c r="AR420" s="162">
        <v>0</v>
      </c>
      <c r="AS420" s="162">
        <v>0</v>
      </c>
      <c r="AT420" s="162">
        <v>0</v>
      </c>
      <c r="AU420" s="162">
        <v>0</v>
      </c>
      <c r="AV420" s="162">
        <v>0</v>
      </c>
      <c r="AW420" s="162">
        <v>0</v>
      </c>
      <c r="AX420" s="162">
        <v>0</v>
      </c>
      <c r="AY420" s="162">
        <v>0</v>
      </c>
      <c r="AZ420" s="162">
        <v>0</v>
      </c>
      <c r="BA420" s="162"/>
      <c r="BB420" s="162"/>
      <c r="BC420" s="162">
        <v>0</v>
      </c>
      <c r="BD420" s="162">
        <v>0</v>
      </c>
      <c r="BE420" s="162">
        <v>0</v>
      </c>
      <c r="BF420" s="162">
        <v>0</v>
      </c>
      <c r="BG420" s="162">
        <v>0</v>
      </c>
      <c r="BH420" s="162">
        <v>0</v>
      </c>
      <c r="BI420" s="162">
        <v>0</v>
      </c>
      <c r="BJ420" s="162">
        <v>0</v>
      </c>
      <c r="BK420" s="162">
        <v>0</v>
      </c>
      <c r="BL420" s="162">
        <v>0</v>
      </c>
      <c r="BM420" s="162">
        <v>0</v>
      </c>
      <c r="BN420" s="162">
        <v>0</v>
      </c>
      <c r="BO420" s="162"/>
      <c r="BP420" s="162"/>
      <c r="BQ420" s="162">
        <v>0</v>
      </c>
      <c r="BR420" s="162">
        <v>0</v>
      </c>
      <c r="BS420" s="162">
        <v>0</v>
      </c>
      <c r="BT420" s="162">
        <v>0</v>
      </c>
      <c r="BU420" s="162">
        <v>0</v>
      </c>
      <c r="BV420" s="162">
        <v>0</v>
      </c>
      <c r="BW420" s="162"/>
      <c r="BX420" s="162"/>
      <c r="BY420" s="162">
        <v>0</v>
      </c>
      <c r="BZ420" s="162">
        <v>0</v>
      </c>
      <c r="CA420" s="162">
        <v>0</v>
      </c>
      <c r="CB420" s="162">
        <v>0</v>
      </c>
      <c r="CC420" s="162">
        <v>0</v>
      </c>
      <c r="CD420" s="162">
        <v>0</v>
      </c>
      <c r="CE420" s="162">
        <f>VLOOKUP(I420,[120]REV33!$A:$O,11,0)</f>
        <v>0</v>
      </c>
      <c r="CF420" s="162">
        <f>VLOOKUP(I420,[120]REV33!$A:$O,12,0)</f>
        <v>0</v>
      </c>
      <c r="CG420" s="162"/>
      <c r="CH420" s="162"/>
      <c r="CI420" s="162"/>
      <c r="CJ420" s="162"/>
      <c r="CK420" s="162"/>
      <c r="CL420" s="162"/>
      <c r="CM420" s="162"/>
      <c r="CN420" s="162"/>
      <c r="CO420" s="162">
        <v>0</v>
      </c>
      <c r="CP420" s="162">
        <v>0</v>
      </c>
      <c r="CQ420" s="162">
        <v>0</v>
      </c>
      <c r="CR420" s="162">
        <v>0</v>
      </c>
      <c r="CS420" s="209">
        <f>Q420+S420+U420+W420+Y420+AA420+AC420+AE420+AG420+AI420+AK420+AM420+AO420+AQ420+AS420+AU420+AW420+AY420+BA420+BC420+BE420+BG420+BI420+BK420+BM420+BO420+BQ420+BS420+BU420+BW420+BY420+CA420+CC420+CE420+CG420+CI420+CK420+CM420+CO420+CQ420</f>
        <v>180</v>
      </c>
      <c r="CT420" s="209">
        <f>R420+T420+V420+X420+Z420+AB420+AD420+AF420+AH420+AJ420+AL420+AN420+AP420+AR420+AT420+AV420+AX420+AZ420+BB420+BD420+BF420+BH420+BJ420+BL420+BN420+BP420+BR420+BT420+BV420+BX420+BZ420+CB420+CD420+CF420+CH420+CJ420+CL420+CN420+CP420+CR420</f>
        <v>0</v>
      </c>
      <c r="CU420" s="206" t="s">
        <v>1000</v>
      </c>
      <c r="CV420" s="156"/>
      <c r="CZ420" s="157"/>
      <c r="DA420" s="152">
        <f t="shared" si="354"/>
        <v>180</v>
      </c>
      <c r="DB420" s="152" t="str">
        <f t="shared" si="355"/>
        <v>0</v>
      </c>
      <c r="DC420" s="153"/>
      <c r="DD420" s="158" t="s">
        <v>2212</v>
      </c>
      <c r="DE420" s="156" t="s">
        <v>435</v>
      </c>
      <c r="DF420" s="174" t="s">
        <v>1284</v>
      </c>
      <c r="DG420" s="175" t="s">
        <v>1285</v>
      </c>
      <c r="DH420" s="240" t="s">
        <v>477</v>
      </c>
      <c r="DI420" s="187">
        <v>45940</v>
      </c>
      <c r="DJ420" s="429">
        <v>180</v>
      </c>
      <c r="DK420" s="240" t="s">
        <v>477</v>
      </c>
      <c r="DL420" s="189">
        <v>1000</v>
      </c>
      <c r="DM420" s="181">
        <f t="shared" si="362"/>
        <v>198000.00000000003</v>
      </c>
      <c r="DN420" s="446">
        <f t="shared" si="363"/>
        <v>0.10000000000000016</v>
      </c>
      <c r="DO420" s="160">
        <f t="shared" si="364"/>
        <v>180000</v>
      </c>
      <c r="DP420" s="159">
        <v>45954</v>
      </c>
      <c r="DQ420" s="152">
        <f>SUMIF($I:$I,I420,$DJ:$DJ)</f>
        <v>180</v>
      </c>
      <c r="DR420" s="152">
        <f>SUMIF($I:$I,I420,$DK:$DK)</f>
        <v>0</v>
      </c>
      <c r="EO420" s="152">
        <f>SUMIF($I:$I,I420,$EC:$EC)</f>
        <v>0</v>
      </c>
      <c r="EP420" s="151">
        <f>SUMIF($I:$I,I420,$ED:$ED)</f>
        <v>0</v>
      </c>
      <c r="EQ420" s="153"/>
      <c r="ER420" s="153"/>
      <c r="ES420" s="153"/>
      <c r="ET420" s="153"/>
      <c r="EU420" s="152">
        <f t="shared" si="356"/>
        <v>180</v>
      </c>
      <c r="EV420" s="152">
        <f t="shared" si="357"/>
        <v>0</v>
      </c>
      <c r="EW420" s="152">
        <f t="shared" si="358"/>
        <v>0</v>
      </c>
      <c r="EX420" s="152">
        <f t="shared" si="359"/>
        <v>0</v>
      </c>
      <c r="EY420" s="151" t="str">
        <f t="shared" si="360"/>
        <v>Đủ</v>
      </c>
    </row>
    <row r="421" spans="1:155" s="155" customFormat="1" ht="14" hidden="1" customHeight="1">
      <c r="A421" s="208" t="str">
        <f t="shared" si="361"/>
        <v>Hiện</v>
      </c>
      <c r="B421" s="151" t="str">
        <f t="shared" si="343"/>
        <v>Đủ</v>
      </c>
      <c r="C421" s="409">
        <f t="shared" si="341"/>
        <v>0</v>
      </c>
      <c r="D421" s="154"/>
      <c r="E421" s="154">
        <f>C421*DL421*1.1</f>
        <v>0</v>
      </c>
      <c r="F421" s="154"/>
      <c r="G421" s="151"/>
      <c r="H421" s="364"/>
      <c r="I421" s="171" t="s">
        <v>979</v>
      </c>
      <c r="J421" s="164" t="s">
        <v>922</v>
      </c>
      <c r="K421" s="171" t="s">
        <v>980</v>
      </c>
      <c r="L421" s="171" t="s">
        <v>938</v>
      </c>
      <c r="M421" s="163" t="s">
        <v>345</v>
      </c>
      <c r="N421" s="173">
        <v>0</v>
      </c>
      <c r="O421" s="419">
        <v>88</v>
      </c>
      <c r="P421" s="205"/>
      <c r="S421" s="161"/>
      <c r="T421" s="162"/>
      <c r="U421" s="162"/>
      <c r="V421" s="162"/>
      <c r="W421" s="162"/>
      <c r="X421" s="162"/>
      <c r="Y421" s="162"/>
      <c r="Z421" s="162"/>
      <c r="AA421" s="162"/>
      <c r="AB421" s="162"/>
      <c r="AC421" s="162"/>
      <c r="AD421" s="162"/>
      <c r="AE421" s="162"/>
      <c r="AF421" s="162"/>
      <c r="AG421" s="162"/>
      <c r="AH421" s="162"/>
      <c r="AI421" s="162"/>
      <c r="AJ421" s="162"/>
      <c r="AK421" s="162">
        <v>92</v>
      </c>
      <c r="AL421" s="162">
        <v>0</v>
      </c>
      <c r="AM421" s="162"/>
      <c r="AN421" s="162"/>
      <c r="AO421" s="162">
        <v>0</v>
      </c>
      <c r="AP421" s="162">
        <v>0</v>
      </c>
      <c r="AQ421" s="162">
        <v>0</v>
      </c>
      <c r="AR421" s="162">
        <v>0</v>
      </c>
      <c r="AS421" s="162">
        <v>0</v>
      </c>
      <c r="AT421" s="162">
        <v>0</v>
      </c>
      <c r="AU421" s="162">
        <v>0</v>
      </c>
      <c r="AV421" s="162">
        <v>0</v>
      </c>
      <c r="AW421" s="162">
        <v>0</v>
      </c>
      <c r="AX421" s="162">
        <v>0</v>
      </c>
      <c r="AY421" s="162">
        <v>0</v>
      </c>
      <c r="AZ421" s="162">
        <v>0</v>
      </c>
      <c r="BA421" s="162"/>
      <c r="BB421" s="162"/>
      <c r="BC421" s="162">
        <v>0</v>
      </c>
      <c r="BD421" s="162">
        <v>0</v>
      </c>
      <c r="BE421" s="162">
        <v>0</v>
      </c>
      <c r="BF421" s="162">
        <v>0</v>
      </c>
      <c r="BG421" s="162">
        <v>0</v>
      </c>
      <c r="BH421" s="162">
        <v>0</v>
      </c>
      <c r="BI421" s="162">
        <v>0</v>
      </c>
      <c r="BJ421" s="162">
        <v>0</v>
      </c>
      <c r="BK421" s="162">
        <v>0</v>
      </c>
      <c r="BL421" s="162">
        <v>0</v>
      </c>
      <c r="BM421" s="162">
        <v>0</v>
      </c>
      <c r="BN421" s="162">
        <v>0</v>
      </c>
      <c r="BO421" s="162"/>
      <c r="BP421" s="162"/>
      <c r="BQ421" s="162">
        <v>0</v>
      </c>
      <c r="BR421" s="162">
        <v>0</v>
      </c>
      <c r="BS421" s="162">
        <v>0</v>
      </c>
      <c r="BT421" s="162">
        <v>0</v>
      </c>
      <c r="BU421" s="162">
        <v>0</v>
      </c>
      <c r="BV421" s="162">
        <v>0</v>
      </c>
      <c r="BW421" s="162"/>
      <c r="BX421" s="162"/>
      <c r="BY421" s="162">
        <v>0</v>
      </c>
      <c r="BZ421" s="162">
        <v>0</v>
      </c>
      <c r="CA421" s="162">
        <v>0</v>
      </c>
      <c r="CB421" s="162">
        <v>0</v>
      </c>
      <c r="CC421" s="162">
        <v>0</v>
      </c>
      <c r="CD421" s="162">
        <v>0</v>
      </c>
      <c r="CE421" s="162">
        <f>VLOOKUP(I421,[120]REV33!$A:$O,11,0)</f>
        <v>0</v>
      </c>
      <c r="CF421" s="162">
        <f>VLOOKUP(I421,[120]REV33!$A:$O,12,0)</f>
        <v>0</v>
      </c>
      <c r="CG421" s="162"/>
      <c r="CH421" s="162"/>
      <c r="CI421" s="162"/>
      <c r="CJ421" s="162"/>
      <c r="CK421" s="162"/>
      <c r="CL421" s="162"/>
      <c r="CM421" s="162"/>
      <c r="CN421" s="162"/>
      <c r="CO421" s="162">
        <v>0</v>
      </c>
      <c r="CP421" s="162">
        <v>0</v>
      </c>
      <c r="CQ421" s="162">
        <v>0</v>
      </c>
      <c r="CR421" s="162">
        <v>0</v>
      </c>
      <c r="CS421" s="209">
        <f>Q421+S421+U421+W421+Y421+AA421+AC421+AE421+AG421+AI421+AK421+AM421+AO421+AQ421+AS421+AU421+AW421+AY421+BA421+BC421+BE421+BG421+BI421+BK421+BM421+BO421+BQ421+BS421+BU421+BW421+BY421+CA421+CC421+CE421+CG421+CI421+CK421+CM421+CO421+CQ421</f>
        <v>92</v>
      </c>
      <c r="CT421" s="209">
        <f>R421+T421+V421+X421+Z421+AB421+AD421+AF421+AH421+AJ421+AL421+AN421+AP421+AR421+AT421+AV421+AX421+AZ421+BB421+BD421+BF421+BH421+BJ421+BL421+BN421+BP421+BR421+BT421+BV421+BX421+BZ421+CB421+CD421+CF421+CH421+CJ421+CL421+CN421+CP421+CR421</f>
        <v>0</v>
      </c>
      <c r="CU421" s="206" t="s">
        <v>1000</v>
      </c>
      <c r="CV421" s="156"/>
      <c r="CZ421" s="157"/>
      <c r="DA421" s="152">
        <f t="shared" si="354"/>
        <v>92</v>
      </c>
      <c r="DB421" s="152" t="str">
        <f t="shared" si="355"/>
        <v>0</v>
      </c>
      <c r="DC421" s="153"/>
      <c r="DD421" s="158" t="s">
        <v>2212</v>
      </c>
      <c r="DE421" s="156" t="s">
        <v>435</v>
      </c>
      <c r="DF421" s="174" t="s">
        <v>1286</v>
      </c>
      <c r="DG421" s="175" t="s">
        <v>1285</v>
      </c>
      <c r="DH421" s="240" t="s">
        <v>477</v>
      </c>
      <c r="DI421" s="187">
        <v>45940</v>
      </c>
      <c r="DJ421" s="429">
        <v>92</v>
      </c>
      <c r="DK421" s="240" t="s">
        <v>477</v>
      </c>
      <c r="DL421" s="189">
        <v>1000</v>
      </c>
      <c r="DM421" s="181">
        <f t="shared" si="362"/>
        <v>101200.00000000001</v>
      </c>
      <c r="DN421" s="446">
        <f t="shared" si="363"/>
        <v>0.10000000000000016</v>
      </c>
      <c r="DO421" s="160">
        <f t="shared" si="364"/>
        <v>92000</v>
      </c>
      <c r="DP421" s="159">
        <v>45954</v>
      </c>
      <c r="DQ421" s="152">
        <f>SUMIF($I:$I,I421,$DJ:$DJ)</f>
        <v>92</v>
      </c>
      <c r="DR421" s="152">
        <f>SUMIF($I:$I,I421,$DK:$DK)</f>
        <v>0</v>
      </c>
      <c r="EO421" s="152">
        <f>SUMIF($I:$I,I421,$EC:$EC)</f>
        <v>0</v>
      </c>
      <c r="EP421" s="151">
        <f>SUMIF($I:$I,I421,$ED:$ED)</f>
        <v>0</v>
      </c>
      <c r="EQ421" s="153"/>
      <c r="ER421" s="153"/>
      <c r="ES421" s="153"/>
      <c r="ET421" s="153"/>
      <c r="EU421" s="152">
        <f t="shared" si="356"/>
        <v>92</v>
      </c>
      <c r="EV421" s="152">
        <f t="shared" si="357"/>
        <v>0</v>
      </c>
      <c r="EW421" s="152">
        <f t="shared" si="358"/>
        <v>0</v>
      </c>
      <c r="EX421" s="152">
        <f t="shared" si="359"/>
        <v>0</v>
      </c>
      <c r="EY421" s="151" t="str">
        <f t="shared" si="360"/>
        <v>Đủ</v>
      </c>
    </row>
    <row r="422" spans="1:155" s="155" customFormat="1" ht="14" hidden="1" customHeight="1">
      <c r="A422" s="208" t="str">
        <f t="shared" si="361"/>
        <v>Hiện</v>
      </c>
      <c r="B422" s="151" t="str">
        <f t="shared" si="343"/>
        <v>Đủ</v>
      </c>
      <c r="C422" s="409">
        <f t="shared" si="341"/>
        <v>0</v>
      </c>
      <c r="D422" s="154"/>
      <c r="E422" s="154">
        <f>C422*DL422*1.1</f>
        <v>0</v>
      </c>
      <c r="F422" s="154"/>
      <c r="G422" s="151"/>
      <c r="H422" s="364"/>
      <c r="I422" s="171" t="s">
        <v>981</v>
      </c>
      <c r="J422" s="164" t="s">
        <v>922</v>
      </c>
      <c r="K422" s="171" t="s">
        <v>982</v>
      </c>
      <c r="L422" s="171" t="s">
        <v>838</v>
      </c>
      <c r="M422" s="163" t="s">
        <v>345</v>
      </c>
      <c r="N422" s="173">
        <v>0</v>
      </c>
      <c r="O422" s="419">
        <v>640</v>
      </c>
      <c r="P422" s="205"/>
      <c r="S422" s="161"/>
      <c r="T422" s="162"/>
      <c r="U422" s="162"/>
      <c r="V422" s="162"/>
      <c r="W422" s="162"/>
      <c r="X422" s="162"/>
      <c r="Y422" s="162"/>
      <c r="Z422" s="162"/>
      <c r="AA422" s="162"/>
      <c r="AB422" s="162"/>
      <c r="AC422" s="162"/>
      <c r="AD422" s="162"/>
      <c r="AE422" s="162"/>
      <c r="AF422" s="162"/>
      <c r="AG422" s="162"/>
      <c r="AH422" s="162"/>
      <c r="AI422" s="162"/>
      <c r="AJ422" s="162"/>
      <c r="AK422" s="162">
        <v>680</v>
      </c>
      <c r="AL422" s="162">
        <v>0</v>
      </c>
      <c r="AM422" s="162"/>
      <c r="AN422" s="162"/>
      <c r="AO422" s="162">
        <v>0</v>
      </c>
      <c r="AP422" s="162">
        <v>0</v>
      </c>
      <c r="AQ422" s="162">
        <v>0</v>
      </c>
      <c r="AR422" s="162">
        <v>0</v>
      </c>
      <c r="AS422" s="162">
        <v>0</v>
      </c>
      <c r="AT422" s="162">
        <v>0</v>
      </c>
      <c r="AU422" s="162">
        <v>0</v>
      </c>
      <c r="AV422" s="162">
        <v>0</v>
      </c>
      <c r="AW422" s="162">
        <v>0</v>
      </c>
      <c r="AX422" s="162">
        <v>0</v>
      </c>
      <c r="AY422" s="162">
        <v>0</v>
      </c>
      <c r="AZ422" s="162">
        <v>0</v>
      </c>
      <c r="BA422" s="162"/>
      <c r="BB422" s="162"/>
      <c r="BC422" s="162">
        <v>0</v>
      </c>
      <c r="BD422" s="162">
        <v>0</v>
      </c>
      <c r="BE422" s="162">
        <v>0</v>
      </c>
      <c r="BF422" s="162">
        <v>0</v>
      </c>
      <c r="BG422" s="162">
        <v>0</v>
      </c>
      <c r="BH422" s="162">
        <v>0</v>
      </c>
      <c r="BI422" s="162">
        <v>0</v>
      </c>
      <c r="BJ422" s="162">
        <v>0</v>
      </c>
      <c r="BK422" s="162">
        <v>0</v>
      </c>
      <c r="BL422" s="162">
        <v>0</v>
      </c>
      <c r="BM422" s="162">
        <v>0</v>
      </c>
      <c r="BN422" s="162">
        <v>0</v>
      </c>
      <c r="BO422" s="162"/>
      <c r="BP422" s="162"/>
      <c r="BQ422" s="162">
        <v>0</v>
      </c>
      <c r="BR422" s="162">
        <v>0</v>
      </c>
      <c r="BS422" s="162">
        <v>0</v>
      </c>
      <c r="BT422" s="162">
        <v>0</v>
      </c>
      <c r="BU422" s="162">
        <v>0</v>
      </c>
      <c r="BV422" s="162">
        <v>0</v>
      </c>
      <c r="BW422" s="162"/>
      <c r="BX422" s="162"/>
      <c r="BY422" s="162">
        <v>0</v>
      </c>
      <c r="BZ422" s="162">
        <v>0</v>
      </c>
      <c r="CA422" s="162">
        <v>0</v>
      </c>
      <c r="CB422" s="162">
        <v>0</v>
      </c>
      <c r="CC422" s="162">
        <v>0</v>
      </c>
      <c r="CD422" s="162">
        <v>0</v>
      </c>
      <c r="CE422" s="162">
        <f>VLOOKUP(I422,[120]REV33!$A:$O,11,0)</f>
        <v>0</v>
      </c>
      <c r="CF422" s="162">
        <f>VLOOKUP(I422,[120]REV33!$A:$O,12,0)</f>
        <v>0</v>
      </c>
      <c r="CG422" s="162"/>
      <c r="CH422" s="162"/>
      <c r="CI422" s="162"/>
      <c r="CJ422" s="162"/>
      <c r="CK422" s="162"/>
      <c r="CL422" s="162"/>
      <c r="CM422" s="162"/>
      <c r="CN422" s="162"/>
      <c r="CO422" s="162">
        <v>0</v>
      </c>
      <c r="CP422" s="162">
        <v>0</v>
      </c>
      <c r="CQ422" s="162">
        <v>0</v>
      </c>
      <c r="CR422" s="162">
        <v>0</v>
      </c>
      <c r="CS422" s="209">
        <f>Q422+S422+U422+W422+Y422+AA422+AC422+AE422+AG422+AI422+AK422+AM422+AO422+AQ422+AS422+AU422+AW422+AY422+BA422+BC422+BE422+BG422+BI422+BK422+BM422+BO422+BQ422+BS422+BU422+BW422+BY422+CA422+CC422+CE422+CG422+CI422+CK422+CM422+CO422+CQ422</f>
        <v>680</v>
      </c>
      <c r="CT422" s="209">
        <f>R422+T422+V422+X422+Z422+AB422+AD422+AF422+AH422+AJ422+AL422+AN422+AP422+AR422+AT422+AV422+AX422+AZ422+BB422+BD422+BF422+BH422+BJ422+BL422+BN422+BP422+BR422+BT422+BV422+BX422+BZ422+CB422+CD422+CF422+CH422+CJ422+CL422+CN422+CP422+CR422</f>
        <v>0</v>
      </c>
      <c r="CU422" s="206" t="s">
        <v>1000</v>
      </c>
      <c r="CV422" s="156"/>
      <c r="CZ422" s="157"/>
      <c r="DA422" s="152">
        <f t="shared" si="354"/>
        <v>680</v>
      </c>
      <c r="DB422" s="152" t="str">
        <f t="shared" si="355"/>
        <v>0</v>
      </c>
      <c r="DC422" s="153"/>
      <c r="DD422" s="158" t="s">
        <v>2212</v>
      </c>
      <c r="DE422" s="156" t="s">
        <v>435</v>
      </c>
      <c r="DF422" s="174" t="s">
        <v>1287</v>
      </c>
      <c r="DG422" s="175" t="s">
        <v>1288</v>
      </c>
      <c r="DH422" s="240" t="s">
        <v>477</v>
      </c>
      <c r="DI422" s="187">
        <v>45940</v>
      </c>
      <c r="DJ422" s="429">
        <v>680</v>
      </c>
      <c r="DK422" s="240" t="s">
        <v>477</v>
      </c>
      <c r="DL422" s="189">
        <v>1000</v>
      </c>
      <c r="DM422" s="181">
        <f t="shared" si="362"/>
        <v>748000.00000000012</v>
      </c>
      <c r="DN422" s="446">
        <f t="shared" si="363"/>
        <v>0.10000000000000017</v>
      </c>
      <c r="DO422" s="160">
        <f t="shared" si="364"/>
        <v>680000</v>
      </c>
      <c r="DP422" s="159">
        <v>45954</v>
      </c>
      <c r="DQ422" s="152">
        <f>SUMIF($I:$I,I422,$DJ:$DJ)</f>
        <v>680</v>
      </c>
      <c r="DR422" s="152">
        <f>SUMIF($I:$I,I422,$DK:$DK)</f>
        <v>0</v>
      </c>
      <c r="EO422" s="152">
        <f>SUMIF($I:$I,I422,$EC:$EC)</f>
        <v>0</v>
      </c>
      <c r="EP422" s="151">
        <f>SUMIF($I:$I,I422,$ED:$ED)</f>
        <v>0</v>
      </c>
      <c r="EQ422" s="153"/>
      <c r="ER422" s="153"/>
      <c r="ES422" s="153"/>
      <c r="ET422" s="153"/>
      <c r="EU422" s="152">
        <f t="shared" si="356"/>
        <v>680</v>
      </c>
      <c r="EV422" s="152">
        <f t="shared" si="357"/>
        <v>0</v>
      </c>
      <c r="EW422" s="152">
        <f t="shared" si="358"/>
        <v>0</v>
      </c>
      <c r="EX422" s="152">
        <f t="shared" si="359"/>
        <v>0</v>
      </c>
      <c r="EY422" s="151" t="str">
        <f t="shared" si="360"/>
        <v>Đủ</v>
      </c>
    </row>
    <row r="423" spans="1:155" s="155" customFormat="1" ht="14" hidden="1" customHeight="1">
      <c r="A423" s="208" t="str">
        <f t="shared" si="361"/>
        <v>Hiện</v>
      </c>
      <c r="B423" s="151" t="str">
        <f t="shared" si="343"/>
        <v>Đủ</v>
      </c>
      <c r="C423" s="409">
        <f t="shared" si="341"/>
        <v>0</v>
      </c>
      <c r="D423" s="154"/>
      <c r="E423" s="154">
        <f>C423*DL423*1.1</f>
        <v>0</v>
      </c>
      <c r="F423" s="154"/>
      <c r="G423" s="151"/>
      <c r="H423" s="364"/>
      <c r="I423" s="171" t="s">
        <v>983</v>
      </c>
      <c r="J423" s="164" t="s">
        <v>922</v>
      </c>
      <c r="K423" s="171" t="s">
        <v>984</v>
      </c>
      <c r="L423" s="171" t="s">
        <v>935</v>
      </c>
      <c r="M423" s="163" t="s">
        <v>345</v>
      </c>
      <c r="N423" s="173">
        <v>0</v>
      </c>
      <c r="O423" s="419">
        <v>8</v>
      </c>
      <c r="P423" s="205"/>
      <c r="S423" s="161"/>
      <c r="T423" s="162"/>
      <c r="U423" s="162"/>
      <c r="V423" s="162"/>
      <c r="W423" s="162"/>
      <c r="X423" s="162"/>
      <c r="Y423" s="162"/>
      <c r="Z423" s="162"/>
      <c r="AA423" s="162"/>
      <c r="AB423" s="162"/>
      <c r="AC423" s="162"/>
      <c r="AD423" s="162"/>
      <c r="AE423" s="162"/>
      <c r="AF423" s="162"/>
      <c r="AG423" s="162"/>
      <c r="AH423" s="162"/>
      <c r="AI423" s="162"/>
      <c r="AJ423" s="162"/>
      <c r="AK423" s="162">
        <v>12</v>
      </c>
      <c r="AL423" s="162">
        <v>0</v>
      </c>
      <c r="AM423" s="162"/>
      <c r="AN423" s="162"/>
      <c r="AO423" s="162">
        <v>0</v>
      </c>
      <c r="AP423" s="162">
        <v>0</v>
      </c>
      <c r="AQ423" s="162">
        <v>0</v>
      </c>
      <c r="AR423" s="162">
        <v>0</v>
      </c>
      <c r="AS423" s="162">
        <v>0</v>
      </c>
      <c r="AT423" s="162">
        <v>0</v>
      </c>
      <c r="AU423" s="162">
        <v>0</v>
      </c>
      <c r="AV423" s="162">
        <v>0</v>
      </c>
      <c r="AW423" s="162">
        <v>0</v>
      </c>
      <c r="AX423" s="162">
        <v>0</v>
      </c>
      <c r="AY423" s="162">
        <v>0</v>
      </c>
      <c r="AZ423" s="162">
        <v>0</v>
      </c>
      <c r="BA423" s="162"/>
      <c r="BB423" s="162"/>
      <c r="BC423" s="162">
        <v>0</v>
      </c>
      <c r="BD423" s="162">
        <v>0</v>
      </c>
      <c r="BE423" s="162">
        <v>0</v>
      </c>
      <c r="BF423" s="162">
        <v>0</v>
      </c>
      <c r="BG423" s="162">
        <v>0</v>
      </c>
      <c r="BH423" s="162">
        <v>0</v>
      </c>
      <c r="BI423" s="162">
        <v>0</v>
      </c>
      <c r="BJ423" s="162">
        <v>0</v>
      </c>
      <c r="BK423" s="162">
        <v>0</v>
      </c>
      <c r="BL423" s="162">
        <v>0</v>
      </c>
      <c r="BM423" s="162">
        <v>0</v>
      </c>
      <c r="BN423" s="162">
        <v>0</v>
      </c>
      <c r="BO423" s="162"/>
      <c r="BP423" s="162"/>
      <c r="BQ423" s="162">
        <v>0</v>
      </c>
      <c r="BR423" s="162">
        <v>0</v>
      </c>
      <c r="BS423" s="162">
        <v>0</v>
      </c>
      <c r="BT423" s="162">
        <v>0</v>
      </c>
      <c r="BU423" s="162">
        <v>0</v>
      </c>
      <c r="BV423" s="162">
        <v>0</v>
      </c>
      <c r="BW423" s="162"/>
      <c r="BX423" s="162"/>
      <c r="BY423" s="162">
        <v>0</v>
      </c>
      <c r="BZ423" s="162">
        <v>0</v>
      </c>
      <c r="CA423" s="162">
        <v>0</v>
      </c>
      <c r="CB423" s="162">
        <v>0</v>
      </c>
      <c r="CC423" s="162">
        <v>0</v>
      </c>
      <c r="CD423" s="162">
        <v>0</v>
      </c>
      <c r="CE423" s="162">
        <f>VLOOKUP(I423,[120]REV33!$A:$O,11,0)</f>
        <v>0</v>
      </c>
      <c r="CF423" s="162">
        <f>VLOOKUP(I423,[120]REV33!$A:$O,12,0)</f>
        <v>0</v>
      </c>
      <c r="CG423" s="162"/>
      <c r="CH423" s="162"/>
      <c r="CI423" s="162"/>
      <c r="CJ423" s="162"/>
      <c r="CK423" s="162"/>
      <c r="CL423" s="162"/>
      <c r="CM423" s="162"/>
      <c r="CN423" s="162"/>
      <c r="CO423" s="162">
        <v>0</v>
      </c>
      <c r="CP423" s="162">
        <v>0</v>
      </c>
      <c r="CQ423" s="162">
        <v>0</v>
      </c>
      <c r="CR423" s="162">
        <v>0</v>
      </c>
      <c r="CS423" s="209">
        <f>Q423+S423+U423+W423+Y423+AA423+AC423+AE423+AG423+AI423+AK423+AM423+AO423+AQ423+AS423+AU423+AW423+AY423+BA423+BC423+BE423+BG423+BI423+BK423+BM423+BO423+BQ423+BS423+BU423+BW423+BY423+CA423+CC423+CE423+CG423+CI423+CK423+CM423+CO423+CQ423</f>
        <v>12</v>
      </c>
      <c r="CT423" s="209">
        <f>R423+T423+V423+X423+Z423+AB423+AD423+AF423+AH423+AJ423+AL423+AN423+AP423+AR423+AT423+AV423+AX423+AZ423+BB423+BD423+BF423+BH423+BJ423+BL423+BN423+BP423+BR423+BT423+BV423+BX423+BZ423+CB423+CD423+CF423+CH423+CJ423+CL423+CN423+CP423+CR423</f>
        <v>0</v>
      </c>
      <c r="CU423" s="206" t="s">
        <v>1000</v>
      </c>
      <c r="CV423" s="156"/>
      <c r="CZ423" s="157"/>
      <c r="DA423" s="152">
        <f t="shared" si="354"/>
        <v>12</v>
      </c>
      <c r="DB423" s="152" t="str">
        <f t="shared" si="355"/>
        <v>0</v>
      </c>
      <c r="DC423" s="153"/>
      <c r="DD423" s="158" t="s">
        <v>2212</v>
      </c>
      <c r="DE423" s="156" t="s">
        <v>435</v>
      </c>
      <c r="DF423" s="174" t="s">
        <v>1289</v>
      </c>
      <c r="DG423" s="175" t="s">
        <v>1285</v>
      </c>
      <c r="DH423" s="240" t="s">
        <v>477</v>
      </c>
      <c r="DI423" s="187">
        <v>45940</v>
      </c>
      <c r="DJ423" s="429">
        <v>12</v>
      </c>
      <c r="DK423" s="240" t="s">
        <v>477</v>
      </c>
      <c r="DL423" s="189">
        <v>1000</v>
      </c>
      <c r="DM423" s="181">
        <f t="shared" si="362"/>
        <v>13200.000000000002</v>
      </c>
      <c r="DN423" s="446">
        <f t="shared" si="363"/>
        <v>0.10000000000000016</v>
      </c>
      <c r="DO423" s="160">
        <f t="shared" si="364"/>
        <v>12000</v>
      </c>
      <c r="DP423" s="159">
        <v>45954</v>
      </c>
      <c r="DQ423" s="152">
        <f>SUMIF($I:$I,I423,$DJ:$DJ)</f>
        <v>12</v>
      </c>
      <c r="DR423" s="152">
        <f>SUMIF($I:$I,I423,$DK:$DK)</f>
        <v>0</v>
      </c>
      <c r="EO423" s="152">
        <f>SUMIF($I:$I,I423,$EC:$EC)</f>
        <v>0</v>
      </c>
      <c r="EP423" s="151">
        <f>SUMIF($I:$I,I423,$ED:$ED)</f>
        <v>0</v>
      </c>
      <c r="EQ423" s="153"/>
      <c r="ER423" s="153"/>
      <c r="ES423" s="153"/>
      <c r="ET423" s="153"/>
      <c r="EU423" s="152">
        <f t="shared" si="356"/>
        <v>12</v>
      </c>
      <c r="EV423" s="152">
        <f t="shared" si="357"/>
        <v>0</v>
      </c>
      <c r="EW423" s="152">
        <f t="shared" si="358"/>
        <v>0</v>
      </c>
      <c r="EX423" s="152">
        <f t="shared" si="359"/>
        <v>0</v>
      </c>
      <c r="EY423" s="151" t="str">
        <f t="shared" si="360"/>
        <v>Đủ</v>
      </c>
    </row>
    <row r="424" spans="1:155" s="155" customFormat="1" ht="14" customHeight="1">
      <c r="A424" s="208" t="str">
        <f t="shared" si="361"/>
        <v>Hiện</v>
      </c>
      <c r="B424" s="151" t="str">
        <f t="shared" si="343"/>
        <v>Thiếu</v>
      </c>
      <c r="C424" s="409">
        <f t="shared" si="341"/>
        <v>160</v>
      </c>
      <c r="D424" s="154" t="s">
        <v>435</v>
      </c>
      <c r="E424" s="154">
        <f>C424*DL424*1.1</f>
        <v>176000</v>
      </c>
      <c r="F424" s="154"/>
      <c r="G424" s="151"/>
      <c r="H424" s="364"/>
      <c r="I424" s="163" t="s">
        <v>985</v>
      </c>
      <c r="J424" s="164" t="s">
        <v>922</v>
      </c>
      <c r="K424" s="171" t="s">
        <v>986</v>
      </c>
      <c r="L424" s="171" t="s">
        <v>938</v>
      </c>
      <c r="M424" s="163" t="s">
        <v>345</v>
      </c>
      <c r="N424" s="173">
        <v>0</v>
      </c>
      <c r="O424" s="419">
        <v>568</v>
      </c>
      <c r="P424" s="205"/>
      <c r="S424" s="161"/>
      <c r="T424" s="162"/>
      <c r="U424" s="162"/>
      <c r="V424" s="162"/>
      <c r="W424" s="162"/>
      <c r="X424" s="162"/>
      <c r="Y424" s="162"/>
      <c r="Z424" s="162"/>
      <c r="AA424" s="162"/>
      <c r="AB424" s="162"/>
      <c r="AC424" s="162"/>
      <c r="AD424" s="162"/>
      <c r="AE424" s="162"/>
      <c r="AF424" s="162"/>
      <c r="AG424" s="162"/>
      <c r="AH424" s="162"/>
      <c r="AI424" s="162"/>
      <c r="AJ424" s="162"/>
      <c r="AK424" s="162">
        <v>600</v>
      </c>
      <c r="AL424" s="162">
        <v>0</v>
      </c>
      <c r="AM424" s="162"/>
      <c r="AN424" s="162"/>
      <c r="AO424" s="162">
        <v>0</v>
      </c>
      <c r="AP424" s="162">
        <v>0</v>
      </c>
      <c r="AQ424" s="162">
        <v>0</v>
      </c>
      <c r="AR424" s="162">
        <v>0</v>
      </c>
      <c r="AS424" s="162">
        <v>0</v>
      </c>
      <c r="AT424" s="162">
        <v>0</v>
      </c>
      <c r="AU424" s="162">
        <v>0</v>
      </c>
      <c r="AV424" s="162">
        <v>0</v>
      </c>
      <c r="AW424" s="162">
        <v>0</v>
      </c>
      <c r="AX424" s="162">
        <v>0</v>
      </c>
      <c r="AY424" s="162">
        <v>0</v>
      </c>
      <c r="AZ424" s="162">
        <v>0</v>
      </c>
      <c r="BA424" s="162"/>
      <c r="BB424" s="162"/>
      <c r="BC424" s="162">
        <v>0</v>
      </c>
      <c r="BD424" s="162">
        <v>0</v>
      </c>
      <c r="BE424" s="162">
        <v>0</v>
      </c>
      <c r="BF424" s="162">
        <v>0</v>
      </c>
      <c r="BG424" s="162">
        <v>0</v>
      </c>
      <c r="BH424" s="162">
        <v>0</v>
      </c>
      <c r="BI424" s="162">
        <v>0</v>
      </c>
      <c r="BJ424" s="162">
        <v>0</v>
      </c>
      <c r="BK424" s="162">
        <v>0</v>
      </c>
      <c r="BL424" s="162">
        <v>0</v>
      </c>
      <c r="BM424" s="162">
        <v>0</v>
      </c>
      <c r="BN424" s="162">
        <v>0</v>
      </c>
      <c r="BO424" s="162"/>
      <c r="BP424" s="162"/>
      <c r="BQ424" s="162">
        <v>0</v>
      </c>
      <c r="BR424" s="162">
        <v>0</v>
      </c>
      <c r="BS424" s="162">
        <v>0</v>
      </c>
      <c r="BT424" s="162">
        <v>0</v>
      </c>
      <c r="BU424" s="162">
        <v>0</v>
      </c>
      <c r="BV424" s="162">
        <v>0</v>
      </c>
      <c r="BW424" s="162"/>
      <c r="BX424" s="162"/>
      <c r="BY424" s="162">
        <v>0</v>
      </c>
      <c r="BZ424" s="162">
        <v>0</v>
      </c>
      <c r="CA424" s="162">
        <v>0</v>
      </c>
      <c r="CB424" s="162">
        <v>0</v>
      </c>
      <c r="CC424" s="162">
        <v>0</v>
      </c>
      <c r="CD424" s="162">
        <v>0</v>
      </c>
      <c r="CE424" s="162">
        <f>VLOOKUP(I424,[120]REV33!$A:$O,11,0)</f>
        <v>0</v>
      </c>
      <c r="CF424" s="162">
        <f>VLOOKUP(I424,[120]REV33!$A:$O,12,0)</f>
        <v>0</v>
      </c>
      <c r="CG424" s="162"/>
      <c r="CH424" s="162"/>
      <c r="CI424" s="162"/>
      <c r="CJ424" s="162"/>
      <c r="CK424" s="162"/>
      <c r="CL424" s="162"/>
      <c r="CM424" s="162"/>
      <c r="CN424" s="162"/>
      <c r="CO424" s="162">
        <v>160</v>
      </c>
      <c r="CP424" s="162">
        <v>0</v>
      </c>
      <c r="CQ424" s="162">
        <v>0</v>
      </c>
      <c r="CR424" s="162">
        <v>0</v>
      </c>
      <c r="CS424" s="209">
        <f>Q424+S424+U424+W424+Y424+AA424+AC424+AE424+AG424+AI424+AK424+AM424+AO424+AQ424+AS424+AU424+AW424+AY424+BA424+BC424+BE424+BG424+BI424+BK424+BM424+BO424+BQ424+BS424+BU424+BW424+BY424+CA424+CC424+CE424+CG424+CI424+CK424+CM424+CO424+CQ424</f>
        <v>760</v>
      </c>
      <c r="CT424" s="209">
        <f>R424+T424+V424+X424+Z424+AB424+AD424+AF424+AH424+AJ424+AL424+AN424+AP424+AR424+AT424+AV424+AX424+AZ424+BB424+BD424+BF424+BH424+BJ424+BL424+BN424+BP424+BR424+BT424+BV424+BX424+BZ424+CB424+CD424+CF424+CH424+CJ424+CL424+CN424+CP424+CR424</f>
        <v>0</v>
      </c>
      <c r="CU424" s="206" t="s">
        <v>2599</v>
      </c>
      <c r="CV424" s="156"/>
      <c r="CZ424" s="157"/>
      <c r="DA424" s="152">
        <f t="shared" si="354"/>
        <v>760</v>
      </c>
      <c r="DB424" s="152" t="str">
        <f t="shared" si="355"/>
        <v>0</v>
      </c>
      <c r="DC424" s="153"/>
      <c r="DD424" s="158" t="s">
        <v>2212</v>
      </c>
      <c r="DE424" s="156" t="s">
        <v>435</v>
      </c>
      <c r="DF424" s="174" t="s">
        <v>1289</v>
      </c>
      <c r="DG424" s="175" t="s">
        <v>1285</v>
      </c>
      <c r="DH424" s="240" t="s">
        <v>477</v>
      </c>
      <c r="DI424" s="187">
        <v>45940</v>
      </c>
      <c r="DJ424" s="429">
        <v>600</v>
      </c>
      <c r="DK424" s="240" t="s">
        <v>477</v>
      </c>
      <c r="DL424" s="189">
        <v>1000</v>
      </c>
      <c r="DM424" s="181">
        <f t="shared" si="362"/>
        <v>660000</v>
      </c>
      <c r="DN424" s="446">
        <f t="shared" si="363"/>
        <v>0.1</v>
      </c>
      <c r="DO424" s="160">
        <f t="shared" si="364"/>
        <v>600000</v>
      </c>
      <c r="DP424" s="159">
        <v>45954</v>
      </c>
      <c r="DQ424" s="152">
        <f>SUMIF($I:$I,I424,$DJ:$DJ)</f>
        <v>600</v>
      </c>
      <c r="DR424" s="152">
        <f>SUMIF($I:$I,I424,$DK:$DK)</f>
        <v>0</v>
      </c>
      <c r="EO424" s="152">
        <f>SUMIF($I:$I,I424,$EC:$EC)</f>
        <v>0</v>
      </c>
      <c r="EP424" s="151">
        <f>SUMIF($I:$I,I424,$ED:$ED)</f>
        <v>0</v>
      </c>
      <c r="EQ424" s="153"/>
      <c r="ER424" s="153"/>
      <c r="ES424" s="153"/>
      <c r="ET424" s="153"/>
      <c r="EU424" s="152">
        <f t="shared" si="356"/>
        <v>600</v>
      </c>
      <c r="EV424" s="152">
        <f t="shared" si="357"/>
        <v>0</v>
      </c>
      <c r="EW424" s="152">
        <f t="shared" si="358"/>
        <v>160</v>
      </c>
      <c r="EX424" s="152">
        <f t="shared" si="359"/>
        <v>0</v>
      </c>
      <c r="EY424" s="151" t="str">
        <f t="shared" si="360"/>
        <v>Thiếu</v>
      </c>
    </row>
    <row r="425" spans="1:155" s="155" customFormat="1" ht="14" hidden="1" customHeight="1">
      <c r="A425" s="208" t="str">
        <f t="shared" si="361"/>
        <v>Hiện</v>
      </c>
      <c r="B425" s="151" t="str">
        <f t="shared" si="343"/>
        <v>Đủ</v>
      </c>
      <c r="C425" s="409">
        <f t="shared" si="341"/>
        <v>0</v>
      </c>
      <c r="D425" s="154"/>
      <c r="E425" s="154">
        <f>C425*DL425*1.1</f>
        <v>0</v>
      </c>
      <c r="F425" s="154"/>
      <c r="G425" s="151"/>
      <c r="H425" s="364"/>
      <c r="I425" s="171" t="s">
        <v>987</v>
      </c>
      <c r="J425" s="164" t="s">
        <v>922</v>
      </c>
      <c r="K425" s="171" t="s">
        <v>988</v>
      </c>
      <c r="L425" s="171" t="s">
        <v>865</v>
      </c>
      <c r="M425" s="163" t="s">
        <v>345</v>
      </c>
      <c r="N425" s="173">
        <v>0</v>
      </c>
      <c r="O425" s="419">
        <v>208</v>
      </c>
      <c r="P425" s="205"/>
      <c r="S425" s="161"/>
      <c r="T425" s="162"/>
      <c r="U425" s="162"/>
      <c r="V425" s="162"/>
      <c r="W425" s="162"/>
      <c r="X425" s="162"/>
      <c r="Y425" s="162"/>
      <c r="Z425" s="162"/>
      <c r="AA425" s="162"/>
      <c r="AB425" s="162"/>
      <c r="AC425" s="162"/>
      <c r="AD425" s="162"/>
      <c r="AE425" s="162"/>
      <c r="AF425" s="162"/>
      <c r="AG425" s="162"/>
      <c r="AH425" s="162"/>
      <c r="AI425" s="162"/>
      <c r="AJ425" s="162"/>
      <c r="AK425" s="162">
        <v>224</v>
      </c>
      <c r="AL425" s="162">
        <v>0</v>
      </c>
      <c r="AM425" s="162"/>
      <c r="AN425" s="162"/>
      <c r="AO425" s="162">
        <v>0</v>
      </c>
      <c r="AP425" s="162">
        <v>0</v>
      </c>
      <c r="AQ425" s="162">
        <v>0</v>
      </c>
      <c r="AR425" s="162">
        <v>0</v>
      </c>
      <c r="AS425" s="162">
        <v>0</v>
      </c>
      <c r="AT425" s="162">
        <v>0</v>
      </c>
      <c r="AU425" s="162">
        <v>0</v>
      </c>
      <c r="AV425" s="162">
        <v>0</v>
      </c>
      <c r="AW425" s="162">
        <v>0</v>
      </c>
      <c r="AX425" s="162">
        <v>0</v>
      </c>
      <c r="AY425" s="162">
        <v>0</v>
      </c>
      <c r="AZ425" s="162">
        <v>0</v>
      </c>
      <c r="BA425" s="162"/>
      <c r="BB425" s="162"/>
      <c r="BC425" s="162">
        <v>0</v>
      </c>
      <c r="BD425" s="162">
        <v>0</v>
      </c>
      <c r="BE425" s="162">
        <v>0</v>
      </c>
      <c r="BF425" s="162">
        <v>0</v>
      </c>
      <c r="BG425" s="162">
        <v>0</v>
      </c>
      <c r="BH425" s="162">
        <v>0</v>
      </c>
      <c r="BI425" s="162">
        <v>0</v>
      </c>
      <c r="BJ425" s="162">
        <v>0</v>
      </c>
      <c r="BK425" s="162">
        <v>0</v>
      </c>
      <c r="BL425" s="162">
        <v>0</v>
      </c>
      <c r="BM425" s="162">
        <v>0</v>
      </c>
      <c r="BN425" s="162">
        <v>0</v>
      </c>
      <c r="BO425" s="162"/>
      <c r="BP425" s="162"/>
      <c r="BQ425" s="162">
        <v>0</v>
      </c>
      <c r="BR425" s="162">
        <v>0</v>
      </c>
      <c r="BS425" s="162">
        <v>0</v>
      </c>
      <c r="BT425" s="162">
        <v>0</v>
      </c>
      <c r="BU425" s="162">
        <v>0</v>
      </c>
      <c r="BV425" s="162">
        <v>0</v>
      </c>
      <c r="BW425" s="162"/>
      <c r="BX425" s="162"/>
      <c r="BY425" s="162">
        <v>0</v>
      </c>
      <c r="BZ425" s="162">
        <v>0</v>
      </c>
      <c r="CA425" s="162">
        <v>0</v>
      </c>
      <c r="CB425" s="162">
        <v>0</v>
      </c>
      <c r="CC425" s="162">
        <v>0</v>
      </c>
      <c r="CD425" s="162">
        <v>0</v>
      </c>
      <c r="CE425" s="162">
        <f>VLOOKUP(I425,[120]REV33!$A:$O,11,0)</f>
        <v>0</v>
      </c>
      <c r="CF425" s="162">
        <f>VLOOKUP(I425,[120]REV33!$A:$O,12,0)</f>
        <v>0</v>
      </c>
      <c r="CG425" s="162"/>
      <c r="CH425" s="162"/>
      <c r="CI425" s="162"/>
      <c r="CJ425" s="162"/>
      <c r="CK425" s="162"/>
      <c r="CL425" s="162"/>
      <c r="CM425" s="162"/>
      <c r="CN425" s="162"/>
      <c r="CO425" s="162">
        <v>0</v>
      </c>
      <c r="CP425" s="162">
        <v>0</v>
      </c>
      <c r="CQ425" s="162">
        <v>0</v>
      </c>
      <c r="CR425" s="162">
        <v>0</v>
      </c>
      <c r="CS425" s="209">
        <f>Q425+S425+U425+W425+Y425+AA425+AC425+AE425+AG425+AI425+AK425+AM425+AO425+AQ425+AS425+AU425+AW425+AY425+BA425+BC425+BE425+BG425+BI425+BK425+BM425+BO425+BQ425+BS425+BU425+BW425+BY425+CA425+CC425+CE425+CG425+CI425+CK425+CM425+CO425+CQ425</f>
        <v>224</v>
      </c>
      <c r="CT425" s="209">
        <f>R425+T425+V425+X425+Z425+AB425+AD425+AF425+AH425+AJ425+AL425+AN425+AP425+AR425+AT425+AV425+AX425+AZ425+BB425+BD425+BF425+BH425+BJ425+BL425+BN425+BP425+BR425+BT425+BV425+BX425+BZ425+CB425+CD425+CF425+CH425+CJ425+CL425+CN425+CP425+CR425</f>
        <v>0</v>
      </c>
      <c r="CU425" s="206" t="s">
        <v>1000</v>
      </c>
      <c r="CV425" s="156"/>
      <c r="CZ425" s="157"/>
      <c r="DA425" s="152">
        <f t="shared" si="354"/>
        <v>224</v>
      </c>
      <c r="DB425" s="152" t="str">
        <f t="shared" si="355"/>
        <v>0</v>
      </c>
      <c r="DC425" s="153"/>
      <c r="DD425" s="158" t="s">
        <v>2212</v>
      </c>
      <c r="DE425" s="156" t="s">
        <v>435</v>
      </c>
      <c r="DF425" s="174" t="s">
        <v>1290</v>
      </c>
      <c r="DG425" s="175" t="s">
        <v>1285</v>
      </c>
      <c r="DH425" s="240" t="s">
        <v>477</v>
      </c>
      <c r="DI425" s="187">
        <v>45940</v>
      </c>
      <c r="DJ425" s="429">
        <v>224</v>
      </c>
      <c r="DK425" s="240" t="s">
        <v>477</v>
      </c>
      <c r="DL425" s="189">
        <v>230</v>
      </c>
      <c r="DM425" s="181">
        <f t="shared" si="362"/>
        <v>56672.000000000007</v>
      </c>
      <c r="DN425" s="446">
        <f t="shared" si="363"/>
        <v>0.10000000000000014</v>
      </c>
      <c r="DO425" s="160">
        <f t="shared" si="364"/>
        <v>51520</v>
      </c>
      <c r="DP425" s="159">
        <v>45954</v>
      </c>
      <c r="DQ425" s="152">
        <f>SUMIF($I:$I,I425,$DJ:$DJ)</f>
        <v>224</v>
      </c>
      <c r="DR425" s="152">
        <f>SUMIF($I:$I,I425,$DK:$DK)</f>
        <v>0</v>
      </c>
      <c r="EO425" s="152">
        <f>SUMIF($I:$I,I425,$EC:$EC)</f>
        <v>0</v>
      </c>
      <c r="EP425" s="151">
        <f>SUMIF($I:$I,I425,$ED:$ED)</f>
        <v>0</v>
      </c>
      <c r="EQ425" s="153"/>
      <c r="ER425" s="153"/>
      <c r="ES425" s="153"/>
      <c r="ET425" s="153"/>
      <c r="EU425" s="152">
        <f t="shared" si="356"/>
        <v>224</v>
      </c>
      <c r="EV425" s="152">
        <f t="shared" si="357"/>
        <v>0</v>
      </c>
      <c r="EW425" s="152">
        <f t="shared" si="358"/>
        <v>0</v>
      </c>
      <c r="EX425" s="152">
        <f t="shared" si="359"/>
        <v>0</v>
      </c>
      <c r="EY425" s="151" t="str">
        <f t="shared" si="360"/>
        <v>Đủ</v>
      </c>
    </row>
    <row r="426" spans="1:155" s="155" customFormat="1" ht="14" hidden="1" customHeight="1">
      <c r="A426" s="208" t="str">
        <f t="shared" si="361"/>
        <v>Hiện</v>
      </c>
      <c r="B426" s="151" t="str">
        <f t="shared" si="343"/>
        <v>Đủ</v>
      </c>
      <c r="C426" s="409">
        <f t="shared" si="341"/>
        <v>0</v>
      </c>
      <c r="D426" s="154"/>
      <c r="E426" s="154">
        <f>C426*DL426*1.1</f>
        <v>0</v>
      </c>
      <c r="F426" s="154"/>
      <c r="G426" s="151"/>
      <c r="H426" s="364"/>
      <c r="I426" s="171" t="s">
        <v>989</v>
      </c>
      <c r="J426" s="164" t="s">
        <v>922</v>
      </c>
      <c r="K426" s="171" t="s">
        <v>990</v>
      </c>
      <c r="L426" s="171" t="s">
        <v>938</v>
      </c>
      <c r="M426" s="163" t="s">
        <v>345</v>
      </c>
      <c r="N426" s="173">
        <v>0</v>
      </c>
      <c r="O426" s="419">
        <v>96</v>
      </c>
      <c r="P426" s="205"/>
      <c r="S426" s="161"/>
      <c r="T426" s="162"/>
      <c r="U426" s="162"/>
      <c r="V426" s="162"/>
      <c r="W426" s="162"/>
      <c r="X426" s="162"/>
      <c r="Y426" s="162"/>
      <c r="Z426" s="162"/>
      <c r="AA426" s="162"/>
      <c r="AB426" s="162"/>
      <c r="AC426" s="162"/>
      <c r="AD426" s="162"/>
      <c r="AE426" s="162"/>
      <c r="AF426" s="162"/>
      <c r="AG426" s="162"/>
      <c r="AH426" s="162"/>
      <c r="AI426" s="162"/>
      <c r="AJ426" s="162"/>
      <c r="AK426" s="162">
        <v>110</v>
      </c>
      <c r="AL426" s="162">
        <v>0</v>
      </c>
      <c r="AM426" s="162"/>
      <c r="AN426" s="162"/>
      <c r="AO426" s="162">
        <v>0</v>
      </c>
      <c r="AP426" s="162">
        <v>0</v>
      </c>
      <c r="AQ426" s="162">
        <v>0</v>
      </c>
      <c r="AR426" s="162">
        <v>0</v>
      </c>
      <c r="AS426" s="162">
        <v>0</v>
      </c>
      <c r="AT426" s="162">
        <v>0</v>
      </c>
      <c r="AU426" s="162">
        <v>0</v>
      </c>
      <c r="AV426" s="162">
        <v>0</v>
      </c>
      <c r="AW426" s="162">
        <v>0</v>
      </c>
      <c r="AX426" s="162">
        <v>0</v>
      </c>
      <c r="AY426" s="162">
        <v>0</v>
      </c>
      <c r="AZ426" s="162">
        <v>0</v>
      </c>
      <c r="BA426" s="162"/>
      <c r="BB426" s="162"/>
      <c r="BC426" s="162">
        <v>0</v>
      </c>
      <c r="BD426" s="162">
        <v>0</v>
      </c>
      <c r="BE426" s="162">
        <v>0</v>
      </c>
      <c r="BF426" s="162">
        <v>0</v>
      </c>
      <c r="BG426" s="162">
        <v>0</v>
      </c>
      <c r="BH426" s="162">
        <v>0</v>
      </c>
      <c r="BI426" s="162">
        <v>0</v>
      </c>
      <c r="BJ426" s="162">
        <v>0</v>
      </c>
      <c r="BK426" s="162">
        <v>0</v>
      </c>
      <c r="BL426" s="162">
        <v>0</v>
      </c>
      <c r="BM426" s="162">
        <v>0</v>
      </c>
      <c r="BN426" s="162">
        <v>0</v>
      </c>
      <c r="BO426" s="162"/>
      <c r="BP426" s="162"/>
      <c r="BQ426" s="162">
        <v>0</v>
      </c>
      <c r="BR426" s="162">
        <v>0</v>
      </c>
      <c r="BS426" s="162">
        <v>0</v>
      </c>
      <c r="BT426" s="162">
        <v>0</v>
      </c>
      <c r="BU426" s="162">
        <v>0</v>
      </c>
      <c r="BV426" s="162">
        <v>0</v>
      </c>
      <c r="BW426" s="162"/>
      <c r="BX426" s="162"/>
      <c r="BY426" s="162">
        <v>0</v>
      </c>
      <c r="BZ426" s="162">
        <v>0</v>
      </c>
      <c r="CA426" s="162">
        <v>0</v>
      </c>
      <c r="CB426" s="162">
        <v>0</v>
      </c>
      <c r="CC426" s="162">
        <v>0</v>
      </c>
      <c r="CD426" s="162">
        <v>0</v>
      </c>
      <c r="CE426" s="162">
        <f>VLOOKUP(I426,[120]REV33!$A:$O,11,0)</f>
        <v>0</v>
      </c>
      <c r="CF426" s="162">
        <f>VLOOKUP(I426,[120]REV33!$A:$O,12,0)</f>
        <v>0</v>
      </c>
      <c r="CG426" s="162"/>
      <c r="CH426" s="162"/>
      <c r="CI426" s="162"/>
      <c r="CJ426" s="162"/>
      <c r="CK426" s="162"/>
      <c r="CL426" s="162"/>
      <c r="CM426" s="162"/>
      <c r="CN426" s="162"/>
      <c r="CO426" s="162">
        <v>0</v>
      </c>
      <c r="CP426" s="162">
        <v>0</v>
      </c>
      <c r="CQ426" s="162">
        <v>0</v>
      </c>
      <c r="CR426" s="162">
        <v>0</v>
      </c>
      <c r="CS426" s="209">
        <f>Q426+S426+U426+W426+Y426+AA426+AC426+AE426+AG426+AI426+AK426+AM426+AO426+AQ426+AS426+AU426+AW426+AY426+BA426+BC426+BE426+BG426+BI426+BK426+BM426+BO426+BQ426+BS426+BU426+BW426+BY426+CA426+CC426+CE426+CG426+CI426+CK426+CM426+CO426+CQ426</f>
        <v>110</v>
      </c>
      <c r="CT426" s="209">
        <f>R426+T426+V426+X426+Z426+AB426+AD426+AF426+AH426+AJ426+AL426+AN426+AP426+AR426+AT426+AV426+AX426+AZ426+BB426+BD426+BF426+BH426+BJ426+BL426+BN426+BP426+BR426+BT426+BV426+BX426+BZ426+CB426+CD426+CF426+CH426+CJ426+CL426+CN426+CP426+CR426</f>
        <v>0</v>
      </c>
      <c r="CU426" s="206" t="s">
        <v>1000</v>
      </c>
      <c r="CV426" s="156"/>
      <c r="CZ426" s="157"/>
      <c r="DA426" s="152">
        <f t="shared" si="354"/>
        <v>110</v>
      </c>
      <c r="DB426" s="152" t="str">
        <f t="shared" si="355"/>
        <v>0</v>
      </c>
      <c r="DC426" s="153"/>
      <c r="DD426" s="158" t="s">
        <v>2212</v>
      </c>
      <c r="DE426" s="156" t="s">
        <v>435</v>
      </c>
      <c r="DF426" s="174" t="s">
        <v>1290</v>
      </c>
      <c r="DG426" s="175" t="s">
        <v>1285</v>
      </c>
      <c r="DH426" s="240" t="s">
        <v>477</v>
      </c>
      <c r="DI426" s="187">
        <v>45940</v>
      </c>
      <c r="DJ426" s="429">
        <v>110</v>
      </c>
      <c r="DK426" s="240" t="s">
        <v>477</v>
      </c>
      <c r="DL426" s="189">
        <v>230</v>
      </c>
      <c r="DM426" s="181">
        <f t="shared" si="362"/>
        <v>27830.000000000004</v>
      </c>
      <c r="DN426" s="446">
        <f t="shared" si="363"/>
        <v>0.10000000000000014</v>
      </c>
      <c r="DO426" s="160">
        <f t="shared" si="364"/>
        <v>25300</v>
      </c>
      <c r="DP426" s="159">
        <v>45954</v>
      </c>
      <c r="DQ426" s="152">
        <f>SUMIF($I:$I,I426,$DJ:$DJ)</f>
        <v>110</v>
      </c>
      <c r="DR426" s="152">
        <f>SUMIF($I:$I,I426,$DK:$DK)</f>
        <v>0</v>
      </c>
      <c r="EO426" s="152">
        <f>SUMIF($I:$I,I426,$EC:$EC)</f>
        <v>0</v>
      </c>
      <c r="EP426" s="151">
        <f>SUMIF($I:$I,I426,$ED:$ED)</f>
        <v>0</v>
      </c>
      <c r="EQ426" s="153"/>
      <c r="ER426" s="153"/>
      <c r="ES426" s="153"/>
      <c r="ET426" s="153"/>
      <c r="EU426" s="152">
        <f t="shared" si="356"/>
        <v>110</v>
      </c>
      <c r="EV426" s="152">
        <f t="shared" si="357"/>
        <v>0</v>
      </c>
      <c r="EW426" s="152">
        <f t="shared" si="358"/>
        <v>0</v>
      </c>
      <c r="EX426" s="152">
        <f t="shared" si="359"/>
        <v>0</v>
      </c>
      <c r="EY426" s="151" t="str">
        <f t="shared" si="360"/>
        <v>Đủ</v>
      </c>
    </row>
    <row r="427" spans="1:155" s="155" customFormat="1" ht="14" hidden="1" customHeight="1">
      <c r="A427" s="208" t="str">
        <f t="shared" si="361"/>
        <v>Hiện</v>
      </c>
      <c r="B427" s="151" t="str">
        <f t="shared" si="343"/>
        <v>Đủ</v>
      </c>
      <c r="C427" s="409">
        <f t="shared" si="341"/>
        <v>0</v>
      </c>
      <c r="D427" s="154"/>
      <c r="E427" s="154">
        <f>C427*DL427*1.1</f>
        <v>0</v>
      </c>
      <c r="F427" s="154"/>
      <c r="G427" s="151"/>
      <c r="H427" s="364"/>
      <c r="I427" s="171" t="s">
        <v>991</v>
      </c>
      <c r="J427" s="164" t="s">
        <v>922</v>
      </c>
      <c r="K427" s="171" t="s">
        <v>992</v>
      </c>
      <c r="L427" s="171" t="s">
        <v>838</v>
      </c>
      <c r="M427" s="163" t="s">
        <v>345</v>
      </c>
      <c r="N427" s="173">
        <v>0</v>
      </c>
      <c r="O427" s="419">
        <v>48</v>
      </c>
      <c r="P427" s="205"/>
      <c r="S427" s="161"/>
      <c r="T427" s="162"/>
      <c r="U427" s="162"/>
      <c r="V427" s="162"/>
      <c r="W427" s="162"/>
      <c r="X427" s="162"/>
      <c r="Y427" s="162"/>
      <c r="Z427" s="162"/>
      <c r="AA427" s="162"/>
      <c r="AB427" s="162"/>
      <c r="AC427" s="162"/>
      <c r="AD427" s="162"/>
      <c r="AE427" s="162"/>
      <c r="AF427" s="162"/>
      <c r="AG427" s="162"/>
      <c r="AH427" s="162"/>
      <c r="AI427" s="162"/>
      <c r="AJ427" s="162"/>
      <c r="AK427" s="162">
        <v>56</v>
      </c>
      <c r="AL427" s="162">
        <v>0</v>
      </c>
      <c r="AM427" s="162"/>
      <c r="AN427" s="162"/>
      <c r="AO427" s="162">
        <v>0</v>
      </c>
      <c r="AP427" s="162">
        <v>0</v>
      </c>
      <c r="AQ427" s="162">
        <v>0</v>
      </c>
      <c r="AR427" s="162">
        <v>0</v>
      </c>
      <c r="AS427" s="162">
        <v>0</v>
      </c>
      <c r="AT427" s="162">
        <v>0</v>
      </c>
      <c r="AU427" s="162">
        <v>0</v>
      </c>
      <c r="AV427" s="162">
        <v>0</v>
      </c>
      <c r="AW427" s="162">
        <v>0</v>
      </c>
      <c r="AX427" s="162">
        <v>0</v>
      </c>
      <c r="AY427" s="162">
        <v>0</v>
      </c>
      <c r="AZ427" s="162">
        <v>0</v>
      </c>
      <c r="BA427" s="162"/>
      <c r="BB427" s="162"/>
      <c r="BC427" s="162">
        <v>0</v>
      </c>
      <c r="BD427" s="162">
        <v>0</v>
      </c>
      <c r="BE427" s="162">
        <v>0</v>
      </c>
      <c r="BF427" s="162">
        <v>0</v>
      </c>
      <c r="BG427" s="162">
        <v>0</v>
      </c>
      <c r="BH427" s="162">
        <v>0</v>
      </c>
      <c r="BI427" s="162">
        <v>0</v>
      </c>
      <c r="BJ427" s="162">
        <v>0</v>
      </c>
      <c r="BK427" s="162">
        <v>0</v>
      </c>
      <c r="BL427" s="162">
        <v>0</v>
      </c>
      <c r="BM427" s="162">
        <v>0</v>
      </c>
      <c r="BN427" s="162">
        <v>0</v>
      </c>
      <c r="BO427" s="162"/>
      <c r="BP427" s="162"/>
      <c r="BQ427" s="162">
        <v>0</v>
      </c>
      <c r="BR427" s="162">
        <v>0</v>
      </c>
      <c r="BS427" s="162">
        <v>0</v>
      </c>
      <c r="BT427" s="162">
        <v>0</v>
      </c>
      <c r="BU427" s="162">
        <v>0</v>
      </c>
      <c r="BV427" s="162">
        <v>0</v>
      </c>
      <c r="BW427" s="162"/>
      <c r="BX427" s="162"/>
      <c r="BY427" s="162">
        <v>0</v>
      </c>
      <c r="BZ427" s="162">
        <v>0</v>
      </c>
      <c r="CA427" s="162">
        <v>0</v>
      </c>
      <c r="CB427" s="162">
        <v>0</v>
      </c>
      <c r="CC427" s="162">
        <v>0</v>
      </c>
      <c r="CD427" s="162">
        <v>0</v>
      </c>
      <c r="CE427" s="162">
        <f>VLOOKUP(I427,[120]REV33!$A:$O,11,0)</f>
        <v>0</v>
      </c>
      <c r="CF427" s="162">
        <f>VLOOKUP(I427,[120]REV33!$A:$O,12,0)</f>
        <v>0</v>
      </c>
      <c r="CG427" s="162"/>
      <c r="CH427" s="162"/>
      <c r="CI427" s="162"/>
      <c r="CJ427" s="162"/>
      <c r="CK427" s="162"/>
      <c r="CL427" s="162"/>
      <c r="CM427" s="162"/>
      <c r="CN427" s="162"/>
      <c r="CO427" s="162">
        <v>0</v>
      </c>
      <c r="CP427" s="162">
        <v>0</v>
      </c>
      <c r="CQ427" s="162">
        <v>0</v>
      </c>
      <c r="CR427" s="162">
        <v>0</v>
      </c>
      <c r="CS427" s="209">
        <f>Q427+S427+U427+W427+Y427+AA427+AC427+AE427+AG427+AI427+AK427+AM427+AO427+AQ427+AS427+AU427+AW427+AY427+BA427+BC427+BE427+BG427+BI427+BK427+BM427+BO427+BQ427+BS427+BU427+BW427+BY427+CA427+CC427+CE427+CG427+CI427+CK427+CM427+CO427+CQ427</f>
        <v>56</v>
      </c>
      <c r="CT427" s="209">
        <f>R427+T427+V427+X427+Z427+AB427+AD427+AF427+AH427+AJ427+AL427+AN427+AP427+AR427+AT427+AV427+AX427+AZ427+BB427+BD427+BF427+BH427+BJ427+BL427+BN427+BP427+BR427+BT427+BV427+BX427+BZ427+CB427+CD427+CF427+CH427+CJ427+CL427+CN427+CP427+CR427</f>
        <v>0</v>
      </c>
      <c r="CU427" s="206" t="s">
        <v>1000</v>
      </c>
      <c r="CV427" s="156"/>
      <c r="CZ427" s="157"/>
      <c r="DA427" s="152">
        <f t="shared" si="354"/>
        <v>56</v>
      </c>
      <c r="DB427" s="152" t="str">
        <f t="shared" si="355"/>
        <v>0</v>
      </c>
      <c r="DC427" s="153"/>
      <c r="DD427" s="158" t="s">
        <v>2212</v>
      </c>
      <c r="DE427" s="156" t="s">
        <v>435</v>
      </c>
      <c r="DF427" s="174" t="s">
        <v>1290</v>
      </c>
      <c r="DG427" s="175" t="s">
        <v>1285</v>
      </c>
      <c r="DH427" s="240" t="s">
        <v>477</v>
      </c>
      <c r="DI427" s="187">
        <v>45940</v>
      </c>
      <c r="DJ427" s="429">
        <v>56</v>
      </c>
      <c r="DK427" s="240" t="s">
        <v>477</v>
      </c>
      <c r="DL427" s="189">
        <v>230</v>
      </c>
      <c r="DM427" s="181">
        <f t="shared" si="362"/>
        <v>14168.000000000002</v>
      </c>
      <c r="DN427" s="446">
        <f t="shared" si="363"/>
        <v>0.10000000000000014</v>
      </c>
      <c r="DO427" s="160">
        <f t="shared" si="364"/>
        <v>12880</v>
      </c>
      <c r="DP427" s="159">
        <v>45954</v>
      </c>
      <c r="DQ427" s="152">
        <f>SUMIF($I:$I,I427,$DJ:$DJ)</f>
        <v>56</v>
      </c>
      <c r="DR427" s="152">
        <f>SUMIF($I:$I,I427,$DK:$DK)</f>
        <v>0</v>
      </c>
      <c r="EO427" s="152">
        <f>SUMIF($I:$I,I427,$EC:$EC)</f>
        <v>0</v>
      </c>
      <c r="EP427" s="151">
        <f>SUMIF($I:$I,I427,$ED:$ED)</f>
        <v>0</v>
      </c>
      <c r="EQ427" s="153"/>
      <c r="ER427" s="153"/>
      <c r="ES427" s="153"/>
      <c r="ET427" s="153"/>
      <c r="EU427" s="152">
        <f t="shared" si="356"/>
        <v>56</v>
      </c>
      <c r="EV427" s="152">
        <f t="shared" si="357"/>
        <v>0</v>
      </c>
      <c r="EW427" s="152">
        <f t="shared" si="358"/>
        <v>0</v>
      </c>
      <c r="EX427" s="152">
        <f t="shared" si="359"/>
        <v>0</v>
      </c>
      <c r="EY427" s="151" t="str">
        <f t="shared" si="360"/>
        <v>Đủ</v>
      </c>
    </row>
    <row r="428" spans="1:155" s="155" customFormat="1" ht="14" hidden="1" customHeight="1">
      <c r="A428" s="208" t="str">
        <f t="shared" si="361"/>
        <v>Hiện</v>
      </c>
      <c r="B428" s="151" t="str">
        <f t="shared" si="343"/>
        <v>Đủ</v>
      </c>
      <c r="C428" s="409">
        <f t="shared" si="341"/>
        <v>0</v>
      </c>
      <c r="D428" s="154"/>
      <c r="E428" s="154">
        <f>C428*DL428*1.1</f>
        <v>0</v>
      </c>
      <c r="F428" s="154"/>
      <c r="G428" s="151"/>
      <c r="H428" s="364"/>
      <c r="I428" s="171" t="s">
        <v>993</v>
      </c>
      <c r="J428" s="164" t="s">
        <v>922</v>
      </c>
      <c r="K428" s="171" t="s">
        <v>994</v>
      </c>
      <c r="L428" s="171" t="s">
        <v>838</v>
      </c>
      <c r="M428" s="163" t="s">
        <v>345</v>
      </c>
      <c r="N428" s="173">
        <v>0</v>
      </c>
      <c r="O428" s="419">
        <v>64</v>
      </c>
      <c r="P428" s="205"/>
      <c r="S428" s="161"/>
      <c r="T428" s="162"/>
      <c r="U428" s="162"/>
      <c r="V428" s="162"/>
      <c r="W428" s="162"/>
      <c r="X428" s="162"/>
      <c r="Y428" s="162"/>
      <c r="Z428" s="162"/>
      <c r="AA428" s="162"/>
      <c r="AB428" s="162"/>
      <c r="AC428" s="162"/>
      <c r="AD428" s="162"/>
      <c r="AE428" s="162"/>
      <c r="AF428" s="162"/>
      <c r="AG428" s="162"/>
      <c r="AH428" s="162"/>
      <c r="AI428" s="162"/>
      <c r="AJ428" s="162"/>
      <c r="AK428" s="162">
        <v>72</v>
      </c>
      <c r="AL428" s="162">
        <v>0</v>
      </c>
      <c r="AM428" s="162"/>
      <c r="AN428" s="162"/>
      <c r="AO428" s="162">
        <v>0</v>
      </c>
      <c r="AP428" s="162">
        <v>0</v>
      </c>
      <c r="AQ428" s="162">
        <v>0</v>
      </c>
      <c r="AR428" s="162">
        <v>0</v>
      </c>
      <c r="AS428" s="162">
        <v>0</v>
      </c>
      <c r="AT428" s="162">
        <v>0</v>
      </c>
      <c r="AU428" s="162">
        <v>0</v>
      </c>
      <c r="AV428" s="162">
        <v>0</v>
      </c>
      <c r="AW428" s="162">
        <v>0</v>
      </c>
      <c r="AX428" s="162">
        <v>0</v>
      </c>
      <c r="AY428" s="162">
        <v>0</v>
      </c>
      <c r="AZ428" s="162">
        <v>0</v>
      </c>
      <c r="BA428" s="162"/>
      <c r="BB428" s="162"/>
      <c r="BC428" s="162">
        <v>0</v>
      </c>
      <c r="BD428" s="162">
        <v>0</v>
      </c>
      <c r="BE428" s="162">
        <v>0</v>
      </c>
      <c r="BF428" s="162">
        <v>0</v>
      </c>
      <c r="BG428" s="162">
        <v>0</v>
      </c>
      <c r="BH428" s="162">
        <v>0</v>
      </c>
      <c r="BI428" s="162">
        <v>0</v>
      </c>
      <c r="BJ428" s="162">
        <v>0</v>
      </c>
      <c r="BK428" s="162">
        <v>0</v>
      </c>
      <c r="BL428" s="162">
        <v>0</v>
      </c>
      <c r="BM428" s="162">
        <v>0</v>
      </c>
      <c r="BN428" s="162">
        <v>0</v>
      </c>
      <c r="BO428" s="162"/>
      <c r="BP428" s="162"/>
      <c r="BQ428" s="162">
        <v>0</v>
      </c>
      <c r="BR428" s="162">
        <v>0</v>
      </c>
      <c r="BS428" s="162">
        <v>0</v>
      </c>
      <c r="BT428" s="162">
        <v>0</v>
      </c>
      <c r="BU428" s="162">
        <v>0</v>
      </c>
      <c r="BV428" s="162">
        <v>0</v>
      </c>
      <c r="BW428" s="162"/>
      <c r="BX428" s="162"/>
      <c r="BY428" s="162">
        <v>0</v>
      </c>
      <c r="BZ428" s="162">
        <v>0</v>
      </c>
      <c r="CA428" s="162">
        <v>0</v>
      </c>
      <c r="CB428" s="162">
        <v>0</v>
      </c>
      <c r="CC428" s="162">
        <v>0</v>
      </c>
      <c r="CD428" s="162">
        <v>0</v>
      </c>
      <c r="CE428" s="162">
        <f>VLOOKUP(I428,[120]REV33!$A:$O,11,0)</f>
        <v>0</v>
      </c>
      <c r="CF428" s="162">
        <f>VLOOKUP(I428,[120]REV33!$A:$O,12,0)</f>
        <v>0</v>
      </c>
      <c r="CG428" s="162"/>
      <c r="CH428" s="162"/>
      <c r="CI428" s="162"/>
      <c r="CJ428" s="162"/>
      <c r="CK428" s="162"/>
      <c r="CL428" s="162"/>
      <c r="CM428" s="162"/>
      <c r="CN428" s="162"/>
      <c r="CO428" s="162">
        <v>0</v>
      </c>
      <c r="CP428" s="162">
        <v>0</v>
      </c>
      <c r="CQ428" s="162">
        <v>0</v>
      </c>
      <c r="CR428" s="162">
        <v>0</v>
      </c>
      <c r="CS428" s="209">
        <f>Q428+S428+U428+W428+Y428+AA428+AC428+AE428+AG428+AI428+AK428+AM428+AO428+AQ428+AS428+AU428+AW428+AY428+BA428+BC428+BE428+BG428+BI428+BK428+BM428+BO428+BQ428+BS428+BU428+BW428+BY428+CA428+CC428+CE428+CG428+CI428+CK428+CM428+CO428+CQ428</f>
        <v>72</v>
      </c>
      <c r="CT428" s="209">
        <f>R428+T428+V428+X428+Z428+AB428+AD428+AF428+AH428+AJ428+AL428+AN428+AP428+AR428+AT428+AV428+AX428+AZ428+BB428+BD428+BF428+BH428+BJ428+BL428+BN428+BP428+BR428+BT428+BV428+BX428+BZ428+CB428+CD428+CF428+CH428+CJ428+CL428+CN428+CP428+CR428</f>
        <v>0</v>
      </c>
      <c r="CU428" s="206" t="s">
        <v>1000</v>
      </c>
      <c r="CV428" s="156"/>
      <c r="CZ428" s="157"/>
      <c r="DA428" s="152">
        <f t="shared" si="354"/>
        <v>72</v>
      </c>
      <c r="DB428" s="152" t="str">
        <f t="shared" si="355"/>
        <v>0</v>
      </c>
      <c r="DC428" s="153"/>
      <c r="DD428" s="158" t="s">
        <v>2212</v>
      </c>
      <c r="DE428" s="156" t="s">
        <v>435</v>
      </c>
      <c r="DF428" s="174" t="s">
        <v>1291</v>
      </c>
      <c r="DG428" s="175" t="s">
        <v>1275</v>
      </c>
      <c r="DH428" s="240" t="s">
        <v>477</v>
      </c>
      <c r="DI428" s="187">
        <v>45940</v>
      </c>
      <c r="DJ428" s="429">
        <v>72</v>
      </c>
      <c r="DK428" s="240" t="s">
        <v>477</v>
      </c>
      <c r="DL428" s="189">
        <v>1560</v>
      </c>
      <c r="DM428" s="181">
        <f t="shared" si="362"/>
        <v>123552.00000000001</v>
      </c>
      <c r="DN428" s="446">
        <f t="shared" si="363"/>
        <v>0.10000000000000013</v>
      </c>
      <c r="DO428" s="160">
        <f t="shared" si="364"/>
        <v>112320</v>
      </c>
      <c r="DP428" s="159">
        <v>45954</v>
      </c>
      <c r="DQ428" s="152">
        <f>SUMIF($I:$I,I428,$DJ:$DJ)</f>
        <v>72</v>
      </c>
      <c r="DR428" s="152">
        <f>SUMIF($I:$I,I428,$DK:$DK)</f>
        <v>0</v>
      </c>
      <c r="EO428" s="152">
        <f>SUMIF($I:$I,I428,$EC:$EC)</f>
        <v>0</v>
      </c>
      <c r="EP428" s="151">
        <f>SUMIF($I:$I,I428,$ED:$ED)</f>
        <v>0</v>
      </c>
      <c r="EQ428" s="153"/>
      <c r="ER428" s="153"/>
      <c r="ES428" s="153"/>
      <c r="ET428" s="153"/>
      <c r="EU428" s="152">
        <f t="shared" si="356"/>
        <v>72</v>
      </c>
      <c r="EV428" s="152">
        <f t="shared" si="357"/>
        <v>0</v>
      </c>
      <c r="EW428" s="152">
        <f t="shared" si="358"/>
        <v>0</v>
      </c>
      <c r="EX428" s="152">
        <f t="shared" si="359"/>
        <v>0</v>
      </c>
      <c r="EY428" s="151" t="str">
        <f t="shared" si="360"/>
        <v>Đủ</v>
      </c>
    </row>
    <row r="429" spans="1:155" s="155" customFormat="1" ht="14" hidden="1" customHeight="1">
      <c r="A429" s="208" t="str">
        <f t="shared" si="361"/>
        <v>Hiện</v>
      </c>
      <c r="B429" s="151" t="str">
        <f t="shared" ref="B429:B437" si="365">EY429</f>
        <v>Đủ</v>
      </c>
      <c r="C429" s="409">
        <f t="shared" ref="C429:C439" si="366">EW429</f>
        <v>0</v>
      </c>
      <c r="D429" s="154"/>
      <c r="E429" s="154"/>
      <c r="F429" s="154"/>
      <c r="G429" s="151"/>
      <c r="H429" s="364"/>
      <c r="I429" s="163" t="s">
        <v>1530</v>
      </c>
      <c r="J429" s="164" t="s">
        <v>751</v>
      </c>
      <c r="K429" s="171" t="s">
        <v>1531</v>
      </c>
      <c r="L429" s="171" t="s">
        <v>838</v>
      </c>
      <c r="M429" s="163" t="s">
        <v>345</v>
      </c>
      <c r="N429" s="173"/>
      <c r="O429" s="419">
        <v>67</v>
      </c>
      <c r="P429" s="205"/>
      <c r="S429" s="161"/>
      <c r="T429" s="162"/>
      <c r="U429" s="162"/>
      <c r="V429" s="162"/>
      <c r="W429" s="162"/>
      <c r="X429" s="162"/>
      <c r="Y429" s="162"/>
      <c r="Z429" s="162"/>
      <c r="AA429" s="162"/>
      <c r="AB429" s="162"/>
      <c r="AC429" s="162"/>
      <c r="AD429" s="162"/>
      <c r="AE429" s="162"/>
      <c r="AF429" s="162"/>
      <c r="AG429" s="162"/>
      <c r="AH429" s="162"/>
      <c r="AI429" s="162"/>
      <c r="AJ429" s="162"/>
      <c r="AK429" s="162"/>
      <c r="AL429" s="162"/>
      <c r="AM429" s="162"/>
      <c r="AN429" s="162"/>
      <c r="AO429" s="162"/>
      <c r="AP429" s="162"/>
      <c r="AQ429" s="162"/>
      <c r="AR429" s="162"/>
      <c r="AS429" s="162"/>
      <c r="AT429" s="162"/>
      <c r="AU429" s="162"/>
      <c r="AV429" s="162"/>
      <c r="AW429" s="162"/>
      <c r="AX429" s="162"/>
      <c r="AY429" s="162"/>
      <c r="AZ429" s="162"/>
      <c r="BA429" s="162"/>
      <c r="BB429" s="162"/>
      <c r="BC429" s="162">
        <v>67</v>
      </c>
      <c r="BD429" s="162">
        <v>0</v>
      </c>
      <c r="BE429" s="162">
        <v>-67</v>
      </c>
      <c r="BF429" s="162">
        <v>0</v>
      </c>
      <c r="BG429" s="162">
        <v>0</v>
      </c>
      <c r="BH429" s="162">
        <v>0</v>
      </c>
      <c r="BI429" s="162">
        <v>0</v>
      </c>
      <c r="BJ429" s="162">
        <v>0</v>
      </c>
      <c r="BK429" s="162">
        <v>0</v>
      </c>
      <c r="BL429" s="162">
        <v>0</v>
      </c>
      <c r="BM429" s="162">
        <v>0</v>
      </c>
      <c r="BN429" s="162">
        <v>0</v>
      </c>
      <c r="BO429" s="162"/>
      <c r="BP429" s="162"/>
      <c r="BQ429" s="162">
        <v>0</v>
      </c>
      <c r="BR429" s="162">
        <v>0</v>
      </c>
      <c r="BS429" s="162">
        <v>0</v>
      </c>
      <c r="BT429" s="162">
        <v>0</v>
      </c>
      <c r="BU429" s="162">
        <v>0</v>
      </c>
      <c r="BV429" s="162">
        <v>0</v>
      </c>
      <c r="BW429" s="162"/>
      <c r="BX429" s="162"/>
      <c r="BY429" s="162">
        <v>0</v>
      </c>
      <c r="BZ429" s="162">
        <v>0</v>
      </c>
      <c r="CA429" s="162">
        <v>0</v>
      </c>
      <c r="CB429" s="162">
        <v>0</v>
      </c>
      <c r="CC429" s="162">
        <v>0</v>
      </c>
      <c r="CD429" s="162">
        <v>0</v>
      </c>
      <c r="CE429" s="162">
        <f>VLOOKUP(I429,[120]REV33!$A:$O,11,0)</f>
        <v>0</v>
      </c>
      <c r="CF429" s="162">
        <f>VLOOKUP(I429,[120]REV33!$A:$O,12,0)</f>
        <v>0</v>
      </c>
      <c r="CG429" s="162"/>
      <c r="CH429" s="162"/>
      <c r="CI429" s="162"/>
      <c r="CJ429" s="162"/>
      <c r="CK429" s="162"/>
      <c r="CL429" s="162"/>
      <c r="CM429" s="162"/>
      <c r="CN429" s="162"/>
      <c r="CO429" s="162">
        <v>0</v>
      </c>
      <c r="CP429" s="162">
        <v>0</v>
      </c>
      <c r="CQ429" s="162">
        <v>0</v>
      </c>
      <c r="CR429" s="162">
        <v>0</v>
      </c>
      <c r="CS429" s="209">
        <f>Q429+S429+U429+W429+Y429+AA429+AC429+AE429+AG429+AI429+AK429+AM429+AO429+AQ429+AS429+AU429+AW429+AY429+BA429+BC429+BE429+BG429+BI429+BK429+BM429+BO429+BQ429+BS429+BU429+BW429+BY429+CA429+CC429+CE429+CG429+CI429+CK429+CM429+CO429+CQ429</f>
        <v>0</v>
      </c>
      <c r="CT429" s="209">
        <f>R429+T429+V429+X429+Z429+AB429+AD429+AF429+AH429+AJ429+AL429+AN429+AP429+AR429+AT429+AV429+AX429+AZ429+BB429+BD429+BF429+BH429+BJ429+BL429+BN429+BP429+BR429+BT429+BV429+BX429+BZ429+CB429+CD429+CF429+CH429+CJ429+CL429+CN429+CP429+CR429</f>
        <v>0</v>
      </c>
      <c r="CU429" s="206" t="s">
        <v>1580</v>
      </c>
      <c r="CV429" s="156"/>
      <c r="CZ429" s="157"/>
      <c r="DA429" s="152" t="str">
        <f t="shared" si="354"/>
        <v>0</v>
      </c>
      <c r="DB429" s="152" t="str">
        <f t="shared" si="355"/>
        <v>0</v>
      </c>
      <c r="DC429" s="153"/>
      <c r="DD429" s="158"/>
      <c r="DE429" s="156"/>
      <c r="DF429" s="174"/>
      <c r="DG429" s="175"/>
      <c r="DH429" s="156"/>
      <c r="DJ429" s="429"/>
      <c r="DK429" s="240"/>
      <c r="DL429" s="189"/>
      <c r="DM429" s="189"/>
      <c r="DN429" s="189"/>
      <c r="DO429" s="160"/>
      <c r="DP429" s="159"/>
      <c r="DQ429" s="152">
        <f>SUMIF($I:$I,I429,$DJ:$DJ)</f>
        <v>0</v>
      </c>
      <c r="DR429" s="152">
        <f>SUMIF($I:$I,I429,$DK:$DK)</f>
        <v>0</v>
      </c>
      <c r="EO429" s="152">
        <f>SUMIF($I:$I,I429,$EC:$EC)</f>
        <v>0</v>
      </c>
      <c r="EP429" s="151">
        <f>SUMIF($I:$I,I429,$ED:$ED)</f>
        <v>0</v>
      </c>
      <c r="EQ429" s="153"/>
      <c r="ER429" s="153"/>
      <c r="ES429" s="153"/>
      <c r="ET429" s="153"/>
      <c r="EU429" s="152">
        <f t="shared" si="356"/>
        <v>0</v>
      </c>
      <c r="EV429" s="152">
        <f t="shared" si="357"/>
        <v>0</v>
      </c>
      <c r="EW429" s="152">
        <f t="shared" si="358"/>
        <v>0</v>
      </c>
      <c r="EX429" s="152">
        <f t="shared" si="359"/>
        <v>0</v>
      </c>
      <c r="EY429" s="151" t="str">
        <f t="shared" si="360"/>
        <v>Đủ</v>
      </c>
    </row>
    <row r="430" spans="1:155" s="155" customFormat="1" ht="14" hidden="1" customHeight="1">
      <c r="A430" s="208" t="str">
        <f t="shared" si="361"/>
        <v>Hiện</v>
      </c>
      <c r="B430" s="151" t="str">
        <f t="shared" si="365"/>
        <v>Đủ</v>
      </c>
      <c r="C430" s="409">
        <f t="shared" si="366"/>
        <v>0</v>
      </c>
      <c r="D430" s="154"/>
      <c r="E430" s="154"/>
      <c r="F430" s="154"/>
      <c r="G430" s="151"/>
      <c r="H430" s="364"/>
      <c r="I430" s="163" t="s">
        <v>1532</v>
      </c>
      <c r="J430" s="164" t="s">
        <v>751</v>
      </c>
      <c r="K430" s="171" t="s">
        <v>1533</v>
      </c>
      <c r="L430" s="171" t="s">
        <v>838</v>
      </c>
      <c r="M430" s="163" t="s">
        <v>345</v>
      </c>
      <c r="N430" s="173"/>
      <c r="O430" s="419">
        <v>25</v>
      </c>
      <c r="P430" s="205"/>
      <c r="S430" s="161"/>
      <c r="T430" s="162"/>
      <c r="U430" s="162"/>
      <c r="V430" s="162"/>
      <c r="W430" s="162"/>
      <c r="X430" s="162"/>
      <c r="Y430" s="162"/>
      <c r="Z430" s="162"/>
      <c r="AA430" s="162"/>
      <c r="AB430" s="162"/>
      <c r="AC430" s="162"/>
      <c r="AD430" s="162"/>
      <c r="AE430" s="162"/>
      <c r="AF430" s="162"/>
      <c r="AG430" s="162"/>
      <c r="AH430" s="162"/>
      <c r="AI430" s="162"/>
      <c r="AJ430" s="162"/>
      <c r="AK430" s="162"/>
      <c r="AL430" s="162"/>
      <c r="AM430" s="162"/>
      <c r="AN430" s="162"/>
      <c r="AO430" s="162"/>
      <c r="AP430" s="162"/>
      <c r="AQ430" s="162"/>
      <c r="AR430" s="162"/>
      <c r="AS430" s="162"/>
      <c r="AT430" s="162"/>
      <c r="AU430" s="162"/>
      <c r="AV430" s="162"/>
      <c r="AW430" s="162"/>
      <c r="AX430" s="162"/>
      <c r="AY430" s="162"/>
      <c r="AZ430" s="162"/>
      <c r="BA430" s="162"/>
      <c r="BB430" s="162"/>
      <c r="BC430" s="162">
        <v>25</v>
      </c>
      <c r="BD430" s="162">
        <v>0</v>
      </c>
      <c r="BE430" s="162">
        <v>-25</v>
      </c>
      <c r="BF430" s="162">
        <v>0</v>
      </c>
      <c r="BG430" s="162">
        <v>0</v>
      </c>
      <c r="BH430" s="162">
        <v>0</v>
      </c>
      <c r="BI430" s="162">
        <v>0</v>
      </c>
      <c r="BJ430" s="162">
        <v>0</v>
      </c>
      <c r="BK430" s="162">
        <v>0</v>
      </c>
      <c r="BL430" s="162">
        <v>0</v>
      </c>
      <c r="BM430" s="162">
        <v>0</v>
      </c>
      <c r="BN430" s="162">
        <v>0</v>
      </c>
      <c r="BO430" s="162"/>
      <c r="BP430" s="162"/>
      <c r="BQ430" s="162">
        <v>0</v>
      </c>
      <c r="BR430" s="162">
        <v>0</v>
      </c>
      <c r="BS430" s="162">
        <v>0</v>
      </c>
      <c r="BT430" s="162">
        <v>0</v>
      </c>
      <c r="BU430" s="162">
        <v>0</v>
      </c>
      <c r="BV430" s="162">
        <v>0</v>
      </c>
      <c r="BW430" s="162"/>
      <c r="BX430" s="162"/>
      <c r="BY430" s="162">
        <v>0</v>
      </c>
      <c r="BZ430" s="162">
        <v>0</v>
      </c>
      <c r="CA430" s="162">
        <v>0</v>
      </c>
      <c r="CB430" s="162">
        <v>0</v>
      </c>
      <c r="CC430" s="162">
        <v>0</v>
      </c>
      <c r="CD430" s="162">
        <v>0</v>
      </c>
      <c r="CE430" s="162">
        <f>VLOOKUP(I430,[120]REV33!$A:$O,11,0)</f>
        <v>0</v>
      </c>
      <c r="CF430" s="162">
        <f>VLOOKUP(I430,[120]REV33!$A:$O,12,0)</f>
        <v>0</v>
      </c>
      <c r="CG430" s="162"/>
      <c r="CH430" s="162"/>
      <c r="CI430" s="162"/>
      <c r="CJ430" s="162"/>
      <c r="CK430" s="162"/>
      <c r="CL430" s="162"/>
      <c r="CM430" s="162"/>
      <c r="CN430" s="162"/>
      <c r="CO430" s="162">
        <v>0</v>
      </c>
      <c r="CP430" s="162">
        <v>0</v>
      </c>
      <c r="CQ430" s="162">
        <v>0</v>
      </c>
      <c r="CR430" s="162">
        <v>0</v>
      </c>
      <c r="CS430" s="209">
        <f>Q430+S430+U430+W430+Y430+AA430+AC430+AE430+AG430+AI430+AK430+AM430+AO430+AQ430+AS430+AU430+AW430+AY430+BA430+BC430+BE430+BG430+BI430+BK430+BM430+BO430+BQ430+BS430+BU430+BW430+BY430+CA430+CC430+CE430+CG430+CI430+CK430+CM430+CO430+CQ430</f>
        <v>0</v>
      </c>
      <c r="CT430" s="209">
        <f>R430+T430+V430+X430+Z430+AB430+AD430+AF430+AH430+AJ430+AL430+AN430+AP430+AR430+AT430+AV430+AX430+AZ430+BB430+BD430+BF430+BH430+BJ430+BL430+BN430+BP430+BR430+BT430+BV430+BX430+BZ430+CB430+CD430+CF430+CH430+CJ430+CL430+CN430+CP430+CR430</f>
        <v>0</v>
      </c>
      <c r="CU430" s="206" t="s">
        <v>1580</v>
      </c>
      <c r="CV430" s="156"/>
      <c r="CZ430" s="157"/>
      <c r="DA430" s="152" t="str">
        <f t="shared" si="354"/>
        <v>0</v>
      </c>
      <c r="DB430" s="152" t="str">
        <f t="shared" si="355"/>
        <v>0</v>
      </c>
      <c r="DC430" s="153"/>
      <c r="DD430" s="158"/>
      <c r="DE430" s="156"/>
      <c r="DF430" s="174"/>
      <c r="DG430" s="175"/>
      <c r="DH430" s="156"/>
      <c r="DJ430" s="429"/>
      <c r="DK430" s="240"/>
      <c r="DL430" s="189"/>
      <c r="DM430" s="189"/>
      <c r="DN430" s="189"/>
      <c r="DO430" s="160"/>
      <c r="DP430" s="159"/>
      <c r="DQ430" s="152">
        <f>SUMIF($I:$I,I430,$DJ:$DJ)</f>
        <v>0</v>
      </c>
      <c r="DR430" s="152">
        <f>SUMIF($I:$I,I430,$DK:$DK)</f>
        <v>0</v>
      </c>
      <c r="EO430" s="152">
        <f>SUMIF($I:$I,I430,$EC:$EC)</f>
        <v>0</v>
      </c>
      <c r="EP430" s="151">
        <f>SUMIF($I:$I,I430,$ED:$ED)</f>
        <v>0</v>
      </c>
      <c r="EQ430" s="153"/>
      <c r="ER430" s="153"/>
      <c r="ES430" s="153"/>
      <c r="ET430" s="153"/>
      <c r="EU430" s="152">
        <f t="shared" si="356"/>
        <v>0</v>
      </c>
      <c r="EV430" s="152">
        <f t="shared" si="357"/>
        <v>0</v>
      </c>
      <c r="EW430" s="152">
        <f t="shared" si="358"/>
        <v>0</v>
      </c>
      <c r="EX430" s="152">
        <f t="shared" si="359"/>
        <v>0</v>
      </c>
      <c r="EY430" s="151" t="str">
        <f t="shared" si="360"/>
        <v>Đủ</v>
      </c>
    </row>
    <row r="431" spans="1:155" s="155" customFormat="1" ht="14" hidden="1" customHeight="1">
      <c r="A431" s="208" t="str">
        <f t="shared" si="361"/>
        <v>Hiện</v>
      </c>
      <c r="B431" s="151" t="str">
        <f t="shared" si="365"/>
        <v>Đủ</v>
      </c>
      <c r="C431" s="409">
        <f t="shared" si="366"/>
        <v>0</v>
      </c>
      <c r="D431" s="154"/>
      <c r="E431" s="154"/>
      <c r="F431" s="154"/>
      <c r="G431" s="151"/>
      <c r="H431" s="364"/>
      <c r="I431" s="163" t="s">
        <v>1534</v>
      </c>
      <c r="J431" s="164" t="s">
        <v>751</v>
      </c>
      <c r="K431" s="171" t="s">
        <v>1535</v>
      </c>
      <c r="L431" s="171" t="s">
        <v>838</v>
      </c>
      <c r="M431" s="163" t="s">
        <v>345</v>
      </c>
      <c r="N431" s="173"/>
      <c r="O431" s="419">
        <v>8</v>
      </c>
      <c r="P431" s="205"/>
      <c r="S431" s="161"/>
      <c r="T431" s="162"/>
      <c r="U431" s="162"/>
      <c r="V431" s="162"/>
      <c r="W431" s="162"/>
      <c r="X431" s="162"/>
      <c r="Y431" s="162"/>
      <c r="Z431" s="162"/>
      <c r="AA431" s="162"/>
      <c r="AB431" s="162"/>
      <c r="AC431" s="162"/>
      <c r="AD431" s="162"/>
      <c r="AE431" s="162"/>
      <c r="AF431" s="162"/>
      <c r="AG431" s="162"/>
      <c r="AH431" s="162"/>
      <c r="AI431" s="162"/>
      <c r="AJ431" s="162"/>
      <c r="AK431" s="162"/>
      <c r="AL431" s="162"/>
      <c r="AM431" s="162"/>
      <c r="AN431" s="162"/>
      <c r="AO431" s="162"/>
      <c r="AP431" s="162"/>
      <c r="AQ431" s="162"/>
      <c r="AR431" s="162"/>
      <c r="AS431" s="162"/>
      <c r="AT431" s="162"/>
      <c r="AU431" s="162"/>
      <c r="AV431" s="162"/>
      <c r="AW431" s="162"/>
      <c r="AX431" s="162"/>
      <c r="AY431" s="162"/>
      <c r="AZ431" s="162"/>
      <c r="BA431" s="162"/>
      <c r="BB431" s="162"/>
      <c r="BC431" s="162">
        <v>8</v>
      </c>
      <c r="BD431" s="162">
        <v>0</v>
      </c>
      <c r="BE431" s="162">
        <v>-8</v>
      </c>
      <c r="BF431" s="162">
        <v>0</v>
      </c>
      <c r="BG431" s="162">
        <v>0</v>
      </c>
      <c r="BH431" s="162">
        <v>0</v>
      </c>
      <c r="BI431" s="162">
        <v>0</v>
      </c>
      <c r="BJ431" s="162">
        <v>0</v>
      </c>
      <c r="BK431" s="162">
        <v>0</v>
      </c>
      <c r="BL431" s="162">
        <v>0</v>
      </c>
      <c r="BM431" s="162">
        <v>0</v>
      </c>
      <c r="BN431" s="162">
        <v>0</v>
      </c>
      <c r="BO431" s="162"/>
      <c r="BP431" s="162"/>
      <c r="BQ431" s="162">
        <v>0</v>
      </c>
      <c r="BR431" s="162">
        <v>0</v>
      </c>
      <c r="BS431" s="162">
        <v>0</v>
      </c>
      <c r="BT431" s="162">
        <v>0</v>
      </c>
      <c r="BU431" s="162">
        <v>0</v>
      </c>
      <c r="BV431" s="162">
        <v>0</v>
      </c>
      <c r="BW431" s="162"/>
      <c r="BX431" s="162"/>
      <c r="BY431" s="162">
        <v>0</v>
      </c>
      <c r="BZ431" s="162">
        <v>0</v>
      </c>
      <c r="CA431" s="162">
        <v>0</v>
      </c>
      <c r="CB431" s="162">
        <v>0</v>
      </c>
      <c r="CC431" s="162">
        <v>0</v>
      </c>
      <c r="CD431" s="162">
        <v>0</v>
      </c>
      <c r="CE431" s="162">
        <f>VLOOKUP(I431,[120]REV33!$A:$O,11,0)</f>
        <v>0</v>
      </c>
      <c r="CF431" s="162">
        <f>VLOOKUP(I431,[120]REV33!$A:$O,12,0)</f>
        <v>0</v>
      </c>
      <c r="CG431" s="162"/>
      <c r="CH431" s="162"/>
      <c r="CI431" s="162"/>
      <c r="CJ431" s="162"/>
      <c r="CK431" s="162"/>
      <c r="CL431" s="162"/>
      <c r="CM431" s="162"/>
      <c r="CN431" s="162"/>
      <c r="CO431" s="162">
        <v>0</v>
      </c>
      <c r="CP431" s="162">
        <v>0</v>
      </c>
      <c r="CQ431" s="162">
        <v>0</v>
      </c>
      <c r="CR431" s="162">
        <v>0</v>
      </c>
      <c r="CS431" s="209">
        <f>Q431+S431+U431+W431+Y431+AA431+AC431+AE431+AG431+AI431+AK431+AM431+AO431+AQ431+AS431+AU431+AW431+AY431+BA431+BC431+BE431+BG431+BI431+BK431+BM431+BO431+BQ431+BS431+BU431+BW431+BY431+CA431+CC431+CE431+CG431+CI431+CK431+CM431+CO431+CQ431</f>
        <v>0</v>
      </c>
      <c r="CT431" s="209">
        <f>R431+T431+V431+X431+Z431+AB431+AD431+AF431+AH431+AJ431+AL431+AN431+AP431+AR431+AT431+AV431+AX431+AZ431+BB431+BD431+BF431+BH431+BJ431+BL431+BN431+BP431+BR431+BT431+BV431+BX431+BZ431+CB431+CD431+CF431+CH431+CJ431+CL431+CN431+CP431+CR431</f>
        <v>0</v>
      </c>
      <c r="CU431" s="206" t="s">
        <v>1580</v>
      </c>
      <c r="CV431" s="156"/>
      <c r="CZ431" s="157"/>
      <c r="DA431" s="152" t="str">
        <f t="shared" si="354"/>
        <v>0</v>
      </c>
      <c r="DB431" s="152" t="str">
        <f t="shared" si="355"/>
        <v>0</v>
      </c>
      <c r="DC431" s="153"/>
      <c r="DD431" s="158"/>
      <c r="DE431" s="156"/>
      <c r="DF431" s="174"/>
      <c r="DG431" s="175"/>
      <c r="DH431" s="156"/>
      <c r="DJ431" s="429"/>
      <c r="DK431" s="240"/>
      <c r="DL431" s="189"/>
      <c r="DM431" s="189"/>
      <c r="DN431" s="189"/>
      <c r="DO431" s="160"/>
      <c r="DP431" s="159"/>
      <c r="DQ431" s="152">
        <f>SUMIF($I:$I,I431,$DJ:$DJ)</f>
        <v>0</v>
      </c>
      <c r="DR431" s="152">
        <f>SUMIF($I:$I,I431,$DK:$DK)</f>
        <v>0</v>
      </c>
      <c r="EO431" s="152">
        <f>SUMIF($I:$I,I431,$EC:$EC)</f>
        <v>0</v>
      </c>
      <c r="EP431" s="151">
        <f>SUMIF($I:$I,I431,$ED:$ED)</f>
        <v>0</v>
      </c>
      <c r="EQ431" s="153"/>
      <c r="ER431" s="153"/>
      <c r="ES431" s="153"/>
      <c r="ET431" s="153"/>
      <c r="EU431" s="152">
        <f t="shared" si="356"/>
        <v>0</v>
      </c>
      <c r="EV431" s="152">
        <f t="shared" si="357"/>
        <v>0</v>
      </c>
      <c r="EW431" s="152">
        <f t="shared" si="358"/>
        <v>0</v>
      </c>
      <c r="EX431" s="152">
        <f t="shared" si="359"/>
        <v>0</v>
      </c>
      <c r="EY431" s="151" t="str">
        <f t="shared" si="360"/>
        <v>Đủ</v>
      </c>
    </row>
    <row r="432" spans="1:155" s="155" customFormat="1" ht="14" hidden="1" customHeight="1">
      <c r="A432" s="208" t="str">
        <f t="shared" si="361"/>
        <v>Hiện</v>
      </c>
      <c r="B432" s="151" t="str">
        <f t="shared" si="365"/>
        <v>Đủ</v>
      </c>
      <c r="C432" s="409">
        <f t="shared" si="366"/>
        <v>0</v>
      </c>
      <c r="D432" s="154"/>
      <c r="E432" s="154"/>
      <c r="F432" s="154"/>
      <c r="G432" s="151"/>
      <c r="H432" s="364"/>
      <c r="I432" s="171" t="s">
        <v>1536</v>
      </c>
      <c r="J432" s="164" t="s">
        <v>863</v>
      </c>
      <c r="K432" s="171" t="s">
        <v>1537</v>
      </c>
      <c r="L432" s="171" t="s">
        <v>838</v>
      </c>
      <c r="M432" s="163" t="s">
        <v>345</v>
      </c>
      <c r="N432" s="173"/>
      <c r="O432" s="419">
        <v>67</v>
      </c>
      <c r="P432" s="205"/>
      <c r="S432" s="161"/>
      <c r="T432" s="162"/>
      <c r="U432" s="162"/>
      <c r="V432" s="162"/>
      <c r="W432" s="162"/>
      <c r="X432" s="162"/>
      <c r="Y432" s="162"/>
      <c r="Z432" s="162"/>
      <c r="AA432" s="162"/>
      <c r="AB432" s="162"/>
      <c r="AC432" s="162"/>
      <c r="AD432" s="162"/>
      <c r="AE432" s="162"/>
      <c r="AF432" s="162"/>
      <c r="AG432" s="162"/>
      <c r="AH432" s="162"/>
      <c r="AI432" s="162"/>
      <c r="AJ432" s="162"/>
      <c r="AK432" s="162"/>
      <c r="AL432" s="162"/>
      <c r="AM432" s="162"/>
      <c r="AN432" s="162"/>
      <c r="AO432" s="162"/>
      <c r="AP432" s="162"/>
      <c r="AQ432" s="162"/>
      <c r="AR432" s="162"/>
      <c r="AS432" s="162"/>
      <c r="AT432" s="162"/>
      <c r="AU432" s="162"/>
      <c r="AV432" s="162"/>
      <c r="AW432" s="162"/>
      <c r="AX432" s="162"/>
      <c r="AY432" s="162"/>
      <c r="AZ432" s="162"/>
      <c r="BA432" s="162"/>
      <c r="BB432" s="162"/>
      <c r="BC432" s="162">
        <v>67</v>
      </c>
      <c r="BD432" s="162">
        <v>0</v>
      </c>
      <c r="BE432" s="162">
        <v>-67</v>
      </c>
      <c r="BF432" s="162">
        <v>0</v>
      </c>
      <c r="BG432" s="162">
        <v>0</v>
      </c>
      <c r="BH432" s="162">
        <v>0</v>
      </c>
      <c r="BI432" s="162">
        <v>0</v>
      </c>
      <c r="BJ432" s="162">
        <v>0</v>
      </c>
      <c r="BK432" s="162">
        <v>0</v>
      </c>
      <c r="BL432" s="162">
        <v>0</v>
      </c>
      <c r="BM432" s="162">
        <v>0</v>
      </c>
      <c r="BN432" s="162">
        <v>0</v>
      </c>
      <c r="BO432" s="162"/>
      <c r="BP432" s="162"/>
      <c r="BQ432" s="162">
        <v>0</v>
      </c>
      <c r="BR432" s="162">
        <v>0</v>
      </c>
      <c r="BS432" s="162">
        <v>0</v>
      </c>
      <c r="BT432" s="162">
        <v>0</v>
      </c>
      <c r="BU432" s="162">
        <v>0</v>
      </c>
      <c r="BV432" s="162">
        <v>0</v>
      </c>
      <c r="BW432" s="162"/>
      <c r="BX432" s="162"/>
      <c r="BY432" s="162">
        <v>0</v>
      </c>
      <c r="BZ432" s="162">
        <v>0</v>
      </c>
      <c r="CA432" s="162">
        <v>0</v>
      </c>
      <c r="CB432" s="162">
        <v>0</v>
      </c>
      <c r="CC432" s="162">
        <v>0</v>
      </c>
      <c r="CD432" s="162">
        <v>0</v>
      </c>
      <c r="CE432" s="162">
        <f>VLOOKUP(I432,[120]REV33!$A:$O,11,0)</f>
        <v>0</v>
      </c>
      <c r="CF432" s="162">
        <f>VLOOKUP(I432,[120]REV33!$A:$O,12,0)</f>
        <v>0</v>
      </c>
      <c r="CG432" s="162"/>
      <c r="CH432" s="162"/>
      <c r="CI432" s="162"/>
      <c r="CJ432" s="162"/>
      <c r="CK432" s="162"/>
      <c r="CL432" s="162"/>
      <c r="CM432" s="162"/>
      <c r="CN432" s="162"/>
      <c r="CO432" s="162">
        <v>0</v>
      </c>
      <c r="CP432" s="162">
        <v>0</v>
      </c>
      <c r="CQ432" s="162">
        <v>0</v>
      </c>
      <c r="CR432" s="162">
        <v>0</v>
      </c>
      <c r="CS432" s="209">
        <f>Q432+S432+U432+W432+Y432+AA432+AC432+AE432+AG432+AI432+AK432+AM432+AO432+AQ432+AS432+AU432+AW432+AY432+BA432+BC432+BE432+BG432+BI432+BK432+BM432+BO432+BQ432+BS432+BU432+BW432+BY432+CA432+CC432+CE432+CG432+CI432+CK432+CM432+CO432+CQ432</f>
        <v>0</v>
      </c>
      <c r="CT432" s="209">
        <f>R432+T432+V432+X432+Z432+AB432+AD432+AF432+AH432+AJ432+AL432+AN432+AP432+AR432+AT432+AV432+AX432+AZ432+BB432+BD432+BF432+BH432+BJ432+BL432+BN432+BP432+BR432+BT432+BV432+BX432+BZ432+CB432+CD432+CF432+CH432+CJ432+CL432+CN432+CP432+CR432</f>
        <v>0</v>
      </c>
      <c r="CU432" s="206" t="s">
        <v>1580</v>
      </c>
      <c r="CV432" s="156"/>
      <c r="CZ432" s="157"/>
      <c r="DA432" s="152" t="str">
        <f t="shared" si="354"/>
        <v>0</v>
      </c>
      <c r="DB432" s="152" t="str">
        <f t="shared" si="355"/>
        <v>0</v>
      </c>
      <c r="DC432" s="153"/>
      <c r="DD432" s="158"/>
      <c r="DE432" s="156"/>
      <c r="DF432" s="174"/>
      <c r="DG432" s="175"/>
      <c r="DH432" s="156"/>
      <c r="DJ432" s="429"/>
      <c r="DK432" s="240"/>
      <c r="DL432" s="189"/>
      <c r="DM432" s="189"/>
      <c r="DN432" s="189"/>
      <c r="DO432" s="160"/>
      <c r="DP432" s="159"/>
      <c r="DQ432" s="152">
        <f>SUMIF($I:$I,I432,$DJ:$DJ)</f>
        <v>0</v>
      </c>
      <c r="DR432" s="152">
        <f>SUMIF($I:$I,I432,$DK:$DK)</f>
        <v>0</v>
      </c>
      <c r="EO432" s="152">
        <f>SUMIF($I:$I,I432,$EC:$EC)</f>
        <v>0</v>
      </c>
      <c r="EP432" s="151">
        <f>SUMIF($I:$I,I432,$ED:$ED)</f>
        <v>0</v>
      </c>
      <c r="EQ432" s="153"/>
      <c r="ER432" s="153"/>
      <c r="ES432" s="153"/>
      <c r="ET432" s="153"/>
      <c r="EU432" s="152">
        <f t="shared" si="356"/>
        <v>0</v>
      </c>
      <c r="EV432" s="152">
        <f t="shared" si="357"/>
        <v>0</v>
      </c>
      <c r="EW432" s="152">
        <f t="shared" si="358"/>
        <v>0</v>
      </c>
      <c r="EX432" s="152">
        <f t="shared" si="359"/>
        <v>0</v>
      </c>
      <c r="EY432" s="151" t="str">
        <f t="shared" si="360"/>
        <v>Đủ</v>
      </c>
    </row>
    <row r="433" spans="1:164" s="155" customFormat="1" ht="14" hidden="1" customHeight="1">
      <c r="A433" s="208" t="str">
        <f t="shared" si="361"/>
        <v>Hiện</v>
      </c>
      <c r="B433" s="151" t="str">
        <f t="shared" si="365"/>
        <v>Đủ</v>
      </c>
      <c r="C433" s="409">
        <f t="shared" si="366"/>
        <v>0</v>
      </c>
      <c r="D433" s="154"/>
      <c r="E433" s="154"/>
      <c r="F433" s="154"/>
      <c r="G433" s="151"/>
      <c r="H433" s="364"/>
      <c r="I433" s="171" t="s">
        <v>1538</v>
      </c>
      <c r="J433" s="164" t="s">
        <v>863</v>
      </c>
      <c r="K433" s="171" t="s">
        <v>1539</v>
      </c>
      <c r="L433" s="171" t="s">
        <v>838</v>
      </c>
      <c r="M433" s="163" t="s">
        <v>345</v>
      </c>
      <c r="N433" s="173"/>
      <c r="O433" s="419">
        <v>34</v>
      </c>
      <c r="P433" s="205"/>
      <c r="S433" s="161"/>
      <c r="T433" s="162"/>
      <c r="U433" s="162"/>
      <c r="V433" s="162"/>
      <c r="W433" s="162"/>
      <c r="X433" s="162"/>
      <c r="Y433" s="162"/>
      <c r="Z433" s="162"/>
      <c r="AA433" s="162"/>
      <c r="AB433" s="162"/>
      <c r="AC433" s="162"/>
      <c r="AD433" s="162"/>
      <c r="AE433" s="162"/>
      <c r="AF433" s="162"/>
      <c r="AG433" s="162"/>
      <c r="AH433" s="162"/>
      <c r="AI433" s="162"/>
      <c r="AJ433" s="162"/>
      <c r="AK433" s="162"/>
      <c r="AL433" s="162"/>
      <c r="AM433" s="162"/>
      <c r="AN433" s="162"/>
      <c r="AO433" s="162"/>
      <c r="AP433" s="162"/>
      <c r="AQ433" s="162"/>
      <c r="AR433" s="162"/>
      <c r="AS433" s="162"/>
      <c r="AT433" s="162"/>
      <c r="AU433" s="162"/>
      <c r="AV433" s="162"/>
      <c r="AW433" s="162"/>
      <c r="AX433" s="162"/>
      <c r="AY433" s="162"/>
      <c r="AZ433" s="162"/>
      <c r="BA433" s="162"/>
      <c r="BB433" s="162"/>
      <c r="BC433" s="162">
        <v>34</v>
      </c>
      <c r="BD433" s="162">
        <v>0</v>
      </c>
      <c r="BE433" s="162">
        <v>-34</v>
      </c>
      <c r="BF433" s="162">
        <v>0</v>
      </c>
      <c r="BG433" s="162">
        <v>0</v>
      </c>
      <c r="BH433" s="162">
        <v>0</v>
      </c>
      <c r="BI433" s="162">
        <v>0</v>
      </c>
      <c r="BJ433" s="162">
        <v>0</v>
      </c>
      <c r="BK433" s="162">
        <v>0</v>
      </c>
      <c r="BL433" s="162">
        <v>0</v>
      </c>
      <c r="BM433" s="162">
        <v>0</v>
      </c>
      <c r="BN433" s="162">
        <v>0</v>
      </c>
      <c r="BO433" s="162"/>
      <c r="BP433" s="162"/>
      <c r="BQ433" s="162">
        <v>0</v>
      </c>
      <c r="BR433" s="162">
        <v>0</v>
      </c>
      <c r="BS433" s="162">
        <v>0</v>
      </c>
      <c r="BT433" s="162">
        <v>0</v>
      </c>
      <c r="BU433" s="162">
        <v>0</v>
      </c>
      <c r="BV433" s="162">
        <v>0</v>
      </c>
      <c r="BW433" s="162"/>
      <c r="BX433" s="162"/>
      <c r="BY433" s="162">
        <v>0</v>
      </c>
      <c r="BZ433" s="162">
        <v>0</v>
      </c>
      <c r="CA433" s="162">
        <v>0</v>
      </c>
      <c r="CB433" s="162">
        <v>0</v>
      </c>
      <c r="CC433" s="162">
        <v>0</v>
      </c>
      <c r="CD433" s="162">
        <v>0</v>
      </c>
      <c r="CE433" s="162">
        <f>VLOOKUP(I433,[120]REV33!$A:$O,11,0)</f>
        <v>0</v>
      </c>
      <c r="CF433" s="162">
        <f>VLOOKUP(I433,[120]REV33!$A:$O,12,0)</f>
        <v>0</v>
      </c>
      <c r="CG433" s="162"/>
      <c r="CH433" s="162"/>
      <c r="CI433" s="162"/>
      <c r="CJ433" s="162"/>
      <c r="CK433" s="162"/>
      <c r="CL433" s="162"/>
      <c r="CM433" s="162"/>
      <c r="CN433" s="162"/>
      <c r="CO433" s="162">
        <v>0</v>
      </c>
      <c r="CP433" s="162">
        <v>0</v>
      </c>
      <c r="CQ433" s="162">
        <v>0</v>
      </c>
      <c r="CR433" s="162">
        <v>0</v>
      </c>
      <c r="CS433" s="209">
        <f>Q433+S433+U433+W433+Y433+AA433+AC433+AE433+AG433+AI433+AK433+AM433+AO433+AQ433+AS433+AU433+AW433+AY433+BA433+BC433+BE433+BG433+BI433+BK433+BM433+BO433+BQ433+BS433+BU433+BW433+BY433+CA433+CC433+CE433+CG433+CI433+CK433+CM433+CO433+CQ433</f>
        <v>0</v>
      </c>
      <c r="CT433" s="209">
        <f>R433+T433+V433+X433+Z433+AB433+AD433+AF433+AH433+AJ433+AL433+AN433+AP433+AR433+AT433+AV433+AX433+AZ433+BB433+BD433+BF433+BH433+BJ433+BL433+BN433+BP433+BR433+BT433+BV433+BX433+BZ433+CB433+CD433+CF433+CH433+CJ433+CL433+CN433+CP433+CR433</f>
        <v>0</v>
      </c>
      <c r="CU433" s="206" t="s">
        <v>1580</v>
      </c>
      <c r="CV433" s="156"/>
      <c r="CZ433" s="157"/>
      <c r="DA433" s="152" t="str">
        <f t="shared" si="354"/>
        <v>0</v>
      </c>
      <c r="DB433" s="152" t="str">
        <f t="shared" si="355"/>
        <v>0</v>
      </c>
      <c r="DC433" s="153"/>
      <c r="DD433" s="158"/>
      <c r="DE433" s="156"/>
      <c r="DF433" s="174"/>
      <c r="DG433" s="175"/>
      <c r="DH433" s="156"/>
      <c r="DJ433" s="429"/>
      <c r="DK433" s="240"/>
      <c r="DL433" s="189"/>
      <c r="DM433" s="189"/>
      <c r="DN433" s="189"/>
      <c r="DO433" s="160"/>
      <c r="DP433" s="159"/>
      <c r="DQ433" s="152">
        <f>SUMIF($I:$I,I433,$DJ:$DJ)</f>
        <v>0</v>
      </c>
      <c r="DR433" s="152">
        <f>SUMIF($I:$I,I433,$DK:$DK)</f>
        <v>0</v>
      </c>
      <c r="EO433" s="152">
        <f>SUMIF($I:$I,I433,$EC:$EC)</f>
        <v>0</v>
      </c>
      <c r="EP433" s="151">
        <f>SUMIF($I:$I,I433,$ED:$ED)</f>
        <v>0</v>
      </c>
      <c r="EQ433" s="153"/>
      <c r="ER433" s="153"/>
      <c r="ES433" s="153"/>
      <c r="ET433" s="153"/>
      <c r="EU433" s="152">
        <f t="shared" si="356"/>
        <v>0</v>
      </c>
      <c r="EV433" s="152">
        <f t="shared" si="357"/>
        <v>0</v>
      </c>
      <c r="EW433" s="152">
        <f t="shared" si="358"/>
        <v>0</v>
      </c>
      <c r="EX433" s="152">
        <f t="shared" si="359"/>
        <v>0</v>
      </c>
      <c r="EY433" s="151" t="str">
        <f t="shared" si="360"/>
        <v>Đủ</v>
      </c>
    </row>
    <row r="434" spans="1:164" s="155" customFormat="1" ht="14" hidden="1" customHeight="1">
      <c r="A434" s="208" t="str">
        <f t="shared" si="361"/>
        <v>Hiện</v>
      </c>
      <c r="B434" s="151" t="str">
        <f t="shared" si="365"/>
        <v>Đủ</v>
      </c>
      <c r="C434" s="409">
        <f t="shared" si="366"/>
        <v>0</v>
      </c>
      <c r="D434" s="154"/>
      <c r="E434" s="154"/>
      <c r="F434" s="154"/>
      <c r="G434" s="151"/>
      <c r="H434" s="364"/>
      <c r="I434" s="171" t="s">
        <v>1540</v>
      </c>
      <c r="J434" s="164" t="s">
        <v>922</v>
      </c>
      <c r="K434" s="171" t="s">
        <v>1541</v>
      </c>
      <c r="L434" s="171" t="s">
        <v>838</v>
      </c>
      <c r="M434" s="163" t="s">
        <v>345</v>
      </c>
      <c r="N434" s="173"/>
      <c r="O434" s="419">
        <v>67</v>
      </c>
      <c r="P434" s="205"/>
      <c r="S434" s="161"/>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v>67</v>
      </c>
      <c r="BD434" s="162">
        <v>0</v>
      </c>
      <c r="BE434" s="162">
        <v>-67</v>
      </c>
      <c r="BF434" s="162">
        <v>0</v>
      </c>
      <c r="BG434" s="162">
        <v>0</v>
      </c>
      <c r="BH434" s="162">
        <v>0</v>
      </c>
      <c r="BI434" s="162">
        <v>0</v>
      </c>
      <c r="BJ434" s="162">
        <v>0</v>
      </c>
      <c r="BK434" s="162">
        <v>0</v>
      </c>
      <c r="BL434" s="162">
        <v>0</v>
      </c>
      <c r="BM434" s="162">
        <v>0</v>
      </c>
      <c r="BN434" s="162">
        <v>0</v>
      </c>
      <c r="BO434" s="162"/>
      <c r="BP434" s="162"/>
      <c r="BQ434" s="162">
        <v>0</v>
      </c>
      <c r="BR434" s="162">
        <v>0</v>
      </c>
      <c r="BS434" s="162">
        <v>0</v>
      </c>
      <c r="BT434" s="162">
        <v>0</v>
      </c>
      <c r="BU434" s="162">
        <v>0</v>
      </c>
      <c r="BV434" s="162">
        <v>0</v>
      </c>
      <c r="BW434" s="162"/>
      <c r="BX434" s="162"/>
      <c r="BY434" s="162">
        <v>0</v>
      </c>
      <c r="BZ434" s="162">
        <v>0</v>
      </c>
      <c r="CA434" s="162">
        <v>0</v>
      </c>
      <c r="CB434" s="162">
        <v>0</v>
      </c>
      <c r="CC434" s="162">
        <v>0</v>
      </c>
      <c r="CD434" s="162">
        <v>0</v>
      </c>
      <c r="CE434" s="162">
        <f>VLOOKUP(I434,[120]REV33!$A:$O,11,0)</f>
        <v>0</v>
      </c>
      <c r="CF434" s="162">
        <f>VLOOKUP(I434,[120]REV33!$A:$O,12,0)</f>
        <v>0</v>
      </c>
      <c r="CG434" s="162"/>
      <c r="CH434" s="162"/>
      <c r="CI434" s="162"/>
      <c r="CJ434" s="162"/>
      <c r="CK434" s="162"/>
      <c r="CL434" s="162"/>
      <c r="CM434" s="162"/>
      <c r="CN434" s="162"/>
      <c r="CO434" s="162">
        <v>0</v>
      </c>
      <c r="CP434" s="162">
        <v>0</v>
      </c>
      <c r="CQ434" s="162">
        <v>0</v>
      </c>
      <c r="CR434" s="162">
        <v>0</v>
      </c>
      <c r="CS434" s="209">
        <f>Q434+S434+U434+W434+Y434+AA434+AC434+AE434+AG434+AI434+AK434+AM434+AO434+AQ434+AS434+AU434+AW434+AY434+BA434+BC434+BE434+BG434+BI434+BK434+BM434+BO434+BQ434+BS434+BU434+BW434+BY434+CA434+CC434+CE434+CG434+CI434+CK434+CM434+CO434+CQ434</f>
        <v>0</v>
      </c>
      <c r="CT434" s="209">
        <f>R434+T434+V434+X434+Z434+AB434+AD434+AF434+AH434+AJ434+AL434+AN434+AP434+AR434+AT434+AV434+AX434+AZ434+BB434+BD434+BF434+BH434+BJ434+BL434+BN434+BP434+BR434+BT434+BV434+BX434+BZ434+CB434+CD434+CF434+CH434+CJ434+CL434+CN434+CP434+CR434</f>
        <v>0</v>
      </c>
      <c r="CU434" s="206" t="s">
        <v>1580</v>
      </c>
      <c r="CV434" s="156"/>
      <c r="CZ434" s="157"/>
      <c r="DA434" s="152" t="str">
        <f t="shared" si="354"/>
        <v>0</v>
      </c>
      <c r="DB434" s="152" t="str">
        <f t="shared" si="355"/>
        <v>0</v>
      </c>
      <c r="DC434" s="153"/>
      <c r="DD434" s="158"/>
      <c r="DE434" s="156"/>
      <c r="DF434" s="174"/>
      <c r="DG434" s="175"/>
      <c r="DH434" s="156"/>
      <c r="DJ434" s="429"/>
      <c r="DK434" s="240"/>
      <c r="DL434" s="189"/>
      <c r="DM434" s="189"/>
      <c r="DN434" s="189"/>
      <c r="DO434" s="160"/>
      <c r="DP434" s="159"/>
      <c r="DQ434" s="152">
        <f>SUMIF($I:$I,I434,$DJ:$DJ)</f>
        <v>0</v>
      </c>
      <c r="DR434" s="152">
        <f>SUMIF($I:$I,I434,$DK:$DK)</f>
        <v>0</v>
      </c>
      <c r="EO434" s="152">
        <f>SUMIF($I:$I,I434,$EC:$EC)</f>
        <v>0</v>
      </c>
      <c r="EP434" s="151">
        <f>SUMIF($I:$I,I434,$ED:$ED)</f>
        <v>0</v>
      </c>
      <c r="EQ434" s="153"/>
      <c r="ER434" s="153"/>
      <c r="ES434" s="153"/>
      <c r="ET434" s="153"/>
      <c r="EU434" s="152">
        <f t="shared" si="356"/>
        <v>0</v>
      </c>
      <c r="EV434" s="152">
        <f t="shared" si="357"/>
        <v>0</v>
      </c>
      <c r="EW434" s="152">
        <f t="shared" si="358"/>
        <v>0</v>
      </c>
      <c r="EX434" s="152">
        <f t="shared" si="359"/>
        <v>0</v>
      </c>
      <c r="EY434" s="151" t="str">
        <f t="shared" si="360"/>
        <v>Đủ</v>
      </c>
    </row>
    <row r="435" spans="1:164" s="155" customFormat="1" ht="34.5" customHeight="1">
      <c r="A435" s="208" t="str">
        <f t="shared" si="361"/>
        <v>Hiện</v>
      </c>
      <c r="B435" s="151" t="str">
        <f t="shared" si="365"/>
        <v>Thiếu</v>
      </c>
      <c r="C435" s="409">
        <f t="shared" si="366"/>
        <v>103</v>
      </c>
      <c r="D435" s="154" t="s">
        <v>435</v>
      </c>
      <c r="E435" s="154"/>
      <c r="F435" s="154"/>
      <c r="G435" s="151"/>
      <c r="H435" s="364"/>
      <c r="I435" s="163" t="s">
        <v>1542</v>
      </c>
      <c r="J435" s="164" t="s">
        <v>922</v>
      </c>
      <c r="K435" s="171" t="s">
        <v>1543</v>
      </c>
      <c r="L435" s="171" t="s">
        <v>838</v>
      </c>
      <c r="M435" s="163" t="s">
        <v>345</v>
      </c>
      <c r="N435" s="173"/>
      <c r="O435" s="419">
        <v>67</v>
      </c>
      <c r="P435" s="205"/>
      <c r="S435" s="161"/>
      <c r="T435" s="162"/>
      <c r="U435" s="162"/>
      <c r="V435" s="162"/>
      <c r="W435" s="162"/>
      <c r="X435" s="162"/>
      <c r="Y435" s="162"/>
      <c r="Z435" s="162"/>
      <c r="AA435" s="162"/>
      <c r="AB435" s="162"/>
      <c r="AC435" s="162"/>
      <c r="AD435" s="162"/>
      <c r="AE435" s="162"/>
      <c r="AF435" s="162"/>
      <c r="AG435" s="162"/>
      <c r="AH435" s="162"/>
      <c r="AI435" s="162"/>
      <c r="AJ435" s="162"/>
      <c r="AK435" s="162"/>
      <c r="AL435" s="162"/>
      <c r="AM435" s="162"/>
      <c r="AN435" s="162"/>
      <c r="AO435" s="162"/>
      <c r="AP435" s="162"/>
      <c r="AQ435" s="162"/>
      <c r="AR435" s="162"/>
      <c r="AS435" s="162"/>
      <c r="AT435" s="162"/>
      <c r="AU435" s="162"/>
      <c r="AV435" s="162"/>
      <c r="AW435" s="162"/>
      <c r="AX435" s="162"/>
      <c r="AY435" s="162"/>
      <c r="AZ435" s="162"/>
      <c r="BA435" s="162"/>
      <c r="BB435" s="162"/>
      <c r="BC435" s="162">
        <v>67</v>
      </c>
      <c r="BD435" s="162">
        <v>0</v>
      </c>
      <c r="BE435" s="162">
        <v>0</v>
      </c>
      <c r="BF435" s="162">
        <v>0</v>
      </c>
      <c r="BG435" s="162">
        <v>0</v>
      </c>
      <c r="BH435" s="162">
        <v>0</v>
      </c>
      <c r="BI435" s="162">
        <v>0</v>
      </c>
      <c r="BJ435" s="162">
        <v>0</v>
      </c>
      <c r="BK435" s="162">
        <v>0</v>
      </c>
      <c r="BL435" s="162">
        <v>0</v>
      </c>
      <c r="BM435" s="162">
        <v>0</v>
      </c>
      <c r="BN435" s="162">
        <v>0</v>
      </c>
      <c r="BO435" s="162"/>
      <c r="BP435" s="162"/>
      <c r="BQ435" s="162">
        <v>0</v>
      </c>
      <c r="BR435" s="162">
        <v>0</v>
      </c>
      <c r="BS435" s="162">
        <v>0</v>
      </c>
      <c r="BT435" s="162">
        <v>0</v>
      </c>
      <c r="BU435" s="162">
        <v>0</v>
      </c>
      <c r="BV435" s="162">
        <v>0</v>
      </c>
      <c r="BW435" s="162"/>
      <c r="BX435" s="162"/>
      <c r="BY435" s="162">
        <v>0</v>
      </c>
      <c r="BZ435" s="162">
        <v>0</v>
      </c>
      <c r="CA435" s="162">
        <v>0</v>
      </c>
      <c r="CB435" s="162">
        <v>0</v>
      </c>
      <c r="CC435" s="162">
        <v>0</v>
      </c>
      <c r="CD435" s="162">
        <v>0</v>
      </c>
      <c r="CE435" s="162">
        <f>VLOOKUP(I435,[120]REV33!$A:$O,11,0)</f>
        <v>0</v>
      </c>
      <c r="CF435" s="162">
        <f>VLOOKUP(I435,[120]REV33!$A:$O,12,0)</f>
        <v>0</v>
      </c>
      <c r="CG435" s="162"/>
      <c r="CH435" s="162"/>
      <c r="CI435" s="162"/>
      <c r="CJ435" s="162"/>
      <c r="CK435" s="162"/>
      <c r="CL435" s="162"/>
      <c r="CM435" s="162"/>
      <c r="CN435" s="162"/>
      <c r="CO435" s="162">
        <v>0</v>
      </c>
      <c r="CP435" s="162">
        <v>0</v>
      </c>
      <c r="CQ435" s="162">
        <v>103</v>
      </c>
      <c r="CR435" s="162">
        <v>0</v>
      </c>
      <c r="CS435" s="209">
        <f>Q435+S435+U435+W435+Y435+AA435+AC435+AE435+AG435+AI435+AK435+AM435+AO435+AQ435+AS435+AU435+AW435+AY435+BA435+BC435+BE435+BG435+BI435+BK435+BM435+BO435+BQ435+BS435+BU435+BW435+BY435+CA435+CC435+CE435+CG435+CI435+CK435+CM435+CO435+CQ435</f>
        <v>170</v>
      </c>
      <c r="CT435" s="209">
        <f>R435+T435+V435+X435+Z435+AB435+AD435+AF435+AH435+AJ435+AL435+AN435+AP435+AR435+AT435+AV435+AX435+AZ435+BB435+BD435+BF435+BH435+BJ435+BL435+BN435+BP435+BR435+BT435+BV435+BX435+BZ435+CB435+CD435+CF435+CH435+CJ435+CL435+CN435+CP435+CR435</f>
        <v>0</v>
      </c>
      <c r="CU435" s="206" t="s">
        <v>2873</v>
      </c>
      <c r="CV435" s="156"/>
      <c r="CZ435" s="157"/>
      <c r="DA435" s="152">
        <f t="shared" si="354"/>
        <v>170</v>
      </c>
      <c r="DB435" s="152" t="str">
        <f t="shared" si="355"/>
        <v>0</v>
      </c>
      <c r="DC435" s="153"/>
      <c r="DD435" s="158" t="s">
        <v>2242</v>
      </c>
      <c r="DE435" s="156" t="s">
        <v>435</v>
      </c>
      <c r="DF435" s="171" t="s">
        <v>1543</v>
      </c>
      <c r="DG435" s="175"/>
      <c r="DH435" s="156" t="s">
        <v>477</v>
      </c>
      <c r="DI435" s="187">
        <v>45937</v>
      </c>
      <c r="DJ435" s="429">
        <v>67</v>
      </c>
      <c r="DK435" s="240" t="s">
        <v>477</v>
      </c>
      <c r="DL435" s="189">
        <v>5550</v>
      </c>
      <c r="DM435" s="181">
        <f t="shared" ref="DM435" si="367">DL435*DJ435*1.1</f>
        <v>409035.00000000006</v>
      </c>
      <c r="DN435" s="446">
        <f t="shared" ref="DN435" si="368">(DM435-DO435)/DO435</f>
        <v>0.10000000000000016</v>
      </c>
      <c r="DO435" s="160">
        <f t="shared" ref="DO435" si="369">DL435*DJ435</f>
        <v>371850</v>
      </c>
      <c r="DP435" s="159">
        <v>45954</v>
      </c>
      <c r="DQ435" s="152">
        <f>SUMIF($I:$I,I435,$DJ:$DJ)</f>
        <v>67</v>
      </c>
      <c r="DR435" s="152">
        <f>SUMIF($I:$I,I435,$DK:$DK)</f>
        <v>0</v>
      </c>
      <c r="EO435" s="152">
        <f>SUMIF($I:$I,I435,$EC:$EC)</f>
        <v>0</v>
      </c>
      <c r="EP435" s="151">
        <f>SUMIF($I:$I,I435,$ED:$ED)</f>
        <v>0</v>
      </c>
      <c r="EQ435" s="153"/>
      <c r="ER435" s="153"/>
      <c r="ES435" s="153"/>
      <c r="ET435" s="153"/>
      <c r="EU435" s="152">
        <f t="shared" si="356"/>
        <v>67</v>
      </c>
      <c r="EV435" s="152">
        <f t="shared" si="357"/>
        <v>0</v>
      </c>
      <c r="EW435" s="152">
        <f t="shared" si="358"/>
        <v>103</v>
      </c>
      <c r="EX435" s="152">
        <f t="shared" si="359"/>
        <v>0</v>
      </c>
      <c r="EY435" s="151" t="str">
        <f t="shared" si="360"/>
        <v>Thiếu</v>
      </c>
    </row>
    <row r="436" spans="1:164" s="155" customFormat="1" ht="14" hidden="1" customHeight="1">
      <c r="A436" s="208" t="str">
        <f t="shared" si="361"/>
        <v>Hiện</v>
      </c>
      <c r="B436" s="151" t="str">
        <f t="shared" si="365"/>
        <v>Đủ</v>
      </c>
      <c r="C436" s="409">
        <f t="shared" si="366"/>
        <v>0</v>
      </c>
      <c r="D436" s="154"/>
      <c r="E436" s="154"/>
      <c r="F436" s="154"/>
      <c r="G436" s="151"/>
      <c r="H436" s="364"/>
      <c r="I436" s="171" t="s">
        <v>1544</v>
      </c>
      <c r="J436" s="164" t="s">
        <v>922</v>
      </c>
      <c r="K436" s="171" t="s">
        <v>1545</v>
      </c>
      <c r="L436" s="171" t="s">
        <v>838</v>
      </c>
      <c r="M436" s="163" t="s">
        <v>345</v>
      </c>
      <c r="N436" s="173"/>
      <c r="O436" s="419">
        <v>67</v>
      </c>
      <c r="P436" s="205"/>
      <c r="S436" s="161"/>
      <c r="T436" s="162"/>
      <c r="U436" s="162"/>
      <c r="V436" s="162"/>
      <c r="W436" s="162"/>
      <c r="X436" s="162"/>
      <c r="Y436" s="162"/>
      <c r="Z436" s="162"/>
      <c r="AA436" s="162"/>
      <c r="AB436" s="162"/>
      <c r="AC436" s="162"/>
      <c r="AD436" s="162"/>
      <c r="AE436" s="162"/>
      <c r="AF436" s="162"/>
      <c r="AG436" s="162"/>
      <c r="AH436" s="162"/>
      <c r="AI436" s="162"/>
      <c r="AJ436" s="162"/>
      <c r="AK436" s="162"/>
      <c r="AL436" s="162"/>
      <c r="AM436" s="162"/>
      <c r="AN436" s="162"/>
      <c r="AO436" s="162"/>
      <c r="AP436" s="162"/>
      <c r="AQ436" s="162"/>
      <c r="AR436" s="162"/>
      <c r="AS436" s="162"/>
      <c r="AT436" s="162"/>
      <c r="AU436" s="162"/>
      <c r="AV436" s="162"/>
      <c r="AW436" s="162"/>
      <c r="AX436" s="162"/>
      <c r="AY436" s="162"/>
      <c r="AZ436" s="162"/>
      <c r="BA436" s="162"/>
      <c r="BB436" s="162"/>
      <c r="BC436" s="162">
        <v>67</v>
      </c>
      <c r="BD436" s="162">
        <v>0</v>
      </c>
      <c r="BE436" s="162">
        <v>-67</v>
      </c>
      <c r="BF436" s="162">
        <v>0</v>
      </c>
      <c r="BG436" s="162">
        <v>0</v>
      </c>
      <c r="BH436" s="162">
        <v>0</v>
      </c>
      <c r="BI436" s="162">
        <v>0</v>
      </c>
      <c r="BJ436" s="162">
        <v>0</v>
      </c>
      <c r="BK436" s="162">
        <v>0</v>
      </c>
      <c r="BL436" s="162">
        <v>0</v>
      </c>
      <c r="BM436" s="162">
        <v>0</v>
      </c>
      <c r="BN436" s="162">
        <v>0</v>
      </c>
      <c r="BO436" s="162"/>
      <c r="BP436" s="162"/>
      <c r="BQ436" s="162">
        <v>0</v>
      </c>
      <c r="BR436" s="162">
        <v>0</v>
      </c>
      <c r="BS436" s="162">
        <v>0</v>
      </c>
      <c r="BT436" s="162">
        <v>0</v>
      </c>
      <c r="BU436" s="162">
        <v>0</v>
      </c>
      <c r="BV436" s="162">
        <v>0</v>
      </c>
      <c r="BW436" s="162"/>
      <c r="BX436" s="162"/>
      <c r="BY436" s="162">
        <v>0</v>
      </c>
      <c r="BZ436" s="162">
        <v>0</v>
      </c>
      <c r="CA436" s="162">
        <v>0</v>
      </c>
      <c r="CB436" s="162">
        <v>0</v>
      </c>
      <c r="CC436" s="162">
        <v>0</v>
      </c>
      <c r="CD436" s="162">
        <v>0</v>
      </c>
      <c r="CE436" s="162">
        <f>VLOOKUP(I436,[120]REV33!$A:$O,11,0)</f>
        <v>0</v>
      </c>
      <c r="CF436" s="162">
        <f>VLOOKUP(I436,[120]REV33!$A:$O,12,0)</f>
        <v>0</v>
      </c>
      <c r="CG436" s="162"/>
      <c r="CH436" s="162"/>
      <c r="CI436" s="162"/>
      <c r="CJ436" s="162"/>
      <c r="CK436" s="162"/>
      <c r="CL436" s="162"/>
      <c r="CM436" s="162"/>
      <c r="CN436" s="162"/>
      <c r="CO436" s="162">
        <v>0</v>
      </c>
      <c r="CP436" s="162">
        <v>0</v>
      </c>
      <c r="CQ436" s="162">
        <v>0</v>
      </c>
      <c r="CR436" s="162">
        <v>0</v>
      </c>
      <c r="CS436" s="209">
        <f>Q436+S436+U436+W436+Y436+AA436+AC436+AE436+AG436+AI436+AK436+AM436+AO436+AQ436+AS436+AU436+AW436+AY436+BA436+BC436+BE436+BG436+BI436+BK436+BM436+BO436+BQ436+BS436+BU436+BW436+BY436+CA436+CC436+CE436+CG436+CI436+CK436+CM436+CO436+CQ436</f>
        <v>0</v>
      </c>
      <c r="CT436" s="209">
        <f>R436+T436+V436+X436+Z436+AB436+AD436+AF436+AH436+AJ436+AL436+AN436+AP436+AR436+AT436+AV436+AX436+AZ436+BB436+BD436+BF436+BH436+BJ436+BL436+BN436+BP436+BR436+BT436+BV436+BX436+BZ436+CB436+CD436+CF436+CH436+CJ436+CL436+CN436+CP436+CR436</f>
        <v>0</v>
      </c>
      <c r="CU436" s="206" t="s">
        <v>1580</v>
      </c>
      <c r="CV436" s="156"/>
      <c r="CZ436" s="157"/>
      <c r="DA436" s="152" t="str">
        <f t="shared" si="354"/>
        <v>0</v>
      </c>
      <c r="DB436" s="152" t="str">
        <f t="shared" si="355"/>
        <v>0</v>
      </c>
      <c r="DC436" s="153"/>
      <c r="DD436" s="158"/>
      <c r="DE436" s="156"/>
      <c r="DF436" s="174"/>
      <c r="DG436" s="175"/>
      <c r="DH436" s="156"/>
      <c r="DJ436" s="429"/>
      <c r="DK436" s="240"/>
      <c r="DL436" s="189"/>
      <c r="DM436" s="189"/>
      <c r="DN436" s="189"/>
      <c r="DO436" s="160"/>
      <c r="DP436" s="159"/>
      <c r="DQ436" s="152">
        <f>SUMIF($I:$I,I436,$DJ:$DJ)</f>
        <v>0</v>
      </c>
      <c r="DR436" s="152">
        <f>SUMIF($I:$I,I436,$DK:$DK)</f>
        <v>0</v>
      </c>
      <c r="EO436" s="152">
        <f>SUMIF($I:$I,I436,$EC:$EC)</f>
        <v>0</v>
      </c>
      <c r="EP436" s="151">
        <f>SUMIF($I:$I,I436,$ED:$ED)</f>
        <v>0</v>
      </c>
      <c r="EQ436" s="153"/>
      <c r="ER436" s="153"/>
      <c r="ES436" s="153"/>
      <c r="ET436" s="153"/>
      <c r="EU436" s="152">
        <f t="shared" si="356"/>
        <v>0</v>
      </c>
      <c r="EV436" s="152">
        <f t="shared" si="357"/>
        <v>0</v>
      </c>
      <c r="EW436" s="152">
        <f t="shared" si="358"/>
        <v>0</v>
      </c>
      <c r="EX436" s="152">
        <f t="shared" si="359"/>
        <v>0</v>
      </c>
      <c r="EY436" s="151" t="str">
        <f t="shared" si="360"/>
        <v>Đủ</v>
      </c>
    </row>
    <row r="437" spans="1:164" s="155" customFormat="1" ht="14" hidden="1" customHeight="1">
      <c r="A437" s="208" t="str">
        <f t="shared" si="361"/>
        <v>Hiện</v>
      </c>
      <c r="B437" s="151" t="str">
        <f t="shared" si="365"/>
        <v>Thừa</v>
      </c>
      <c r="C437" s="409">
        <f t="shared" si="366"/>
        <v>-65</v>
      </c>
      <c r="D437" s="154"/>
      <c r="E437" s="154"/>
      <c r="F437" s="154"/>
      <c r="G437" s="151"/>
      <c r="H437" s="364"/>
      <c r="I437" s="171" t="s">
        <v>1546</v>
      </c>
      <c r="J437" s="164" t="s">
        <v>1547</v>
      </c>
      <c r="K437" s="171" t="s">
        <v>1548</v>
      </c>
      <c r="L437" s="171" t="s">
        <v>838</v>
      </c>
      <c r="M437" s="163" t="s">
        <v>345</v>
      </c>
      <c r="N437" s="173"/>
      <c r="O437" s="419">
        <v>3935</v>
      </c>
      <c r="P437" s="205"/>
      <c r="S437" s="161"/>
      <c r="T437" s="162"/>
      <c r="U437" s="162"/>
      <c r="V437" s="162"/>
      <c r="W437" s="162"/>
      <c r="X437" s="162"/>
      <c r="Y437" s="162"/>
      <c r="Z437" s="162"/>
      <c r="AA437" s="162"/>
      <c r="AB437" s="162"/>
      <c r="AC437" s="162"/>
      <c r="AD437" s="162"/>
      <c r="AE437" s="162"/>
      <c r="AF437" s="162"/>
      <c r="AG437" s="162"/>
      <c r="AH437" s="162"/>
      <c r="AI437" s="162"/>
      <c r="AJ437" s="162"/>
      <c r="AK437" s="162"/>
      <c r="AL437" s="162"/>
      <c r="AM437" s="162"/>
      <c r="AN437" s="162"/>
      <c r="AO437" s="162"/>
      <c r="AP437" s="162"/>
      <c r="AQ437" s="162"/>
      <c r="AR437" s="162"/>
      <c r="AS437" s="162"/>
      <c r="AT437" s="162"/>
      <c r="AU437" s="162"/>
      <c r="AV437" s="162"/>
      <c r="AW437" s="162"/>
      <c r="AX437" s="162"/>
      <c r="AY437" s="162"/>
      <c r="AZ437" s="162"/>
      <c r="BA437" s="162"/>
      <c r="BB437" s="162"/>
      <c r="BC437" s="162">
        <v>3935</v>
      </c>
      <c r="BD437" s="162">
        <v>0</v>
      </c>
      <c r="BE437" s="162">
        <v>0</v>
      </c>
      <c r="BF437" s="162">
        <v>0</v>
      </c>
      <c r="BG437" s="162">
        <v>0</v>
      </c>
      <c r="BH437" s="162">
        <v>0</v>
      </c>
      <c r="BI437" s="162">
        <v>0</v>
      </c>
      <c r="BJ437" s="162">
        <v>0</v>
      </c>
      <c r="BK437" s="162">
        <v>0</v>
      </c>
      <c r="BL437" s="162">
        <v>0</v>
      </c>
      <c r="BM437" s="162">
        <v>0</v>
      </c>
      <c r="BN437" s="162">
        <v>0</v>
      </c>
      <c r="BO437" s="162"/>
      <c r="BP437" s="162"/>
      <c r="BQ437" s="162">
        <v>0</v>
      </c>
      <c r="BR437" s="162">
        <v>0</v>
      </c>
      <c r="BS437" s="162">
        <v>0</v>
      </c>
      <c r="BT437" s="162">
        <v>0</v>
      </c>
      <c r="BU437" s="162">
        <v>0</v>
      </c>
      <c r="BV437" s="162">
        <v>0</v>
      </c>
      <c r="BW437" s="162"/>
      <c r="BX437" s="162"/>
      <c r="BY437" s="162">
        <v>0</v>
      </c>
      <c r="BZ437" s="162">
        <v>0</v>
      </c>
      <c r="CA437" s="162">
        <v>0</v>
      </c>
      <c r="CB437" s="162">
        <v>0</v>
      </c>
      <c r="CC437" s="162">
        <v>0</v>
      </c>
      <c r="CD437" s="162">
        <v>0</v>
      </c>
      <c r="CE437" s="162">
        <f>VLOOKUP(I437,[120]REV33!$A:$O,11,0)</f>
        <v>0</v>
      </c>
      <c r="CF437" s="162">
        <f>VLOOKUP(I437,[120]REV33!$A:$O,12,0)</f>
        <v>0</v>
      </c>
      <c r="CG437" s="162"/>
      <c r="CH437" s="162"/>
      <c r="CI437" s="162"/>
      <c r="CJ437" s="162"/>
      <c r="CK437" s="162"/>
      <c r="CL437" s="162"/>
      <c r="CM437" s="162"/>
      <c r="CN437" s="162"/>
      <c r="CO437" s="162">
        <v>0</v>
      </c>
      <c r="CP437" s="162">
        <v>0</v>
      </c>
      <c r="CQ437" s="162">
        <v>0</v>
      </c>
      <c r="CR437" s="162">
        <v>0</v>
      </c>
      <c r="CS437" s="209">
        <f>Q437+S437+U437+W437+Y437+AA437+AC437+AE437+AG437+AI437+AK437+AM437+AO437+AQ437+AS437+AU437+AW437+AY437+BA437+BC437+BE437+BG437+BI437+BK437+BM437+BO437+BQ437+BS437+BU437+BW437+BY437+CA437+CC437+CE437+CG437+CI437+CK437+CM437+CO437+CQ437</f>
        <v>3935</v>
      </c>
      <c r="CT437" s="209">
        <f>R437+T437+V437+X437+Z437+AB437+AD437+AF437+AH437+AJ437+AL437+AN437+AP437+AR437+AT437+AV437+AX437+AZ437+BB437+BD437+BF437+BH437+BJ437+BL437+BN437+BP437+BR437+BT437+BV437+BX437+BZ437+CB437+CD437+CF437+CH437+CJ437+CL437+CN437+CP437+CR437</f>
        <v>0</v>
      </c>
      <c r="CU437" s="206" t="s">
        <v>1558</v>
      </c>
      <c r="CV437" s="156"/>
      <c r="CZ437" s="157"/>
      <c r="DA437" s="152">
        <f t="shared" si="354"/>
        <v>3935</v>
      </c>
      <c r="DB437" s="152" t="str">
        <f t="shared" si="355"/>
        <v>0</v>
      </c>
      <c r="DC437" s="153"/>
      <c r="DD437" s="158" t="s">
        <v>1630</v>
      </c>
      <c r="DE437" s="156" t="s">
        <v>1629</v>
      </c>
      <c r="DF437" s="174" t="s">
        <v>1631</v>
      </c>
      <c r="DG437" s="175"/>
      <c r="DH437" s="156" t="s">
        <v>477</v>
      </c>
      <c r="DI437" s="187">
        <v>45938</v>
      </c>
      <c r="DJ437" s="429">
        <v>4000</v>
      </c>
      <c r="DK437" s="240" t="s">
        <v>477</v>
      </c>
      <c r="DL437" s="189">
        <v>1990</v>
      </c>
      <c r="DM437" s="181">
        <f>DL437*DJ437*1.08</f>
        <v>8596800</v>
      </c>
      <c r="DN437" s="446">
        <f>(DM437-DO437)/DO437</f>
        <v>0.08</v>
      </c>
      <c r="DO437" s="160">
        <f>DL437*DJ437</f>
        <v>7960000</v>
      </c>
      <c r="DP437" s="159">
        <v>45946</v>
      </c>
      <c r="DQ437" s="152">
        <f>SUMIF($I:$I,I437,$DJ:$DJ)</f>
        <v>4000</v>
      </c>
      <c r="DR437" s="152">
        <f>SUMIF($I:$I,I437,$DK:$DK)</f>
        <v>0</v>
      </c>
      <c r="EO437" s="152">
        <f>SUMIF($I:$I,I437,$EC:$EC)</f>
        <v>0</v>
      </c>
      <c r="EP437" s="151">
        <f>SUMIF($I:$I,I437,$ED:$ED)</f>
        <v>0</v>
      </c>
      <c r="EQ437" s="153"/>
      <c r="ER437" s="153"/>
      <c r="ES437" s="153"/>
      <c r="ET437" s="153"/>
      <c r="EU437" s="152">
        <f t="shared" si="356"/>
        <v>4000</v>
      </c>
      <c r="EV437" s="152">
        <f t="shared" si="357"/>
        <v>0</v>
      </c>
      <c r="EW437" s="152">
        <f t="shared" si="358"/>
        <v>-65</v>
      </c>
      <c r="EX437" s="152">
        <f t="shared" si="359"/>
        <v>0</v>
      </c>
      <c r="EY437" s="151" t="str">
        <f t="shared" si="360"/>
        <v>Thừa</v>
      </c>
    </row>
    <row r="438" spans="1:164" s="155" customFormat="1" ht="35.5" hidden="1" customHeight="1">
      <c r="A438" s="208" t="str">
        <f t="shared" si="361"/>
        <v>Hiện</v>
      </c>
      <c r="B438" s="151" t="str">
        <f>CONCATENATE(EY438," Đã Hủy")</f>
        <v>Đủ Đã Hủy</v>
      </c>
      <c r="C438" s="409">
        <f t="shared" si="366"/>
        <v>0</v>
      </c>
      <c r="D438" s="154" t="s">
        <v>1594</v>
      </c>
      <c r="E438" s="425"/>
      <c r="F438" s="154"/>
      <c r="G438" s="151"/>
      <c r="H438" s="364"/>
      <c r="I438" s="164" t="s">
        <v>1549</v>
      </c>
      <c r="J438" s="164" t="s">
        <v>1550</v>
      </c>
      <c r="K438" s="171" t="s">
        <v>1551</v>
      </c>
      <c r="L438" s="171" t="s">
        <v>838</v>
      </c>
      <c r="M438" s="163" t="s">
        <v>77</v>
      </c>
      <c r="N438" s="173"/>
      <c r="O438" s="419">
        <v>688</v>
      </c>
      <c r="P438" s="205"/>
      <c r="S438" s="161"/>
      <c r="T438" s="162"/>
      <c r="U438" s="162"/>
      <c r="V438" s="162"/>
      <c r="W438" s="162"/>
      <c r="X438" s="162"/>
      <c r="Y438" s="162"/>
      <c r="Z438" s="162"/>
      <c r="AA438" s="162"/>
      <c r="AB438" s="162"/>
      <c r="AC438" s="162"/>
      <c r="AD438" s="162"/>
      <c r="AE438" s="162"/>
      <c r="AF438" s="162"/>
      <c r="AG438" s="162"/>
      <c r="AH438" s="162"/>
      <c r="AI438" s="162"/>
      <c r="AJ438" s="162"/>
      <c r="AK438" s="162"/>
      <c r="AL438" s="162"/>
      <c r="AM438" s="162"/>
      <c r="AN438" s="162"/>
      <c r="AO438" s="162"/>
      <c r="AP438" s="162"/>
      <c r="AQ438" s="162"/>
      <c r="AR438" s="162"/>
      <c r="AS438" s="162"/>
      <c r="AT438" s="162"/>
      <c r="AU438" s="162"/>
      <c r="AV438" s="162"/>
      <c r="AW438" s="162"/>
      <c r="AX438" s="162"/>
      <c r="AY438" s="162"/>
      <c r="AZ438" s="162"/>
      <c r="BA438" s="162"/>
      <c r="BB438" s="162"/>
      <c r="BC438" s="162">
        <v>688</v>
      </c>
      <c r="BD438" s="162">
        <v>0</v>
      </c>
      <c r="BE438" s="162">
        <v>0</v>
      </c>
      <c r="BF438" s="162">
        <v>0</v>
      </c>
      <c r="BG438" s="162">
        <v>0</v>
      </c>
      <c r="BH438" s="162">
        <v>0</v>
      </c>
      <c r="BI438" s="162">
        <v>0</v>
      </c>
      <c r="BJ438" s="162">
        <v>0</v>
      </c>
      <c r="BK438" s="162">
        <v>0</v>
      </c>
      <c r="BL438" s="162">
        <v>0</v>
      </c>
      <c r="BM438" s="162">
        <v>0</v>
      </c>
      <c r="BN438" s="162">
        <v>0</v>
      </c>
      <c r="BO438" s="162"/>
      <c r="BP438" s="162"/>
      <c r="BQ438" s="162">
        <v>0</v>
      </c>
      <c r="BR438" s="162">
        <v>0</v>
      </c>
      <c r="BS438" s="162">
        <v>0</v>
      </c>
      <c r="BT438" s="162">
        <v>0</v>
      </c>
      <c r="BU438" s="162">
        <v>0</v>
      </c>
      <c r="BV438" s="162">
        <v>0</v>
      </c>
      <c r="BW438" s="162"/>
      <c r="BX438" s="162"/>
      <c r="BY438" s="162">
        <v>0</v>
      </c>
      <c r="BZ438" s="162">
        <v>0</v>
      </c>
      <c r="CA438" s="162">
        <v>-688</v>
      </c>
      <c r="CB438" s="162">
        <v>0</v>
      </c>
      <c r="CC438" s="162">
        <v>0</v>
      </c>
      <c r="CD438" s="162">
        <v>0</v>
      </c>
      <c r="CE438" s="162">
        <f>VLOOKUP(I438,[120]REV33!$A:$O,11,0)</f>
        <v>0</v>
      </c>
      <c r="CF438" s="162">
        <f>VLOOKUP(I438,[120]REV33!$A:$O,12,0)</f>
        <v>0</v>
      </c>
      <c r="CG438" s="162"/>
      <c r="CH438" s="162"/>
      <c r="CI438" s="162"/>
      <c r="CJ438" s="162"/>
      <c r="CK438" s="162"/>
      <c r="CL438" s="162"/>
      <c r="CM438" s="162"/>
      <c r="CN438" s="162"/>
      <c r="CO438" s="162">
        <v>0</v>
      </c>
      <c r="CP438" s="162">
        <v>0</v>
      </c>
      <c r="CQ438" s="162">
        <v>0</v>
      </c>
      <c r="CR438" s="162">
        <v>0</v>
      </c>
      <c r="CS438" s="209">
        <f>Q438+S438+U438+W438+Y438+AA438+AC438+AE438+AG438+AI438+AK438+AM438+AO438+AQ438+AS438+AU438+AW438+AY438+BA438+BC438+BE438+BG438+BI438+BK438+BM438+BO438+BQ438+BS438+BU438+BW438+BY438+CA438+CC438+CE438+CG438+CI438+CK438+CM438+CO438+CQ438</f>
        <v>0</v>
      </c>
      <c r="CT438" s="209">
        <f>R438+T438+V438+X438+Z438+AB438+AD438+AF438+AH438+AJ438+AL438+AN438+AP438+AR438+AT438+AV438+AX438+AZ438+BB438+BD438+BF438+BH438+BJ438+BL438+BN438+BP438+BR438+BT438+BV438+BX438+BZ438+CB438+CD438+CF438+CH438+CJ438+CL438+CN438+CP438+CR438</f>
        <v>0</v>
      </c>
      <c r="CU438" s="375" t="s">
        <v>2325</v>
      </c>
      <c r="CV438" s="156"/>
      <c r="CZ438" s="157"/>
      <c r="DA438" s="152" t="str">
        <f t="shared" si="354"/>
        <v>0</v>
      </c>
      <c r="DB438" s="152" t="str">
        <f t="shared" si="355"/>
        <v>0</v>
      </c>
      <c r="DC438" s="153"/>
      <c r="DD438" s="158"/>
      <c r="DE438" s="156"/>
      <c r="DF438" s="174"/>
      <c r="DG438" s="175"/>
      <c r="DH438" s="156"/>
      <c r="DJ438" s="429"/>
      <c r="DK438" s="240"/>
      <c r="DL438" s="189"/>
      <c r="DM438" s="189"/>
      <c r="DN438" s="189"/>
      <c r="DO438" s="160"/>
      <c r="DP438" s="159"/>
      <c r="DQ438" s="152">
        <f>SUMIF($I:$I,I438,$DJ:$DJ)</f>
        <v>0</v>
      </c>
      <c r="DR438" s="152">
        <f>SUMIF($I:$I,I438,$DK:$DK)</f>
        <v>0</v>
      </c>
      <c r="EO438" s="152">
        <f>SUMIF($I:$I,I438,$EC:$EC)</f>
        <v>0</v>
      </c>
      <c r="EP438" s="151">
        <f>SUMIF($I:$I,I438,$ED:$ED)</f>
        <v>0</v>
      </c>
      <c r="EQ438" s="153"/>
      <c r="ER438" s="153"/>
      <c r="ES438" s="153"/>
      <c r="ET438" s="153"/>
      <c r="EU438" s="152">
        <f t="shared" si="356"/>
        <v>0</v>
      </c>
      <c r="EV438" s="152">
        <f t="shared" si="357"/>
        <v>0</v>
      </c>
      <c r="EW438" s="152">
        <f t="shared" si="358"/>
        <v>0</v>
      </c>
      <c r="EX438" s="152">
        <f t="shared" si="359"/>
        <v>0</v>
      </c>
      <c r="EY438" s="151" t="str">
        <f t="shared" si="360"/>
        <v>Đủ</v>
      </c>
    </row>
    <row r="439" spans="1:164" s="155" customFormat="1" ht="14" hidden="1" customHeight="1">
      <c r="A439" s="208" t="str">
        <f t="shared" si="361"/>
        <v>Hiện</v>
      </c>
      <c r="B439" s="151" t="str">
        <f>CONCATENATE(EY439," Hủy")</f>
        <v>Đủ Hủy</v>
      </c>
      <c r="C439" s="409">
        <f t="shared" si="366"/>
        <v>0</v>
      </c>
      <c r="D439" s="154" t="s">
        <v>1594</v>
      </c>
      <c r="E439" s="425" t="s">
        <v>1659</v>
      </c>
      <c r="F439" s="154"/>
      <c r="G439" s="151"/>
      <c r="H439" s="364"/>
      <c r="I439" s="164" t="s">
        <v>1552</v>
      </c>
      <c r="J439" s="164" t="s">
        <v>1553</v>
      </c>
      <c r="K439" s="171" t="s">
        <v>1554</v>
      </c>
      <c r="L439" s="171" t="s">
        <v>838</v>
      </c>
      <c r="M439" s="163" t="s">
        <v>77</v>
      </c>
      <c r="N439" s="173"/>
      <c r="O439" s="419">
        <v>1028</v>
      </c>
      <c r="P439" s="205"/>
      <c r="S439" s="161"/>
      <c r="T439" s="162"/>
      <c r="U439" s="162"/>
      <c r="V439" s="162"/>
      <c r="W439" s="162"/>
      <c r="X439" s="162"/>
      <c r="Y439" s="162"/>
      <c r="Z439" s="162"/>
      <c r="AA439" s="162"/>
      <c r="AB439" s="162"/>
      <c r="AC439" s="162"/>
      <c r="AD439" s="162"/>
      <c r="AE439" s="162"/>
      <c r="AF439" s="162"/>
      <c r="AG439" s="162"/>
      <c r="AH439" s="162"/>
      <c r="AI439" s="162"/>
      <c r="AJ439" s="162"/>
      <c r="AK439" s="162"/>
      <c r="AL439" s="162"/>
      <c r="AM439" s="162"/>
      <c r="AN439" s="162"/>
      <c r="AO439" s="162"/>
      <c r="AP439" s="162"/>
      <c r="AQ439" s="162"/>
      <c r="AR439" s="162"/>
      <c r="AS439" s="162"/>
      <c r="AT439" s="162"/>
      <c r="AU439" s="162"/>
      <c r="AV439" s="162"/>
      <c r="AW439" s="162"/>
      <c r="AX439" s="162"/>
      <c r="AY439" s="162"/>
      <c r="AZ439" s="162"/>
      <c r="BA439" s="162"/>
      <c r="BB439" s="162"/>
      <c r="BC439" s="162">
        <v>1028</v>
      </c>
      <c r="BD439" s="162">
        <v>0</v>
      </c>
      <c r="BE439" s="162">
        <v>0</v>
      </c>
      <c r="BF439" s="162">
        <v>0</v>
      </c>
      <c r="BG439" s="162">
        <v>0</v>
      </c>
      <c r="BH439" s="162">
        <v>0</v>
      </c>
      <c r="BI439" s="162">
        <v>0</v>
      </c>
      <c r="BJ439" s="162">
        <v>0</v>
      </c>
      <c r="BK439" s="162">
        <v>0</v>
      </c>
      <c r="BL439" s="162">
        <v>0</v>
      </c>
      <c r="BM439" s="162">
        <v>0</v>
      </c>
      <c r="BN439" s="162">
        <v>0</v>
      </c>
      <c r="BO439" s="162"/>
      <c r="BP439" s="162"/>
      <c r="BQ439" s="162">
        <v>0</v>
      </c>
      <c r="BR439" s="162">
        <v>0</v>
      </c>
      <c r="BS439" s="162">
        <v>0</v>
      </c>
      <c r="BT439" s="162">
        <v>0</v>
      </c>
      <c r="BU439" s="162">
        <v>0</v>
      </c>
      <c r="BV439" s="162">
        <v>0</v>
      </c>
      <c r="BW439" s="162"/>
      <c r="BX439" s="162"/>
      <c r="BY439" s="162">
        <v>0</v>
      </c>
      <c r="BZ439" s="162">
        <v>0</v>
      </c>
      <c r="CA439" s="162">
        <v>-1028</v>
      </c>
      <c r="CB439" s="162">
        <v>0</v>
      </c>
      <c r="CC439" s="162">
        <v>0</v>
      </c>
      <c r="CD439" s="162">
        <v>0</v>
      </c>
      <c r="CE439" s="162">
        <f>VLOOKUP(I439,[120]REV33!$A:$O,11,0)</f>
        <v>0</v>
      </c>
      <c r="CF439" s="162">
        <f>VLOOKUP(I439,[120]REV33!$A:$O,12,0)</f>
        <v>0</v>
      </c>
      <c r="CG439" s="162"/>
      <c r="CH439" s="162"/>
      <c r="CI439" s="162"/>
      <c r="CJ439" s="162"/>
      <c r="CK439" s="162"/>
      <c r="CL439" s="162"/>
      <c r="CM439" s="162"/>
      <c r="CN439" s="162"/>
      <c r="CO439" s="162">
        <v>0</v>
      </c>
      <c r="CP439" s="162">
        <v>0</v>
      </c>
      <c r="CQ439" s="162">
        <v>0</v>
      </c>
      <c r="CR439" s="162">
        <v>0</v>
      </c>
      <c r="CS439" s="209">
        <f>Q439+S439+U439+W439+Y439+AA439+AC439+AE439+AG439+AI439+AK439+AM439+AO439+AQ439+AS439+AU439+AW439+AY439+BA439+BC439+BE439+BG439+BI439+BK439+BM439+BO439+BQ439+BS439+BU439+BW439+BY439+CA439+CC439+CE439+CG439+CI439+CK439+CM439+CO439+CQ439</f>
        <v>0</v>
      </c>
      <c r="CT439" s="209">
        <f>R439+T439+V439+X439+Z439+AB439+AD439+AF439+AH439+AJ439+AL439+AN439+AP439+AR439+AT439+AV439+AX439+AZ439+BB439+BD439+BF439+BH439+BJ439+BL439+BN439+BP439+BR439+BT439+BV439+BX439+BZ439+CB439+CD439+CF439+CH439+CJ439+CL439+CN439+CP439+CR439</f>
        <v>0</v>
      </c>
      <c r="CU439" s="375" t="s">
        <v>2325</v>
      </c>
      <c r="CV439" s="156"/>
      <c r="CZ439" s="157"/>
      <c r="DA439" s="152" t="str">
        <f t="shared" si="354"/>
        <v>0</v>
      </c>
      <c r="DB439" s="152" t="str">
        <f t="shared" si="355"/>
        <v>0</v>
      </c>
      <c r="DC439" s="153"/>
      <c r="DD439" s="158"/>
      <c r="DE439" s="156"/>
      <c r="DF439" s="174"/>
      <c r="DG439" s="175"/>
      <c r="DH439" s="156"/>
      <c r="DJ439" s="429"/>
      <c r="DK439" s="240"/>
      <c r="DL439" s="189"/>
      <c r="DM439" s="189"/>
      <c r="DN439" s="189"/>
      <c r="DO439" s="160"/>
      <c r="DP439" s="159"/>
      <c r="DQ439" s="152">
        <f>SUMIF($I:$I,I439,$DJ:$DJ)</f>
        <v>0</v>
      </c>
      <c r="DR439" s="152">
        <f>SUMIF($I:$I,I439,$DK:$DK)</f>
        <v>0</v>
      </c>
      <c r="EO439" s="152">
        <f>SUMIF($I:$I,I439,$EC:$EC)</f>
        <v>0</v>
      </c>
      <c r="EP439" s="151">
        <f>SUMIF($I:$I,I439,$ED:$ED)</f>
        <v>0</v>
      </c>
      <c r="EQ439" s="153"/>
      <c r="ER439" s="153"/>
      <c r="ES439" s="153"/>
      <c r="ET439" s="153"/>
      <c r="EU439" s="152">
        <f t="shared" si="356"/>
        <v>0</v>
      </c>
      <c r="EV439" s="152">
        <f t="shared" si="357"/>
        <v>0</v>
      </c>
      <c r="EW439" s="152">
        <f t="shared" si="358"/>
        <v>0</v>
      </c>
      <c r="EX439" s="152">
        <f t="shared" si="359"/>
        <v>0</v>
      </c>
      <c r="EY439" s="151" t="str">
        <f t="shared" si="360"/>
        <v>Đủ</v>
      </c>
    </row>
    <row r="440" spans="1:164" s="202" customFormat="1" ht="14" hidden="1" customHeight="1">
      <c r="A440" s="208" t="str">
        <f t="shared" si="361"/>
        <v>Hiện</v>
      </c>
      <c r="B440" s="151" t="str">
        <f t="shared" ref="B440:B448" si="370">EY440</f>
        <v>Đủ</v>
      </c>
      <c r="C440" s="409">
        <f t="shared" ref="C440:C448" si="371">EW440</f>
        <v>0</v>
      </c>
      <c r="D440" s="154"/>
      <c r="E440" s="154"/>
      <c r="F440" s="154"/>
      <c r="G440" s="151"/>
      <c r="H440" s="364"/>
      <c r="I440" s="164" t="s">
        <v>1598</v>
      </c>
      <c r="J440" s="164" t="s">
        <v>1599</v>
      </c>
      <c r="K440" s="435" t="s">
        <v>1600</v>
      </c>
      <c r="L440" s="163" t="s">
        <v>753</v>
      </c>
      <c r="M440" s="163" t="s">
        <v>345</v>
      </c>
      <c r="N440" s="173">
        <v>0</v>
      </c>
      <c r="O440" s="419">
        <v>48</v>
      </c>
      <c r="P440" s="416">
        <f>+O440*N440</f>
        <v>0</v>
      </c>
      <c r="Q440" s="155"/>
      <c r="R440" s="155"/>
      <c r="S440" s="161"/>
      <c r="T440" s="162"/>
      <c r="U440" s="162"/>
      <c r="V440" s="162"/>
      <c r="W440" s="162"/>
      <c r="X440" s="162"/>
      <c r="Y440" s="162"/>
      <c r="Z440" s="162"/>
      <c r="AA440" s="162"/>
      <c r="AB440" s="162"/>
      <c r="AC440" s="162"/>
      <c r="AD440" s="162"/>
      <c r="AE440" s="162"/>
      <c r="AF440" s="162"/>
      <c r="AG440" s="162"/>
      <c r="AH440" s="162"/>
      <c r="AI440" s="162"/>
      <c r="AJ440" s="162"/>
      <c r="AK440" s="162"/>
      <c r="AL440" s="162"/>
      <c r="AM440" s="162"/>
      <c r="AN440" s="162"/>
      <c r="AO440" s="162"/>
      <c r="AP440" s="162"/>
      <c r="AQ440" s="162"/>
      <c r="AR440" s="162"/>
      <c r="AS440" s="162"/>
      <c r="AT440" s="162"/>
      <c r="AU440" s="162"/>
      <c r="AV440" s="162"/>
      <c r="AW440" s="162"/>
      <c r="AX440" s="162"/>
      <c r="AY440" s="162"/>
      <c r="AZ440" s="162"/>
      <c r="BA440" s="162"/>
      <c r="BB440" s="162"/>
      <c r="BC440" s="162"/>
      <c r="BD440" s="162"/>
      <c r="BE440" s="162"/>
      <c r="BF440" s="162"/>
      <c r="BG440" s="162">
        <v>50</v>
      </c>
      <c r="BH440" s="162">
        <v>0</v>
      </c>
      <c r="BI440" s="162">
        <v>0</v>
      </c>
      <c r="BJ440" s="162">
        <v>0</v>
      </c>
      <c r="BK440" s="162">
        <v>0</v>
      </c>
      <c r="BL440" s="162">
        <v>0</v>
      </c>
      <c r="BM440" s="162">
        <v>0</v>
      </c>
      <c r="BN440" s="162">
        <v>0</v>
      </c>
      <c r="BO440" s="162"/>
      <c r="BP440" s="162"/>
      <c r="BQ440" s="162">
        <v>0</v>
      </c>
      <c r="BR440" s="162">
        <v>0</v>
      </c>
      <c r="BS440" s="162">
        <v>0</v>
      </c>
      <c r="BT440" s="162">
        <v>0</v>
      </c>
      <c r="BU440" s="162">
        <v>0</v>
      </c>
      <c r="BV440" s="162">
        <v>0</v>
      </c>
      <c r="BW440" s="162"/>
      <c r="BX440" s="162"/>
      <c r="BY440" s="162">
        <v>0</v>
      </c>
      <c r="BZ440" s="162">
        <v>0</v>
      </c>
      <c r="CA440" s="162">
        <v>0</v>
      </c>
      <c r="CB440" s="162">
        <v>0</v>
      </c>
      <c r="CC440" s="162">
        <v>0</v>
      </c>
      <c r="CD440" s="162">
        <v>0</v>
      </c>
      <c r="CE440" s="162">
        <f>VLOOKUP(I440,[120]REV33!$A:$O,11,0)</f>
        <v>0</v>
      </c>
      <c r="CF440" s="162">
        <f>VLOOKUP(I440,[120]REV33!$A:$O,12,0)</f>
        <v>0</v>
      </c>
      <c r="CG440" s="162"/>
      <c r="CH440" s="162"/>
      <c r="CI440" s="162"/>
      <c r="CJ440" s="162"/>
      <c r="CK440" s="162"/>
      <c r="CL440" s="162"/>
      <c r="CM440" s="162"/>
      <c r="CN440" s="162"/>
      <c r="CO440" s="162">
        <v>0</v>
      </c>
      <c r="CP440" s="162">
        <v>0</v>
      </c>
      <c r="CQ440" s="162">
        <v>0</v>
      </c>
      <c r="CR440" s="162">
        <v>0</v>
      </c>
      <c r="CS440" s="209">
        <f>Q440+S440+U440+W440+Y440+AA440+AC440+AE440+AG440+AI440+AK440+AM440+AO440+AQ440+AS440+AU440+AW440+AY440+BA440+BC440+BE440+BG440+BI440+BK440+BM440+BO440+BQ440+BS440+BU440+BW440+BY440+CA440+CC440+CE440+CG440+CI440+CK440+CM440+CO440+CQ440</f>
        <v>50</v>
      </c>
      <c r="CT440" s="209">
        <f>R440+T440+V440+X440+Z440+AB440+AD440+AF440+AH440+AJ440+AL440+AN440+AP440+AR440+AT440+AV440+AX440+AZ440+BB440+BD440+BF440+BH440+BJ440+BL440+BN440+BP440+BR440+BT440+BV440+BX440+BZ440+CB440+CD440+CF440+CH440+CJ440+CL440+CN440+CP440+CR440</f>
        <v>0</v>
      </c>
      <c r="CU440" s="206" t="s">
        <v>1628</v>
      </c>
      <c r="CV440" s="156"/>
      <c r="CW440" s="155"/>
      <c r="CX440" s="155"/>
      <c r="CY440" s="155"/>
      <c r="CZ440" s="157"/>
      <c r="DA440" s="152">
        <f t="shared" si="354"/>
        <v>50</v>
      </c>
      <c r="DB440" s="152" t="str">
        <f t="shared" si="355"/>
        <v>0</v>
      </c>
      <c r="DC440" s="153"/>
      <c r="DD440" s="158" t="s">
        <v>1676</v>
      </c>
      <c r="DE440" s="156" t="s">
        <v>435</v>
      </c>
      <c r="DF440" s="174" t="s">
        <v>1600</v>
      </c>
      <c r="DG440" s="175"/>
      <c r="DH440" s="240" t="s">
        <v>477</v>
      </c>
      <c r="DI440" s="187">
        <v>45950</v>
      </c>
      <c r="DJ440" s="429">
        <v>50</v>
      </c>
      <c r="DK440" s="240" t="s">
        <v>477</v>
      </c>
      <c r="DL440" s="273">
        <v>90000</v>
      </c>
      <c r="DM440" s="181">
        <f>DL440*DJ440*1.1</f>
        <v>4950000</v>
      </c>
      <c r="DN440" s="446">
        <f>(DM440-DO440)/DO440</f>
        <v>0.1</v>
      </c>
      <c r="DO440" s="160">
        <f>DL440*DJ440</f>
        <v>4500000</v>
      </c>
      <c r="DP440" s="159">
        <v>45954</v>
      </c>
      <c r="DQ440" s="152">
        <f>SUMIF($I:$I,I440,$DJ:$DJ)</f>
        <v>50</v>
      </c>
      <c r="DR440" s="152">
        <f>SUMIF($I:$I,I440,$DK:$DK)</f>
        <v>0</v>
      </c>
      <c r="DS440" s="155"/>
      <c r="DT440" s="155"/>
      <c r="DU440" s="155"/>
      <c r="DV440" s="155"/>
      <c r="DW440" s="155"/>
      <c r="DX440" s="155"/>
      <c r="DY440" s="155"/>
      <c r="DZ440" s="155"/>
      <c r="EA440" s="155"/>
      <c r="EB440" s="155"/>
      <c r="EC440" s="155"/>
      <c r="ED440" s="155"/>
      <c r="EE440" s="155"/>
      <c r="EF440" s="155"/>
      <c r="EG440" s="155"/>
      <c r="EH440" s="155"/>
      <c r="EI440" s="155"/>
      <c r="EJ440" s="155"/>
      <c r="EK440" s="155"/>
      <c r="EL440" s="155"/>
      <c r="EM440" s="155"/>
      <c r="EN440" s="155"/>
      <c r="EO440" s="152">
        <f>SUMIF($I:$I,I440,$EC:$EC)</f>
        <v>0</v>
      </c>
      <c r="EP440" s="151">
        <f>SUMIF($I:$I,I440,$ED:$ED)</f>
        <v>0</v>
      </c>
      <c r="EQ440" s="153"/>
      <c r="ER440" s="153"/>
      <c r="ES440" s="153"/>
      <c r="ET440" s="153"/>
      <c r="EU440" s="152">
        <f t="shared" si="356"/>
        <v>50</v>
      </c>
      <c r="EV440" s="152">
        <f t="shared" si="357"/>
        <v>0</v>
      </c>
      <c r="EW440" s="152">
        <f t="shared" si="358"/>
        <v>0</v>
      </c>
      <c r="EX440" s="152">
        <f t="shared" si="359"/>
        <v>0</v>
      </c>
      <c r="EY440" s="151" t="str">
        <f t="shared" si="360"/>
        <v>Đủ</v>
      </c>
      <c r="EZ440" s="155"/>
      <c r="FA440" s="155"/>
      <c r="FB440" s="155"/>
      <c r="FC440" s="204"/>
      <c r="FD440" s="204"/>
      <c r="FE440" s="204"/>
      <c r="FF440" s="204"/>
      <c r="FG440" s="204"/>
      <c r="FH440" s="204"/>
    </row>
    <row r="441" spans="1:164" s="202" customFormat="1" ht="16.5" hidden="1">
      <c r="A441" s="208" t="str">
        <f t="shared" si="361"/>
        <v>Hiện</v>
      </c>
      <c r="B441" s="151" t="str">
        <f t="shared" si="370"/>
        <v>Đủ</v>
      </c>
      <c r="C441" s="409">
        <f t="shared" si="371"/>
        <v>0</v>
      </c>
      <c r="D441" s="154"/>
      <c r="E441" s="154"/>
      <c r="F441" s="154"/>
      <c r="G441" s="151"/>
      <c r="H441" s="364"/>
      <c r="I441" s="164" t="s">
        <v>1601</v>
      </c>
      <c r="J441" s="164" t="s">
        <v>1602</v>
      </c>
      <c r="K441" s="171" t="s">
        <v>1603</v>
      </c>
      <c r="L441" s="163" t="s">
        <v>838</v>
      </c>
      <c r="M441" s="163" t="s">
        <v>345</v>
      </c>
      <c r="N441" s="173">
        <v>0</v>
      </c>
      <c r="O441" s="419">
        <v>72</v>
      </c>
      <c r="P441" s="416"/>
      <c r="Q441" s="155"/>
      <c r="R441" s="155"/>
      <c r="S441" s="161"/>
      <c r="T441" s="162"/>
      <c r="U441" s="162"/>
      <c r="V441" s="162"/>
      <c r="W441" s="162"/>
      <c r="X441" s="162"/>
      <c r="Y441" s="162"/>
      <c r="Z441" s="162"/>
      <c r="AA441" s="162"/>
      <c r="AB441" s="162"/>
      <c r="AC441" s="162"/>
      <c r="AD441" s="162"/>
      <c r="AE441" s="162"/>
      <c r="AF441" s="162"/>
      <c r="AG441" s="162"/>
      <c r="AH441" s="162"/>
      <c r="AI441" s="162"/>
      <c r="AJ441" s="162"/>
      <c r="AK441" s="162"/>
      <c r="AL441" s="162"/>
      <c r="AM441" s="162"/>
      <c r="AN441" s="162"/>
      <c r="AO441" s="162"/>
      <c r="AP441" s="162"/>
      <c r="AQ441" s="162"/>
      <c r="AR441" s="162"/>
      <c r="AS441" s="162"/>
      <c r="AT441" s="162"/>
      <c r="AU441" s="162"/>
      <c r="AV441" s="162"/>
      <c r="AW441" s="162"/>
      <c r="AX441" s="162"/>
      <c r="AY441" s="162"/>
      <c r="AZ441" s="162"/>
      <c r="BA441" s="162"/>
      <c r="BB441" s="162"/>
      <c r="BC441" s="162"/>
      <c r="BD441" s="162"/>
      <c r="BE441" s="162"/>
      <c r="BF441" s="162"/>
      <c r="BG441" s="162">
        <v>72</v>
      </c>
      <c r="BH441" s="162">
        <v>0</v>
      </c>
      <c r="BI441" s="162">
        <v>8</v>
      </c>
      <c r="BJ441" s="162">
        <v>0</v>
      </c>
      <c r="BK441" s="162">
        <v>0</v>
      </c>
      <c r="BL441" s="162">
        <v>0</v>
      </c>
      <c r="BM441" s="162">
        <v>0</v>
      </c>
      <c r="BN441" s="162">
        <v>0</v>
      </c>
      <c r="BO441" s="162"/>
      <c r="BP441" s="162"/>
      <c r="BQ441" s="162">
        <v>0</v>
      </c>
      <c r="BR441" s="162">
        <v>0</v>
      </c>
      <c r="BS441" s="162">
        <v>0</v>
      </c>
      <c r="BT441" s="162">
        <v>0</v>
      </c>
      <c r="BU441" s="162">
        <v>0</v>
      </c>
      <c r="BV441" s="162">
        <v>0</v>
      </c>
      <c r="BW441" s="162"/>
      <c r="BX441" s="162"/>
      <c r="BY441" s="162">
        <v>0</v>
      </c>
      <c r="BZ441" s="162">
        <v>0</v>
      </c>
      <c r="CA441" s="162">
        <v>0</v>
      </c>
      <c r="CB441" s="162">
        <v>0</v>
      </c>
      <c r="CC441" s="162">
        <v>0</v>
      </c>
      <c r="CD441" s="162">
        <v>0</v>
      </c>
      <c r="CE441" s="162">
        <f>VLOOKUP(I441,[120]REV33!$A:$O,11,0)</f>
        <v>0</v>
      </c>
      <c r="CF441" s="162">
        <f>VLOOKUP(I441,[120]REV33!$A:$O,12,0)</f>
        <v>0</v>
      </c>
      <c r="CG441" s="162"/>
      <c r="CH441" s="162"/>
      <c r="CI441" s="162"/>
      <c r="CJ441" s="162"/>
      <c r="CK441" s="162"/>
      <c r="CL441" s="162"/>
      <c r="CM441" s="162"/>
      <c r="CN441" s="162"/>
      <c r="CO441" s="162">
        <v>0</v>
      </c>
      <c r="CP441" s="162">
        <v>0</v>
      </c>
      <c r="CQ441" s="162">
        <v>0</v>
      </c>
      <c r="CR441" s="162">
        <v>0</v>
      </c>
      <c r="CS441" s="209">
        <f>Q441+S441+U441+W441+Y441+AA441+AC441+AE441+AG441+AI441+AK441+AM441+AO441+AQ441+AS441+AU441+AW441+AY441+BA441+BC441+BE441+BG441+BI441+BK441+BM441+BO441+BQ441+BS441+BU441+BW441+BY441+CA441+CC441+CE441+CG441+CI441+CK441+CM441+CO441+CQ441</f>
        <v>80</v>
      </c>
      <c r="CT441" s="209">
        <f>R441+T441+V441+X441+Z441+AB441+AD441+AF441+AH441+AJ441+AL441+AN441+AP441+AR441+AT441+AV441+AX441+AZ441+BB441+BD441+BF441+BH441+BJ441+BL441+BN441+BP441+BR441+BT441+BV441+BX441+BZ441+CB441+CD441+CF441+CH441+CJ441+CL441+CN441+CP441+CR441</f>
        <v>0</v>
      </c>
      <c r="CU441" s="206" t="s">
        <v>1646</v>
      </c>
      <c r="CV441" s="156"/>
      <c r="CW441" s="155"/>
      <c r="CX441" s="155"/>
      <c r="CY441" s="155"/>
      <c r="CZ441" s="157"/>
      <c r="DA441" s="152">
        <f t="shared" si="354"/>
        <v>80</v>
      </c>
      <c r="DB441" s="152" t="str">
        <f t="shared" si="355"/>
        <v>0</v>
      </c>
      <c r="DC441" s="153"/>
      <c r="DD441" s="158" t="s">
        <v>2241</v>
      </c>
      <c r="DE441" s="156" t="s">
        <v>435</v>
      </c>
      <c r="DF441" s="171" t="s">
        <v>1603</v>
      </c>
      <c r="DG441" s="175"/>
      <c r="DH441" s="240" t="s">
        <v>477</v>
      </c>
      <c r="DI441" s="187">
        <v>45980</v>
      </c>
      <c r="DJ441" s="429">
        <v>80</v>
      </c>
      <c r="DK441" s="240" t="s">
        <v>477</v>
      </c>
      <c r="DL441" s="273">
        <v>32000</v>
      </c>
      <c r="DM441" s="181">
        <f>DL441*DJ441*1.1</f>
        <v>2816000</v>
      </c>
      <c r="DN441" s="446">
        <f>(DM441-DO441)/DO441</f>
        <v>0.1</v>
      </c>
      <c r="DO441" s="160">
        <f>DL441*DJ441</f>
        <v>2560000</v>
      </c>
      <c r="DP441" s="159" t="s">
        <v>1896</v>
      </c>
      <c r="DQ441" s="152">
        <f>SUMIF($I:$I,I441,$DJ:$DJ)</f>
        <v>80</v>
      </c>
      <c r="DR441" s="152">
        <f>SUMIF($I:$I,I441,$DK:$DK)</f>
        <v>0</v>
      </c>
      <c r="DS441" s="155"/>
      <c r="DT441" s="155"/>
      <c r="DU441" s="155"/>
      <c r="DV441" s="155"/>
      <c r="DW441" s="155"/>
      <c r="DX441" s="155"/>
      <c r="DY441" s="155"/>
      <c r="DZ441" s="155"/>
      <c r="EA441" s="155"/>
      <c r="EB441" s="155"/>
      <c r="EC441" s="155"/>
      <c r="ED441" s="155"/>
      <c r="EE441" s="155"/>
      <c r="EF441" s="155"/>
      <c r="EG441" s="155"/>
      <c r="EH441" s="155"/>
      <c r="EI441" s="155"/>
      <c r="EJ441" s="155"/>
      <c r="EK441" s="155"/>
      <c r="EL441" s="155"/>
      <c r="EM441" s="155"/>
      <c r="EN441" s="155"/>
      <c r="EO441" s="152">
        <f>SUMIF($I:$I,I441,$EC:$EC)</f>
        <v>0</v>
      </c>
      <c r="EP441" s="151">
        <f>SUMIF($I:$I,I441,$ED:$ED)</f>
        <v>0</v>
      </c>
      <c r="EQ441" s="153"/>
      <c r="ER441" s="153"/>
      <c r="ES441" s="153"/>
      <c r="ET441" s="153"/>
      <c r="EU441" s="152">
        <f t="shared" si="356"/>
        <v>80</v>
      </c>
      <c r="EV441" s="152">
        <f t="shared" si="357"/>
        <v>0</v>
      </c>
      <c r="EW441" s="152">
        <f t="shared" si="358"/>
        <v>0</v>
      </c>
      <c r="EX441" s="152">
        <f t="shared" si="359"/>
        <v>0</v>
      </c>
      <c r="EY441" s="151" t="str">
        <f t="shared" si="360"/>
        <v>Đủ</v>
      </c>
      <c r="EZ441" s="155"/>
      <c r="FA441" s="155"/>
      <c r="FB441" s="155"/>
      <c r="FC441" s="204"/>
      <c r="FD441" s="204"/>
      <c r="FE441" s="204"/>
      <c r="FF441" s="204"/>
      <c r="FG441" s="204"/>
      <c r="FH441" s="204"/>
    </row>
    <row r="442" spans="1:164" s="202" customFormat="1" ht="18.5" hidden="1" customHeight="1">
      <c r="A442" s="208" t="str">
        <f t="shared" si="361"/>
        <v>Hiện</v>
      </c>
      <c r="B442" s="151" t="str">
        <f t="shared" si="370"/>
        <v>Đủ</v>
      </c>
      <c r="C442" s="409">
        <f t="shared" si="371"/>
        <v>0</v>
      </c>
      <c r="D442" s="154"/>
      <c r="E442" s="154"/>
      <c r="F442" s="154"/>
      <c r="G442" s="151"/>
      <c r="H442" s="364"/>
      <c r="I442" s="164" t="s">
        <v>1604</v>
      </c>
      <c r="J442" s="164" t="s">
        <v>1602</v>
      </c>
      <c r="K442" s="171" t="s">
        <v>1605</v>
      </c>
      <c r="L442" s="163" t="s">
        <v>838</v>
      </c>
      <c r="M442" s="163" t="s">
        <v>345</v>
      </c>
      <c r="N442" s="173">
        <v>0</v>
      </c>
      <c r="O442" s="419">
        <v>72</v>
      </c>
      <c r="P442" s="416"/>
      <c r="Q442" s="155"/>
      <c r="R442" s="155"/>
      <c r="S442" s="161"/>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v>72</v>
      </c>
      <c r="BH442" s="162">
        <v>0</v>
      </c>
      <c r="BI442" s="162">
        <v>8</v>
      </c>
      <c r="BJ442" s="162">
        <v>0</v>
      </c>
      <c r="BK442" s="162">
        <v>0</v>
      </c>
      <c r="BL442" s="162">
        <v>0</v>
      </c>
      <c r="BM442" s="162">
        <v>0</v>
      </c>
      <c r="BN442" s="162">
        <v>0</v>
      </c>
      <c r="BO442" s="162"/>
      <c r="BP442" s="162"/>
      <c r="BQ442" s="162">
        <v>0</v>
      </c>
      <c r="BR442" s="162">
        <v>0</v>
      </c>
      <c r="BS442" s="162">
        <v>0</v>
      </c>
      <c r="BT442" s="162">
        <v>0</v>
      </c>
      <c r="BU442" s="162">
        <v>0</v>
      </c>
      <c r="BV442" s="162">
        <v>0</v>
      </c>
      <c r="BW442" s="162"/>
      <c r="BX442" s="162"/>
      <c r="BY442" s="162">
        <v>0</v>
      </c>
      <c r="BZ442" s="162">
        <v>0</v>
      </c>
      <c r="CA442" s="162">
        <v>0</v>
      </c>
      <c r="CB442" s="162">
        <v>0</v>
      </c>
      <c r="CC442" s="162">
        <v>0</v>
      </c>
      <c r="CD442" s="162">
        <v>0</v>
      </c>
      <c r="CE442" s="162">
        <f>VLOOKUP(I442,[120]REV33!$A:$O,11,0)</f>
        <v>0</v>
      </c>
      <c r="CF442" s="162">
        <f>VLOOKUP(I442,[120]REV33!$A:$O,12,0)</f>
        <v>0</v>
      </c>
      <c r="CG442" s="162"/>
      <c r="CH442" s="162"/>
      <c r="CI442" s="162"/>
      <c r="CJ442" s="162"/>
      <c r="CK442" s="162"/>
      <c r="CL442" s="162"/>
      <c r="CM442" s="162"/>
      <c r="CN442" s="162"/>
      <c r="CO442" s="162">
        <v>0</v>
      </c>
      <c r="CP442" s="162">
        <v>0</v>
      </c>
      <c r="CQ442" s="162">
        <v>0</v>
      </c>
      <c r="CR442" s="162">
        <v>0</v>
      </c>
      <c r="CS442" s="209">
        <f>Q442+S442+U442+W442+Y442+AA442+AC442+AE442+AG442+AI442+AK442+AM442+AO442+AQ442+AS442+AU442+AW442+AY442+BA442+BC442+BE442+BG442+BI442+BK442+BM442+BO442+BQ442+BS442+BU442+BW442+BY442+CA442+CC442+CE442+CG442+CI442+CK442+CM442+CO442+CQ442</f>
        <v>80</v>
      </c>
      <c r="CT442" s="209">
        <f>R442+T442+V442+X442+Z442+AB442+AD442+AF442+AH442+AJ442+AL442+AN442+AP442+AR442+AT442+AV442+AX442+AZ442+BB442+BD442+BF442+BH442+BJ442+BL442+BN442+BP442+BR442+BT442+BV442+BX442+BZ442+CB442+CD442+CF442+CH442+CJ442+CL442+CN442+CP442+CR442</f>
        <v>0</v>
      </c>
      <c r="CU442" s="206" t="s">
        <v>1646</v>
      </c>
      <c r="CV442" s="156"/>
      <c r="CW442" s="155"/>
      <c r="CX442" s="155"/>
      <c r="CY442" s="155"/>
      <c r="CZ442" s="157"/>
      <c r="DA442" s="152">
        <f t="shared" si="354"/>
        <v>80</v>
      </c>
      <c r="DB442" s="152" t="str">
        <f t="shared" si="355"/>
        <v>0</v>
      </c>
      <c r="DC442" s="153"/>
      <c r="DD442" s="158" t="s">
        <v>2241</v>
      </c>
      <c r="DE442" s="156" t="s">
        <v>435</v>
      </c>
      <c r="DF442" s="171" t="s">
        <v>1605</v>
      </c>
      <c r="DG442" s="175"/>
      <c r="DH442" s="240" t="s">
        <v>477</v>
      </c>
      <c r="DI442" s="187">
        <v>45980</v>
      </c>
      <c r="DJ442" s="429">
        <v>80</v>
      </c>
      <c r="DK442" s="240" t="s">
        <v>477</v>
      </c>
      <c r="DL442" s="273">
        <v>29000</v>
      </c>
      <c r="DM442" s="181">
        <f>DL442*DJ442*1.1</f>
        <v>2552000</v>
      </c>
      <c r="DN442" s="446">
        <f>(DM442-DO442)/DO442</f>
        <v>0.1</v>
      </c>
      <c r="DO442" s="160">
        <f>DL442*DJ442</f>
        <v>2320000</v>
      </c>
      <c r="DP442" s="159" t="s">
        <v>1896</v>
      </c>
      <c r="DQ442" s="152">
        <f>SUMIF($I:$I,I442,$DJ:$DJ)</f>
        <v>80</v>
      </c>
      <c r="DR442" s="152">
        <f>SUMIF($I:$I,I442,$DK:$DK)</f>
        <v>0</v>
      </c>
      <c r="DS442" s="155"/>
      <c r="DT442" s="155"/>
      <c r="DU442" s="155"/>
      <c r="DV442" s="155"/>
      <c r="DW442" s="155"/>
      <c r="DX442" s="155"/>
      <c r="DY442" s="155"/>
      <c r="DZ442" s="155"/>
      <c r="EA442" s="155"/>
      <c r="EB442" s="155"/>
      <c r="EC442" s="155"/>
      <c r="ED442" s="155"/>
      <c r="EE442" s="155"/>
      <c r="EF442" s="155"/>
      <c r="EG442" s="155"/>
      <c r="EH442" s="155"/>
      <c r="EI442" s="155"/>
      <c r="EJ442" s="155"/>
      <c r="EK442" s="155"/>
      <c r="EL442" s="155"/>
      <c r="EM442" s="155"/>
      <c r="EN442" s="155"/>
      <c r="EO442" s="152">
        <f>SUMIF($I:$I,I442,$EC:$EC)</f>
        <v>0</v>
      </c>
      <c r="EP442" s="151">
        <f>SUMIF($I:$I,I442,$ED:$ED)</f>
        <v>0</v>
      </c>
      <c r="EQ442" s="153"/>
      <c r="ER442" s="153"/>
      <c r="ES442" s="153"/>
      <c r="ET442" s="153"/>
      <c r="EU442" s="152">
        <f t="shared" si="356"/>
        <v>80</v>
      </c>
      <c r="EV442" s="152">
        <f t="shared" si="357"/>
        <v>0</v>
      </c>
      <c r="EW442" s="152">
        <f t="shared" si="358"/>
        <v>0</v>
      </c>
      <c r="EX442" s="152">
        <f t="shared" si="359"/>
        <v>0</v>
      </c>
      <c r="EY442" s="151" t="str">
        <f t="shared" si="360"/>
        <v>Đủ</v>
      </c>
      <c r="EZ442" s="155"/>
      <c r="FA442" s="155"/>
      <c r="FB442" s="155"/>
      <c r="FC442" s="204"/>
      <c r="FD442" s="204"/>
      <c r="FE442" s="204"/>
      <c r="FF442" s="204"/>
      <c r="FG442" s="204"/>
      <c r="FH442" s="204"/>
    </row>
    <row r="443" spans="1:164" s="202" customFormat="1" ht="14" hidden="1" customHeight="1">
      <c r="A443" s="208" t="str">
        <f t="shared" si="361"/>
        <v>Hiện</v>
      </c>
      <c r="B443" s="151" t="str">
        <f t="shared" si="370"/>
        <v>Đủ</v>
      </c>
      <c r="C443" s="434">
        <f t="shared" si="371"/>
        <v>0</v>
      </c>
      <c r="D443" s="154"/>
      <c r="E443" s="154"/>
      <c r="F443" s="154"/>
      <c r="G443" s="151"/>
      <c r="H443" s="364"/>
      <c r="I443" s="163" t="s">
        <v>1639</v>
      </c>
      <c r="J443" s="164" t="s">
        <v>751</v>
      </c>
      <c r="K443" s="436" t="s">
        <v>1640</v>
      </c>
      <c r="L443" s="163" t="s">
        <v>753</v>
      </c>
      <c r="M443" s="163" t="s">
        <v>345</v>
      </c>
      <c r="N443" s="173">
        <v>0</v>
      </c>
      <c r="O443" s="419">
        <f>264*1.05</f>
        <v>277.2</v>
      </c>
      <c r="P443" s="416"/>
      <c r="Q443" s="155"/>
      <c r="R443" s="155"/>
      <c r="S443" s="161"/>
      <c r="T443" s="162"/>
      <c r="U443" s="162"/>
      <c r="V443" s="162"/>
      <c r="W443" s="162"/>
      <c r="X443" s="162"/>
      <c r="Y443" s="162"/>
      <c r="Z443" s="162"/>
      <c r="AA443" s="162"/>
      <c r="AB443" s="162"/>
      <c r="AC443" s="162"/>
      <c r="AD443" s="162"/>
      <c r="AE443" s="162"/>
      <c r="AF443" s="162"/>
      <c r="AG443" s="162"/>
      <c r="AH443" s="162"/>
      <c r="AI443" s="162"/>
      <c r="AJ443" s="162"/>
      <c r="AK443" s="162"/>
      <c r="AL443" s="162"/>
      <c r="AM443" s="162"/>
      <c r="AN443" s="162"/>
      <c r="AO443" s="162"/>
      <c r="AP443" s="162"/>
      <c r="AQ443" s="162"/>
      <c r="AR443" s="162"/>
      <c r="AS443" s="162"/>
      <c r="AT443" s="162"/>
      <c r="AU443" s="162"/>
      <c r="AV443" s="162"/>
      <c r="AW443" s="162"/>
      <c r="AX443" s="162"/>
      <c r="AY443" s="162"/>
      <c r="AZ443" s="162"/>
      <c r="BA443" s="162"/>
      <c r="BB443" s="162"/>
      <c r="BC443" s="162"/>
      <c r="BD443" s="162"/>
      <c r="BE443" s="162"/>
      <c r="BF443" s="162"/>
      <c r="BG443" s="162"/>
      <c r="BH443" s="162"/>
      <c r="BI443" s="162">
        <v>277.2</v>
      </c>
      <c r="BJ443" s="162">
        <v>0</v>
      </c>
      <c r="BK443" s="162">
        <v>0</v>
      </c>
      <c r="BL443" s="162">
        <v>0</v>
      </c>
      <c r="BM443" s="162">
        <v>0</v>
      </c>
      <c r="BN443" s="162">
        <v>0</v>
      </c>
      <c r="BO443" s="162"/>
      <c r="BP443" s="162"/>
      <c r="BQ443" s="162">
        <v>0</v>
      </c>
      <c r="BR443" s="162">
        <v>0</v>
      </c>
      <c r="BS443" s="162">
        <v>0</v>
      </c>
      <c r="BT443" s="162">
        <v>0</v>
      </c>
      <c r="BU443" s="162">
        <v>0</v>
      </c>
      <c r="BV443" s="162">
        <v>0</v>
      </c>
      <c r="BW443" s="162"/>
      <c r="BX443" s="162"/>
      <c r="BY443" s="162">
        <v>0</v>
      </c>
      <c r="BZ443" s="162">
        <v>0</v>
      </c>
      <c r="CA443" s="162">
        <v>0</v>
      </c>
      <c r="CB443" s="162">
        <v>0</v>
      </c>
      <c r="CC443" s="162">
        <v>0</v>
      </c>
      <c r="CD443" s="162">
        <v>0</v>
      </c>
      <c r="CE443" s="162">
        <f>VLOOKUP(I443,[120]REV33!$A:$O,11,0)</f>
        <v>0</v>
      </c>
      <c r="CF443" s="162">
        <f>VLOOKUP(I443,[120]REV33!$A:$O,12,0)</f>
        <v>0</v>
      </c>
      <c r="CG443" s="162"/>
      <c r="CH443" s="162"/>
      <c r="CI443" s="162"/>
      <c r="CJ443" s="162"/>
      <c r="CK443" s="162"/>
      <c r="CL443" s="162"/>
      <c r="CM443" s="998">
        <v>211</v>
      </c>
      <c r="CN443" s="162"/>
      <c r="CO443" s="162">
        <v>0</v>
      </c>
      <c r="CP443" s="162">
        <v>0</v>
      </c>
      <c r="CQ443" s="162">
        <v>0</v>
      </c>
      <c r="CR443" s="162">
        <v>0</v>
      </c>
      <c r="CS443" s="209">
        <f>Q443+S443+U443+W443+Y443+AA443+AC443+AE443+AG443+AI443+AK443+AM443+AO443+AQ443+AS443+AU443+AW443+AY443+BA443+BC443+BE443+BG443+BI443+BK443+BM443+BO443+BQ443+BS443+BU443+BW443+BY443+CA443+CC443+CE443+CG443+CI443+CK443+CM443+CO443+CQ443</f>
        <v>488.2</v>
      </c>
      <c r="CT443" s="209">
        <f>R443+T443+V443+X443+Z443+AB443+AD443+AF443+AH443+AJ443+AL443+AN443+AP443+AR443+AT443+AV443+AX443+AZ443+BB443+BD443+BF443+BH443+BJ443+BL443+BN443+BP443+BR443+BT443+BV443+BX443+BZ443+CB443+CD443+CF443+CH443+CJ443+CL443+CN443+CP443+CR443</f>
        <v>0</v>
      </c>
      <c r="CU443" s="206" t="s">
        <v>2600</v>
      </c>
      <c r="CV443" s="156"/>
      <c r="CW443" s="155"/>
      <c r="CX443" s="155"/>
      <c r="CY443" s="155"/>
      <c r="CZ443" s="157"/>
      <c r="DA443" s="152">
        <f t="shared" si="354"/>
        <v>488.2</v>
      </c>
      <c r="DB443" s="152" t="str">
        <f t="shared" si="355"/>
        <v>0</v>
      </c>
      <c r="DC443" s="153"/>
      <c r="DD443" s="158" t="s">
        <v>374</v>
      </c>
      <c r="DE443" s="156" t="s">
        <v>435</v>
      </c>
      <c r="DF443" s="436" t="s">
        <v>1640</v>
      </c>
      <c r="DG443" s="175"/>
      <c r="DH443" s="156" t="s">
        <v>477</v>
      </c>
      <c r="DI443" s="155" t="s">
        <v>374</v>
      </c>
      <c r="DJ443" s="429">
        <v>277.2</v>
      </c>
      <c r="DK443" s="240" t="s">
        <v>477</v>
      </c>
      <c r="DL443" s="189">
        <v>5080</v>
      </c>
      <c r="DM443" s="189">
        <f>DL443*DJ443*1.08</f>
        <v>1520830.08</v>
      </c>
      <c r="DN443" s="1007">
        <v>0.1</v>
      </c>
      <c r="DO443" s="160">
        <f>DL443*DJ443</f>
        <v>1408176</v>
      </c>
      <c r="DP443" s="159">
        <v>45978</v>
      </c>
      <c r="DQ443" s="152">
        <f>SUMIF($I:$I,I443,$DJ:$DJ)</f>
        <v>488.2</v>
      </c>
      <c r="DR443" s="152">
        <f>SUMIF($I:$I,I443,$DK:$DK)</f>
        <v>0</v>
      </c>
      <c r="DS443" s="155"/>
      <c r="DT443" s="155"/>
      <c r="DU443" s="155"/>
      <c r="DV443" s="155"/>
      <c r="DW443" s="155"/>
      <c r="DX443" s="155"/>
      <c r="DY443" s="155"/>
      <c r="DZ443" s="155"/>
      <c r="EA443" s="155"/>
      <c r="EB443" s="155"/>
      <c r="EC443" s="155"/>
      <c r="ED443" s="155"/>
      <c r="EE443" s="155"/>
      <c r="EF443" s="155"/>
      <c r="EG443" s="155"/>
      <c r="EH443" s="155"/>
      <c r="EI443" s="155"/>
      <c r="EJ443" s="155"/>
      <c r="EK443" s="155"/>
      <c r="EL443" s="155"/>
      <c r="EM443" s="155"/>
      <c r="EN443" s="155"/>
      <c r="EO443" s="152">
        <f>SUMIF($I:$I,I443,$EC:$EC)</f>
        <v>0</v>
      </c>
      <c r="EP443" s="151">
        <f>SUMIF($I:$I,I443,$ED:$ED)</f>
        <v>0</v>
      </c>
      <c r="EQ443" s="153"/>
      <c r="ER443" s="153"/>
      <c r="ES443" s="153"/>
      <c r="ET443" s="153"/>
      <c r="EU443" s="152">
        <f t="shared" si="356"/>
        <v>488.2</v>
      </c>
      <c r="EV443" s="152">
        <f t="shared" si="357"/>
        <v>0</v>
      </c>
      <c r="EW443" s="152">
        <f t="shared" si="358"/>
        <v>0</v>
      </c>
      <c r="EX443" s="152">
        <f t="shared" si="359"/>
        <v>0</v>
      </c>
      <c r="EY443" s="151" t="str">
        <f t="shared" si="360"/>
        <v>Đủ</v>
      </c>
      <c r="EZ443" s="155"/>
      <c r="FA443" s="155"/>
      <c r="FB443" s="155"/>
      <c r="FC443" s="204"/>
      <c r="FD443" s="204"/>
      <c r="FE443" s="204"/>
      <c r="FF443" s="204"/>
      <c r="FG443" s="204"/>
      <c r="FH443" s="204"/>
    </row>
    <row r="444" spans="1:164" s="202" customFormat="1" ht="14" hidden="1" customHeight="1">
      <c r="A444" s="208" t="str">
        <f t="shared" ref="A444:A448" si="372">IF(I444=I443,"ok","Hiện")</f>
        <v>ok</v>
      </c>
      <c r="B444" s="151"/>
      <c r="C444" s="434"/>
      <c r="D444" s="154"/>
      <c r="E444" s="154"/>
      <c r="F444" s="154"/>
      <c r="G444" s="151"/>
      <c r="H444" s="364"/>
      <c r="I444" s="163" t="s">
        <v>1639</v>
      </c>
      <c r="J444" s="164" t="s">
        <v>751</v>
      </c>
      <c r="K444" s="436" t="s">
        <v>1640</v>
      </c>
      <c r="L444" s="163" t="s">
        <v>753</v>
      </c>
      <c r="M444" s="163" t="s">
        <v>345</v>
      </c>
      <c r="N444" s="173"/>
      <c r="O444" s="419"/>
      <c r="P444" s="416"/>
      <c r="Q444" s="155"/>
      <c r="R444" s="155"/>
      <c r="S444" s="161"/>
      <c r="T444" s="162"/>
      <c r="U444" s="162"/>
      <c r="V444" s="162"/>
      <c r="W444" s="162"/>
      <c r="X444" s="162"/>
      <c r="Y444" s="162"/>
      <c r="Z444" s="162"/>
      <c r="AA444" s="162"/>
      <c r="AB444" s="162"/>
      <c r="AC444" s="162"/>
      <c r="AD444" s="162"/>
      <c r="AE444" s="162"/>
      <c r="AF444" s="162"/>
      <c r="AG444" s="162"/>
      <c r="AH444" s="162"/>
      <c r="AI444" s="162"/>
      <c r="AJ444" s="162"/>
      <c r="AK444" s="162"/>
      <c r="AL444" s="162"/>
      <c r="AM444" s="162"/>
      <c r="AN444" s="162"/>
      <c r="AO444" s="162"/>
      <c r="AP444" s="162"/>
      <c r="AQ444" s="162"/>
      <c r="AR444" s="162"/>
      <c r="AS444" s="162"/>
      <c r="AT444" s="162"/>
      <c r="AU444" s="162"/>
      <c r="AV444" s="162"/>
      <c r="AW444" s="162"/>
      <c r="AX444" s="162"/>
      <c r="AY444" s="162"/>
      <c r="AZ444" s="162"/>
      <c r="BA444" s="162"/>
      <c r="BB444" s="162"/>
      <c r="BC444" s="162"/>
      <c r="BD444" s="162"/>
      <c r="BE444" s="162"/>
      <c r="BF444" s="162"/>
      <c r="BG444" s="162"/>
      <c r="BH444" s="162"/>
      <c r="BI444" s="162"/>
      <c r="BJ444" s="162"/>
      <c r="BK444" s="162"/>
      <c r="BL444" s="162"/>
      <c r="BM444" s="162"/>
      <c r="BN444" s="162"/>
      <c r="BO444" s="162"/>
      <c r="BP444" s="162"/>
      <c r="BQ444" s="162"/>
      <c r="BR444" s="162"/>
      <c r="BS444" s="162"/>
      <c r="BT444" s="162"/>
      <c r="BU444" s="162"/>
      <c r="BV444" s="162"/>
      <c r="BW444" s="162"/>
      <c r="BX444" s="162"/>
      <c r="BY444" s="162"/>
      <c r="BZ444" s="162"/>
      <c r="CA444" s="162"/>
      <c r="CB444" s="162"/>
      <c r="CC444" s="162"/>
      <c r="CD444" s="162"/>
      <c r="CE444" s="162"/>
      <c r="CF444" s="162"/>
      <c r="CG444" s="162"/>
      <c r="CH444" s="162"/>
      <c r="CI444" s="162"/>
      <c r="CJ444" s="162"/>
      <c r="CK444" s="162"/>
      <c r="CL444" s="162"/>
      <c r="CM444" s="998"/>
      <c r="CN444" s="162"/>
      <c r="CO444" s="162"/>
      <c r="CP444" s="162"/>
      <c r="CQ444" s="162"/>
      <c r="CR444" s="162"/>
      <c r="CS444" s="209"/>
      <c r="CT444" s="209"/>
      <c r="CU444" s="206"/>
      <c r="CV444" s="156"/>
      <c r="CW444" s="155"/>
      <c r="CX444" s="155"/>
      <c r="CY444" s="155"/>
      <c r="CZ444" s="157"/>
      <c r="DA444" s="152"/>
      <c r="DB444" s="152"/>
      <c r="DC444" s="153"/>
      <c r="DD444" s="158" t="s">
        <v>2603</v>
      </c>
      <c r="DE444" s="156" t="s">
        <v>435</v>
      </c>
      <c r="DF444" s="436" t="s">
        <v>1640</v>
      </c>
      <c r="DG444" s="175"/>
      <c r="DH444" s="156" t="s">
        <v>477</v>
      </c>
      <c r="DI444" s="187">
        <v>46076</v>
      </c>
      <c r="DJ444" s="429">
        <v>211</v>
      </c>
      <c r="DK444" s="240" t="s">
        <v>477</v>
      </c>
      <c r="DL444" s="189">
        <v>5080</v>
      </c>
      <c r="DM444" s="189">
        <f t="shared" ref="DM444:DM446" si="373">DL444*DJ444*1.08</f>
        <v>1157630.4000000001</v>
      </c>
      <c r="DN444" s="1007">
        <v>0.1</v>
      </c>
      <c r="DO444" s="160">
        <f t="shared" ref="DO444:DO446" si="374">DL444*DJ444</f>
        <v>1071880</v>
      </c>
      <c r="DP444" s="159">
        <v>46080</v>
      </c>
      <c r="DQ444" s="152">
        <f>SUMIF($I:$I,I444,$DJ:$DJ)</f>
        <v>488.2</v>
      </c>
      <c r="DR444" s="152"/>
      <c r="DS444" s="155"/>
      <c r="DT444" s="155"/>
      <c r="DU444" s="155"/>
      <c r="DV444" s="155"/>
      <c r="DW444" s="155"/>
      <c r="DX444" s="155"/>
      <c r="DY444" s="155"/>
      <c r="DZ444" s="155"/>
      <c r="EA444" s="155"/>
      <c r="EB444" s="155"/>
      <c r="EC444" s="155"/>
      <c r="ED444" s="155"/>
      <c r="EE444" s="155"/>
      <c r="EF444" s="155"/>
      <c r="EG444" s="155"/>
      <c r="EH444" s="155"/>
      <c r="EI444" s="155"/>
      <c r="EJ444" s="155"/>
      <c r="EK444" s="155"/>
      <c r="EL444" s="155"/>
      <c r="EM444" s="155"/>
      <c r="EN444" s="155"/>
      <c r="EO444" s="152"/>
      <c r="EP444" s="151"/>
      <c r="EQ444" s="153"/>
      <c r="ER444" s="153"/>
      <c r="ES444" s="153"/>
      <c r="ET444" s="153"/>
      <c r="EU444" s="152"/>
      <c r="EV444" s="152"/>
      <c r="EW444" s="152"/>
      <c r="EX444" s="152"/>
      <c r="EY444" s="151"/>
      <c r="EZ444" s="155"/>
      <c r="FA444" s="155"/>
      <c r="FB444" s="155"/>
      <c r="FC444" s="204"/>
      <c r="FD444" s="204"/>
      <c r="FE444" s="204"/>
      <c r="FF444" s="204"/>
      <c r="FG444" s="204"/>
      <c r="FH444" s="204"/>
    </row>
    <row r="445" spans="1:164" s="202" customFormat="1" ht="14" hidden="1" customHeight="1">
      <c r="A445" s="208" t="str">
        <f t="shared" si="372"/>
        <v>Hiện</v>
      </c>
      <c r="B445" s="151" t="str">
        <f t="shared" si="370"/>
        <v>Đủ</v>
      </c>
      <c r="C445" s="434">
        <f t="shared" si="371"/>
        <v>0</v>
      </c>
      <c r="D445" s="154"/>
      <c r="E445" s="154"/>
      <c r="F445" s="154"/>
      <c r="G445" s="151"/>
      <c r="H445" s="364"/>
      <c r="I445" s="163" t="s">
        <v>1641</v>
      </c>
      <c r="J445" s="164" t="s">
        <v>751</v>
      </c>
      <c r="K445" s="436" t="s">
        <v>1642</v>
      </c>
      <c r="L445" s="163" t="s">
        <v>753</v>
      </c>
      <c r="M445" s="163" t="s">
        <v>345</v>
      </c>
      <c r="N445" s="173">
        <v>0</v>
      </c>
      <c r="O445" s="419">
        <f>516*1.05</f>
        <v>541.80000000000007</v>
      </c>
      <c r="P445" s="416"/>
      <c r="Q445" s="155"/>
      <c r="R445" s="155"/>
      <c r="S445" s="161"/>
      <c r="T445" s="162"/>
      <c r="U445" s="162"/>
      <c r="V445" s="162"/>
      <c r="W445" s="162"/>
      <c r="X445" s="162"/>
      <c r="Y445" s="162"/>
      <c r="Z445" s="162"/>
      <c r="AA445" s="162"/>
      <c r="AB445" s="162"/>
      <c r="AC445" s="162"/>
      <c r="AD445" s="162"/>
      <c r="AE445" s="162"/>
      <c r="AF445" s="162"/>
      <c r="AG445" s="162"/>
      <c r="AH445" s="162"/>
      <c r="AI445" s="162"/>
      <c r="AJ445" s="162"/>
      <c r="AK445" s="162"/>
      <c r="AL445" s="162"/>
      <c r="AM445" s="162"/>
      <c r="AN445" s="162"/>
      <c r="AO445" s="162"/>
      <c r="AP445" s="162"/>
      <c r="AQ445" s="162"/>
      <c r="AR445" s="162"/>
      <c r="AS445" s="162"/>
      <c r="AT445" s="162"/>
      <c r="AU445" s="162"/>
      <c r="AV445" s="162"/>
      <c r="AW445" s="162"/>
      <c r="AX445" s="162"/>
      <c r="AY445" s="162"/>
      <c r="AZ445" s="162"/>
      <c r="BA445" s="162"/>
      <c r="BB445" s="162"/>
      <c r="BC445" s="162"/>
      <c r="BD445" s="162"/>
      <c r="BE445" s="162"/>
      <c r="BF445" s="162"/>
      <c r="BG445" s="162"/>
      <c r="BH445" s="162"/>
      <c r="BI445" s="162">
        <v>541.80000000000007</v>
      </c>
      <c r="BJ445" s="162">
        <v>0</v>
      </c>
      <c r="BK445" s="162">
        <v>0</v>
      </c>
      <c r="BL445" s="162">
        <v>0</v>
      </c>
      <c r="BM445" s="162">
        <v>0</v>
      </c>
      <c r="BN445" s="162">
        <v>0</v>
      </c>
      <c r="BO445" s="162"/>
      <c r="BP445" s="162"/>
      <c r="BQ445" s="162">
        <v>0</v>
      </c>
      <c r="BR445" s="162">
        <v>0</v>
      </c>
      <c r="BS445" s="162">
        <v>0</v>
      </c>
      <c r="BT445" s="162">
        <v>0</v>
      </c>
      <c r="BU445" s="162">
        <v>0</v>
      </c>
      <c r="BV445" s="162">
        <v>0</v>
      </c>
      <c r="BW445" s="162"/>
      <c r="BX445" s="162"/>
      <c r="BY445" s="162">
        <v>0</v>
      </c>
      <c r="BZ445" s="162">
        <v>0</v>
      </c>
      <c r="CA445" s="162">
        <v>0</v>
      </c>
      <c r="CB445" s="162">
        <v>0</v>
      </c>
      <c r="CC445" s="162">
        <v>0</v>
      </c>
      <c r="CD445" s="162">
        <v>0</v>
      </c>
      <c r="CE445" s="162">
        <f>VLOOKUP(I445,[120]REV33!$A:$O,11,0)</f>
        <v>0</v>
      </c>
      <c r="CF445" s="162">
        <f>VLOOKUP(I445,[120]REV33!$A:$O,12,0)</f>
        <v>0</v>
      </c>
      <c r="CG445" s="162"/>
      <c r="CH445" s="162"/>
      <c r="CI445" s="162"/>
      <c r="CJ445" s="162"/>
      <c r="CK445" s="162"/>
      <c r="CL445" s="162"/>
      <c r="CM445" s="998">
        <v>361</v>
      </c>
      <c r="CN445" s="162"/>
      <c r="CO445" s="162">
        <v>0</v>
      </c>
      <c r="CP445" s="162">
        <v>0</v>
      </c>
      <c r="CQ445" s="162">
        <v>0</v>
      </c>
      <c r="CR445" s="162">
        <v>0</v>
      </c>
      <c r="CS445" s="209">
        <f>Q445+S445+U445+W445+Y445+AA445+AC445+AE445+AG445+AI445+AK445+AM445+AO445+AQ445+AS445+AU445+AW445+AY445+BA445+BC445+BE445+BG445+BI445+BK445+BM445+BO445+BQ445+BS445+BU445+BW445+BY445+CA445+CC445+CE445+CG445+CI445+CK445+CM445+CO445+CQ445</f>
        <v>902.80000000000007</v>
      </c>
      <c r="CT445" s="209">
        <f>R445+T445+V445+X445+Z445+AB445+AD445+AF445+AH445+AJ445+AL445+AN445+AP445+AR445+AT445+AV445+AX445+AZ445+BB445+BD445+BF445+BH445+BJ445+BL445+BN445+BP445+BR445+BT445+BV445+BX445+BZ445+CB445+CD445+CF445+CH445+CJ445+CL445+CN445+CP445+CR445</f>
        <v>0</v>
      </c>
      <c r="CU445" s="206" t="s">
        <v>2600</v>
      </c>
      <c r="CV445" s="156"/>
      <c r="CW445" s="155"/>
      <c r="CX445" s="155"/>
      <c r="CY445" s="155"/>
      <c r="CZ445" s="157"/>
      <c r="DA445" s="152">
        <f>IF(CS445&gt;CW445,CS445-CW445,"0")</f>
        <v>902.80000000000007</v>
      </c>
      <c r="DB445" s="152" t="str">
        <f>IF(CT445&gt;CX445,CT445-CX445,"0")</f>
        <v>0</v>
      </c>
      <c r="DC445" s="153"/>
      <c r="DD445" s="158" t="s">
        <v>374</v>
      </c>
      <c r="DE445" s="156" t="s">
        <v>435</v>
      </c>
      <c r="DF445" s="436" t="s">
        <v>1642</v>
      </c>
      <c r="DG445" s="175"/>
      <c r="DH445" s="156" t="s">
        <v>477</v>
      </c>
      <c r="DI445" s="155" t="s">
        <v>374</v>
      </c>
      <c r="DJ445" s="429">
        <v>541.80000000000007</v>
      </c>
      <c r="DK445" s="240" t="s">
        <v>477</v>
      </c>
      <c r="DL445" s="189">
        <v>6080</v>
      </c>
      <c r="DM445" s="189">
        <f t="shared" si="373"/>
        <v>3557675.5200000009</v>
      </c>
      <c r="DN445" s="1007">
        <v>0.1</v>
      </c>
      <c r="DO445" s="160">
        <f t="shared" si="374"/>
        <v>3294144.0000000005</v>
      </c>
      <c r="DP445" s="159">
        <v>45978</v>
      </c>
      <c r="DQ445" s="152">
        <f>SUMIF($I:$I,I445,$DJ:$DJ)</f>
        <v>902.80000000000007</v>
      </c>
      <c r="DR445" s="152">
        <f>SUMIF($I:$I,I445,$DK:$DK)</f>
        <v>0</v>
      </c>
      <c r="DS445" s="155"/>
      <c r="DT445" s="155"/>
      <c r="DU445" s="155"/>
      <c r="DV445" s="155"/>
      <c r="DW445" s="155"/>
      <c r="DX445" s="155"/>
      <c r="DY445" s="155"/>
      <c r="DZ445" s="155"/>
      <c r="EA445" s="155"/>
      <c r="EB445" s="155"/>
      <c r="EC445" s="155"/>
      <c r="ED445" s="155"/>
      <c r="EE445" s="155"/>
      <c r="EF445" s="155"/>
      <c r="EG445" s="155"/>
      <c r="EH445" s="155"/>
      <c r="EI445" s="155"/>
      <c r="EJ445" s="155"/>
      <c r="EK445" s="155"/>
      <c r="EL445" s="155"/>
      <c r="EM445" s="155"/>
      <c r="EN445" s="155"/>
      <c r="EO445" s="152">
        <f>SUMIF($I:$I,I445,$EC:$EC)</f>
        <v>0</v>
      </c>
      <c r="EP445" s="151">
        <f>SUMIF($I:$I,I445,$ED:$ED)</f>
        <v>0</v>
      </c>
      <c r="EQ445" s="153"/>
      <c r="ER445" s="153"/>
      <c r="ES445" s="153"/>
      <c r="ET445" s="153"/>
      <c r="EU445" s="152">
        <f>DQ445+EO445</f>
        <v>902.80000000000007</v>
      </c>
      <c r="EV445" s="152">
        <f>DR445+EP445</f>
        <v>0</v>
      </c>
      <c r="EW445" s="152">
        <f t="shared" ref="EW445" si="375">DA445-EU445</f>
        <v>0</v>
      </c>
      <c r="EX445" s="152">
        <f t="shared" ref="EX445" si="376">DB445-EV445</f>
        <v>0</v>
      </c>
      <c r="EY445" s="151" t="str">
        <f>IF(EW445&lt;0,"Thừa",IF(EW445=0,"Đủ","Thiếu"))</f>
        <v>Đủ</v>
      </c>
      <c r="EZ445" s="155"/>
      <c r="FA445" s="155"/>
      <c r="FB445" s="155"/>
      <c r="FC445" s="204"/>
      <c r="FD445" s="204"/>
      <c r="FE445" s="204"/>
      <c r="FF445" s="204"/>
      <c r="FG445" s="204"/>
      <c r="FH445" s="204"/>
    </row>
    <row r="446" spans="1:164" s="202" customFormat="1" ht="14" hidden="1" customHeight="1">
      <c r="A446" s="208" t="str">
        <f t="shared" si="372"/>
        <v>ok</v>
      </c>
      <c r="B446" s="151"/>
      <c r="C446" s="434"/>
      <c r="D446" s="154"/>
      <c r="E446" s="154"/>
      <c r="F446" s="154"/>
      <c r="G446" s="151"/>
      <c r="H446" s="364"/>
      <c r="I446" s="163" t="s">
        <v>1641</v>
      </c>
      <c r="J446" s="164" t="s">
        <v>751</v>
      </c>
      <c r="K446" s="436" t="s">
        <v>1642</v>
      </c>
      <c r="L446" s="163" t="s">
        <v>753</v>
      </c>
      <c r="M446" s="163" t="s">
        <v>345</v>
      </c>
      <c r="N446" s="173"/>
      <c r="O446" s="419"/>
      <c r="P446" s="416"/>
      <c r="Q446" s="155"/>
      <c r="R446" s="155"/>
      <c r="S446" s="161"/>
      <c r="T446" s="162"/>
      <c r="U446" s="162"/>
      <c r="V446" s="162"/>
      <c r="W446" s="162"/>
      <c r="X446" s="162"/>
      <c r="Y446" s="162"/>
      <c r="Z446" s="162"/>
      <c r="AA446" s="162"/>
      <c r="AB446" s="162"/>
      <c r="AC446" s="162"/>
      <c r="AD446" s="162"/>
      <c r="AE446" s="162"/>
      <c r="AF446" s="162"/>
      <c r="AG446" s="162"/>
      <c r="AH446" s="162"/>
      <c r="AI446" s="162"/>
      <c r="AJ446" s="162"/>
      <c r="AK446" s="162"/>
      <c r="AL446" s="162"/>
      <c r="AM446" s="162"/>
      <c r="AN446" s="162"/>
      <c r="AO446" s="162"/>
      <c r="AP446" s="162"/>
      <c r="AQ446" s="162"/>
      <c r="AR446" s="162"/>
      <c r="AS446" s="162"/>
      <c r="AT446" s="162"/>
      <c r="AU446" s="162"/>
      <c r="AV446" s="162"/>
      <c r="AW446" s="162"/>
      <c r="AX446" s="162"/>
      <c r="AY446" s="162"/>
      <c r="AZ446" s="162"/>
      <c r="BA446" s="162"/>
      <c r="BB446" s="162"/>
      <c r="BC446" s="162"/>
      <c r="BD446" s="162"/>
      <c r="BE446" s="162"/>
      <c r="BF446" s="162"/>
      <c r="BG446" s="162"/>
      <c r="BH446" s="162"/>
      <c r="BI446" s="162"/>
      <c r="BJ446" s="162"/>
      <c r="BK446" s="162"/>
      <c r="BL446" s="162"/>
      <c r="BM446" s="162"/>
      <c r="BN446" s="162"/>
      <c r="BO446" s="162"/>
      <c r="BP446" s="162"/>
      <c r="BQ446" s="162"/>
      <c r="BR446" s="162"/>
      <c r="BS446" s="162"/>
      <c r="BT446" s="162"/>
      <c r="BU446" s="162"/>
      <c r="BV446" s="162"/>
      <c r="BW446" s="162"/>
      <c r="BX446" s="162"/>
      <c r="BY446" s="162"/>
      <c r="BZ446" s="162"/>
      <c r="CA446" s="162"/>
      <c r="CB446" s="162"/>
      <c r="CC446" s="162"/>
      <c r="CD446" s="162"/>
      <c r="CE446" s="162"/>
      <c r="CF446" s="162"/>
      <c r="CG446" s="162"/>
      <c r="CH446" s="162"/>
      <c r="CI446" s="162"/>
      <c r="CJ446" s="162"/>
      <c r="CK446" s="162"/>
      <c r="CL446" s="162"/>
      <c r="CM446" s="998"/>
      <c r="CN446" s="162"/>
      <c r="CO446" s="162"/>
      <c r="CP446" s="162"/>
      <c r="CQ446" s="162"/>
      <c r="CR446" s="162"/>
      <c r="CS446" s="209"/>
      <c r="CT446" s="209"/>
      <c r="CU446" s="206"/>
      <c r="CV446" s="156"/>
      <c r="CW446" s="155"/>
      <c r="CX446" s="155"/>
      <c r="CY446" s="155"/>
      <c r="CZ446" s="157"/>
      <c r="DA446" s="152"/>
      <c r="DB446" s="152"/>
      <c r="DC446" s="153"/>
      <c r="DD446" s="158" t="s">
        <v>2603</v>
      </c>
      <c r="DE446" s="156" t="s">
        <v>435</v>
      </c>
      <c r="DF446" s="436" t="s">
        <v>1642</v>
      </c>
      <c r="DG446" s="175"/>
      <c r="DH446" s="156" t="s">
        <v>477</v>
      </c>
      <c r="DI446" s="187">
        <v>46076</v>
      </c>
      <c r="DJ446" s="429">
        <v>361</v>
      </c>
      <c r="DK446" s="240" t="s">
        <v>477</v>
      </c>
      <c r="DL446" s="189">
        <v>6080</v>
      </c>
      <c r="DM446" s="189">
        <f t="shared" si="373"/>
        <v>2370470.4000000004</v>
      </c>
      <c r="DN446" s="1007">
        <v>0.1</v>
      </c>
      <c r="DO446" s="160">
        <f t="shared" si="374"/>
        <v>2194880</v>
      </c>
      <c r="DP446" s="159">
        <v>46080</v>
      </c>
      <c r="DQ446" s="152">
        <f>SUMIF($I:$I,I446,$DJ:$DJ)</f>
        <v>902.80000000000007</v>
      </c>
      <c r="DR446" s="152"/>
      <c r="DS446" s="155"/>
      <c r="DT446" s="155"/>
      <c r="DU446" s="155"/>
      <c r="DV446" s="155"/>
      <c r="DW446" s="155"/>
      <c r="DX446" s="155"/>
      <c r="DY446" s="155"/>
      <c r="DZ446" s="155"/>
      <c r="EA446" s="155"/>
      <c r="EB446" s="155"/>
      <c r="EC446" s="155"/>
      <c r="ED446" s="155"/>
      <c r="EE446" s="155"/>
      <c r="EF446" s="155"/>
      <c r="EG446" s="155"/>
      <c r="EH446" s="155"/>
      <c r="EI446" s="155"/>
      <c r="EJ446" s="155"/>
      <c r="EK446" s="155"/>
      <c r="EL446" s="155"/>
      <c r="EM446" s="155"/>
      <c r="EN446" s="155"/>
      <c r="EO446" s="152"/>
      <c r="EP446" s="151"/>
      <c r="EQ446" s="153"/>
      <c r="ER446" s="153"/>
      <c r="ES446" s="153"/>
      <c r="ET446" s="153"/>
      <c r="EU446" s="152"/>
      <c r="EV446" s="152"/>
      <c r="EW446" s="152"/>
      <c r="EX446" s="152"/>
      <c r="EY446" s="151"/>
      <c r="EZ446" s="155"/>
      <c r="FA446" s="155"/>
      <c r="FB446" s="155"/>
      <c r="FC446" s="204"/>
      <c r="FD446" s="204"/>
      <c r="FE446" s="204"/>
      <c r="FF446" s="204"/>
      <c r="FG446" s="204"/>
      <c r="FH446" s="204"/>
    </row>
    <row r="447" spans="1:164" s="202" customFormat="1" ht="14" hidden="1" customHeight="1">
      <c r="A447" s="208" t="str">
        <f t="shared" si="372"/>
        <v>Hiện</v>
      </c>
      <c r="B447" s="151" t="str">
        <f t="shared" si="370"/>
        <v>Đủ</v>
      </c>
      <c r="C447" s="409">
        <f t="shared" si="371"/>
        <v>0</v>
      </c>
      <c r="D447" s="154"/>
      <c r="E447" s="154"/>
      <c r="F447" s="154"/>
      <c r="G447" s="151"/>
      <c r="H447" s="364"/>
      <c r="I447" s="164" t="s">
        <v>1660</v>
      </c>
      <c r="J447" s="164" t="s">
        <v>1661</v>
      </c>
      <c r="K447" s="436" t="s">
        <v>1662</v>
      </c>
      <c r="L447" s="163" t="s">
        <v>74</v>
      </c>
      <c r="M447" s="163" t="s">
        <v>345</v>
      </c>
      <c r="N447" s="173">
        <v>0</v>
      </c>
      <c r="O447" s="419">
        <v>5</v>
      </c>
      <c r="P447" s="416"/>
      <c r="Q447" s="155"/>
      <c r="R447" s="155"/>
      <c r="S447" s="161"/>
      <c r="T447" s="162"/>
      <c r="U447" s="162"/>
      <c r="V447" s="162"/>
      <c r="W447" s="162"/>
      <c r="X447" s="162"/>
      <c r="Y447" s="162"/>
      <c r="Z447" s="162"/>
      <c r="AA447" s="162"/>
      <c r="AB447" s="162"/>
      <c r="AC447" s="162"/>
      <c r="AD447" s="162"/>
      <c r="AE447" s="162"/>
      <c r="AF447" s="162"/>
      <c r="AG447" s="162"/>
      <c r="AH447" s="162"/>
      <c r="AI447" s="162"/>
      <c r="AJ447" s="162"/>
      <c r="AK447" s="162"/>
      <c r="AL447" s="162"/>
      <c r="AM447" s="162"/>
      <c r="AN447" s="162"/>
      <c r="AO447" s="162"/>
      <c r="AP447" s="162"/>
      <c r="AQ447" s="162"/>
      <c r="AR447" s="162"/>
      <c r="AS447" s="162"/>
      <c r="AT447" s="162"/>
      <c r="AU447" s="162"/>
      <c r="AV447" s="162"/>
      <c r="AW447" s="162"/>
      <c r="AX447" s="162"/>
      <c r="AY447" s="162"/>
      <c r="AZ447" s="162"/>
      <c r="BA447" s="162"/>
      <c r="BB447" s="162"/>
      <c r="BC447" s="162"/>
      <c r="BD447" s="162"/>
      <c r="BE447" s="162"/>
      <c r="BF447" s="162"/>
      <c r="BG447" s="162"/>
      <c r="BH447" s="162"/>
      <c r="BI447" s="162"/>
      <c r="BJ447" s="162"/>
      <c r="BK447" s="162"/>
      <c r="BL447" s="162"/>
      <c r="BM447" s="162">
        <v>5</v>
      </c>
      <c r="BN447" s="162">
        <v>0</v>
      </c>
      <c r="BO447" s="162"/>
      <c r="BP447" s="162"/>
      <c r="BQ447" s="162">
        <v>0</v>
      </c>
      <c r="BR447" s="162">
        <v>0</v>
      </c>
      <c r="BS447" s="162">
        <v>0</v>
      </c>
      <c r="BT447" s="162">
        <v>0</v>
      </c>
      <c r="BU447" s="162">
        <v>0</v>
      </c>
      <c r="BV447" s="162">
        <v>0</v>
      </c>
      <c r="BW447" s="162"/>
      <c r="BX447" s="162"/>
      <c r="BY447" s="162">
        <v>0</v>
      </c>
      <c r="BZ447" s="162">
        <v>0</v>
      </c>
      <c r="CA447" s="162">
        <v>0</v>
      </c>
      <c r="CB447" s="162">
        <v>0</v>
      </c>
      <c r="CC447" s="162">
        <v>0</v>
      </c>
      <c r="CD447" s="162">
        <v>0</v>
      </c>
      <c r="CE447" s="162">
        <f>VLOOKUP(I447,[120]REV33!$A:$O,11,0)</f>
        <v>0</v>
      </c>
      <c r="CF447" s="162">
        <f>VLOOKUP(I447,[120]REV33!$A:$O,12,0)</f>
        <v>0</v>
      </c>
      <c r="CG447" s="162"/>
      <c r="CH447" s="162"/>
      <c r="CI447" s="162"/>
      <c r="CJ447" s="162"/>
      <c r="CK447" s="162"/>
      <c r="CL447" s="162"/>
      <c r="CM447" s="162"/>
      <c r="CN447" s="162"/>
      <c r="CO447" s="162">
        <v>0</v>
      </c>
      <c r="CP447" s="162">
        <v>0</v>
      </c>
      <c r="CQ447" s="162">
        <v>0</v>
      </c>
      <c r="CR447" s="162">
        <v>0</v>
      </c>
      <c r="CS447" s="209">
        <f>Q447+S447+U447+W447+Y447+AA447+AC447+AE447+AG447+AI447+AK447+AM447+AO447+AQ447+AS447+AU447+AW447+AY447+BA447+BC447+BE447+BG447+BI447+BK447+BM447+BO447+BQ447+BS447+BU447+BW447+BY447+CA447+CC447+CE447+CG447+CI447+CK447+CM447+CO447+CQ447</f>
        <v>5</v>
      </c>
      <c r="CT447" s="209">
        <f>R447+T447+V447+X447+Z447+AB447+AD447+AF447+AH447+AJ447+AL447+AN447+AP447+AR447+AT447+AV447+AX447+AZ447+BB447+BD447+BF447+BH447+BJ447+BL447+BN447+BP447+BR447+BT447+BV447+BX447+BZ447+CB447+CD447+CF447+CH447+CJ447+CL447+CN447+CP447+CR447</f>
        <v>0</v>
      </c>
      <c r="CU447" s="206" t="s">
        <v>1884</v>
      </c>
      <c r="CV447" s="156"/>
      <c r="CW447" s="155"/>
      <c r="CX447" s="155"/>
      <c r="CY447" s="155"/>
      <c r="CZ447" s="157"/>
      <c r="DA447" s="152">
        <f t="shared" ref="DA447:DA452" si="377">IF(CS447&gt;CW447,CS447-CW447,"0")</f>
        <v>5</v>
      </c>
      <c r="DB447" s="152" t="str">
        <f t="shared" ref="DB447:DB452" si="378">IF(CT447&gt;CX447,CT447-CX447,"0")</f>
        <v>0</v>
      </c>
      <c r="DC447" s="153"/>
      <c r="DD447" s="158" t="s">
        <v>1703</v>
      </c>
      <c r="DE447" s="156" t="s">
        <v>1702</v>
      </c>
      <c r="DF447" s="436" t="s">
        <v>1662</v>
      </c>
      <c r="DG447" s="175"/>
      <c r="DH447" s="156" t="s">
        <v>477</v>
      </c>
      <c r="DI447" s="187">
        <v>45961</v>
      </c>
      <c r="DJ447" s="429">
        <v>5</v>
      </c>
      <c r="DK447" s="240" t="s">
        <v>477</v>
      </c>
      <c r="DL447" s="189">
        <f>2250000/5</f>
        <v>450000</v>
      </c>
      <c r="DM447" s="181">
        <f>DL447*DJ447*1.1</f>
        <v>2475000</v>
      </c>
      <c r="DN447" s="446">
        <f>(DM447-DO447)/DO447</f>
        <v>0.1</v>
      </c>
      <c r="DO447" s="160">
        <f>DL447*DJ447</f>
        <v>2250000</v>
      </c>
      <c r="DP447" s="159">
        <v>45961</v>
      </c>
      <c r="DQ447" s="152">
        <f>SUMIF($I:$I,I447,$DJ:$DJ)</f>
        <v>5</v>
      </c>
      <c r="DR447" s="152">
        <f>SUMIF($I:$I,I447,$DK:$DK)</f>
        <v>0</v>
      </c>
      <c r="DS447" s="155"/>
      <c r="DT447" s="155"/>
      <c r="DU447" s="155"/>
      <c r="DV447" s="155"/>
      <c r="DW447" s="155"/>
      <c r="DX447" s="155"/>
      <c r="DY447" s="155"/>
      <c r="DZ447" s="155"/>
      <c r="EA447" s="155"/>
      <c r="EB447" s="155"/>
      <c r="EC447" s="155"/>
      <c r="ED447" s="155"/>
      <c r="EE447" s="155"/>
      <c r="EF447" s="155"/>
      <c r="EG447" s="155"/>
      <c r="EH447" s="155"/>
      <c r="EI447" s="155"/>
      <c r="EJ447" s="155"/>
      <c r="EK447" s="155"/>
      <c r="EL447" s="155"/>
      <c r="EM447" s="155"/>
      <c r="EN447" s="155"/>
      <c r="EO447" s="152">
        <f>SUMIF($I:$I,I447,$EC:$EC)</f>
        <v>0</v>
      </c>
      <c r="EP447" s="151">
        <f>SUMIF($I:$I,I447,$ED:$ED)</f>
        <v>0</v>
      </c>
      <c r="EQ447" s="153"/>
      <c r="ER447" s="153"/>
      <c r="ES447" s="153"/>
      <c r="ET447" s="153"/>
      <c r="EU447" s="152">
        <f t="shared" ref="EU447:EU452" si="379">DQ447+EO447</f>
        <v>5</v>
      </c>
      <c r="EV447" s="152">
        <f t="shared" ref="EV447:EV452" si="380">DR447+EP447</f>
        <v>0</v>
      </c>
      <c r="EW447" s="152">
        <f t="shared" ref="EW447:EW452" si="381">DA447-EU447</f>
        <v>0</v>
      </c>
      <c r="EX447" s="152">
        <f t="shared" ref="EX447:EX452" si="382">DB447-EV447</f>
        <v>0</v>
      </c>
      <c r="EY447" s="151" t="str">
        <f t="shared" ref="EY447:EY452" si="383">IF(EW447&lt;0,"Thừa",IF(EW447=0,"Đủ","Thiếu"))</f>
        <v>Đủ</v>
      </c>
      <c r="EZ447" s="155"/>
      <c r="FA447" s="155"/>
      <c r="FB447" s="155"/>
      <c r="FC447" s="204"/>
      <c r="FD447" s="204"/>
      <c r="FE447" s="204"/>
      <c r="FF447" s="204"/>
      <c r="FG447" s="204"/>
      <c r="FH447" s="204"/>
    </row>
    <row r="448" spans="1:164" s="202" customFormat="1" ht="14" hidden="1" customHeight="1">
      <c r="A448" s="208" t="str">
        <f t="shared" si="372"/>
        <v>Hiện</v>
      </c>
      <c r="B448" s="151" t="str">
        <f t="shared" si="370"/>
        <v>Đủ</v>
      </c>
      <c r="C448" s="409">
        <f t="shared" si="371"/>
        <v>0</v>
      </c>
      <c r="D448" s="154" t="s">
        <v>1677</v>
      </c>
      <c r="E448" s="154"/>
      <c r="F448" s="154"/>
      <c r="G448" s="151"/>
      <c r="H448" s="364"/>
      <c r="I448" s="164" t="s">
        <v>1663</v>
      </c>
      <c r="J448" s="164" t="s">
        <v>1664</v>
      </c>
      <c r="K448" s="436" t="s">
        <v>1665</v>
      </c>
      <c r="L448" s="163" t="s">
        <v>1666</v>
      </c>
      <c r="M448" s="163" t="s">
        <v>345</v>
      </c>
      <c r="N448" s="173">
        <v>0</v>
      </c>
      <c r="O448" s="419">
        <v>50</v>
      </c>
      <c r="P448" s="416"/>
      <c r="Q448" s="155"/>
      <c r="R448" s="155"/>
      <c r="S448" s="161"/>
      <c r="T448" s="162"/>
      <c r="U448" s="162"/>
      <c r="V448" s="162"/>
      <c r="W448" s="162"/>
      <c r="X448" s="162"/>
      <c r="Y448" s="162"/>
      <c r="Z448" s="162"/>
      <c r="AA448" s="162"/>
      <c r="AB448" s="162"/>
      <c r="AC448" s="162"/>
      <c r="AD448" s="162"/>
      <c r="AE448" s="162"/>
      <c r="AF448" s="162"/>
      <c r="AG448" s="162"/>
      <c r="AH448" s="162"/>
      <c r="AI448" s="162"/>
      <c r="AJ448" s="162"/>
      <c r="AK448" s="162"/>
      <c r="AL448" s="162"/>
      <c r="AM448" s="162"/>
      <c r="AN448" s="162"/>
      <c r="AO448" s="162"/>
      <c r="AP448" s="162"/>
      <c r="AQ448" s="162"/>
      <c r="AR448" s="162"/>
      <c r="AS448" s="162"/>
      <c r="AT448" s="162"/>
      <c r="AU448" s="162"/>
      <c r="AV448" s="162"/>
      <c r="AW448" s="162"/>
      <c r="AX448" s="162"/>
      <c r="AY448" s="162"/>
      <c r="AZ448" s="162"/>
      <c r="BA448" s="162"/>
      <c r="BB448" s="162"/>
      <c r="BC448" s="162"/>
      <c r="BD448" s="162"/>
      <c r="BE448" s="162"/>
      <c r="BF448" s="162"/>
      <c r="BG448" s="162"/>
      <c r="BH448" s="162"/>
      <c r="BI448" s="162"/>
      <c r="BJ448" s="162"/>
      <c r="BK448" s="162"/>
      <c r="BL448" s="162"/>
      <c r="BM448" s="162">
        <v>50</v>
      </c>
      <c r="BN448" s="162">
        <v>0</v>
      </c>
      <c r="BO448" s="162"/>
      <c r="BP448" s="162"/>
      <c r="BQ448" s="162">
        <v>0</v>
      </c>
      <c r="BR448" s="162">
        <v>0</v>
      </c>
      <c r="BS448" s="162">
        <v>0</v>
      </c>
      <c r="BT448" s="162">
        <v>0</v>
      </c>
      <c r="BU448" s="162">
        <v>0</v>
      </c>
      <c r="BV448" s="162">
        <v>0</v>
      </c>
      <c r="BW448" s="162"/>
      <c r="BX448" s="162"/>
      <c r="BY448" s="162">
        <v>0</v>
      </c>
      <c r="BZ448" s="162">
        <v>0</v>
      </c>
      <c r="CA448" s="162">
        <v>0</v>
      </c>
      <c r="CB448" s="162">
        <v>0</v>
      </c>
      <c r="CC448" s="162">
        <v>0</v>
      </c>
      <c r="CD448" s="162">
        <v>0</v>
      </c>
      <c r="CE448" s="162">
        <f>VLOOKUP(I448,[120]REV33!$A:$O,11,0)</f>
        <v>0</v>
      </c>
      <c r="CF448" s="162">
        <f>VLOOKUP(I448,[120]REV33!$A:$O,12,0)</f>
        <v>0</v>
      </c>
      <c r="CG448" s="162"/>
      <c r="CH448" s="162"/>
      <c r="CI448" s="162"/>
      <c r="CJ448" s="162"/>
      <c r="CK448" s="162"/>
      <c r="CL448" s="162"/>
      <c r="CM448" s="162"/>
      <c r="CN448" s="162"/>
      <c r="CO448" s="162">
        <v>0</v>
      </c>
      <c r="CP448" s="162">
        <v>0</v>
      </c>
      <c r="CQ448" s="162">
        <v>0</v>
      </c>
      <c r="CR448" s="162">
        <v>0</v>
      </c>
      <c r="CS448" s="209">
        <f>Q448+S448+U448+W448+Y448+AA448+AC448+AE448+AG448+AI448+AK448+AM448+AO448+AQ448+AS448+AU448+AW448+AY448+BA448+BC448+BE448+BG448+BI448+BK448+BM448+BO448+BQ448+BS448+BU448+BW448+BY448+CA448+CC448+CE448+CG448+CI448+CK448+CM448+CO448+CQ448</f>
        <v>50</v>
      </c>
      <c r="CT448" s="209">
        <f>R448+T448+V448+X448+Z448+AB448+AD448+AF448+AH448+AJ448+AL448+AN448+AP448+AR448+AT448+AV448+AX448+AZ448+BB448+BD448+BF448+BH448+BJ448+BL448+BN448+BP448+BR448+BT448+BV448+BX448+BZ448+CB448+CD448+CF448+CH448+CJ448+CL448+CN448+CP448+CR448</f>
        <v>0</v>
      </c>
      <c r="CU448" s="206" t="s">
        <v>1884</v>
      </c>
      <c r="CV448" s="156"/>
      <c r="CW448" s="155"/>
      <c r="CX448" s="155"/>
      <c r="CY448" s="155"/>
      <c r="CZ448" s="157"/>
      <c r="DA448" s="152">
        <f t="shared" si="377"/>
        <v>50</v>
      </c>
      <c r="DB448" s="152" t="str">
        <f t="shared" si="378"/>
        <v>0</v>
      </c>
      <c r="DC448" s="153"/>
      <c r="DD448" s="158" t="s">
        <v>1900</v>
      </c>
      <c r="DE448" s="156" t="s">
        <v>1899</v>
      </c>
      <c r="DF448" s="164" t="s">
        <v>1664</v>
      </c>
      <c r="DG448" s="175"/>
      <c r="DH448" s="240" t="s">
        <v>477</v>
      </c>
      <c r="DI448" s="187">
        <v>45967</v>
      </c>
      <c r="DJ448" s="429">
        <v>50</v>
      </c>
      <c r="DK448" s="240" t="s">
        <v>477</v>
      </c>
      <c r="DL448" s="189">
        <v>10000</v>
      </c>
      <c r="DM448" s="181">
        <f>DL448*DJ448*1.1</f>
        <v>550000</v>
      </c>
      <c r="DN448" s="446">
        <f>(DM448-DO448)/DO448</f>
        <v>0.1</v>
      </c>
      <c r="DO448" s="160">
        <f>DL448*DJ448</f>
        <v>500000</v>
      </c>
      <c r="DP448" s="187">
        <v>45967</v>
      </c>
      <c r="DQ448" s="152">
        <f>SUMIF($I:$I,I448,$DJ:$DJ)</f>
        <v>50</v>
      </c>
      <c r="DR448" s="152">
        <f>SUMIF($I:$I,I448,$DK:$DK)</f>
        <v>0</v>
      </c>
      <c r="DS448" s="155"/>
      <c r="DT448" s="155"/>
      <c r="DU448" s="155"/>
      <c r="DV448" s="155"/>
      <c r="DW448" s="155"/>
      <c r="DX448" s="155"/>
      <c r="DY448" s="155"/>
      <c r="DZ448" s="155"/>
      <c r="EA448" s="155"/>
      <c r="EB448" s="155"/>
      <c r="EC448" s="155"/>
      <c r="ED448" s="155"/>
      <c r="EE448" s="155"/>
      <c r="EF448" s="155"/>
      <c r="EG448" s="155"/>
      <c r="EH448" s="155"/>
      <c r="EI448" s="155"/>
      <c r="EJ448" s="155"/>
      <c r="EK448" s="155"/>
      <c r="EL448" s="155"/>
      <c r="EM448" s="155"/>
      <c r="EN448" s="155"/>
      <c r="EO448" s="152">
        <f>SUMIF($I:$I,I448,$EC:$EC)</f>
        <v>0</v>
      </c>
      <c r="EP448" s="151">
        <f>SUMIF($I:$I,I448,$ED:$ED)</f>
        <v>0</v>
      </c>
      <c r="EQ448" s="153"/>
      <c r="ER448" s="153"/>
      <c r="ES448" s="153"/>
      <c r="ET448" s="153"/>
      <c r="EU448" s="152">
        <f t="shared" si="379"/>
        <v>50</v>
      </c>
      <c r="EV448" s="152">
        <f t="shared" si="380"/>
        <v>0</v>
      </c>
      <c r="EW448" s="152">
        <f t="shared" si="381"/>
        <v>0</v>
      </c>
      <c r="EX448" s="152">
        <f t="shared" si="382"/>
        <v>0</v>
      </c>
      <c r="EY448" s="151" t="str">
        <f t="shared" si="383"/>
        <v>Đủ</v>
      </c>
      <c r="EZ448" s="155"/>
      <c r="FA448" s="155"/>
      <c r="FB448" s="155"/>
      <c r="FC448" s="204"/>
      <c r="FD448" s="204"/>
      <c r="FE448" s="204"/>
      <c r="FF448" s="204"/>
      <c r="FG448" s="204"/>
      <c r="FH448" s="204"/>
    </row>
    <row r="449" spans="1:164" s="202" customFormat="1" ht="14" hidden="1" customHeight="1">
      <c r="A449" s="208" t="str">
        <f t="shared" ref="A449" si="384">IF(I449=I448,"ok","Hiện")</f>
        <v>Hiện</v>
      </c>
      <c r="B449" s="151" t="str">
        <f t="shared" ref="B449" si="385">EY449</f>
        <v>Đủ</v>
      </c>
      <c r="C449" s="409">
        <f t="shared" ref="C449" si="386">EW449</f>
        <v>0</v>
      </c>
      <c r="D449" s="154" t="s">
        <v>1773</v>
      </c>
      <c r="E449" s="154"/>
      <c r="F449" s="154"/>
      <c r="G449" s="151"/>
      <c r="H449" s="364"/>
      <c r="I449" s="164" t="s">
        <v>1771</v>
      </c>
      <c r="J449" s="164" t="s">
        <v>1293</v>
      </c>
      <c r="K449" s="436" t="s">
        <v>1772</v>
      </c>
      <c r="L449" s="163" t="s">
        <v>535</v>
      </c>
      <c r="M449" s="437" t="s">
        <v>345</v>
      </c>
      <c r="N449" s="173">
        <v>0</v>
      </c>
      <c r="O449" s="419">
        <v>3</v>
      </c>
      <c r="P449" s="416"/>
      <c r="Q449" s="155"/>
      <c r="R449" s="155"/>
      <c r="S449" s="161"/>
      <c r="T449" s="162"/>
      <c r="U449" s="162"/>
      <c r="V449" s="162"/>
      <c r="W449" s="162"/>
      <c r="X449" s="162"/>
      <c r="Y449" s="162"/>
      <c r="Z449" s="162"/>
      <c r="AA449" s="162"/>
      <c r="AB449" s="162"/>
      <c r="AC449" s="162"/>
      <c r="AD449" s="162"/>
      <c r="AE449" s="162"/>
      <c r="AF449" s="162"/>
      <c r="AG449" s="162"/>
      <c r="AH449" s="162"/>
      <c r="AI449" s="162"/>
      <c r="AJ449" s="162"/>
      <c r="AK449" s="162"/>
      <c r="AL449" s="162"/>
      <c r="AM449" s="162"/>
      <c r="AN449" s="162"/>
      <c r="AO449" s="162"/>
      <c r="AP449" s="162"/>
      <c r="AQ449" s="162"/>
      <c r="AR449" s="162"/>
      <c r="AS449" s="162"/>
      <c r="AT449" s="162"/>
      <c r="AU449" s="162"/>
      <c r="AV449" s="162"/>
      <c r="AW449" s="162"/>
      <c r="AX449" s="162"/>
      <c r="AY449" s="162"/>
      <c r="AZ449" s="162"/>
      <c r="BA449" s="162"/>
      <c r="BB449" s="162"/>
      <c r="BC449" s="162"/>
      <c r="BD449" s="162"/>
      <c r="BE449" s="162"/>
      <c r="BF449" s="162"/>
      <c r="BG449" s="162"/>
      <c r="BH449" s="162"/>
      <c r="BI449" s="162"/>
      <c r="BJ449" s="162"/>
      <c r="BK449" s="162"/>
      <c r="BL449" s="162"/>
      <c r="BM449" s="162"/>
      <c r="BN449" s="162"/>
      <c r="BO449" s="162">
        <v>3</v>
      </c>
      <c r="BP449" s="162"/>
      <c r="BQ449" s="162">
        <v>0</v>
      </c>
      <c r="BR449" s="162">
        <v>0</v>
      </c>
      <c r="BS449" s="162">
        <v>0</v>
      </c>
      <c r="BT449" s="162">
        <v>0</v>
      </c>
      <c r="BU449" s="162">
        <v>0</v>
      </c>
      <c r="BV449" s="162">
        <v>0</v>
      </c>
      <c r="BW449" s="162"/>
      <c r="BX449" s="162"/>
      <c r="BY449" s="162">
        <v>0</v>
      </c>
      <c r="BZ449" s="162">
        <v>0</v>
      </c>
      <c r="CA449" s="162">
        <v>0</v>
      </c>
      <c r="CB449" s="162">
        <v>0</v>
      </c>
      <c r="CC449" s="162">
        <v>0</v>
      </c>
      <c r="CD449" s="162">
        <v>0</v>
      </c>
      <c r="CE449" s="162">
        <f>VLOOKUP(I449,[120]REV33!$A:$O,11,0)</f>
        <v>0</v>
      </c>
      <c r="CF449" s="162">
        <f>VLOOKUP(I449,[120]REV33!$A:$O,12,0)</f>
        <v>0</v>
      </c>
      <c r="CG449" s="162"/>
      <c r="CH449" s="162"/>
      <c r="CI449" s="162"/>
      <c r="CJ449" s="162"/>
      <c r="CK449" s="162"/>
      <c r="CL449" s="162"/>
      <c r="CM449" s="162"/>
      <c r="CN449" s="162"/>
      <c r="CO449" s="162">
        <v>0</v>
      </c>
      <c r="CP449" s="162">
        <v>0</v>
      </c>
      <c r="CQ449" s="162">
        <v>0</v>
      </c>
      <c r="CR449" s="162">
        <v>0</v>
      </c>
      <c r="CS449" s="209">
        <f>Q449+S449+U449+W449+Y449+AA449+AC449+AE449+AG449+AI449+AK449+AM449+AO449+AQ449+AS449+AU449+AW449+AY449+BA449+BC449+BE449+BG449+BI449+BK449+BM449+BO449+BQ449+BS449+BU449+BW449+BY449+CA449+CC449+CE449+CG449+CI449+CK449+CM449+CO449+CQ449</f>
        <v>3</v>
      </c>
      <c r="CT449" s="209">
        <f>R449+T449+V449+X449+Z449+AB449+AD449+AF449+AH449+AJ449+AL449+AN449+AP449+AR449+AT449+AV449+AX449+AZ449+BB449+BD449+BF449+BH449+BJ449+BL449+BN449+BP449+BR449+BT449+BV449+BX449+BZ449+CB449+CD449+CF449+CH449+CJ449+CL449+CN449+CP449+CR449</f>
        <v>0</v>
      </c>
      <c r="CU449" s="438" t="s">
        <v>1775</v>
      </c>
      <c r="CV449" s="156"/>
      <c r="CW449" s="155"/>
      <c r="CX449" s="155"/>
      <c r="CY449" s="155"/>
      <c r="CZ449" s="157"/>
      <c r="DA449" s="152">
        <f t="shared" si="377"/>
        <v>3</v>
      </c>
      <c r="DB449" s="152" t="str">
        <f t="shared" si="378"/>
        <v>0</v>
      </c>
      <c r="DC449" s="153"/>
      <c r="DD449" s="158" t="s">
        <v>2213</v>
      </c>
      <c r="DE449" s="156" t="s">
        <v>435</v>
      </c>
      <c r="DF449" s="436" t="s">
        <v>1772</v>
      </c>
      <c r="DG449" s="175"/>
      <c r="DH449" s="227" t="s">
        <v>477</v>
      </c>
      <c r="DI449" s="187">
        <v>45956</v>
      </c>
      <c r="DJ449" s="429">
        <v>3</v>
      </c>
      <c r="DK449" s="227" t="s">
        <v>477</v>
      </c>
      <c r="DL449" s="189">
        <v>5586000</v>
      </c>
      <c r="DM449" s="181">
        <f>DL449*DJ449*1.1</f>
        <v>18433800</v>
      </c>
      <c r="DN449" s="446">
        <f>(DM449-DO449)/DO449</f>
        <v>0.1</v>
      </c>
      <c r="DO449" s="182">
        <f>DL449*DJ449</f>
        <v>16758000</v>
      </c>
      <c r="DP449" s="159">
        <v>45960</v>
      </c>
      <c r="DQ449" s="152">
        <f>SUMIF($I:$I,I449,$DJ:$DJ)</f>
        <v>3</v>
      </c>
      <c r="DR449" s="152">
        <f>SUMIF($I:$I,I449,$DK:$DK)</f>
        <v>0</v>
      </c>
      <c r="DS449" s="155"/>
      <c r="DT449" s="155"/>
      <c r="DU449" s="155"/>
      <c r="DV449" s="155"/>
      <c r="DW449" s="155"/>
      <c r="DX449" s="155"/>
      <c r="DY449" s="155"/>
      <c r="DZ449" s="155"/>
      <c r="EA449" s="155"/>
      <c r="EB449" s="155"/>
      <c r="EC449" s="155"/>
      <c r="ED449" s="155"/>
      <c r="EE449" s="155"/>
      <c r="EF449" s="155"/>
      <c r="EG449" s="155"/>
      <c r="EH449" s="155"/>
      <c r="EI449" s="155"/>
      <c r="EJ449" s="155"/>
      <c r="EK449" s="155"/>
      <c r="EL449" s="155"/>
      <c r="EM449" s="155"/>
      <c r="EN449" s="155"/>
      <c r="EO449" s="152">
        <f>SUMIF($I:$I,I449,$EC:$EC)</f>
        <v>0</v>
      </c>
      <c r="EP449" s="151">
        <f>SUMIF($I:$I,I449,$ED:$ED)</f>
        <v>0</v>
      </c>
      <c r="EQ449" s="153"/>
      <c r="ER449" s="153"/>
      <c r="ES449" s="153"/>
      <c r="ET449" s="153"/>
      <c r="EU449" s="152">
        <f t="shared" si="379"/>
        <v>3</v>
      </c>
      <c r="EV449" s="152">
        <f t="shared" si="380"/>
        <v>0</v>
      </c>
      <c r="EW449" s="152">
        <f t="shared" si="381"/>
        <v>0</v>
      </c>
      <c r="EX449" s="152">
        <f t="shared" si="382"/>
        <v>0</v>
      </c>
      <c r="EY449" s="151" t="str">
        <f t="shared" si="383"/>
        <v>Đủ</v>
      </c>
      <c r="EZ449" s="155"/>
      <c r="FA449" s="155"/>
      <c r="FB449" s="155"/>
      <c r="FC449" s="204"/>
      <c r="FD449" s="204"/>
      <c r="FE449" s="204"/>
      <c r="FF449" s="204"/>
      <c r="FG449" s="204"/>
      <c r="FH449" s="204"/>
    </row>
    <row r="450" spans="1:164" s="202" customFormat="1" ht="14" customHeight="1">
      <c r="A450" s="208" t="str">
        <f t="shared" ref="A450:A452" si="387">IF(I450=I449,"ok","Hiện")</f>
        <v>Hiện</v>
      </c>
      <c r="B450" s="151" t="str">
        <f t="shared" ref="B450:B452" si="388">EY450</f>
        <v>Thiếu</v>
      </c>
      <c r="C450" s="409">
        <f t="shared" ref="C450:C452" si="389">EW450</f>
        <v>16</v>
      </c>
      <c r="D450" s="154" t="s">
        <v>435</v>
      </c>
      <c r="E450" s="154">
        <f>C450*DL450*1.1</f>
        <v>0</v>
      </c>
      <c r="F450" s="154"/>
      <c r="G450" s="151"/>
      <c r="H450" s="364"/>
      <c r="I450" s="163" t="s">
        <v>2593</v>
      </c>
      <c r="J450" s="164" t="s">
        <v>751</v>
      </c>
      <c r="K450" s="171" t="s">
        <v>1082</v>
      </c>
      <c r="L450" s="164" t="s">
        <v>753</v>
      </c>
      <c r="M450" s="437" t="s">
        <v>345</v>
      </c>
      <c r="N450" s="173"/>
      <c r="O450" s="419">
        <v>16</v>
      </c>
      <c r="P450" s="173">
        <v>0</v>
      </c>
      <c r="Q450" s="155"/>
      <c r="R450" s="155"/>
      <c r="S450" s="161"/>
      <c r="T450" s="162"/>
      <c r="U450" s="162"/>
      <c r="V450" s="162"/>
      <c r="W450" s="162"/>
      <c r="X450" s="162"/>
      <c r="Y450" s="162"/>
      <c r="Z450" s="162"/>
      <c r="AA450" s="162"/>
      <c r="AB450" s="162"/>
      <c r="AC450" s="162"/>
      <c r="AD450" s="162"/>
      <c r="AE450" s="162"/>
      <c r="AF450" s="162"/>
      <c r="AG450" s="162"/>
      <c r="AH450" s="162"/>
      <c r="AI450" s="162"/>
      <c r="AJ450" s="162"/>
      <c r="AK450" s="162"/>
      <c r="AL450" s="162"/>
      <c r="AM450" s="162"/>
      <c r="AN450" s="162"/>
      <c r="AO450" s="162"/>
      <c r="AP450" s="162"/>
      <c r="AQ450" s="162"/>
      <c r="AR450" s="162"/>
      <c r="AS450" s="162"/>
      <c r="AT450" s="162"/>
      <c r="AU450" s="162"/>
      <c r="AV450" s="162"/>
      <c r="AW450" s="162"/>
      <c r="AX450" s="162"/>
      <c r="AY450" s="162"/>
      <c r="AZ450" s="162"/>
      <c r="BA450" s="162"/>
      <c r="BB450" s="162"/>
      <c r="BC450" s="162"/>
      <c r="BD450" s="162"/>
      <c r="BE450" s="162"/>
      <c r="BF450" s="162"/>
      <c r="BG450" s="162"/>
      <c r="BH450" s="162"/>
      <c r="BI450" s="162"/>
      <c r="BJ450" s="162"/>
      <c r="BK450" s="162"/>
      <c r="BL450" s="162"/>
      <c r="BM450" s="162"/>
      <c r="BN450" s="162"/>
      <c r="BO450" s="162"/>
      <c r="BP450" s="162"/>
      <c r="BQ450" s="162"/>
      <c r="BR450" s="162"/>
      <c r="BS450" s="162"/>
      <c r="BT450" s="162"/>
      <c r="BU450" s="162"/>
      <c r="BV450" s="162"/>
      <c r="BW450" s="162"/>
      <c r="BX450" s="162"/>
      <c r="BY450" s="162"/>
      <c r="BZ450" s="162"/>
      <c r="CA450" s="162"/>
      <c r="CB450" s="162"/>
      <c r="CC450" s="162"/>
      <c r="CD450" s="162"/>
      <c r="CE450" s="162"/>
      <c r="CF450" s="162"/>
      <c r="CG450" s="162"/>
      <c r="CH450" s="162"/>
      <c r="CI450" s="162"/>
      <c r="CJ450" s="162"/>
      <c r="CK450" s="162"/>
      <c r="CL450" s="162"/>
      <c r="CM450" s="162"/>
      <c r="CN450" s="162"/>
      <c r="CO450" s="162">
        <v>16</v>
      </c>
      <c r="CP450" s="162">
        <v>0</v>
      </c>
      <c r="CQ450" s="162">
        <v>0</v>
      </c>
      <c r="CR450" s="162">
        <v>0</v>
      </c>
      <c r="CS450" s="209">
        <f>Q450+S450+U450+W450+Y450+AA450+AC450+AE450+AG450+AI450+AK450+AM450+AO450+AQ450+AS450+AU450+AW450+AY450+BA450+BC450+BE450+BG450+BI450+BK450+BM450+BO450+BQ450+BS450+BU450+BW450+BY450+CA450+CC450+CE450+CG450+CI450+CK450+CM450+CO450+CQ450</f>
        <v>16</v>
      </c>
      <c r="CT450" s="209">
        <f>R450+T450+V450+X450+Z450+AB450+AD450+AF450+AH450+AJ450+AL450+AN450+AP450+AR450+AT450+AV450+AX450+AZ450+BB450+BD450+BF450+BH450+BJ450+BL450+BN450+BP450+BR450+BT450+BV450+BX450+BZ450+CB450+CD450+CF450+CH450+CJ450+CL450+CN450+CP450+CR450</f>
        <v>0</v>
      </c>
      <c r="CU450" s="438" t="s">
        <v>2599</v>
      </c>
      <c r="CV450" s="156"/>
      <c r="CW450" s="155"/>
      <c r="CX450" s="155"/>
      <c r="CY450" s="155"/>
      <c r="CZ450" s="157"/>
      <c r="DA450" s="152">
        <f t="shared" si="377"/>
        <v>16</v>
      </c>
      <c r="DB450" s="152" t="str">
        <f t="shared" si="378"/>
        <v>0</v>
      </c>
      <c r="DC450" s="153"/>
      <c r="DD450" s="158"/>
      <c r="DE450" s="156"/>
      <c r="DF450" s="436"/>
      <c r="DG450" s="175"/>
      <c r="DH450" s="227"/>
      <c r="DI450" s="187"/>
      <c r="DJ450" s="429"/>
      <c r="DK450" s="227"/>
      <c r="DL450" s="189"/>
      <c r="DM450" s="181"/>
      <c r="DN450" s="446"/>
      <c r="DO450" s="182"/>
      <c r="DP450" s="159"/>
      <c r="DQ450" s="152">
        <f>SUMIF($I:$I,I450,$DJ:$DJ)</f>
        <v>0</v>
      </c>
      <c r="DR450" s="152">
        <f>SUMIF($I:$I,I450,$DK:$DK)</f>
        <v>0</v>
      </c>
      <c r="DS450" s="155"/>
      <c r="DT450" s="155"/>
      <c r="DU450" s="155"/>
      <c r="DV450" s="155"/>
      <c r="DW450" s="155"/>
      <c r="DX450" s="155"/>
      <c r="DY450" s="155"/>
      <c r="DZ450" s="155"/>
      <c r="EA450" s="155"/>
      <c r="EB450" s="155"/>
      <c r="EC450" s="155"/>
      <c r="ED450" s="155"/>
      <c r="EE450" s="155"/>
      <c r="EF450" s="155"/>
      <c r="EG450" s="155"/>
      <c r="EH450" s="155"/>
      <c r="EI450" s="155"/>
      <c r="EJ450" s="155"/>
      <c r="EK450" s="155"/>
      <c r="EL450" s="155"/>
      <c r="EM450" s="155"/>
      <c r="EN450" s="155"/>
      <c r="EO450" s="152">
        <f>SUMIF($I:$I,I450,$EC:$EC)</f>
        <v>0</v>
      </c>
      <c r="EP450" s="151">
        <f>SUMIF($I:$I,I450,$ED:$ED)</f>
        <v>0</v>
      </c>
      <c r="EQ450" s="153"/>
      <c r="ER450" s="153"/>
      <c r="ES450" s="153"/>
      <c r="ET450" s="153"/>
      <c r="EU450" s="152">
        <f t="shared" si="379"/>
        <v>0</v>
      </c>
      <c r="EV450" s="152">
        <f t="shared" si="380"/>
        <v>0</v>
      </c>
      <c r="EW450" s="152">
        <f t="shared" si="381"/>
        <v>16</v>
      </c>
      <c r="EX450" s="152">
        <f t="shared" si="382"/>
        <v>0</v>
      </c>
      <c r="EY450" s="151" t="str">
        <f t="shared" si="383"/>
        <v>Thiếu</v>
      </c>
      <c r="EZ450" s="155"/>
      <c r="FA450" s="155"/>
      <c r="FB450" s="155"/>
      <c r="FC450" s="204"/>
      <c r="FD450" s="204"/>
      <c r="FE450" s="204"/>
      <c r="FF450" s="204"/>
      <c r="FG450" s="204"/>
      <c r="FH450" s="204"/>
    </row>
    <row r="451" spans="1:164" s="202" customFormat="1" ht="14" customHeight="1">
      <c r="A451" s="208" t="str">
        <f t="shared" si="387"/>
        <v>Hiện</v>
      </c>
      <c r="B451" s="151" t="str">
        <f t="shared" si="388"/>
        <v>Thiếu</v>
      </c>
      <c r="C451" s="409">
        <f t="shared" si="389"/>
        <v>160</v>
      </c>
      <c r="D451" s="154" t="s">
        <v>435</v>
      </c>
      <c r="E451" s="154">
        <f>C451*DL451*1.1</f>
        <v>0</v>
      </c>
      <c r="F451" s="154"/>
      <c r="G451" s="151"/>
      <c r="H451" s="364"/>
      <c r="I451" s="163" t="s">
        <v>2594</v>
      </c>
      <c r="J451" s="164" t="s">
        <v>751</v>
      </c>
      <c r="K451" s="171" t="s">
        <v>1092</v>
      </c>
      <c r="L451" s="164" t="s">
        <v>753</v>
      </c>
      <c r="M451" s="437" t="s">
        <v>345</v>
      </c>
      <c r="N451" s="173"/>
      <c r="O451" s="419">
        <v>160</v>
      </c>
      <c r="P451" s="173">
        <v>0</v>
      </c>
      <c r="Q451" s="155"/>
      <c r="R451" s="155"/>
      <c r="S451" s="161"/>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v>160</v>
      </c>
      <c r="CP451" s="162">
        <v>0</v>
      </c>
      <c r="CQ451" s="162">
        <v>0</v>
      </c>
      <c r="CR451" s="162">
        <v>0</v>
      </c>
      <c r="CS451" s="209">
        <f>Q451+S451+U451+W451+Y451+AA451+AC451+AE451+AG451+AI451+AK451+AM451+AO451+AQ451+AS451+AU451+AW451+AY451+BA451+BC451+BE451+BG451+BI451+BK451+BM451+BO451+BQ451+BS451+BU451+BW451+BY451+CA451+CC451+CE451+CG451+CI451+CK451+CM451+CO451+CQ451</f>
        <v>160</v>
      </c>
      <c r="CT451" s="209">
        <f>R451+T451+V451+X451+Z451+AB451+AD451+AF451+AH451+AJ451+AL451+AN451+AP451+AR451+AT451+AV451+AX451+AZ451+BB451+BD451+BF451+BH451+BJ451+BL451+BN451+BP451+BR451+BT451+BV451+BX451+BZ451+CB451+CD451+CF451+CH451+CJ451+CL451+CN451+CP451+CR451</f>
        <v>0</v>
      </c>
      <c r="CU451" s="438" t="s">
        <v>2599</v>
      </c>
      <c r="CV451" s="156"/>
      <c r="CW451" s="155"/>
      <c r="CX451" s="155"/>
      <c r="CY451" s="155"/>
      <c r="CZ451" s="157"/>
      <c r="DA451" s="152">
        <f t="shared" si="377"/>
        <v>160</v>
      </c>
      <c r="DB451" s="152" t="str">
        <f t="shared" si="378"/>
        <v>0</v>
      </c>
      <c r="DC451" s="153"/>
      <c r="DD451" s="158"/>
      <c r="DE451" s="156"/>
      <c r="DF451" s="436"/>
      <c r="DG451" s="175"/>
      <c r="DH451" s="227"/>
      <c r="DI451" s="187"/>
      <c r="DJ451" s="429"/>
      <c r="DK451" s="227"/>
      <c r="DL451" s="189"/>
      <c r="DM451" s="181"/>
      <c r="DN451" s="446"/>
      <c r="DO451" s="182"/>
      <c r="DP451" s="159"/>
      <c r="DQ451" s="152">
        <f>SUMIF($I:$I,I451,$DJ:$DJ)</f>
        <v>0</v>
      </c>
      <c r="DR451" s="152">
        <f>SUMIF($I:$I,I451,$DK:$DK)</f>
        <v>0</v>
      </c>
      <c r="DS451" s="155"/>
      <c r="DT451" s="155"/>
      <c r="DU451" s="155"/>
      <c r="DV451" s="155"/>
      <c r="DW451" s="155"/>
      <c r="DX451" s="155"/>
      <c r="DY451" s="155"/>
      <c r="DZ451" s="155"/>
      <c r="EA451" s="155"/>
      <c r="EB451" s="155"/>
      <c r="EC451" s="155"/>
      <c r="ED451" s="155"/>
      <c r="EE451" s="155"/>
      <c r="EF451" s="155"/>
      <c r="EG451" s="155"/>
      <c r="EH451" s="155"/>
      <c r="EI451" s="155"/>
      <c r="EJ451" s="155"/>
      <c r="EK451" s="155"/>
      <c r="EL451" s="155"/>
      <c r="EM451" s="155"/>
      <c r="EN451" s="155"/>
      <c r="EO451" s="152">
        <f>SUMIF($I:$I,I451,$EC:$EC)</f>
        <v>0</v>
      </c>
      <c r="EP451" s="151">
        <f>SUMIF($I:$I,I451,$ED:$ED)</f>
        <v>0</v>
      </c>
      <c r="EQ451" s="153"/>
      <c r="ER451" s="153"/>
      <c r="ES451" s="153"/>
      <c r="ET451" s="153"/>
      <c r="EU451" s="152">
        <f t="shared" si="379"/>
        <v>0</v>
      </c>
      <c r="EV451" s="152">
        <f t="shared" si="380"/>
        <v>0</v>
      </c>
      <c r="EW451" s="152">
        <f t="shared" si="381"/>
        <v>160</v>
      </c>
      <c r="EX451" s="152">
        <f t="shared" si="382"/>
        <v>0</v>
      </c>
      <c r="EY451" s="151" t="str">
        <f t="shared" si="383"/>
        <v>Thiếu</v>
      </c>
      <c r="EZ451" s="155"/>
      <c r="FA451" s="155"/>
      <c r="FB451" s="155"/>
      <c r="FC451" s="204"/>
      <c r="FD451" s="204"/>
      <c r="FE451" s="204"/>
      <c r="FF451" s="204"/>
      <c r="FG451" s="204"/>
      <c r="FH451" s="204"/>
    </row>
    <row r="452" spans="1:164" s="202" customFormat="1" ht="14" customHeight="1">
      <c r="A452" s="208" t="str">
        <f t="shared" si="387"/>
        <v>Hiện</v>
      </c>
      <c r="B452" s="151" t="str">
        <f t="shared" si="388"/>
        <v>Thiếu</v>
      </c>
      <c r="C452" s="409">
        <f t="shared" si="389"/>
        <v>10</v>
      </c>
      <c r="D452" s="154" t="s">
        <v>435</v>
      </c>
      <c r="E452" s="154">
        <f>C452*DL452*1.1</f>
        <v>0</v>
      </c>
      <c r="F452" s="154"/>
      <c r="G452" s="151"/>
      <c r="H452" s="364"/>
      <c r="I452" s="163" t="s">
        <v>2595</v>
      </c>
      <c r="J452" s="164" t="s">
        <v>751</v>
      </c>
      <c r="K452" s="435" t="s">
        <v>2596</v>
      </c>
      <c r="L452" s="164" t="s">
        <v>838</v>
      </c>
      <c r="M452" s="437" t="s">
        <v>345</v>
      </c>
      <c r="N452" s="173"/>
      <c r="O452" s="419">
        <v>10</v>
      </c>
      <c r="P452" s="173">
        <v>0</v>
      </c>
      <c r="Q452" s="155"/>
      <c r="R452" s="155"/>
      <c r="S452" s="161"/>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c r="BD452" s="162"/>
      <c r="BE452" s="162"/>
      <c r="BF452" s="162"/>
      <c r="BG452" s="162"/>
      <c r="BH452" s="162"/>
      <c r="BI452" s="162"/>
      <c r="BJ452" s="162"/>
      <c r="BK452" s="162"/>
      <c r="BL452" s="162"/>
      <c r="BM452" s="162"/>
      <c r="BN452" s="162"/>
      <c r="BO452" s="162"/>
      <c r="BP452" s="162"/>
      <c r="BQ452" s="162"/>
      <c r="BR452" s="162"/>
      <c r="BS452" s="162"/>
      <c r="BT452" s="162"/>
      <c r="BU452" s="162"/>
      <c r="BV452" s="162"/>
      <c r="BW452" s="162"/>
      <c r="BX452" s="162"/>
      <c r="BY452" s="162"/>
      <c r="BZ452" s="162"/>
      <c r="CA452" s="162"/>
      <c r="CB452" s="162"/>
      <c r="CC452" s="162"/>
      <c r="CD452" s="162"/>
      <c r="CE452" s="162"/>
      <c r="CF452" s="162"/>
      <c r="CG452" s="162"/>
      <c r="CH452" s="162"/>
      <c r="CI452" s="162"/>
      <c r="CJ452" s="162"/>
      <c r="CK452" s="162"/>
      <c r="CL452" s="162"/>
      <c r="CM452" s="162"/>
      <c r="CN452" s="162"/>
      <c r="CO452" s="162">
        <v>10</v>
      </c>
      <c r="CP452" s="162">
        <v>0</v>
      </c>
      <c r="CQ452" s="162">
        <v>0</v>
      </c>
      <c r="CR452" s="162">
        <v>0</v>
      </c>
      <c r="CS452" s="209">
        <f>Q452+S452+U452+W452+Y452+AA452+AC452+AE452+AG452+AI452+AK452+AM452+AO452+AQ452+AS452+AU452+AW452+AY452+BA452+BC452+BE452+BG452+BI452+BK452+BM452+BO452+BQ452+BS452+BU452+BW452+BY452+CA452+CC452+CE452+CG452+CI452+CK452+CM452+CO452+CQ452</f>
        <v>10</v>
      </c>
      <c r="CT452" s="209">
        <f>R452+T452+V452+X452+Z452+AB452+AD452+AF452+AH452+AJ452+AL452+AN452+AP452+AR452+AT452+AV452+AX452+AZ452+BB452+BD452+BF452+BH452+BJ452+BL452+BN452+BP452+BR452+BT452+BV452+BX452+BZ452+CB452+CD452+CF452+CH452+CJ452+CL452+CN452+CP452+CR452</f>
        <v>0</v>
      </c>
      <c r="CU452" s="438" t="s">
        <v>2599</v>
      </c>
      <c r="CV452" s="156"/>
      <c r="CW452" s="155"/>
      <c r="CX452" s="155"/>
      <c r="CY452" s="155"/>
      <c r="CZ452" s="157"/>
      <c r="DA452" s="152">
        <f t="shared" si="377"/>
        <v>10</v>
      </c>
      <c r="DB452" s="152" t="str">
        <f t="shared" si="378"/>
        <v>0</v>
      </c>
      <c r="DC452" s="153"/>
      <c r="DD452" s="158"/>
      <c r="DE452" s="156"/>
      <c r="DF452" s="436"/>
      <c r="DG452" s="175"/>
      <c r="DH452" s="227"/>
      <c r="DI452" s="187"/>
      <c r="DJ452" s="429"/>
      <c r="DK452" s="227"/>
      <c r="DL452" s="189"/>
      <c r="DM452" s="181"/>
      <c r="DN452" s="446"/>
      <c r="DO452" s="182"/>
      <c r="DP452" s="159"/>
      <c r="DQ452" s="152">
        <f>SUMIF($I:$I,I452,$DJ:$DJ)</f>
        <v>0</v>
      </c>
      <c r="DR452" s="152">
        <f>SUMIF($I:$I,I452,$DK:$DK)</f>
        <v>0</v>
      </c>
      <c r="DS452" s="155"/>
      <c r="DT452" s="155"/>
      <c r="DU452" s="155"/>
      <c r="DV452" s="155"/>
      <c r="DW452" s="155"/>
      <c r="DX452" s="155"/>
      <c r="DY452" s="155"/>
      <c r="DZ452" s="155"/>
      <c r="EA452" s="155"/>
      <c r="EB452" s="155"/>
      <c r="EC452" s="155"/>
      <c r="ED452" s="155"/>
      <c r="EE452" s="155"/>
      <c r="EF452" s="155"/>
      <c r="EG452" s="155"/>
      <c r="EH452" s="155"/>
      <c r="EI452" s="155"/>
      <c r="EJ452" s="155"/>
      <c r="EK452" s="155"/>
      <c r="EL452" s="155"/>
      <c r="EM452" s="155"/>
      <c r="EN452" s="155"/>
      <c r="EO452" s="152">
        <f>SUMIF($I:$I,I452,$EC:$EC)</f>
        <v>0</v>
      </c>
      <c r="EP452" s="151">
        <f>SUMIF($I:$I,I452,$ED:$ED)</f>
        <v>0</v>
      </c>
      <c r="EQ452" s="153"/>
      <c r="ER452" s="153"/>
      <c r="ES452" s="153"/>
      <c r="ET452" s="153"/>
      <c r="EU452" s="152">
        <f t="shared" si="379"/>
        <v>0</v>
      </c>
      <c r="EV452" s="152">
        <f t="shared" si="380"/>
        <v>0</v>
      </c>
      <c r="EW452" s="152">
        <f t="shared" si="381"/>
        <v>10</v>
      </c>
      <c r="EX452" s="152">
        <f t="shared" si="382"/>
        <v>0</v>
      </c>
      <c r="EY452" s="151" t="str">
        <f t="shared" si="383"/>
        <v>Thiếu</v>
      </c>
      <c r="EZ452" s="155"/>
      <c r="FA452" s="155"/>
      <c r="FB452" s="155"/>
      <c r="FC452" s="204"/>
      <c r="FD452" s="204"/>
      <c r="FE452" s="204"/>
      <c r="FF452" s="204"/>
      <c r="FG452" s="204"/>
      <c r="FH452" s="204"/>
    </row>
    <row r="453" spans="1:164" s="201" customFormat="1" ht="73.5" hidden="1" customHeight="1">
      <c r="A453" s="278"/>
      <c r="B453" s="284"/>
      <c r="C453" s="284"/>
      <c r="D453" s="284"/>
      <c r="E453" s="284"/>
      <c r="F453" s="284"/>
      <c r="G453" s="284"/>
      <c r="H453" s="284"/>
      <c r="I453" s="285" t="s">
        <v>222</v>
      </c>
      <c r="J453" s="286" t="s">
        <v>223</v>
      </c>
      <c r="K453" s="70"/>
      <c r="L453" s="287"/>
      <c r="M453" s="69"/>
      <c r="N453" s="69"/>
      <c r="O453" s="70"/>
      <c r="P453" s="288"/>
      <c r="Q453" s="289"/>
      <c r="R453" s="290"/>
      <c r="S453" s="290"/>
      <c r="T453" s="290"/>
      <c r="U453" s="290"/>
      <c r="V453" s="290"/>
      <c r="W453" s="290"/>
      <c r="X453" s="290"/>
      <c r="Y453" s="290"/>
      <c r="Z453" s="290"/>
      <c r="AA453" s="290"/>
      <c r="AB453" s="290"/>
      <c r="AC453" s="290"/>
      <c r="AD453" s="290"/>
      <c r="AE453" s="290"/>
      <c r="AF453" s="290"/>
      <c r="AG453" s="290"/>
      <c r="AH453" s="290"/>
      <c r="AI453" s="290"/>
      <c r="AJ453" s="290"/>
      <c r="AK453" s="290"/>
      <c r="AL453" s="290"/>
      <c r="AM453" s="290"/>
      <c r="AN453" s="290"/>
      <c r="AO453" s="291"/>
      <c r="AP453" s="291"/>
      <c r="AQ453" s="290"/>
      <c r="AR453" s="290"/>
      <c r="AS453" s="290"/>
      <c r="AT453" s="290"/>
      <c r="AU453" s="290"/>
      <c r="AV453" s="290"/>
      <c r="AW453" s="290"/>
      <c r="AX453" s="290"/>
      <c r="AY453" s="291"/>
      <c r="AZ453" s="291"/>
      <c r="BA453" s="290"/>
      <c r="BB453" s="290"/>
      <c r="BC453" s="290"/>
      <c r="BD453" s="290"/>
      <c r="BE453" s="290"/>
      <c r="BF453" s="290"/>
      <c r="BG453" s="290"/>
      <c r="BH453" s="290"/>
      <c r="BI453" s="290"/>
      <c r="BJ453" s="290"/>
      <c r="BK453" s="290"/>
      <c r="BL453" s="290"/>
      <c r="BM453" s="290"/>
      <c r="BN453" s="290"/>
      <c r="BO453" s="290"/>
      <c r="BP453" s="290"/>
      <c r="BQ453" s="290"/>
      <c r="BR453" s="290"/>
      <c r="BS453" s="290"/>
      <c r="BT453" s="290"/>
      <c r="BU453" s="290"/>
      <c r="BV453" s="290"/>
      <c r="BW453" s="761"/>
      <c r="BX453" s="761"/>
      <c r="BY453" s="761"/>
      <c r="BZ453" s="761"/>
      <c r="CA453" s="761"/>
      <c r="CB453" s="761"/>
      <c r="CC453" s="761"/>
      <c r="CD453" s="761"/>
      <c r="CE453" s="761"/>
      <c r="CF453" s="761"/>
      <c r="CG453" s="761"/>
      <c r="CH453" s="761"/>
      <c r="CI453" s="761"/>
      <c r="CJ453" s="761"/>
      <c r="CK453" s="761"/>
      <c r="CL453" s="761"/>
      <c r="CM453" s="761"/>
      <c r="CN453" s="761"/>
      <c r="CO453" s="761"/>
      <c r="CP453" s="761"/>
      <c r="CQ453" s="761"/>
      <c r="CR453" s="761"/>
      <c r="CS453" s="292">
        <f t="shared" ref="CS453:DX453" si="390">SUM(CS454:CS822)</f>
        <v>53806.102723999997</v>
      </c>
      <c r="CT453" s="292">
        <f t="shared" si="390"/>
        <v>167233.81346800004</v>
      </c>
      <c r="CU453" s="292">
        <f t="shared" si="390"/>
        <v>0</v>
      </c>
      <c r="CV453" s="292">
        <f t="shared" si="390"/>
        <v>0</v>
      </c>
      <c r="CW453" s="292">
        <f t="shared" si="390"/>
        <v>14559.671200000001</v>
      </c>
      <c r="CX453" s="292">
        <f t="shared" si="390"/>
        <v>6861.4896000000008</v>
      </c>
      <c r="CY453" s="292">
        <f t="shared" si="390"/>
        <v>0</v>
      </c>
      <c r="CZ453" s="292">
        <f t="shared" si="390"/>
        <v>0</v>
      </c>
      <c r="DA453" s="292">
        <f t="shared" si="390"/>
        <v>39246.431524</v>
      </c>
      <c r="DB453" s="292">
        <f t="shared" si="390"/>
        <v>160372.32386799998</v>
      </c>
      <c r="DC453" s="292">
        <f t="shared" si="390"/>
        <v>91588</v>
      </c>
      <c r="DD453" s="292">
        <f t="shared" si="390"/>
        <v>0</v>
      </c>
      <c r="DE453" s="292">
        <f t="shared" si="390"/>
        <v>0</v>
      </c>
      <c r="DF453" s="292">
        <f t="shared" si="390"/>
        <v>0</v>
      </c>
      <c r="DG453" s="292">
        <f t="shared" si="390"/>
        <v>0</v>
      </c>
      <c r="DH453" s="292">
        <f t="shared" si="390"/>
        <v>165254.09999999995</v>
      </c>
      <c r="DI453" s="292">
        <f t="shared" si="390"/>
        <v>7672173</v>
      </c>
      <c r="DJ453" s="999">
        <f t="shared" si="390"/>
        <v>48456.55</v>
      </c>
      <c r="DK453" s="292">
        <f t="shared" si="390"/>
        <v>174616.49999999994</v>
      </c>
      <c r="DL453" s="292">
        <f t="shared" si="390"/>
        <v>21186167.850000009</v>
      </c>
      <c r="DM453" s="292">
        <f t="shared" si="390"/>
        <v>4634261605.9678802</v>
      </c>
      <c r="DN453" s="292">
        <f t="shared" si="390"/>
        <v>18.35999999999995</v>
      </c>
      <c r="DO453" s="292">
        <f t="shared" si="390"/>
        <v>4227979301.8798904</v>
      </c>
      <c r="DP453" s="292">
        <f t="shared" si="390"/>
        <v>9328198</v>
      </c>
      <c r="DQ453" s="292">
        <f t="shared" si="390"/>
        <v>50356.55</v>
      </c>
      <c r="DR453" s="292">
        <f t="shared" si="390"/>
        <v>186254.41999999995</v>
      </c>
      <c r="DS453" s="292">
        <f t="shared" si="390"/>
        <v>0</v>
      </c>
      <c r="DT453" s="292">
        <f t="shared" si="390"/>
        <v>0</v>
      </c>
      <c r="DU453" s="292">
        <f t="shared" si="390"/>
        <v>0</v>
      </c>
      <c r="DV453" s="292">
        <f t="shared" si="390"/>
        <v>0</v>
      </c>
      <c r="DW453" s="292">
        <f t="shared" si="390"/>
        <v>0</v>
      </c>
      <c r="DX453" s="292">
        <f t="shared" si="390"/>
        <v>0</v>
      </c>
      <c r="DY453" s="292">
        <f t="shared" ref="DY453:EZ453" si="391">SUM(DY454:DY822)</f>
        <v>0</v>
      </c>
      <c r="DZ453" s="292">
        <f t="shared" si="391"/>
        <v>0</v>
      </c>
      <c r="EA453" s="292">
        <f t="shared" si="391"/>
        <v>0</v>
      </c>
      <c r="EB453" s="292">
        <f t="shared" si="391"/>
        <v>0</v>
      </c>
      <c r="EC453" s="292">
        <f t="shared" si="391"/>
        <v>0</v>
      </c>
      <c r="ED453" s="292">
        <f t="shared" si="391"/>
        <v>0</v>
      </c>
      <c r="EE453" s="292">
        <f t="shared" si="391"/>
        <v>0</v>
      </c>
      <c r="EF453" s="292">
        <f t="shared" si="391"/>
        <v>0</v>
      </c>
      <c r="EG453" s="292">
        <f t="shared" si="391"/>
        <v>0</v>
      </c>
      <c r="EH453" s="292">
        <f t="shared" si="391"/>
        <v>0</v>
      </c>
      <c r="EI453" s="292">
        <f t="shared" si="391"/>
        <v>0</v>
      </c>
      <c r="EJ453" s="292">
        <f t="shared" si="391"/>
        <v>0</v>
      </c>
      <c r="EK453" s="292">
        <f t="shared" si="391"/>
        <v>0</v>
      </c>
      <c r="EL453" s="292">
        <f t="shared" si="391"/>
        <v>0</v>
      </c>
      <c r="EM453" s="292">
        <f t="shared" si="391"/>
        <v>0</v>
      </c>
      <c r="EN453" s="292">
        <f t="shared" si="391"/>
        <v>0</v>
      </c>
      <c r="EO453" s="292">
        <f t="shared" si="391"/>
        <v>0</v>
      </c>
      <c r="EP453" s="292">
        <f t="shared" si="391"/>
        <v>0</v>
      </c>
      <c r="EQ453" s="292">
        <f t="shared" si="391"/>
        <v>0</v>
      </c>
      <c r="ER453" s="292">
        <f t="shared" si="391"/>
        <v>0</v>
      </c>
      <c r="ES453" s="292">
        <f t="shared" si="391"/>
        <v>0</v>
      </c>
      <c r="ET453" s="292">
        <f t="shared" si="391"/>
        <v>0</v>
      </c>
      <c r="EU453" s="292">
        <f t="shared" si="391"/>
        <v>48456.55</v>
      </c>
      <c r="EV453" s="292">
        <f t="shared" si="391"/>
        <v>174616.49999999997</v>
      </c>
      <c r="EW453" s="292">
        <f t="shared" si="391"/>
        <v>-9210.1184759999996</v>
      </c>
      <c r="EX453" s="292">
        <f t="shared" si="391"/>
        <v>-14244.176132000008</v>
      </c>
      <c r="EY453" s="292">
        <f t="shared" si="391"/>
        <v>0</v>
      </c>
      <c r="EZ453" s="292">
        <f t="shared" si="391"/>
        <v>0</v>
      </c>
      <c r="FA453" s="264"/>
      <c r="FB453" s="264"/>
      <c r="FC453" s="203"/>
      <c r="FD453" s="203"/>
      <c r="FE453" s="203"/>
      <c r="FF453" s="203"/>
      <c r="FG453" s="203"/>
      <c r="FH453" s="203"/>
    </row>
    <row r="454" spans="1:164" s="155" customFormat="1" ht="73.5" hidden="1" customHeight="1">
      <c r="A454" s="208" t="str">
        <f t="shared" ref="A454:A485" si="392">IF(I454=I453,"ok","Hiện")</f>
        <v>Hiện</v>
      </c>
      <c r="B454" s="154" t="str">
        <f t="shared" ref="B454:B456" si="393">EY454</f>
        <v>Đủ</v>
      </c>
      <c r="C454" s="154">
        <f t="shared" ref="C454:C456" si="394">EW454</f>
        <v>0</v>
      </c>
      <c r="D454" s="154"/>
      <c r="E454" s="154"/>
      <c r="F454" s="344" t="s">
        <v>1728</v>
      </c>
      <c r="G454" s="154"/>
      <c r="H454" s="706"/>
      <c r="I454" s="253" t="s">
        <v>343</v>
      </c>
      <c r="J454" s="254" t="s">
        <v>344</v>
      </c>
      <c r="K454" s="254" t="s">
        <v>344</v>
      </c>
      <c r="L454" s="255" t="s">
        <v>720</v>
      </c>
      <c r="M454" s="256" t="s">
        <v>345</v>
      </c>
      <c r="N454" s="190"/>
      <c r="O454" s="191">
        <v>10</v>
      </c>
      <c r="P454" s="207"/>
      <c r="S454" s="192"/>
      <c r="T454" s="193"/>
      <c r="U454" s="193">
        <v>10</v>
      </c>
      <c r="V454" s="193"/>
      <c r="W454" s="193">
        <v>0</v>
      </c>
      <c r="X454" s="193">
        <v>0</v>
      </c>
      <c r="Y454" s="193">
        <v>0</v>
      </c>
      <c r="Z454" s="193">
        <v>0</v>
      </c>
      <c r="AA454" s="193">
        <v>0</v>
      </c>
      <c r="AB454" s="193">
        <v>0</v>
      </c>
      <c r="AC454" s="193">
        <v>0</v>
      </c>
      <c r="AD454" s="193">
        <v>0</v>
      </c>
      <c r="AE454" s="193">
        <v>0</v>
      </c>
      <c r="AF454" s="193">
        <v>0</v>
      </c>
      <c r="AG454" s="193">
        <v>0</v>
      </c>
      <c r="AH454" s="193">
        <v>0</v>
      </c>
      <c r="AI454" s="193">
        <f>VLOOKUP(I454,'[119]MTO-rev09'!$A:$O,11,0)</f>
        <v>0</v>
      </c>
      <c r="AJ454" s="193">
        <f>VLOOKUP(I454,'[119]MTO-rev09'!$A:$O,12,0)</f>
        <v>0</v>
      </c>
      <c r="AK454" s="193">
        <v>0</v>
      </c>
      <c r="AL454" s="193">
        <v>0</v>
      </c>
      <c r="AM454" s="193"/>
      <c r="AN454" s="193"/>
      <c r="AO454" s="193">
        <v>0</v>
      </c>
      <c r="AP454" s="193">
        <v>0</v>
      </c>
      <c r="AQ454" s="193">
        <v>0</v>
      </c>
      <c r="AR454" s="193">
        <v>0</v>
      </c>
      <c r="AS454" s="193">
        <v>0</v>
      </c>
      <c r="AT454" s="193">
        <v>0</v>
      </c>
      <c r="AU454" s="162">
        <v>0</v>
      </c>
      <c r="AV454" s="162">
        <v>0</v>
      </c>
      <c r="AW454" s="162">
        <v>0</v>
      </c>
      <c r="AX454" s="162">
        <v>0</v>
      </c>
      <c r="AY454" s="162">
        <v>0</v>
      </c>
      <c r="AZ454" s="162">
        <v>0</v>
      </c>
      <c r="BA454" s="162"/>
      <c r="BB454" s="162"/>
      <c r="BC454" s="162">
        <v>0</v>
      </c>
      <c r="BD454" s="162">
        <v>0</v>
      </c>
      <c r="BE454" s="162">
        <v>0</v>
      </c>
      <c r="BF454" s="162">
        <v>0</v>
      </c>
      <c r="BG454" s="162">
        <v>0</v>
      </c>
      <c r="BH454" s="162">
        <v>0</v>
      </c>
      <c r="BI454" s="162">
        <v>0</v>
      </c>
      <c r="BJ454" s="162">
        <v>0</v>
      </c>
      <c r="BK454" s="162">
        <v>0</v>
      </c>
      <c r="BL454" s="162">
        <v>0</v>
      </c>
      <c r="BM454" s="162">
        <v>0</v>
      </c>
      <c r="BN454" s="162">
        <v>0</v>
      </c>
      <c r="BO454" s="162"/>
      <c r="BP454" s="162"/>
      <c r="BQ454" s="162">
        <v>0</v>
      </c>
      <c r="BR454" s="162">
        <v>0</v>
      </c>
      <c r="BS454" s="162">
        <v>0</v>
      </c>
      <c r="BT454" s="162">
        <v>0</v>
      </c>
      <c r="BU454" s="162">
        <v>0</v>
      </c>
      <c r="BV454" s="162">
        <v>0</v>
      </c>
      <c r="BW454" s="162"/>
      <c r="BX454" s="162"/>
      <c r="BY454" s="162">
        <v>0</v>
      </c>
      <c r="BZ454" s="162">
        <v>0</v>
      </c>
      <c r="CA454" s="162">
        <v>0</v>
      </c>
      <c r="CB454" s="162">
        <v>0</v>
      </c>
      <c r="CC454" s="162">
        <v>0</v>
      </c>
      <c r="CD454" s="162">
        <v>0</v>
      </c>
      <c r="CE454" s="162">
        <f>VLOOKUP(I454,[120]REV33!$A:$O,11,0)</f>
        <v>0</v>
      </c>
      <c r="CF454" s="162">
        <f>VLOOKUP(I454,[120]REV33!$A:$O,12,0)</f>
        <v>0</v>
      </c>
      <c r="CG454" s="162"/>
      <c r="CH454" s="162"/>
      <c r="CI454" s="162"/>
      <c r="CJ454" s="162"/>
      <c r="CK454" s="162"/>
      <c r="CL454" s="162"/>
      <c r="CM454" s="162"/>
      <c r="CN454" s="162"/>
      <c r="CO454" s="162">
        <v>0</v>
      </c>
      <c r="CP454" s="162">
        <v>0</v>
      </c>
      <c r="CQ454" s="162">
        <v>0</v>
      </c>
      <c r="CR454" s="162">
        <v>0</v>
      </c>
      <c r="CS454" s="209">
        <f>Q454+S454+U454+W454+Y454+AA454+AC454+AE454+AG454+AI454+AK454+AM454+AO454+AQ454+AS454+AU454+AW454+AY454+BA454+BC454+BE454+BG454+BI454+BK454+BM454+BO454+BQ454+BS454+BU454+BW454+BY454+CA454+CC454+CE454+CG454+CI454+CK454+CM454+CO454+CQ454</f>
        <v>10</v>
      </c>
      <c r="CT454" s="209">
        <f>R454+T454+V454+X454+Z454+AB454+AD454+AF454+AH454+AJ454+AL454+AN454+AP454+AR454+AT454+AV454+AX454+AZ454+BB454+BD454+BF454+BH454+BJ454+BL454+BN454+BP454+BR454+BT454+BV454+BX454+BZ454+CB454+CD454+CF454+CH454+CJ454+CL454+CN454+CP454+CR454</f>
        <v>0</v>
      </c>
      <c r="CU454" s="257" t="s">
        <v>351</v>
      </c>
      <c r="CV454" s="156"/>
      <c r="DA454" s="152">
        <f>IF(CS454&gt;CW454,CS454-CW454,"0")</f>
        <v>10</v>
      </c>
      <c r="DB454" s="152" t="str">
        <f>IF(CT454&gt;CX454,CT454-CX454,"0")</f>
        <v>0</v>
      </c>
      <c r="DC454" s="158">
        <v>45794</v>
      </c>
      <c r="DD454" s="267" t="s">
        <v>1698</v>
      </c>
      <c r="DE454" s="267" t="s">
        <v>1678</v>
      </c>
      <c r="DF454" s="707" t="s">
        <v>1008</v>
      </c>
      <c r="DG454" s="186"/>
      <c r="DH454" s="156" t="s">
        <v>477</v>
      </c>
      <c r="DI454" s="187">
        <v>45832</v>
      </c>
      <c r="DJ454" s="429">
        <v>2</v>
      </c>
      <c r="DK454" s="240" t="s">
        <v>477</v>
      </c>
      <c r="DL454" s="188">
        <v>2100000</v>
      </c>
      <c r="DM454" s="181">
        <f>DL454*DJ454*1.08</f>
        <v>4536000</v>
      </c>
      <c r="DN454" s="446">
        <f>(DM454-DO454)/DO454</f>
        <v>0.08</v>
      </c>
      <c r="DO454" s="160">
        <f>DL454*DJ454</f>
        <v>4200000</v>
      </c>
      <c r="DP454" s="159">
        <v>45796</v>
      </c>
      <c r="DQ454" s="152">
        <f>SUMIF($I:$I,I454,$DJ:$DJ)</f>
        <v>10</v>
      </c>
      <c r="DR454" s="152">
        <f>SUMIF($I:$I,I454,$DK:$DK)</f>
        <v>0</v>
      </c>
      <c r="EO454" s="152">
        <f>SUMIF($I:$I,I454,$EC:$EC)</f>
        <v>0</v>
      </c>
      <c r="EP454" s="151">
        <f>SUMIF($I:$I,I454,$ED:$ED)</f>
        <v>0</v>
      </c>
      <c r="EQ454" s="153"/>
      <c r="ER454" s="153"/>
      <c r="ES454" s="153"/>
      <c r="ET454" s="153"/>
      <c r="EU454" s="152">
        <f>DQ454+EO454</f>
        <v>10</v>
      </c>
      <c r="EV454" s="152">
        <f>DR454+EP454</f>
        <v>0</v>
      </c>
      <c r="EW454" s="152">
        <f t="shared" ref="EW454" si="395">DA454-EU454</f>
        <v>0</v>
      </c>
      <c r="EX454" s="152">
        <f t="shared" ref="EX454" si="396">DB454-EV454</f>
        <v>0</v>
      </c>
      <c r="EY454" s="151" t="str">
        <f>IF(EW454&lt;0,"Thừa",IF(EW454=0,"Đủ","Thiếu"))</f>
        <v>Đủ</v>
      </c>
    </row>
    <row r="455" spans="1:164" s="202" customFormat="1" ht="73.5" hidden="1" customHeight="1">
      <c r="A455" s="208" t="str">
        <f t="shared" si="392"/>
        <v>ok</v>
      </c>
      <c r="B455" s="154"/>
      <c r="C455" s="154"/>
      <c r="D455" s="154"/>
      <c r="E455" s="154"/>
      <c r="F455" s="344" t="s">
        <v>1728</v>
      </c>
      <c r="G455" s="154"/>
      <c r="H455" s="706"/>
      <c r="I455" s="253" t="s">
        <v>343</v>
      </c>
      <c r="J455" s="254" t="s">
        <v>344</v>
      </c>
      <c r="K455" s="254" t="s">
        <v>344</v>
      </c>
      <c r="L455" s="255" t="s">
        <v>720</v>
      </c>
      <c r="M455" s="256" t="s">
        <v>345</v>
      </c>
      <c r="N455" s="190"/>
      <c r="O455" s="191"/>
      <c r="P455" s="207"/>
      <c r="Q455" s="155"/>
      <c r="R455" s="155"/>
      <c r="S455" s="192"/>
      <c r="T455" s="193"/>
      <c r="U455" s="193"/>
      <c r="V455" s="193"/>
      <c r="W455" s="193"/>
      <c r="X455" s="193"/>
      <c r="Y455" s="193"/>
      <c r="Z455" s="193"/>
      <c r="AA455" s="193"/>
      <c r="AB455" s="193"/>
      <c r="AC455" s="193"/>
      <c r="AD455" s="193"/>
      <c r="AE455" s="193"/>
      <c r="AF455" s="193"/>
      <c r="AG455" s="193"/>
      <c r="AH455" s="193"/>
      <c r="AI455" s="193"/>
      <c r="AJ455" s="193"/>
      <c r="AK455" s="193"/>
      <c r="AL455" s="193"/>
      <c r="AM455" s="193"/>
      <c r="AN455" s="193"/>
      <c r="AO455" s="193"/>
      <c r="AP455" s="193"/>
      <c r="AQ455" s="193"/>
      <c r="AR455" s="193"/>
      <c r="AS455" s="193"/>
      <c r="AT455" s="193"/>
      <c r="AU455" s="193"/>
      <c r="AV455" s="193"/>
      <c r="AW455" s="193"/>
      <c r="AX455" s="193"/>
      <c r="AY455" s="193"/>
      <c r="AZ455" s="193"/>
      <c r="BA455" s="193"/>
      <c r="BB455" s="193"/>
      <c r="BC455" s="193"/>
      <c r="BD455" s="193"/>
      <c r="BE455" s="193"/>
      <c r="BF455" s="193"/>
      <c r="BG455" s="193"/>
      <c r="BH455" s="193"/>
      <c r="BI455" s="193"/>
      <c r="BJ455" s="193"/>
      <c r="BK455" s="193"/>
      <c r="BL455" s="193"/>
      <c r="BM455" s="193"/>
      <c r="BN455" s="193"/>
      <c r="BO455" s="193"/>
      <c r="BP455" s="193"/>
      <c r="BQ455" s="193"/>
      <c r="BR455" s="193"/>
      <c r="BS455" s="193"/>
      <c r="BT455" s="193"/>
      <c r="BU455" s="193"/>
      <c r="BV455" s="193"/>
      <c r="BW455" s="193"/>
      <c r="BX455" s="193"/>
      <c r="BY455" s="193"/>
      <c r="BZ455" s="193"/>
      <c r="CA455" s="193"/>
      <c r="CB455" s="193"/>
      <c r="CC455" s="193"/>
      <c r="CD455" s="193"/>
      <c r="CE455" s="193"/>
      <c r="CF455" s="193"/>
      <c r="CG455" s="193"/>
      <c r="CH455" s="193"/>
      <c r="CI455" s="193"/>
      <c r="CJ455" s="193"/>
      <c r="CK455" s="193"/>
      <c r="CL455" s="193"/>
      <c r="CM455" s="193"/>
      <c r="CN455" s="193"/>
      <c r="CO455" s="193"/>
      <c r="CP455" s="193"/>
      <c r="CQ455" s="193"/>
      <c r="CR455" s="193"/>
      <c r="CS455" s="160"/>
      <c r="CT455" s="160"/>
      <c r="CU455" s="257"/>
      <c r="CV455" s="156"/>
      <c r="CW455" s="155"/>
      <c r="CX455" s="155"/>
      <c r="CY455" s="155"/>
      <c r="CZ455" s="155"/>
      <c r="DA455" s="262"/>
      <c r="DB455" s="262"/>
      <c r="DC455" s="158"/>
      <c r="DD455" s="267" t="s">
        <v>1697</v>
      </c>
      <c r="DE455" s="267" t="s">
        <v>1678</v>
      </c>
      <c r="DF455" s="707" t="s">
        <v>1008</v>
      </c>
      <c r="DG455" s="186"/>
      <c r="DH455" s="156" t="s">
        <v>477</v>
      </c>
      <c r="DI455" s="187">
        <v>45833</v>
      </c>
      <c r="DJ455" s="429">
        <v>8</v>
      </c>
      <c r="DK455" s="240" t="s">
        <v>477</v>
      </c>
      <c r="DL455" s="188">
        <v>2100000</v>
      </c>
      <c r="DM455" s="181">
        <f>DL455*DJ455*1.08</f>
        <v>18144000</v>
      </c>
      <c r="DN455" s="446">
        <f>(DM455-DO455)/DO455</f>
        <v>0.08</v>
      </c>
      <c r="DO455" s="160">
        <f>DL455*DJ455</f>
        <v>16800000</v>
      </c>
      <c r="DP455" s="159">
        <v>45796</v>
      </c>
      <c r="DQ455" s="262"/>
      <c r="DR455" s="262"/>
      <c r="DS455" s="155"/>
      <c r="DT455" s="155"/>
      <c r="DU455" s="155"/>
      <c r="DV455" s="155"/>
      <c r="DW455" s="155"/>
      <c r="DX455" s="155"/>
      <c r="DY455" s="155"/>
      <c r="DZ455" s="155"/>
      <c r="EA455" s="155"/>
      <c r="EB455" s="155"/>
      <c r="EC455" s="155"/>
      <c r="ED455" s="155"/>
      <c r="EE455" s="155"/>
      <c r="EF455" s="155"/>
      <c r="EG455" s="155"/>
      <c r="EH455" s="155"/>
      <c r="EI455" s="155"/>
      <c r="EJ455" s="155"/>
      <c r="EK455" s="155"/>
      <c r="EL455" s="155"/>
      <c r="EM455" s="155"/>
      <c r="EN455" s="155"/>
      <c r="EO455" s="262"/>
      <c r="EP455" s="154"/>
      <c r="EQ455" s="158"/>
      <c r="ER455" s="158"/>
      <c r="ES455" s="158"/>
      <c r="ET455" s="158"/>
      <c r="EU455" s="262"/>
      <c r="EV455" s="262"/>
      <c r="EW455" s="262"/>
      <c r="EX455" s="262"/>
      <c r="EY455" s="154"/>
      <c r="EZ455" s="155"/>
      <c r="FA455" s="155"/>
      <c r="FB455" s="155"/>
      <c r="FC455" s="204"/>
      <c r="FD455" s="204"/>
      <c r="FE455" s="204"/>
      <c r="FF455" s="204"/>
      <c r="FG455" s="204"/>
      <c r="FH455" s="204"/>
    </row>
    <row r="456" spans="1:164" s="155" customFormat="1" ht="73.5" hidden="1" customHeight="1">
      <c r="A456" s="208" t="str">
        <f t="shared" si="392"/>
        <v>Hiện</v>
      </c>
      <c r="B456" s="154" t="str">
        <f t="shared" si="393"/>
        <v>Đủ</v>
      </c>
      <c r="C456" s="154">
        <f t="shared" si="394"/>
        <v>0</v>
      </c>
      <c r="D456" s="154"/>
      <c r="E456" s="154"/>
      <c r="F456" s="344" t="s">
        <v>1728</v>
      </c>
      <c r="G456" s="154"/>
      <c r="H456" s="706"/>
      <c r="I456" s="253" t="s">
        <v>346</v>
      </c>
      <c r="J456" s="258" t="s">
        <v>347</v>
      </c>
      <c r="K456" s="254" t="s">
        <v>348</v>
      </c>
      <c r="L456" s="255" t="s">
        <v>349</v>
      </c>
      <c r="M456" s="256" t="s">
        <v>44</v>
      </c>
      <c r="N456" s="259"/>
      <c r="O456" s="191">
        <v>200</v>
      </c>
      <c r="P456" s="207"/>
      <c r="S456" s="192"/>
      <c r="T456" s="193"/>
      <c r="U456" s="193">
        <v>200</v>
      </c>
      <c r="V456" s="193"/>
      <c r="W456" s="193">
        <v>0</v>
      </c>
      <c r="X456" s="193">
        <v>0</v>
      </c>
      <c r="Y456" s="193">
        <v>0</v>
      </c>
      <c r="Z456" s="193">
        <v>0</v>
      </c>
      <c r="AA456" s="193">
        <v>0</v>
      </c>
      <c r="AB456" s="193">
        <v>0</v>
      </c>
      <c r="AC456" s="193">
        <v>0</v>
      </c>
      <c r="AD456" s="193">
        <v>0</v>
      </c>
      <c r="AE456" s="193">
        <v>0</v>
      </c>
      <c r="AF456" s="193">
        <v>0</v>
      </c>
      <c r="AG456" s="193">
        <v>0</v>
      </c>
      <c r="AH456" s="193">
        <v>0</v>
      </c>
      <c r="AI456" s="193">
        <f>VLOOKUP(I456,'[119]MTO-rev09'!$A:$O,11,0)</f>
        <v>0</v>
      </c>
      <c r="AJ456" s="193">
        <f>VLOOKUP(I456,'[119]MTO-rev09'!$A:$O,12,0)</f>
        <v>0</v>
      </c>
      <c r="AK456" s="193">
        <v>0</v>
      </c>
      <c r="AL456" s="193">
        <v>0</v>
      </c>
      <c r="AM456" s="193"/>
      <c r="AN456" s="193"/>
      <c r="AO456" s="193">
        <v>0</v>
      </c>
      <c r="AP456" s="193">
        <v>0</v>
      </c>
      <c r="AQ456" s="193">
        <v>0</v>
      </c>
      <c r="AR456" s="193">
        <v>0</v>
      </c>
      <c r="AS456" s="193">
        <v>0</v>
      </c>
      <c r="AT456" s="193">
        <v>0</v>
      </c>
      <c r="AU456" s="162">
        <v>0</v>
      </c>
      <c r="AV456" s="162">
        <v>0</v>
      </c>
      <c r="AW456" s="162">
        <v>0</v>
      </c>
      <c r="AX456" s="162">
        <v>0</v>
      </c>
      <c r="AY456" s="162">
        <v>0</v>
      </c>
      <c r="AZ456" s="162">
        <v>0</v>
      </c>
      <c r="BA456" s="162"/>
      <c r="BB456" s="162"/>
      <c r="BC456" s="162">
        <v>0</v>
      </c>
      <c r="BD456" s="162">
        <v>0</v>
      </c>
      <c r="BE456" s="162">
        <v>0</v>
      </c>
      <c r="BF456" s="162">
        <v>0</v>
      </c>
      <c r="BG456" s="162">
        <v>0</v>
      </c>
      <c r="BH456" s="162">
        <v>0</v>
      </c>
      <c r="BI456" s="162">
        <v>0</v>
      </c>
      <c r="BJ456" s="162">
        <v>0</v>
      </c>
      <c r="BK456" s="162">
        <v>0</v>
      </c>
      <c r="BL456" s="162">
        <v>0</v>
      </c>
      <c r="BM456" s="162">
        <v>0</v>
      </c>
      <c r="BN456" s="162">
        <v>0</v>
      </c>
      <c r="BO456" s="162"/>
      <c r="BP456" s="162"/>
      <c r="BQ456" s="162">
        <v>0</v>
      </c>
      <c r="BR456" s="162">
        <v>0</v>
      </c>
      <c r="BS456" s="162">
        <v>0</v>
      </c>
      <c r="BT456" s="162">
        <v>0</v>
      </c>
      <c r="BU456" s="162">
        <v>0</v>
      </c>
      <c r="BV456" s="162">
        <v>0</v>
      </c>
      <c r="BW456" s="162"/>
      <c r="BX456" s="162"/>
      <c r="BY456" s="162">
        <v>0</v>
      </c>
      <c r="BZ456" s="162">
        <v>0</v>
      </c>
      <c r="CA456" s="162">
        <v>0</v>
      </c>
      <c r="CB456" s="162">
        <v>0</v>
      </c>
      <c r="CC456" s="162">
        <v>0</v>
      </c>
      <c r="CD456" s="162">
        <v>0</v>
      </c>
      <c r="CE456" s="162">
        <f>VLOOKUP(I456,[120]REV33!$A:$O,11,0)</f>
        <v>0</v>
      </c>
      <c r="CF456" s="162">
        <f>VLOOKUP(I456,[120]REV33!$A:$O,12,0)</f>
        <v>0</v>
      </c>
      <c r="CG456" s="162"/>
      <c r="CH456" s="162"/>
      <c r="CI456" s="162"/>
      <c r="CJ456" s="162"/>
      <c r="CK456" s="162"/>
      <c r="CL456" s="162"/>
      <c r="CM456" s="162"/>
      <c r="CN456" s="162"/>
      <c r="CO456" s="162">
        <v>0</v>
      </c>
      <c r="CP456" s="162">
        <v>0</v>
      </c>
      <c r="CQ456" s="162">
        <v>0</v>
      </c>
      <c r="CR456" s="162">
        <v>0</v>
      </c>
      <c r="CS456" s="209">
        <f>Q456+S456+U456+W456+Y456+AA456+AC456+AE456+AG456+AI456+AK456+AM456+AO456+AQ456+AS456+AU456+AW456+AY456+BA456+BC456+BE456+BG456+BI456+BK456+BM456+BO456+BQ456+BS456+BU456+BW456+BY456+CA456+CC456+CE456+CG456+CI456+CK456+CM456+CO456+CQ456</f>
        <v>200</v>
      </c>
      <c r="CT456" s="209">
        <f>R456+T456+V456+X456+Z456+AB456+AD456+AF456+AH456+AJ456+AL456+AN456+AP456+AR456+AT456+AV456+AX456+AZ456+BB456+BD456+BF456+BH456+BJ456+BL456+BN456+BP456+BR456+BT456+BV456+BX456+BZ456+CB456+CD456+CF456+CH456+CJ456+CL456+CN456+CP456+CR456</f>
        <v>0</v>
      </c>
      <c r="CU456" s="257" t="s">
        <v>352</v>
      </c>
      <c r="CV456" s="156"/>
      <c r="CW456" s="155">
        <v>200</v>
      </c>
      <c r="CX456" s="155">
        <v>0</v>
      </c>
      <c r="CZ456" s="155" t="s">
        <v>679</v>
      </c>
      <c r="DA456" s="152" t="str">
        <f t="shared" ref="DA456:DA459" si="397">IF(CS456&gt;CW456,CS456-CW456,"0")</f>
        <v>0</v>
      </c>
      <c r="DB456" s="152" t="str">
        <f t="shared" ref="DB456:DB459" si="398">IF(CT456&gt;CX456,CT456-CX456,"0")</f>
        <v>0</v>
      </c>
      <c r="DC456" s="158">
        <v>45794</v>
      </c>
      <c r="DD456" s="158"/>
      <c r="DE456" s="156"/>
      <c r="DF456" s="260"/>
      <c r="DG456" s="186"/>
      <c r="DH456" s="156"/>
      <c r="DI456" s="187"/>
      <c r="DJ456" s="429"/>
      <c r="DK456" s="240"/>
      <c r="DL456" s="189"/>
      <c r="DM456" s="189"/>
      <c r="DN456" s="189"/>
      <c r="DO456" s="160"/>
      <c r="DP456" s="159"/>
      <c r="DQ456" s="152">
        <f>SUMIF($I:$I,I456,$DJ:$DJ)</f>
        <v>0</v>
      </c>
      <c r="DR456" s="152">
        <f>SUMIF($I:$I,I456,$DK:$DK)</f>
        <v>0</v>
      </c>
      <c r="EO456" s="152">
        <f>SUMIF($I:$I,I456,$EC:$EC)</f>
        <v>0</v>
      </c>
      <c r="EP456" s="151">
        <f>SUMIF($I:$I,I456,$ED:$ED)</f>
        <v>0</v>
      </c>
      <c r="EQ456" s="153"/>
      <c r="ER456" s="153"/>
      <c r="ES456" s="153"/>
      <c r="ET456" s="153"/>
      <c r="EU456" s="152">
        <f t="shared" ref="EU456:EU459" si="399">DQ456+EO456</f>
        <v>0</v>
      </c>
      <c r="EV456" s="152">
        <f t="shared" ref="EV456:EV459" si="400">DR456+EP456</f>
        <v>0</v>
      </c>
      <c r="EW456" s="152">
        <f t="shared" ref="EW456:EW459" si="401">DA456-EU456</f>
        <v>0</v>
      </c>
      <c r="EX456" s="152">
        <f t="shared" ref="EX456:EX459" si="402">DB456-EV456</f>
        <v>0</v>
      </c>
      <c r="EY456" s="151" t="str">
        <f t="shared" ref="EY456:EY459" si="403">IF(EW456&lt;0,"Thừa",IF(EW456=0,"Đủ","Thiếu"))</f>
        <v>Đủ</v>
      </c>
    </row>
    <row r="457" spans="1:164" s="155" customFormat="1" ht="14" hidden="1" customHeight="1">
      <c r="A457" s="208" t="str">
        <f t="shared" si="392"/>
        <v>Hiện</v>
      </c>
      <c r="B457" s="154" t="str">
        <f t="shared" ref="B457:B469" si="404">EY457</f>
        <v>Đủ</v>
      </c>
      <c r="C457" s="154">
        <f t="shared" ref="C457:C565" si="405">EW457</f>
        <v>0</v>
      </c>
      <c r="D457" s="154"/>
      <c r="E457" s="154"/>
      <c r="F457" s="344" t="s">
        <v>1728</v>
      </c>
      <c r="G457" s="154"/>
      <c r="H457" s="154"/>
      <c r="I457" s="253" t="s">
        <v>1028</v>
      </c>
      <c r="J457" s="254" t="s">
        <v>235</v>
      </c>
      <c r="K457" s="253" t="s">
        <v>290</v>
      </c>
      <c r="L457" s="261" t="s">
        <v>399</v>
      </c>
      <c r="M457" s="256" t="s">
        <v>44</v>
      </c>
      <c r="N457" s="259">
        <v>23.549999999999997</v>
      </c>
      <c r="O457" s="194">
        <f>+P457/N457</f>
        <v>1.1804670912951172</v>
      </c>
      <c r="P457" s="190">
        <v>27.800000000000004</v>
      </c>
      <c r="AO457" s="193">
        <v>0</v>
      </c>
      <c r="AP457" s="193">
        <v>0</v>
      </c>
      <c r="AQ457" s="193">
        <v>0</v>
      </c>
      <c r="AR457" s="193">
        <v>0</v>
      </c>
      <c r="AS457" s="193">
        <v>0</v>
      </c>
      <c r="AT457" s="193">
        <v>0</v>
      </c>
      <c r="AU457" s="162">
        <v>0</v>
      </c>
      <c r="AV457" s="162">
        <v>0</v>
      </c>
      <c r="AW457" s="162">
        <v>0</v>
      </c>
      <c r="AX457" s="162">
        <v>0</v>
      </c>
      <c r="AY457" s="162">
        <v>0</v>
      </c>
      <c r="AZ457" s="162">
        <v>0</v>
      </c>
      <c r="BA457" s="162"/>
      <c r="BB457" s="162"/>
      <c r="BC457" s="162">
        <v>0</v>
      </c>
      <c r="BD457" s="162">
        <v>0</v>
      </c>
      <c r="BE457" s="162">
        <v>0</v>
      </c>
      <c r="BF457" s="162">
        <v>0</v>
      </c>
      <c r="BG457" s="162">
        <v>0</v>
      </c>
      <c r="BH457" s="162">
        <v>0</v>
      </c>
      <c r="BI457" s="162">
        <v>0</v>
      </c>
      <c r="BJ457" s="162">
        <v>0</v>
      </c>
      <c r="BK457" s="162">
        <v>0</v>
      </c>
      <c r="BL457" s="162">
        <v>0</v>
      </c>
      <c r="BM457" s="162">
        <v>0</v>
      </c>
      <c r="BN457" s="162">
        <v>0</v>
      </c>
      <c r="BO457" s="162"/>
      <c r="BP457" s="162"/>
      <c r="BQ457" s="162">
        <v>0</v>
      </c>
      <c r="BR457" s="162">
        <v>0</v>
      </c>
      <c r="BS457" s="162">
        <v>0</v>
      </c>
      <c r="BT457" s="162">
        <v>0</v>
      </c>
      <c r="BU457" s="162">
        <v>0</v>
      </c>
      <c r="BV457" s="162">
        <v>0</v>
      </c>
      <c r="BW457" s="162"/>
      <c r="BX457" s="162"/>
      <c r="BY457" s="162">
        <v>0</v>
      </c>
      <c r="BZ457" s="162">
        <v>0</v>
      </c>
      <c r="CA457" s="162">
        <v>0</v>
      </c>
      <c r="CB457" s="162">
        <v>0</v>
      </c>
      <c r="CC457" s="162">
        <v>0</v>
      </c>
      <c r="CD457" s="162">
        <v>0</v>
      </c>
      <c r="CE457" s="162">
        <f>VLOOKUP(I457,[120]REV33!$A:$O,11,0)</f>
        <v>0</v>
      </c>
      <c r="CF457" s="162">
        <f>VLOOKUP(I457,[120]REV33!$A:$O,12,0)</f>
        <v>0</v>
      </c>
      <c r="CG457" s="162"/>
      <c r="CH457" s="162"/>
      <c r="CI457" s="162"/>
      <c r="CJ457" s="162"/>
      <c r="CK457" s="162"/>
      <c r="CL457" s="162"/>
      <c r="CM457" s="162"/>
      <c r="CN457" s="162"/>
      <c r="CO457" s="162">
        <v>0</v>
      </c>
      <c r="CP457" s="162">
        <v>0</v>
      </c>
      <c r="CQ457" s="162">
        <v>0</v>
      </c>
      <c r="CR457" s="162">
        <v>0</v>
      </c>
      <c r="CS457" s="209">
        <f>Q457+S457+U457+W457+Y457+AA457+AC457+AE457+AG457+AI457+AK457+AM457+AO457+AQ457+AS457+AU457+AW457+AY457+BA457+BC457+BE457+BG457+BI457+BK457+BM457+BO457+BQ457+BS457+BU457+BW457+BY457+CA457+CC457+CE457+CG457+CI457+CK457+CM457+CO457+CQ457</f>
        <v>0</v>
      </c>
      <c r="CT457" s="209">
        <f>R457+T457+V457+X457+Z457+AB457+AD457+AF457+AH457+AJ457+AL457+AN457+AP457+AR457+AT457+AV457+AX457+AZ457+BB457+BD457+BF457+BH457+BJ457+BL457+BN457+BP457+BR457+BT457+BV457+BX457+BZ457+CB457+CD457+CF457+CH457+CJ457+CL457+CN457+CP457+CR457</f>
        <v>0</v>
      </c>
      <c r="CU457" s="257" t="s">
        <v>1156</v>
      </c>
      <c r="CV457" s="156"/>
      <c r="CZ457" s="154"/>
      <c r="DA457" s="152" t="str">
        <f t="shared" si="397"/>
        <v>0</v>
      </c>
      <c r="DB457" s="152" t="str">
        <f t="shared" si="398"/>
        <v>0</v>
      </c>
      <c r="DC457" s="158"/>
      <c r="DD457" s="158"/>
      <c r="DE457" s="156"/>
      <c r="DF457" s="260"/>
      <c r="DG457" s="186"/>
      <c r="DH457" s="156"/>
      <c r="DI457" s="187"/>
      <c r="DJ457" s="429"/>
      <c r="DK457" s="240"/>
      <c r="DL457" s="156"/>
      <c r="DM457" s="156"/>
      <c r="DN457" s="156"/>
      <c r="DO457" s="156"/>
      <c r="DP457" s="159"/>
      <c r="DQ457" s="152">
        <f>SUMIF($I:$I,I457,$DJ:$DJ)</f>
        <v>0</v>
      </c>
      <c r="DR457" s="152">
        <f>SUMIF($I:$I,I457,$DK:$DK)</f>
        <v>0</v>
      </c>
      <c r="EO457" s="152">
        <f>SUMIF($I:$I,I457,$EC:$EC)</f>
        <v>0</v>
      </c>
      <c r="EP457" s="151">
        <f>SUMIF($I:$I,I457,$ED:$ED)</f>
        <v>0</v>
      </c>
      <c r="EQ457" s="153"/>
      <c r="ER457" s="153"/>
      <c r="ES457" s="153"/>
      <c r="ET457" s="153"/>
      <c r="EU457" s="152">
        <f t="shared" si="399"/>
        <v>0</v>
      </c>
      <c r="EV457" s="152">
        <f t="shared" si="400"/>
        <v>0</v>
      </c>
      <c r="EW457" s="152">
        <f t="shared" si="401"/>
        <v>0</v>
      </c>
      <c r="EX457" s="152">
        <f t="shared" si="402"/>
        <v>0</v>
      </c>
      <c r="EY457" s="151" t="str">
        <f t="shared" si="403"/>
        <v>Đủ</v>
      </c>
    </row>
    <row r="458" spans="1:164" s="155" customFormat="1" ht="14" hidden="1" customHeight="1">
      <c r="A458" s="208" t="str">
        <f t="shared" si="392"/>
        <v>Hiện</v>
      </c>
      <c r="B458" s="154" t="str">
        <f t="shared" si="404"/>
        <v>Đủ</v>
      </c>
      <c r="C458" s="154">
        <f t="shared" si="405"/>
        <v>0</v>
      </c>
      <c r="D458" s="154"/>
      <c r="E458" s="154"/>
      <c r="F458" s="344" t="s">
        <v>1728</v>
      </c>
      <c r="G458" s="154"/>
      <c r="H458" s="154"/>
      <c r="I458" s="253" t="s">
        <v>1029</v>
      </c>
      <c r="J458" s="254" t="s">
        <v>235</v>
      </c>
      <c r="K458" s="253" t="s">
        <v>296</v>
      </c>
      <c r="L458" s="261" t="s">
        <v>399</v>
      </c>
      <c r="M458" s="256" t="s">
        <v>44</v>
      </c>
      <c r="N458" s="259">
        <v>62.8</v>
      </c>
      <c r="O458" s="194">
        <f t="shared" ref="O458:O469" si="406">+P458/N458</f>
        <v>4.6649681528662432</v>
      </c>
      <c r="P458" s="190">
        <v>292.96000000000004</v>
      </c>
      <c r="AO458" s="193">
        <v>0</v>
      </c>
      <c r="AP458" s="193">
        <v>0</v>
      </c>
      <c r="AQ458" s="193">
        <v>0</v>
      </c>
      <c r="AR458" s="193">
        <v>0</v>
      </c>
      <c r="AS458" s="193">
        <v>0</v>
      </c>
      <c r="AT458" s="193">
        <v>0</v>
      </c>
      <c r="AU458" s="162">
        <v>0</v>
      </c>
      <c r="AV458" s="162">
        <v>0</v>
      </c>
      <c r="AW458" s="162">
        <v>0</v>
      </c>
      <c r="AX458" s="162">
        <v>0</v>
      </c>
      <c r="AY458" s="162">
        <v>0</v>
      </c>
      <c r="AZ458" s="162">
        <v>0</v>
      </c>
      <c r="BA458" s="162"/>
      <c r="BB458" s="162"/>
      <c r="BC458" s="162">
        <v>0</v>
      </c>
      <c r="BD458" s="162">
        <v>0</v>
      </c>
      <c r="BE458" s="162">
        <v>0</v>
      </c>
      <c r="BF458" s="162">
        <v>0</v>
      </c>
      <c r="BG458" s="162">
        <v>0</v>
      </c>
      <c r="BH458" s="162">
        <v>0</v>
      </c>
      <c r="BI458" s="162">
        <v>0</v>
      </c>
      <c r="BJ458" s="162">
        <v>0</v>
      </c>
      <c r="BK458" s="162">
        <v>0</v>
      </c>
      <c r="BL458" s="162">
        <v>0</v>
      </c>
      <c r="BM458" s="162">
        <v>0</v>
      </c>
      <c r="BN458" s="162">
        <v>0</v>
      </c>
      <c r="BO458" s="162"/>
      <c r="BP458" s="162"/>
      <c r="BQ458" s="162">
        <v>0</v>
      </c>
      <c r="BR458" s="162">
        <v>0</v>
      </c>
      <c r="BS458" s="162">
        <v>0</v>
      </c>
      <c r="BT458" s="162">
        <v>0</v>
      </c>
      <c r="BU458" s="162">
        <v>0</v>
      </c>
      <c r="BV458" s="162">
        <v>0</v>
      </c>
      <c r="BW458" s="162"/>
      <c r="BX458" s="162"/>
      <c r="BY458" s="162">
        <v>0</v>
      </c>
      <c r="BZ458" s="162">
        <v>0</v>
      </c>
      <c r="CA458" s="162">
        <v>0</v>
      </c>
      <c r="CB458" s="162">
        <v>0</v>
      </c>
      <c r="CC458" s="162">
        <v>0</v>
      </c>
      <c r="CD458" s="162">
        <v>0</v>
      </c>
      <c r="CE458" s="162">
        <f>VLOOKUP(I458,[120]REV33!$A:$O,11,0)</f>
        <v>0</v>
      </c>
      <c r="CF458" s="162">
        <f>VLOOKUP(I458,[120]REV33!$A:$O,12,0)</f>
        <v>0</v>
      </c>
      <c r="CG458" s="162"/>
      <c r="CH458" s="162"/>
      <c r="CI458" s="162"/>
      <c r="CJ458" s="162"/>
      <c r="CK458" s="162"/>
      <c r="CL458" s="162"/>
      <c r="CM458" s="162"/>
      <c r="CN458" s="162"/>
      <c r="CO458" s="162">
        <v>0</v>
      </c>
      <c r="CP458" s="162">
        <v>0</v>
      </c>
      <c r="CQ458" s="162">
        <v>0</v>
      </c>
      <c r="CR458" s="162">
        <v>0</v>
      </c>
      <c r="CS458" s="209">
        <f>Q458+S458+U458+W458+Y458+AA458+AC458+AE458+AG458+AI458+AK458+AM458+AO458+AQ458+AS458+AU458+AW458+AY458+BA458+BC458+BE458+BG458+BI458+BK458+BM458+BO458+BQ458+BS458+BU458+BW458+BY458+CA458+CC458+CE458+CG458+CI458+CK458+CM458+CO458+CQ458</f>
        <v>0</v>
      </c>
      <c r="CT458" s="209">
        <f>R458+T458+V458+X458+Z458+AB458+AD458+AF458+AH458+AJ458+AL458+AN458+AP458+AR458+AT458+AV458+AX458+AZ458+BB458+BD458+BF458+BH458+BJ458+BL458+BN458+BP458+BR458+BT458+BV458+BX458+BZ458+CB458+CD458+CF458+CH458+CJ458+CL458+CN458+CP458+CR458</f>
        <v>0</v>
      </c>
      <c r="CU458" s="257" t="s">
        <v>1885</v>
      </c>
      <c r="CV458" s="156"/>
      <c r="DA458" s="152" t="str">
        <f t="shared" si="397"/>
        <v>0</v>
      </c>
      <c r="DB458" s="152" t="str">
        <f t="shared" si="398"/>
        <v>0</v>
      </c>
      <c r="DC458" s="158"/>
      <c r="DD458" s="187"/>
      <c r="DE458" s="156"/>
      <c r="DF458" s="213"/>
      <c r="DG458" s="186"/>
      <c r="DH458" s="156"/>
      <c r="DI458" s="187"/>
      <c r="DJ458" s="429"/>
      <c r="DK458" s="240"/>
      <c r="DL458" s="156"/>
      <c r="DM458" s="156"/>
      <c r="DN458" s="156"/>
      <c r="DO458" s="156"/>
      <c r="DP458" s="159"/>
      <c r="DQ458" s="152">
        <f>SUMIF($I:$I,I458,$DJ:$DJ)</f>
        <v>0</v>
      </c>
      <c r="DR458" s="152">
        <f>SUMIF($I:$I,I458,$DK:$DK)</f>
        <v>0</v>
      </c>
      <c r="EO458" s="152">
        <f>SUMIF($I:$I,I458,$EC:$EC)</f>
        <v>0</v>
      </c>
      <c r="EP458" s="151">
        <f>SUMIF($I:$I,I458,$ED:$ED)</f>
        <v>0</v>
      </c>
      <c r="EQ458" s="153"/>
      <c r="ER458" s="153"/>
      <c r="ES458" s="153"/>
      <c r="ET458" s="153"/>
      <c r="EU458" s="152">
        <f t="shared" si="399"/>
        <v>0</v>
      </c>
      <c r="EV458" s="152">
        <f t="shared" si="400"/>
        <v>0</v>
      </c>
      <c r="EW458" s="152">
        <f t="shared" si="401"/>
        <v>0</v>
      </c>
      <c r="EX458" s="152">
        <f t="shared" si="402"/>
        <v>0</v>
      </c>
      <c r="EY458" s="151" t="str">
        <f t="shared" si="403"/>
        <v>Đủ</v>
      </c>
    </row>
    <row r="459" spans="1:164" s="155" customFormat="1" ht="14" hidden="1" customHeight="1">
      <c r="A459" s="208" t="str">
        <f t="shared" si="392"/>
        <v>Hiện</v>
      </c>
      <c r="B459" s="154" t="str">
        <f t="shared" si="404"/>
        <v>Đủ</v>
      </c>
      <c r="C459" s="154">
        <f t="shared" si="405"/>
        <v>0</v>
      </c>
      <c r="D459" s="154"/>
      <c r="E459" s="154"/>
      <c r="F459" s="344" t="s">
        <v>1728</v>
      </c>
      <c r="G459" s="154"/>
      <c r="H459" s="154"/>
      <c r="I459" s="253" t="s">
        <v>1030</v>
      </c>
      <c r="J459" s="254" t="s">
        <v>235</v>
      </c>
      <c r="K459" s="253" t="s">
        <v>55</v>
      </c>
      <c r="L459" s="261" t="s">
        <v>399</v>
      </c>
      <c r="M459" s="256" t="s">
        <v>44</v>
      </c>
      <c r="N459" s="259">
        <v>78.5</v>
      </c>
      <c r="O459" s="194">
        <f t="shared" si="406"/>
        <v>20.051974522292994</v>
      </c>
      <c r="P459" s="190">
        <v>1574.08</v>
      </c>
      <c r="AO459" s="193">
        <v>24</v>
      </c>
      <c r="AP459" s="193">
        <v>1884</v>
      </c>
      <c r="AQ459" s="193">
        <v>0</v>
      </c>
      <c r="AR459" s="193">
        <v>0</v>
      </c>
      <c r="AS459" s="193">
        <v>0</v>
      </c>
      <c r="AT459" s="193">
        <v>0</v>
      </c>
      <c r="AU459" s="162">
        <v>0</v>
      </c>
      <c r="AV459" s="162">
        <v>0</v>
      </c>
      <c r="AW459" s="162">
        <v>0</v>
      </c>
      <c r="AX459" s="162">
        <v>0</v>
      </c>
      <c r="AY459" s="162">
        <v>0</v>
      </c>
      <c r="AZ459" s="162">
        <v>0</v>
      </c>
      <c r="BA459" s="162"/>
      <c r="BB459" s="162"/>
      <c r="BC459" s="162">
        <v>0</v>
      </c>
      <c r="BD459" s="162">
        <v>0</v>
      </c>
      <c r="BE459" s="162">
        <v>0</v>
      </c>
      <c r="BF459" s="162">
        <v>0</v>
      </c>
      <c r="BG459" s="162">
        <v>0</v>
      </c>
      <c r="BH459" s="162">
        <v>0</v>
      </c>
      <c r="BI459" s="162">
        <v>0</v>
      </c>
      <c r="BJ459" s="162">
        <v>0</v>
      </c>
      <c r="BK459" s="162">
        <v>0</v>
      </c>
      <c r="BL459" s="162">
        <v>0</v>
      </c>
      <c r="BM459" s="162">
        <v>0</v>
      </c>
      <c r="BN459" s="162">
        <v>0</v>
      </c>
      <c r="BO459" s="162"/>
      <c r="BP459" s="162"/>
      <c r="BQ459" s="162">
        <v>24</v>
      </c>
      <c r="BR459" s="162">
        <v>1884</v>
      </c>
      <c r="BS459" s="162">
        <v>0</v>
      </c>
      <c r="BT459" s="162">
        <v>0</v>
      </c>
      <c r="BU459" s="162">
        <v>0</v>
      </c>
      <c r="BV459" s="162">
        <v>0</v>
      </c>
      <c r="BW459" s="162"/>
      <c r="BX459" s="162"/>
      <c r="BY459" s="162">
        <v>0</v>
      </c>
      <c r="BZ459" s="162">
        <v>0</v>
      </c>
      <c r="CA459" s="162">
        <v>0</v>
      </c>
      <c r="CB459" s="162">
        <v>0</v>
      </c>
      <c r="CC459" s="162">
        <v>0</v>
      </c>
      <c r="CD459" s="162">
        <v>0</v>
      </c>
      <c r="CE459" s="162">
        <f>VLOOKUP(I459,[120]REV33!$A:$O,11,0)</f>
        <v>0</v>
      </c>
      <c r="CF459" s="162">
        <f>VLOOKUP(I459,[120]REV33!$A:$O,12,0)</f>
        <v>0</v>
      </c>
      <c r="CG459" s="162"/>
      <c r="CH459" s="162"/>
      <c r="CI459" s="162"/>
      <c r="CJ459" s="162"/>
      <c r="CK459" s="162"/>
      <c r="CL459" s="162"/>
      <c r="CM459" s="162"/>
      <c r="CN459" s="162"/>
      <c r="CO459" s="162">
        <v>0</v>
      </c>
      <c r="CP459" s="162">
        <v>0</v>
      </c>
      <c r="CQ459" s="162">
        <v>0</v>
      </c>
      <c r="CR459" s="162">
        <v>0</v>
      </c>
      <c r="CS459" s="209">
        <f>Q459+S459+U459+W459+Y459+AA459+AC459+AE459+AG459+AI459+AK459+AM459+AO459+AQ459+AS459+AU459+AW459+AY459+BA459+BC459+BE459+BG459+BI459+BK459+BM459+BO459+BQ459+BS459+BU459+BW459+BY459+CA459+CC459+CE459+CG459+CI459+CK459+CM459+CO459+CQ459</f>
        <v>48</v>
      </c>
      <c r="CT459" s="209">
        <f>R459+T459+V459+X459+Z459+AB459+AD459+AF459+AH459+AJ459+AL459+AN459+AP459+AR459+AT459+AV459+AX459+AZ459+BB459+BD459+BF459+BH459+BJ459+BL459+BN459+BP459+BR459+BT459+BV459+BX459+BZ459+CB459+CD459+CF459+CH459+CJ459+CL459+CN459+CP459+CR459</f>
        <v>3768</v>
      </c>
      <c r="CU459" s="257" t="s">
        <v>1886</v>
      </c>
      <c r="CV459" s="156"/>
      <c r="DA459" s="152">
        <f t="shared" si="397"/>
        <v>48</v>
      </c>
      <c r="DB459" s="152">
        <f t="shared" si="398"/>
        <v>3768</v>
      </c>
      <c r="DC459" s="158"/>
      <c r="DD459" s="187" t="s">
        <v>1692</v>
      </c>
      <c r="DE459" s="156" t="s">
        <v>45</v>
      </c>
      <c r="DF459" s="213" t="s">
        <v>1453</v>
      </c>
      <c r="DG459" s="186"/>
      <c r="DH459" s="156">
        <v>1884</v>
      </c>
      <c r="DI459" s="187">
        <v>45904</v>
      </c>
      <c r="DJ459" s="429">
        <v>24</v>
      </c>
      <c r="DK459" s="240">
        <v>1884</v>
      </c>
      <c r="DL459" s="240">
        <v>13181.82</v>
      </c>
      <c r="DM459" s="181">
        <f>DL459*DK459*1.1</f>
        <v>27318003.767999999</v>
      </c>
      <c r="DN459" s="446">
        <f>(DM459-DO459)/DO459</f>
        <v>0.10000000000000002</v>
      </c>
      <c r="DO459" s="240">
        <f t="shared" ref="DO459:DO466" si="407">DL459*DK459</f>
        <v>24834548.879999999</v>
      </c>
      <c r="DP459" s="159">
        <v>45909</v>
      </c>
      <c r="DQ459" s="152">
        <f>SUMIF($I:$I,I459,$DJ:$DJ)</f>
        <v>48</v>
      </c>
      <c r="DR459" s="152">
        <f>SUMIF($I:$I,I459,$DK:$DK)</f>
        <v>3768</v>
      </c>
      <c r="EO459" s="152">
        <f>SUMIF($I:$I,I459,$EC:$EC)</f>
        <v>0</v>
      </c>
      <c r="EP459" s="151">
        <f>SUMIF($I:$I,I459,$ED:$ED)</f>
        <v>0</v>
      </c>
      <c r="EQ459" s="153"/>
      <c r="ER459" s="153"/>
      <c r="ES459" s="153"/>
      <c r="ET459" s="153"/>
      <c r="EU459" s="152">
        <f t="shared" si="399"/>
        <v>48</v>
      </c>
      <c r="EV459" s="152">
        <f t="shared" si="400"/>
        <v>3768</v>
      </c>
      <c r="EW459" s="152">
        <f t="shared" si="401"/>
        <v>0</v>
      </c>
      <c r="EX459" s="152">
        <f t="shared" si="402"/>
        <v>0</v>
      </c>
      <c r="EY459" s="151" t="str">
        <f t="shared" si="403"/>
        <v>Đủ</v>
      </c>
    </row>
    <row r="460" spans="1:164" s="155" customFormat="1" ht="14" hidden="1" customHeight="1">
      <c r="A460" s="208" t="str">
        <f t="shared" si="392"/>
        <v>ok</v>
      </c>
      <c r="B460" s="154"/>
      <c r="C460" s="154"/>
      <c r="D460" s="154"/>
      <c r="E460" s="154"/>
      <c r="F460" s="344"/>
      <c r="G460" s="154"/>
      <c r="H460" s="154"/>
      <c r="I460" s="253" t="s">
        <v>1030</v>
      </c>
      <c r="J460" s="254" t="s">
        <v>235</v>
      </c>
      <c r="K460" s="253" t="s">
        <v>55</v>
      </c>
      <c r="L460" s="261" t="s">
        <v>399</v>
      </c>
      <c r="M460" s="256" t="s">
        <v>44</v>
      </c>
      <c r="N460" s="259"/>
      <c r="O460" s="194"/>
      <c r="P460" s="190"/>
      <c r="AO460" s="193"/>
      <c r="AP460" s="193"/>
      <c r="AQ460" s="193"/>
      <c r="AR460" s="193"/>
      <c r="AS460" s="193"/>
      <c r="AT460" s="193"/>
      <c r="AU460" s="162"/>
      <c r="AV460" s="162"/>
      <c r="AW460" s="162"/>
      <c r="AX460" s="162"/>
      <c r="AY460" s="162"/>
      <c r="AZ460" s="162"/>
      <c r="BA460" s="162"/>
      <c r="BB460" s="162"/>
      <c r="BC460" s="162"/>
      <c r="BD460" s="162"/>
      <c r="BE460" s="162"/>
      <c r="BF460" s="162"/>
      <c r="BG460" s="162"/>
      <c r="BH460" s="162"/>
      <c r="BI460" s="162"/>
      <c r="BJ460" s="162"/>
      <c r="BK460" s="162"/>
      <c r="BL460" s="162"/>
      <c r="BM460" s="162"/>
      <c r="BN460" s="162"/>
      <c r="BO460" s="162"/>
      <c r="BP460" s="162"/>
      <c r="BQ460" s="162"/>
      <c r="BR460" s="162"/>
      <c r="BS460" s="162"/>
      <c r="BT460" s="162"/>
      <c r="BU460" s="162"/>
      <c r="BV460" s="162"/>
      <c r="BW460" s="162"/>
      <c r="BX460" s="162"/>
      <c r="BY460" s="162"/>
      <c r="BZ460" s="162"/>
      <c r="CA460" s="162"/>
      <c r="CB460" s="162"/>
      <c r="CC460" s="162"/>
      <c r="CD460" s="162"/>
      <c r="CE460" s="162"/>
      <c r="CF460" s="162"/>
      <c r="CG460" s="162"/>
      <c r="CH460" s="162"/>
      <c r="CI460" s="162"/>
      <c r="CJ460" s="162"/>
      <c r="CK460" s="162"/>
      <c r="CL460" s="162"/>
      <c r="CM460" s="162"/>
      <c r="CN460" s="162"/>
      <c r="CO460" s="162"/>
      <c r="CP460" s="162"/>
      <c r="CQ460" s="162"/>
      <c r="CR460" s="162"/>
      <c r="CS460" s="209"/>
      <c r="CT460" s="209"/>
      <c r="CU460" s="257"/>
      <c r="CV460" s="156"/>
      <c r="DA460" s="152"/>
      <c r="DB460" s="152"/>
      <c r="DC460" s="158"/>
      <c r="DD460" s="187" t="s">
        <v>2182</v>
      </c>
      <c r="DE460" s="156" t="s">
        <v>1901</v>
      </c>
      <c r="DF460" s="506" t="s">
        <v>2183</v>
      </c>
      <c r="DG460" s="186"/>
      <c r="DH460" s="708">
        <v>1884</v>
      </c>
      <c r="DI460" s="187">
        <v>45972</v>
      </c>
      <c r="DJ460" s="1005">
        <v>24</v>
      </c>
      <c r="DK460" s="708">
        <v>1884</v>
      </c>
      <c r="DL460" s="505">
        <v>13636.36</v>
      </c>
      <c r="DM460" s="181">
        <f>DL460*DK460*(1+DN460)</f>
        <v>28259992.464000005</v>
      </c>
      <c r="DN460" s="446">
        <v>0.1</v>
      </c>
      <c r="DO460" s="240">
        <f t="shared" si="407"/>
        <v>25690902.240000002</v>
      </c>
      <c r="DP460" s="159">
        <v>45978</v>
      </c>
      <c r="DQ460" s="152"/>
      <c r="DR460" s="152"/>
      <c r="EO460" s="152"/>
      <c r="EP460" s="151"/>
      <c r="EQ460" s="153"/>
      <c r="ER460" s="153"/>
      <c r="ES460" s="153"/>
      <c r="ET460" s="153"/>
      <c r="EU460" s="152"/>
      <c r="EV460" s="152"/>
      <c r="EW460" s="152"/>
      <c r="EX460" s="152"/>
      <c r="EY460" s="151"/>
    </row>
    <row r="461" spans="1:164" s="155" customFormat="1" ht="14" hidden="1" customHeight="1">
      <c r="A461" s="208" t="str">
        <f t="shared" si="392"/>
        <v>Hiện</v>
      </c>
      <c r="B461" s="154" t="str">
        <f t="shared" si="404"/>
        <v>Đủ</v>
      </c>
      <c r="C461" s="154">
        <f t="shared" si="405"/>
        <v>0</v>
      </c>
      <c r="D461" s="154"/>
      <c r="E461" s="154"/>
      <c r="F461" s="344" t="s">
        <v>1728</v>
      </c>
      <c r="G461" s="154"/>
      <c r="H461" s="154"/>
      <c r="I461" s="253" t="s">
        <v>1031</v>
      </c>
      <c r="J461" s="254" t="s">
        <v>235</v>
      </c>
      <c r="K461" s="253" t="s">
        <v>56</v>
      </c>
      <c r="L461" s="261" t="s">
        <v>399</v>
      </c>
      <c r="M461" s="256" t="s">
        <v>44</v>
      </c>
      <c r="N461" s="259">
        <v>94.199999999999989</v>
      </c>
      <c r="O461" s="194">
        <f t="shared" si="406"/>
        <v>20.453078556263272</v>
      </c>
      <c r="P461" s="190">
        <v>1926.6799999999998</v>
      </c>
      <c r="AO461" s="193">
        <v>24</v>
      </c>
      <c r="AP461" s="193">
        <v>2260.7999999999997</v>
      </c>
      <c r="AQ461" s="193">
        <v>0</v>
      </c>
      <c r="AR461" s="193">
        <v>0</v>
      </c>
      <c r="AS461" s="193">
        <v>0</v>
      </c>
      <c r="AT461" s="193">
        <v>0</v>
      </c>
      <c r="AU461" s="162">
        <v>0</v>
      </c>
      <c r="AV461" s="162">
        <v>0</v>
      </c>
      <c r="AW461" s="162">
        <v>0</v>
      </c>
      <c r="AX461" s="162">
        <v>0</v>
      </c>
      <c r="AY461" s="162">
        <v>0</v>
      </c>
      <c r="AZ461" s="162">
        <v>0</v>
      </c>
      <c r="BA461" s="162"/>
      <c r="BB461" s="162"/>
      <c r="BC461" s="162">
        <v>0</v>
      </c>
      <c r="BD461" s="162">
        <v>0</v>
      </c>
      <c r="BE461" s="162">
        <v>0</v>
      </c>
      <c r="BF461" s="162">
        <v>0</v>
      </c>
      <c r="BG461" s="162">
        <v>0</v>
      </c>
      <c r="BH461" s="162">
        <v>0</v>
      </c>
      <c r="BI461" s="162">
        <v>0</v>
      </c>
      <c r="BJ461" s="162">
        <v>0</v>
      </c>
      <c r="BK461" s="162">
        <v>0</v>
      </c>
      <c r="BL461" s="162">
        <v>0</v>
      </c>
      <c r="BM461" s="162">
        <v>0</v>
      </c>
      <c r="BN461" s="162">
        <v>0</v>
      </c>
      <c r="BO461" s="162"/>
      <c r="BP461" s="162"/>
      <c r="BQ461" s="162">
        <v>24</v>
      </c>
      <c r="BR461" s="162">
        <v>2260.7999999999997</v>
      </c>
      <c r="BS461" s="162">
        <v>0</v>
      </c>
      <c r="BT461" s="162">
        <v>0</v>
      </c>
      <c r="BU461" s="162">
        <v>0</v>
      </c>
      <c r="BV461" s="162">
        <v>0</v>
      </c>
      <c r="BW461" s="162"/>
      <c r="BX461" s="162"/>
      <c r="BY461" s="162">
        <v>0</v>
      </c>
      <c r="BZ461" s="162">
        <v>0</v>
      </c>
      <c r="CA461" s="162">
        <v>0</v>
      </c>
      <c r="CB461" s="162">
        <v>0</v>
      </c>
      <c r="CC461" s="162">
        <v>0</v>
      </c>
      <c r="CD461" s="162">
        <v>0</v>
      </c>
      <c r="CE461" s="162">
        <f>VLOOKUP(I461,[120]REV33!$A:$O,11,0)</f>
        <v>0</v>
      </c>
      <c r="CF461" s="162">
        <f>VLOOKUP(I461,[120]REV33!$A:$O,12,0)</f>
        <v>0</v>
      </c>
      <c r="CG461" s="162"/>
      <c r="CH461" s="162"/>
      <c r="CI461" s="162"/>
      <c r="CJ461" s="162"/>
      <c r="CK461" s="162"/>
      <c r="CL461" s="162"/>
      <c r="CM461" s="162"/>
      <c r="CN461" s="162"/>
      <c r="CO461" s="162">
        <v>0</v>
      </c>
      <c r="CP461" s="162">
        <v>0</v>
      </c>
      <c r="CQ461" s="162">
        <v>0</v>
      </c>
      <c r="CR461" s="162">
        <v>0</v>
      </c>
      <c r="CS461" s="209">
        <f>Q461+S461+U461+W461+Y461+AA461+AC461+AE461+AG461+AI461+AK461+AM461+AO461+AQ461+AS461+AU461+AW461+AY461+BA461+BC461+BE461+BG461+BI461+BK461+BM461+BO461+BQ461+BS461+BU461+BW461+BY461+CA461+CC461+CE461+CG461+CI461+CK461+CM461+CO461+CQ461</f>
        <v>48</v>
      </c>
      <c r="CT461" s="209">
        <f>R461+T461+V461+X461+Z461+AB461+AD461+AF461+AH461+AJ461+AL461+AN461+AP461+AR461+AT461+AV461+AX461+AZ461+BB461+BD461+BF461+BH461+BJ461+BL461+BN461+BP461+BR461+BT461+BV461+BX461+BZ461+CB461+CD461+CF461+CH461+CJ461+CL461+CN461+CP461+CR461</f>
        <v>4521.5999999999995</v>
      </c>
      <c r="CU461" s="257" t="s">
        <v>1887</v>
      </c>
      <c r="CV461" s="156"/>
      <c r="DA461" s="152">
        <f>IF(CS461&gt;CW461,CS461-CW461,"0")</f>
        <v>48</v>
      </c>
      <c r="DB461" s="152">
        <f>IF(CT461&gt;CX461,CT461-CX461,"0")</f>
        <v>4521.5999999999995</v>
      </c>
      <c r="DC461" s="158"/>
      <c r="DD461" s="187" t="s">
        <v>1692</v>
      </c>
      <c r="DE461" s="156" t="s">
        <v>45</v>
      </c>
      <c r="DF461" s="383" t="s">
        <v>1454</v>
      </c>
      <c r="DG461" s="186"/>
      <c r="DH461" s="156">
        <v>2260.8000000000002</v>
      </c>
      <c r="DI461" s="187">
        <v>45904</v>
      </c>
      <c r="DJ461" s="242">
        <v>24</v>
      </c>
      <c r="DK461" s="240">
        <v>2260.8000000000002</v>
      </c>
      <c r="DL461" s="240">
        <v>13181.82</v>
      </c>
      <c r="DM461" s="181">
        <f>DL461*DK461*1.1</f>
        <v>32781604.521600008</v>
      </c>
      <c r="DN461" s="446">
        <f>(DM461-DO461)/DO461</f>
        <v>0.10000000000000014</v>
      </c>
      <c r="DO461" s="240">
        <f t="shared" si="407"/>
        <v>29801458.656000003</v>
      </c>
      <c r="DP461" s="159">
        <v>45909</v>
      </c>
      <c r="DQ461" s="152">
        <f>SUMIF($I:$I,I461,$DJ:$DJ)</f>
        <v>48</v>
      </c>
      <c r="DR461" s="152">
        <f>SUMIF($I:$I,I461,$DK:$DK)</f>
        <v>4521.8</v>
      </c>
      <c r="EO461" s="152">
        <f>SUMIF($I:$I,I461,$EC:$EC)</f>
        <v>0</v>
      </c>
      <c r="EP461" s="151">
        <f>SUMIF($I:$I,I461,$ED:$ED)</f>
        <v>0</v>
      </c>
      <c r="EQ461" s="153"/>
      <c r="ER461" s="153"/>
      <c r="ES461" s="153"/>
      <c r="ET461" s="153"/>
      <c r="EU461" s="152">
        <f>DQ461+EO461</f>
        <v>48</v>
      </c>
      <c r="EV461" s="152">
        <f>DR461+EP461</f>
        <v>4521.8</v>
      </c>
      <c r="EW461" s="152">
        <f t="shared" ref="EW461" si="408">DA461-EU461</f>
        <v>0</v>
      </c>
      <c r="EX461" s="152">
        <f t="shared" ref="EX461" si="409">DB461-EV461</f>
        <v>-0.2000000000007276</v>
      </c>
      <c r="EY461" s="151" t="str">
        <f>IF(EW461&lt;0,"Thừa",IF(EW461=0,"Đủ","Thiếu"))</f>
        <v>Đủ</v>
      </c>
    </row>
    <row r="462" spans="1:164" s="155" customFormat="1" ht="14" hidden="1" customHeight="1">
      <c r="A462" s="208" t="str">
        <f t="shared" si="392"/>
        <v>ok</v>
      </c>
      <c r="B462" s="154"/>
      <c r="C462" s="154"/>
      <c r="D462" s="154"/>
      <c r="E462" s="154"/>
      <c r="F462" s="344"/>
      <c r="G462" s="154"/>
      <c r="H462" s="154"/>
      <c r="I462" s="253" t="s">
        <v>1031</v>
      </c>
      <c r="J462" s="254" t="s">
        <v>235</v>
      </c>
      <c r="K462" s="253" t="s">
        <v>56</v>
      </c>
      <c r="L462" s="261" t="s">
        <v>399</v>
      </c>
      <c r="M462" s="256" t="s">
        <v>44</v>
      </c>
      <c r="N462" s="259"/>
      <c r="O462" s="194"/>
      <c r="P462" s="190"/>
      <c r="AO462" s="193"/>
      <c r="AP462" s="193"/>
      <c r="AQ462" s="193"/>
      <c r="AR462" s="193"/>
      <c r="AS462" s="193"/>
      <c r="AT462" s="193"/>
      <c r="AU462" s="162"/>
      <c r="AV462" s="162"/>
      <c r="AW462" s="162"/>
      <c r="AX462" s="162"/>
      <c r="AY462" s="162"/>
      <c r="AZ462" s="162"/>
      <c r="BA462" s="162"/>
      <c r="BB462" s="162"/>
      <c r="BC462" s="162"/>
      <c r="BD462" s="162"/>
      <c r="BE462" s="162"/>
      <c r="BF462" s="162"/>
      <c r="BG462" s="162"/>
      <c r="BH462" s="162"/>
      <c r="BI462" s="162"/>
      <c r="BJ462" s="162"/>
      <c r="BK462" s="162"/>
      <c r="BL462" s="162"/>
      <c r="BM462" s="162"/>
      <c r="BN462" s="162"/>
      <c r="BO462" s="162"/>
      <c r="BP462" s="162"/>
      <c r="BQ462" s="162"/>
      <c r="BR462" s="162"/>
      <c r="BS462" s="162"/>
      <c r="BT462" s="162"/>
      <c r="BU462" s="162"/>
      <c r="BV462" s="162"/>
      <c r="BW462" s="162"/>
      <c r="BX462" s="162"/>
      <c r="BY462" s="162"/>
      <c r="BZ462" s="162"/>
      <c r="CA462" s="162"/>
      <c r="CB462" s="162"/>
      <c r="CC462" s="162"/>
      <c r="CD462" s="162"/>
      <c r="CE462" s="162"/>
      <c r="CF462" s="162"/>
      <c r="CG462" s="162"/>
      <c r="CH462" s="162"/>
      <c r="CI462" s="162"/>
      <c r="CJ462" s="162"/>
      <c r="CK462" s="162"/>
      <c r="CL462" s="162"/>
      <c r="CM462" s="162"/>
      <c r="CN462" s="162"/>
      <c r="CO462" s="162"/>
      <c r="CP462" s="162"/>
      <c r="CQ462" s="162"/>
      <c r="CR462" s="162"/>
      <c r="CS462" s="209"/>
      <c r="CT462" s="209"/>
      <c r="CU462" s="257"/>
      <c r="CV462" s="156"/>
      <c r="DA462" s="152"/>
      <c r="DB462" s="152"/>
      <c r="DC462" s="158"/>
      <c r="DD462" s="187" t="s">
        <v>2182</v>
      </c>
      <c r="DE462" s="156" t="s">
        <v>1901</v>
      </c>
      <c r="DF462" s="506" t="s">
        <v>2184</v>
      </c>
      <c r="DG462" s="186"/>
      <c r="DH462" s="505">
        <v>2261</v>
      </c>
      <c r="DI462" s="187">
        <v>45972</v>
      </c>
      <c r="DJ462" s="1005">
        <v>24</v>
      </c>
      <c r="DK462" s="505">
        <v>2261</v>
      </c>
      <c r="DL462" s="505">
        <v>13636.36</v>
      </c>
      <c r="DM462" s="181">
        <f>DL462*DK462*(1+DN462)</f>
        <v>33914990.956</v>
      </c>
      <c r="DN462" s="446">
        <v>0.1</v>
      </c>
      <c r="DO462" s="240">
        <f t="shared" si="407"/>
        <v>30831809.960000001</v>
      </c>
      <c r="DP462" s="159">
        <v>45982</v>
      </c>
      <c r="DQ462" s="152"/>
      <c r="DR462" s="152"/>
      <c r="EO462" s="152"/>
      <c r="EP462" s="151"/>
      <c r="EQ462" s="153"/>
      <c r="ER462" s="153"/>
      <c r="ES462" s="153"/>
      <c r="ET462" s="153"/>
      <c r="EU462" s="152"/>
      <c r="EV462" s="152"/>
      <c r="EW462" s="152"/>
      <c r="EX462" s="152"/>
      <c r="EY462" s="151"/>
    </row>
    <row r="463" spans="1:164" s="155" customFormat="1" ht="14" hidden="1" customHeight="1">
      <c r="A463" s="208" t="str">
        <f t="shared" si="392"/>
        <v>Hiện</v>
      </c>
      <c r="B463" s="154" t="str">
        <f t="shared" si="404"/>
        <v>Đủ</v>
      </c>
      <c r="C463" s="154">
        <f t="shared" si="405"/>
        <v>0</v>
      </c>
      <c r="D463" s="154"/>
      <c r="E463" s="154"/>
      <c r="F463" s="344" t="s">
        <v>1728</v>
      </c>
      <c r="G463" s="154"/>
      <c r="H463" s="154"/>
      <c r="I463" s="253" t="s">
        <v>1032</v>
      </c>
      <c r="J463" s="254" t="s">
        <v>235</v>
      </c>
      <c r="K463" s="253" t="s">
        <v>1033</v>
      </c>
      <c r="L463" s="261" t="s">
        <v>399</v>
      </c>
      <c r="M463" s="256" t="s">
        <v>44</v>
      </c>
      <c r="N463" s="259">
        <v>117.75</v>
      </c>
      <c r="O463" s="194">
        <f t="shared" si="406"/>
        <v>43.894012738853483</v>
      </c>
      <c r="P463" s="190">
        <v>5168.5199999999977</v>
      </c>
      <c r="AO463" s="193">
        <v>48</v>
      </c>
      <c r="AP463" s="193">
        <v>5652</v>
      </c>
      <c r="AQ463" s="193">
        <v>0</v>
      </c>
      <c r="AR463" s="193">
        <v>0</v>
      </c>
      <c r="AS463" s="193">
        <v>0</v>
      </c>
      <c r="AT463" s="193">
        <v>0</v>
      </c>
      <c r="AU463" s="162">
        <v>0</v>
      </c>
      <c r="AV463" s="162">
        <v>0</v>
      </c>
      <c r="AW463" s="162">
        <v>0</v>
      </c>
      <c r="AX463" s="162">
        <v>0</v>
      </c>
      <c r="AY463" s="162">
        <v>0</v>
      </c>
      <c r="AZ463" s="162">
        <v>0</v>
      </c>
      <c r="BA463" s="162"/>
      <c r="BB463" s="162"/>
      <c r="BC463" s="162">
        <v>0</v>
      </c>
      <c r="BD463" s="162">
        <v>0</v>
      </c>
      <c r="BE463" s="162">
        <v>0</v>
      </c>
      <c r="BF463" s="162">
        <v>0</v>
      </c>
      <c r="BG463" s="162">
        <v>0</v>
      </c>
      <c r="BH463" s="162">
        <v>0</v>
      </c>
      <c r="BI463" s="162">
        <v>0</v>
      </c>
      <c r="BJ463" s="162">
        <v>0</v>
      </c>
      <c r="BK463" s="162">
        <v>0</v>
      </c>
      <c r="BL463" s="162">
        <v>0</v>
      </c>
      <c r="BM463" s="162">
        <v>0</v>
      </c>
      <c r="BN463" s="162">
        <v>0</v>
      </c>
      <c r="BO463" s="162"/>
      <c r="BP463" s="162"/>
      <c r="BQ463" s="162">
        <v>12</v>
      </c>
      <c r="BR463" s="162">
        <v>1413</v>
      </c>
      <c r="BS463" s="162">
        <v>0</v>
      </c>
      <c r="BT463" s="162">
        <v>0</v>
      </c>
      <c r="BU463" s="162">
        <v>0</v>
      </c>
      <c r="BV463" s="162">
        <v>0</v>
      </c>
      <c r="BW463" s="162"/>
      <c r="BX463" s="162"/>
      <c r="BY463" s="162">
        <v>0</v>
      </c>
      <c r="BZ463" s="162">
        <v>0</v>
      </c>
      <c r="CA463" s="162">
        <v>0</v>
      </c>
      <c r="CB463" s="162">
        <v>0</v>
      </c>
      <c r="CC463" s="162">
        <v>0</v>
      </c>
      <c r="CD463" s="162">
        <v>0</v>
      </c>
      <c r="CE463" s="162">
        <f>VLOOKUP(I463,[120]REV33!$A:$O,11,0)</f>
        <v>0</v>
      </c>
      <c r="CF463" s="162">
        <f>VLOOKUP(I463,[120]REV33!$A:$O,12,0)</f>
        <v>0</v>
      </c>
      <c r="CG463" s="162"/>
      <c r="CH463" s="162"/>
      <c r="CI463" s="162"/>
      <c r="CJ463" s="162"/>
      <c r="CK463" s="162"/>
      <c r="CL463" s="162"/>
      <c r="CM463" s="162"/>
      <c r="CN463" s="162"/>
      <c r="CO463" s="162">
        <v>0</v>
      </c>
      <c r="CP463" s="162">
        <v>0</v>
      </c>
      <c r="CQ463" s="162">
        <v>0</v>
      </c>
      <c r="CR463" s="162">
        <v>0</v>
      </c>
      <c r="CS463" s="209">
        <f>Q463+S463+U463+W463+Y463+AA463+AC463+AE463+AG463+AI463+AK463+AM463+AO463+AQ463+AS463+AU463+AW463+AY463+BA463+BC463+BE463+BG463+BI463+BK463+BM463+BO463+BQ463+BS463+BU463+BW463+BY463+CA463+CC463+CE463+CG463+CI463+CK463+CM463+CO463+CQ463</f>
        <v>60</v>
      </c>
      <c r="CT463" s="209">
        <f>R463+T463+V463+X463+Z463+AB463+AD463+AF463+AH463+AJ463+AL463+AN463+AP463+AR463+AT463+AV463+AX463+AZ463+BB463+BD463+BF463+BH463+BJ463+BL463+BN463+BP463+BR463+BT463+BV463+BX463+BZ463+CB463+CD463+CF463+CH463+CJ463+CL463+CN463+CP463+CR463</f>
        <v>7065</v>
      </c>
      <c r="CU463" s="257" t="s">
        <v>1888</v>
      </c>
      <c r="CV463" s="156"/>
      <c r="DA463" s="152">
        <f>IF(CS463&gt;CW463,CS463-CW463,"0")</f>
        <v>60</v>
      </c>
      <c r="DB463" s="152">
        <f>IF(CT463&gt;CX463,CT463-CX463,"0")</f>
        <v>7065</v>
      </c>
      <c r="DC463" s="158"/>
      <c r="DD463" s="187" t="s">
        <v>1692</v>
      </c>
      <c r="DE463" s="156" t="s">
        <v>45</v>
      </c>
      <c r="DF463" s="213" t="s">
        <v>1455</v>
      </c>
      <c r="DG463" s="186"/>
      <c r="DH463" s="156">
        <v>6028.8</v>
      </c>
      <c r="DI463" s="187">
        <v>45904</v>
      </c>
      <c r="DJ463" s="429">
        <v>48</v>
      </c>
      <c r="DK463" s="240">
        <v>6028.8</v>
      </c>
      <c r="DL463" s="280">
        <v>13272.73</v>
      </c>
      <c r="DM463" s="181">
        <f>DL463*DK463*1.1</f>
        <v>88020498.086400002</v>
      </c>
      <c r="DN463" s="446">
        <f>(DM463-DO463)/DO463</f>
        <v>0.10000000000000006</v>
      </c>
      <c r="DO463" s="281">
        <f t="shared" si="407"/>
        <v>80018634.623999998</v>
      </c>
      <c r="DP463" s="159">
        <v>45909</v>
      </c>
      <c r="DQ463" s="152">
        <f>SUMIF($I:$I,I463,$DJ:$DJ)</f>
        <v>60</v>
      </c>
      <c r="DR463" s="152">
        <f>SUMIF($I:$I,I463,$DK:$DK)</f>
        <v>7535.8</v>
      </c>
      <c r="EO463" s="152">
        <f>SUMIF($I:$I,I463,$EC:$EC)</f>
        <v>0</v>
      </c>
      <c r="EP463" s="151">
        <f>SUMIF($I:$I,I463,$ED:$ED)</f>
        <v>0</v>
      </c>
      <c r="EQ463" s="153"/>
      <c r="ER463" s="153"/>
      <c r="ES463" s="153"/>
      <c r="ET463" s="153"/>
      <c r="EU463" s="152">
        <f>DQ463+EO463</f>
        <v>60</v>
      </c>
      <c r="EV463" s="152">
        <f>DR463+EP463</f>
        <v>7535.8</v>
      </c>
      <c r="EW463" s="152">
        <f t="shared" ref="EW463" si="410">DA463-EU463</f>
        <v>0</v>
      </c>
      <c r="EX463" s="152">
        <f t="shared" ref="EX463" si="411">DB463-EV463</f>
        <v>-470.80000000000018</v>
      </c>
      <c r="EY463" s="151" t="str">
        <f>IF(EW463&lt;0,"Thừa",IF(EW463=0,"Đủ","Thiếu"))</f>
        <v>Đủ</v>
      </c>
    </row>
    <row r="464" spans="1:164" s="155" customFormat="1" ht="14" hidden="1" customHeight="1">
      <c r="A464" s="208" t="str">
        <f t="shared" si="392"/>
        <v>ok</v>
      </c>
      <c r="B464" s="154"/>
      <c r="C464" s="154"/>
      <c r="D464" s="154"/>
      <c r="E464" s="154"/>
      <c r="F464" s="344"/>
      <c r="G464" s="154"/>
      <c r="H464" s="154"/>
      <c r="I464" s="253" t="s">
        <v>1032</v>
      </c>
      <c r="J464" s="254" t="s">
        <v>235</v>
      </c>
      <c r="K464" s="253" t="s">
        <v>1033</v>
      </c>
      <c r="L464" s="261" t="s">
        <v>399</v>
      </c>
      <c r="M464" s="256" t="s">
        <v>44</v>
      </c>
      <c r="N464" s="259"/>
      <c r="O464" s="194"/>
      <c r="P464" s="190"/>
      <c r="AO464" s="193"/>
      <c r="AP464" s="193"/>
      <c r="AQ464" s="193"/>
      <c r="AR464" s="193"/>
      <c r="AS464" s="193"/>
      <c r="AT464" s="193"/>
      <c r="AU464" s="162"/>
      <c r="AV464" s="162"/>
      <c r="AW464" s="162"/>
      <c r="AX464" s="162"/>
      <c r="AY464" s="162"/>
      <c r="AZ464" s="162"/>
      <c r="BA464" s="162"/>
      <c r="BB464" s="162"/>
      <c r="BC464" s="162"/>
      <c r="BD464" s="162"/>
      <c r="BE464" s="162"/>
      <c r="BF464" s="162"/>
      <c r="BG464" s="162"/>
      <c r="BH464" s="162"/>
      <c r="BI464" s="162"/>
      <c r="BJ464" s="162"/>
      <c r="BK464" s="162"/>
      <c r="BL464" s="162"/>
      <c r="BM464" s="162"/>
      <c r="BN464" s="162"/>
      <c r="BO464" s="162"/>
      <c r="BP464" s="162"/>
      <c r="BQ464" s="162"/>
      <c r="BR464" s="162"/>
      <c r="BS464" s="162"/>
      <c r="BT464" s="162"/>
      <c r="BU464" s="162"/>
      <c r="BV464" s="162"/>
      <c r="BW464" s="162"/>
      <c r="BX464" s="162"/>
      <c r="BY464" s="162"/>
      <c r="BZ464" s="162"/>
      <c r="CA464" s="162"/>
      <c r="CB464" s="162"/>
      <c r="CC464" s="162"/>
      <c r="CD464" s="162"/>
      <c r="CE464" s="162"/>
      <c r="CF464" s="162"/>
      <c r="CG464" s="162"/>
      <c r="CH464" s="162"/>
      <c r="CI464" s="162"/>
      <c r="CJ464" s="162"/>
      <c r="CK464" s="162"/>
      <c r="CL464" s="162"/>
      <c r="CM464" s="162"/>
      <c r="CN464" s="162"/>
      <c r="CO464" s="162"/>
      <c r="CP464" s="162"/>
      <c r="CQ464" s="162"/>
      <c r="CR464" s="162"/>
      <c r="CS464" s="209"/>
      <c r="CT464" s="209"/>
      <c r="CU464" s="257"/>
      <c r="CV464" s="156"/>
      <c r="DA464" s="152"/>
      <c r="DB464" s="152"/>
      <c r="DC464" s="158"/>
      <c r="DD464" s="187" t="s">
        <v>2182</v>
      </c>
      <c r="DE464" s="156" t="s">
        <v>1901</v>
      </c>
      <c r="DF464" s="506" t="s">
        <v>2185</v>
      </c>
      <c r="DG464" s="186"/>
      <c r="DH464" s="505">
        <v>1507</v>
      </c>
      <c r="DI464" s="187">
        <v>45972</v>
      </c>
      <c r="DJ464" s="1005">
        <v>12</v>
      </c>
      <c r="DK464" s="505">
        <v>1507</v>
      </c>
      <c r="DL464" s="505">
        <v>14000</v>
      </c>
      <c r="DM464" s="181">
        <f>DL464*DK464*(1+DN464)</f>
        <v>23207800.000000004</v>
      </c>
      <c r="DN464" s="446">
        <v>0.1</v>
      </c>
      <c r="DO464" s="240">
        <f t="shared" si="407"/>
        <v>21098000</v>
      </c>
      <c r="DP464" s="159">
        <v>45976</v>
      </c>
      <c r="DQ464" s="152"/>
      <c r="DR464" s="152"/>
      <c r="EO464" s="152"/>
      <c r="EP464" s="151"/>
      <c r="EQ464" s="153"/>
      <c r="ER464" s="153"/>
      <c r="ES464" s="153"/>
      <c r="ET464" s="153"/>
      <c r="EU464" s="152"/>
      <c r="EV464" s="152"/>
      <c r="EW464" s="152"/>
      <c r="EX464" s="152"/>
      <c r="EY464" s="151"/>
    </row>
    <row r="465" spans="1:155" s="155" customFormat="1" ht="14" hidden="1" customHeight="1">
      <c r="A465" s="208" t="str">
        <f t="shared" si="392"/>
        <v>Hiện</v>
      </c>
      <c r="B465" s="154" t="str">
        <f t="shared" si="404"/>
        <v>Đủ</v>
      </c>
      <c r="C465" s="154">
        <f t="shared" si="405"/>
        <v>0</v>
      </c>
      <c r="D465" s="154"/>
      <c r="E465" s="154"/>
      <c r="F465" s="344" t="s">
        <v>1728</v>
      </c>
      <c r="G465" s="154"/>
      <c r="H465" s="154"/>
      <c r="I465" s="253" t="s">
        <v>1034</v>
      </c>
      <c r="J465" s="254" t="s">
        <v>235</v>
      </c>
      <c r="K465" s="253" t="s">
        <v>58</v>
      </c>
      <c r="L465" s="261" t="s">
        <v>399</v>
      </c>
      <c r="M465" s="256" t="s">
        <v>44</v>
      </c>
      <c r="N465" s="259">
        <v>157</v>
      </c>
      <c r="O465" s="194">
        <f t="shared" si="406"/>
        <v>25.477707006369425</v>
      </c>
      <c r="P465" s="190">
        <v>3999.9999999999995</v>
      </c>
      <c r="AO465" s="193">
        <v>48</v>
      </c>
      <c r="AP465" s="193">
        <v>7536</v>
      </c>
      <c r="AQ465" s="193">
        <v>0</v>
      </c>
      <c r="AR465" s="193">
        <v>0</v>
      </c>
      <c r="AS465" s="193">
        <v>0</v>
      </c>
      <c r="AT465" s="193">
        <v>0</v>
      </c>
      <c r="AU465" s="162">
        <v>0</v>
      </c>
      <c r="AV465" s="162">
        <v>0</v>
      </c>
      <c r="AW465" s="162">
        <v>0</v>
      </c>
      <c r="AX465" s="162">
        <v>0</v>
      </c>
      <c r="AY465" s="162">
        <v>0</v>
      </c>
      <c r="AZ465" s="162">
        <v>0</v>
      </c>
      <c r="BA465" s="162"/>
      <c r="BB465" s="162"/>
      <c r="BC465" s="162">
        <v>0</v>
      </c>
      <c r="BD465" s="162">
        <v>0</v>
      </c>
      <c r="BE465" s="162">
        <v>0</v>
      </c>
      <c r="BF465" s="162">
        <v>0</v>
      </c>
      <c r="BG465" s="162">
        <v>0</v>
      </c>
      <c r="BH465" s="162">
        <v>0</v>
      </c>
      <c r="BI465" s="162">
        <v>0</v>
      </c>
      <c r="BJ465" s="162">
        <v>0</v>
      </c>
      <c r="BK465" s="162">
        <v>0</v>
      </c>
      <c r="BL465" s="162">
        <v>0</v>
      </c>
      <c r="BM465" s="162">
        <v>0</v>
      </c>
      <c r="BN465" s="162">
        <v>0</v>
      </c>
      <c r="BO465" s="162"/>
      <c r="BP465" s="162"/>
      <c r="BQ465" s="162">
        <v>24</v>
      </c>
      <c r="BR465" s="162">
        <v>3768</v>
      </c>
      <c r="BS465" s="162">
        <v>0</v>
      </c>
      <c r="BT465" s="162">
        <v>0</v>
      </c>
      <c r="BU465" s="162">
        <v>0</v>
      </c>
      <c r="BV465" s="162">
        <v>0</v>
      </c>
      <c r="BW465" s="162"/>
      <c r="BX465" s="162"/>
      <c r="BY465" s="162">
        <v>0</v>
      </c>
      <c r="BZ465" s="162">
        <v>0</v>
      </c>
      <c r="CA465" s="162">
        <v>0</v>
      </c>
      <c r="CB465" s="162">
        <v>0</v>
      </c>
      <c r="CC465" s="162">
        <v>0</v>
      </c>
      <c r="CD465" s="162">
        <v>0</v>
      </c>
      <c r="CE465" s="162">
        <f>VLOOKUP(I465,[120]REV33!$A:$O,11,0)</f>
        <v>0</v>
      </c>
      <c r="CF465" s="162">
        <f>VLOOKUP(I465,[120]REV33!$A:$O,12,0)</f>
        <v>0</v>
      </c>
      <c r="CG465" s="162"/>
      <c r="CH465" s="162"/>
      <c r="CI465" s="162"/>
      <c r="CJ465" s="162"/>
      <c r="CK465" s="162"/>
      <c r="CL465" s="162"/>
      <c r="CM465" s="162"/>
      <c r="CN465" s="162"/>
      <c r="CO465" s="162">
        <v>0</v>
      </c>
      <c r="CP465" s="162">
        <v>0</v>
      </c>
      <c r="CQ465" s="162">
        <v>0</v>
      </c>
      <c r="CR465" s="162">
        <v>0</v>
      </c>
      <c r="CS465" s="209">
        <f>Q465+S465+U465+W465+Y465+AA465+AC465+AE465+AG465+AI465+AK465+AM465+AO465+AQ465+AS465+AU465+AW465+AY465+BA465+BC465+BE465+BG465+BI465+BK465+BM465+BO465+BQ465+BS465+BU465+BW465+BY465+CA465+CC465+CE465+CG465+CI465+CK465+CM465+CO465+CQ465</f>
        <v>72</v>
      </c>
      <c r="CT465" s="209">
        <f>R465+T465+V465+X465+Z465+AB465+AD465+AF465+AH465+AJ465+AL465+AN465+AP465+AR465+AT465+AV465+AX465+AZ465+BB465+BD465+BF465+BH465+BJ465+BL465+BN465+BP465+BR465+BT465+BV465+BX465+BZ465+CB465+CD465+CF465+CH465+CJ465+CL465+CN465+CP465+CR465</f>
        <v>11304</v>
      </c>
      <c r="CU465" s="257" t="s">
        <v>1889</v>
      </c>
      <c r="CV465" s="156"/>
      <c r="DA465" s="152">
        <f>IF(CS465&gt;CW465,CS465-CW465,"0")</f>
        <v>72</v>
      </c>
      <c r="DB465" s="152">
        <f>IF(CT465&gt;CX465,CT465-CX465,"0")</f>
        <v>11304</v>
      </c>
      <c r="DC465" s="158"/>
      <c r="DD465" s="187" t="s">
        <v>1692</v>
      </c>
      <c r="DE465" s="156" t="s">
        <v>45</v>
      </c>
      <c r="DF465" s="213" t="s">
        <v>1456</v>
      </c>
      <c r="DG465" s="186"/>
      <c r="DH465" s="156">
        <v>7536</v>
      </c>
      <c r="DI465" s="187">
        <v>45904</v>
      </c>
      <c r="DJ465" s="429">
        <v>48</v>
      </c>
      <c r="DK465" s="240">
        <v>7536</v>
      </c>
      <c r="DL465" s="280">
        <v>13818.18</v>
      </c>
      <c r="DM465" s="181">
        <f>DL465*DK465*1.1</f>
        <v>114547184.92800002</v>
      </c>
      <c r="DN465" s="446">
        <f>(DM465-DO465)/DO465</f>
        <v>0.10000000000000013</v>
      </c>
      <c r="DO465" s="281">
        <f t="shared" si="407"/>
        <v>104133804.48</v>
      </c>
      <c r="DP465" s="159">
        <v>45909</v>
      </c>
      <c r="DQ465" s="152">
        <f>SUMIF($I:$I,I465,$DJ:$DJ)</f>
        <v>72</v>
      </c>
      <c r="DR465" s="152">
        <f>SUMIF($I:$I,I465,$DK:$DK)</f>
        <v>11304</v>
      </c>
      <c r="EO465" s="152">
        <f>SUMIF($I:$I,I465,$EC:$EC)</f>
        <v>0</v>
      </c>
      <c r="EP465" s="151">
        <f>SUMIF($I:$I,I465,$ED:$ED)</f>
        <v>0</v>
      </c>
      <c r="EQ465" s="153"/>
      <c r="ER465" s="153"/>
      <c r="ES465" s="153"/>
      <c r="ET465" s="153"/>
      <c r="EU465" s="152">
        <f>DQ465+EO465</f>
        <v>72</v>
      </c>
      <c r="EV465" s="152">
        <f>DR465+EP465</f>
        <v>11304</v>
      </c>
      <c r="EW465" s="152">
        <f t="shared" ref="EW465" si="412">DA465-EU465</f>
        <v>0</v>
      </c>
      <c r="EX465" s="152">
        <f t="shared" ref="EX465" si="413">DB465-EV465</f>
        <v>0</v>
      </c>
      <c r="EY465" s="151" t="str">
        <f>IF(EW465&lt;0,"Thừa",IF(EW465=0,"Đủ","Thiếu"))</f>
        <v>Đủ</v>
      </c>
    </row>
    <row r="466" spans="1:155" s="155" customFormat="1" ht="14" hidden="1" customHeight="1">
      <c r="A466" s="208" t="str">
        <f t="shared" si="392"/>
        <v>ok</v>
      </c>
      <c r="B466" s="154"/>
      <c r="C466" s="154"/>
      <c r="D466" s="154"/>
      <c r="E466" s="154"/>
      <c r="F466" s="344"/>
      <c r="G466" s="154"/>
      <c r="H466" s="154"/>
      <c r="I466" s="253" t="s">
        <v>1034</v>
      </c>
      <c r="J466" s="254" t="s">
        <v>235</v>
      </c>
      <c r="K466" s="253" t="s">
        <v>58</v>
      </c>
      <c r="L466" s="261" t="s">
        <v>399</v>
      </c>
      <c r="M466" s="256" t="s">
        <v>44</v>
      </c>
      <c r="N466" s="259"/>
      <c r="O466" s="194"/>
      <c r="P466" s="190"/>
      <c r="AO466" s="193"/>
      <c r="AP466" s="193"/>
      <c r="AQ466" s="193"/>
      <c r="AR466" s="193"/>
      <c r="AS466" s="193"/>
      <c r="AT466" s="193"/>
      <c r="AU466" s="162"/>
      <c r="AV466" s="162"/>
      <c r="AW466" s="162"/>
      <c r="AX466" s="162"/>
      <c r="AY466" s="162"/>
      <c r="AZ466" s="162"/>
      <c r="BA466" s="162"/>
      <c r="BB466" s="162"/>
      <c r="BC466" s="162"/>
      <c r="BD466" s="162"/>
      <c r="BE466" s="162"/>
      <c r="BF466" s="162"/>
      <c r="BG466" s="162"/>
      <c r="BH466" s="162"/>
      <c r="BI466" s="162"/>
      <c r="BJ466" s="162"/>
      <c r="BK466" s="162"/>
      <c r="BL466" s="162"/>
      <c r="BM466" s="162"/>
      <c r="BN466" s="162"/>
      <c r="BO466" s="162"/>
      <c r="BP466" s="162"/>
      <c r="BQ466" s="162"/>
      <c r="BR466" s="162"/>
      <c r="BS466" s="162"/>
      <c r="BT466" s="162"/>
      <c r="BU466" s="162"/>
      <c r="BV466" s="162"/>
      <c r="BW466" s="162"/>
      <c r="BX466" s="162"/>
      <c r="BY466" s="162"/>
      <c r="BZ466" s="162"/>
      <c r="CA466" s="162"/>
      <c r="CB466" s="162"/>
      <c r="CC466" s="162"/>
      <c r="CD466" s="162"/>
      <c r="CE466" s="162"/>
      <c r="CF466" s="162"/>
      <c r="CG466" s="162"/>
      <c r="CH466" s="162"/>
      <c r="CI466" s="162"/>
      <c r="CJ466" s="162"/>
      <c r="CK466" s="162"/>
      <c r="CL466" s="162"/>
      <c r="CM466" s="162"/>
      <c r="CN466" s="162"/>
      <c r="CO466" s="162"/>
      <c r="CP466" s="162"/>
      <c r="CQ466" s="162"/>
      <c r="CR466" s="162"/>
      <c r="CS466" s="209"/>
      <c r="CT466" s="209"/>
      <c r="CU466" s="257"/>
      <c r="CV466" s="156"/>
      <c r="DA466" s="152"/>
      <c r="DB466" s="152"/>
      <c r="DC466" s="158"/>
      <c r="DD466" s="187" t="s">
        <v>2182</v>
      </c>
      <c r="DE466" s="156" t="s">
        <v>1901</v>
      </c>
      <c r="DF466" s="506" t="s">
        <v>2186</v>
      </c>
      <c r="DG466" s="186"/>
      <c r="DH466" s="505">
        <v>3768</v>
      </c>
      <c r="DI466" s="187">
        <v>45972</v>
      </c>
      <c r="DJ466" s="1005">
        <v>24</v>
      </c>
      <c r="DK466" s="505">
        <v>3768</v>
      </c>
      <c r="DL466" s="505">
        <v>14181.82</v>
      </c>
      <c r="DM466" s="181">
        <f>DL466*DK466*(1+DN466)</f>
        <v>58780807.536000006</v>
      </c>
      <c r="DN466" s="446">
        <v>0.1</v>
      </c>
      <c r="DO466" s="240">
        <f t="shared" si="407"/>
        <v>53437097.759999998</v>
      </c>
      <c r="DP466" s="159">
        <v>45978</v>
      </c>
      <c r="DQ466" s="152"/>
      <c r="DR466" s="152"/>
      <c r="EO466" s="152"/>
      <c r="EP466" s="151"/>
      <c r="EQ466" s="153"/>
      <c r="ER466" s="153"/>
      <c r="ES466" s="153"/>
      <c r="ET466" s="153"/>
      <c r="EU466" s="152"/>
      <c r="EV466" s="152"/>
      <c r="EW466" s="152"/>
      <c r="EX466" s="152"/>
      <c r="EY466" s="151"/>
    </row>
    <row r="467" spans="1:155" s="155" customFormat="1" ht="13" hidden="1" customHeight="1">
      <c r="A467" s="208" t="str">
        <f t="shared" si="392"/>
        <v>Hiện</v>
      </c>
      <c r="B467" s="154" t="str">
        <f t="shared" si="404"/>
        <v>Đủ</v>
      </c>
      <c r="C467" s="154">
        <f t="shared" si="405"/>
        <v>0</v>
      </c>
      <c r="D467" s="154"/>
      <c r="E467" s="154"/>
      <c r="F467" s="344" t="s">
        <v>1728</v>
      </c>
      <c r="G467" s="154"/>
      <c r="H467" s="154"/>
      <c r="I467" s="253" t="s">
        <v>1035</v>
      </c>
      <c r="J467" s="254" t="s">
        <v>235</v>
      </c>
      <c r="K467" s="253" t="s">
        <v>1036</v>
      </c>
      <c r="L467" s="261" t="s">
        <v>399</v>
      </c>
      <c r="M467" s="256" t="s">
        <v>44</v>
      </c>
      <c r="N467" s="259">
        <v>196.25</v>
      </c>
      <c r="O467" s="194">
        <f t="shared" si="406"/>
        <v>4.100484076433121</v>
      </c>
      <c r="P467" s="190">
        <v>804.72</v>
      </c>
      <c r="AO467" s="193">
        <v>0</v>
      </c>
      <c r="AP467" s="193">
        <v>0</v>
      </c>
      <c r="AQ467" s="193">
        <v>0</v>
      </c>
      <c r="AR467" s="193">
        <v>0</v>
      </c>
      <c r="AS467" s="193">
        <v>0</v>
      </c>
      <c r="AT467" s="193">
        <v>0</v>
      </c>
      <c r="AU467" s="162">
        <v>0</v>
      </c>
      <c r="AV467" s="162">
        <v>0</v>
      </c>
      <c r="AW467" s="162">
        <v>0</v>
      </c>
      <c r="AX467" s="162">
        <v>0</v>
      </c>
      <c r="AY467" s="162">
        <v>0</v>
      </c>
      <c r="AZ467" s="162">
        <v>0</v>
      </c>
      <c r="BA467" s="162"/>
      <c r="BB467" s="162"/>
      <c r="BC467" s="162">
        <v>0</v>
      </c>
      <c r="BD467" s="162">
        <v>0</v>
      </c>
      <c r="BE467" s="162">
        <v>0</v>
      </c>
      <c r="BF467" s="162">
        <v>0</v>
      </c>
      <c r="BG467" s="162">
        <v>0</v>
      </c>
      <c r="BH467" s="162">
        <v>0</v>
      </c>
      <c r="BI467" s="162">
        <v>0</v>
      </c>
      <c r="BJ467" s="162">
        <v>0</v>
      </c>
      <c r="BK467" s="162">
        <v>0</v>
      </c>
      <c r="BL467" s="162">
        <v>0</v>
      </c>
      <c r="BM467" s="162">
        <v>0</v>
      </c>
      <c r="BN467" s="162">
        <v>0</v>
      </c>
      <c r="BO467" s="162"/>
      <c r="BP467" s="162"/>
      <c r="BQ467" s="162">
        <v>0</v>
      </c>
      <c r="BR467" s="162">
        <v>0</v>
      </c>
      <c r="BS467" s="162">
        <v>0</v>
      </c>
      <c r="BT467" s="162">
        <v>0</v>
      </c>
      <c r="BU467" s="162">
        <v>0</v>
      </c>
      <c r="BV467" s="162">
        <v>0</v>
      </c>
      <c r="BW467" s="162"/>
      <c r="BX467" s="162"/>
      <c r="BY467" s="162">
        <v>0</v>
      </c>
      <c r="BZ467" s="162">
        <v>0</v>
      </c>
      <c r="CA467" s="162">
        <v>0</v>
      </c>
      <c r="CB467" s="162">
        <v>0</v>
      </c>
      <c r="CC467" s="162">
        <v>0</v>
      </c>
      <c r="CD467" s="162">
        <v>0</v>
      </c>
      <c r="CE467" s="162">
        <f>VLOOKUP(I467,[120]REV33!$A:$O,11,0)</f>
        <v>0</v>
      </c>
      <c r="CF467" s="162">
        <f>VLOOKUP(I467,[120]REV33!$A:$O,12,0)</f>
        <v>0</v>
      </c>
      <c r="CG467" s="162"/>
      <c r="CH467" s="162"/>
      <c r="CI467" s="162"/>
      <c r="CJ467" s="162"/>
      <c r="CK467" s="162"/>
      <c r="CL467" s="162"/>
      <c r="CM467" s="162"/>
      <c r="CN467" s="162"/>
      <c r="CO467" s="162">
        <v>0</v>
      </c>
      <c r="CP467" s="162">
        <v>0</v>
      </c>
      <c r="CQ467" s="162">
        <v>0</v>
      </c>
      <c r="CR467" s="162">
        <v>0</v>
      </c>
      <c r="CS467" s="209">
        <f>Q467+S467+U467+W467+Y467+AA467+AC467+AE467+AG467+AI467+AK467+AM467+AO467+AQ467+AS467+AU467+AW467+AY467+BA467+BC467+BE467+BG467+BI467+BK467+BM467+BO467+BQ467+BS467+BU467+BW467+BY467+CA467+CC467+CE467+CG467+CI467+CK467+CM467+CO467+CQ467</f>
        <v>0</v>
      </c>
      <c r="CT467" s="209">
        <f>R467+T467+V467+X467+Z467+AB467+AD467+AF467+AH467+AJ467+AL467+AN467+AP467+AR467+AT467+AV467+AX467+AZ467+BB467+BD467+BF467+BH467+BJ467+BL467+BN467+BP467+BR467+BT467+BV467+BX467+BZ467+CB467+CD467+CF467+CH467+CJ467+CL467+CN467+CP467+CR467</f>
        <v>0</v>
      </c>
      <c r="CU467" s="257" t="s">
        <v>1890</v>
      </c>
      <c r="CV467" s="156"/>
      <c r="DA467" s="152" t="str">
        <f t="shared" ref="DA467:DA470" si="414">IF(CS467&gt;CW467,CS467-CW467,"0")</f>
        <v>0</v>
      </c>
      <c r="DB467" s="152" t="str">
        <f t="shared" ref="DB467:DB470" si="415">IF(CT467&gt;CX467,CT467-CX467,"0")</f>
        <v>0</v>
      </c>
      <c r="DC467" s="158"/>
      <c r="DD467" s="187"/>
      <c r="DE467" s="156"/>
      <c r="DF467" s="213"/>
      <c r="DG467" s="186"/>
      <c r="DH467" s="156"/>
      <c r="DI467" s="187"/>
      <c r="DJ467" s="429"/>
      <c r="DK467" s="240"/>
      <c r="DL467" s="189"/>
      <c r="DM467" s="189"/>
      <c r="DN467" s="189"/>
      <c r="DO467" s="156"/>
      <c r="DP467" s="159"/>
      <c r="DQ467" s="152">
        <f>SUMIF($I:$I,I467,$DJ:$DJ)</f>
        <v>0</v>
      </c>
      <c r="DR467" s="152">
        <f>SUMIF($I:$I,I467,$DK:$DK)</f>
        <v>0</v>
      </c>
      <c r="EO467" s="152">
        <f>SUMIF($I:$I,I467,$EC:$EC)</f>
        <v>0</v>
      </c>
      <c r="EP467" s="151">
        <f>SUMIF($I:$I,I467,$ED:$ED)</f>
        <v>0</v>
      </c>
      <c r="EQ467" s="153"/>
      <c r="ER467" s="153"/>
      <c r="ES467" s="153"/>
      <c r="ET467" s="153"/>
      <c r="EU467" s="152">
        <f t="shared" ref="EU467:EU470" si="416">DQ467+EO467</f>
        <v>0</v>
      </c>
      <c r="EV467" s="152">
        <f t="shared" ref="EV467:EV470" si="417">DR467+EP467</f>
        <v>0</v>
      </c>
      <c r="EW467" s="152">
        <f t="shared" ref="EW467:EW470" si="418">DA467-EU467</f>
        <v>0</v>
      </c>
      <c r="EX467" s="152">
        <f t="shared" ref="EX467:EX470" si="419">DB467-EV467</f>
        <v>0</v>
      </c>
      <c r="EY467" s="151" t="str">
        <f t="shared" ref="EY467:EY470" si="420">IF(EW467&lt;0,"Thừa",IF(EW467=0,"Đủ","Thiếu"))</f>
        <v>Đủ</v>
      </c>
    </row>
    <row r="468" spans="1:155" s="155" customFormat="1" ht="14" hidden="1" customHeight="1">
      <c r="A468" s="208" t="str">
        <f t="shared" si="392"/>
        <v>Hiện</v>
      </c>
      <c r="B468" s="154" t="str">
        <f t="shared" si="404"/>
        <v>Đủ</v>
      </c>
      <c r="C468" s="154">
        <f t="shared" si="405"/>
        <v>0</v>
      </c>
      <c r="D468" s="154"/>
      <c r="E468" s="154"/>
      <c r="F468" s="344" t="s">
        <v>1728</v>
      </c>
      <c r="G468" s="154"/>
      <c r="H468" s="154"/>
      <c r="I468" s="253" t="s">
        <v>1037</v>
      </c>
      <c r="J468" s="254" t="s">
        <v>235</v>
      </c>
      <c r="K468" s="253" t="s">
        <v>1038</v>
      </c>
      <c r="L468" s="261" t="s">
        <v>399</v>
      </c>
      <c r="M468" s="256" t="s">
        <v>44</v>
      </c>
      <c r="N468" s="259">
        <v>235.5</v>
      </c>
      <c r="O468" s="194">
        <f t="shared" si="406"/>
        <v>34.907176220806797</v>
      </c>
      <c r="P468" s="190">
        <v>8220.6400000000012</v>
      </c>
      <c r="AO468" s="193">
        <v>48</v>
      </c>
      <c r="AP468" s="193">
        <v>11304</v>
      </c>
      <c r="AQ468" s="193">
        <v>0</v>
      </c>
      <c r="AR468" s="193">
        <v>0</v>
      </c>
      <c r="AS468" s="193">
        <v>0</v>
      </c>
      <c r="AT468" s="193">
        <v>0</v>
      </c>
      <c r="AU468" s="162">
        <v>0</v>
      </c>
      <c r="AV468" s="162">
        <v>0</v>
      </c>
      <c r="AW468" s="162">
        <v>0</v>
      </c>
      <c r="AX468" s="162">
        <v>0</v>
      </c>
      <c r="AY468" s="162">
        <v>0</v>
      </c>
      <c r="AZ468" s="162">
        <v>0</v>
      </c>
      <c r="BA468" s="162"/>
      <c r="BB468" s="162"/>
      <c r="BC468" s="162">
        <v>0</v>
      </c>
      <c r="BD468" s="162">
        <v>0</v>
      </c>
      <c r="BE468" s="162">
        <v>0</v>
      </c>
      <c r="BF468" s="162">
        <v>0</v>
      </c>
      <c r="BG468" s="162">
        <v>0</v>
      </c>
      <c r="BH468" s="162">
        <v>0</v>
      </c>
      <c r="BI468" s="162">
        <v>0</v>
      </c>
      <c r="BJ468" s="162">
        <v>0</v>
      </c>
      <c r="BK468" s="162">
        <v>0</v>
      </c>
      <c r="BL468" s="162">
        <v>0</v>
      </c>
      <c r="BM468" s="162">
        <v>0</v>
      </c>
      <c r="BN468" s="162">
        <v>0</v>
      </c>
      <c r="BO468" s="162"/>
      <c r="BP468" s="162"/>
      <c r="BQ468" s="162">
        <v>0</v>
      </c>
      <c r="BR468" s="162">
        <v>0</v>
      </c>
      <c r="BS468" s="162">
        <v>0</v>
      </c>
      <c r="BT468" s="162">
        <v>0</v>
      </c>
      <c r="BU468" s="162">
        <v>0</v>
      </c>
      <c r="BV468" s="162">
        <v>0</v>
      </c>
      <c r="BW468" s="162"/>
      <c r="BX468" s="162"/>
      <c r="BY468" s="162">
        <v>0</v>
      </c>
      <c r="BZ468" s="162">
        <v>0</v>
      </c>
      <c r="CA468" s="162">
        <v>0</v>
      </c>
      <c r="CB468" s="162">
        <v>0</v>
      </c>
      <c r="CC468" s="162">
        <v>0</v>
      </c>
      <c r="CD468" s="162">
        <v>0</v>
      </c>
      <c r="CE468" s="162">
        <f>VLOOKUP(I468,[120]REV33!$A:$O,11,0)</f>
        <v>0</v>
      </c>
      <c r="CF468" s="162">
        <f>VLOOKUP(I468,[120]REV33!$A:$O,12,0)</f>
        <v>0</v>
      </c>
      <c r="CG468" s="162"/>
      <c r="CH468" s="162"/>
      <c r="CI468" s="162"/>
      <c r="CJ468" s="162"/>
      <c r="CK468" s="162"/>
      <c r="CL468" s="162"/>
      <c r="CM468" s="162"/>
      <c r="CN468" s="162"/>
      <c r="CO468" s="162">
        <v>0</v>
      </c>
      <c r="CP468" s="162">
        <v>0</v>
      </c>
      <c r="CQ468" s="162">
        <v>0</v>
      </c>
      <c r="CR468" s="162">
        <v>0</v>
      </c>
      <c r="CS468" s="209">
        <f>Q468+S468+U468+W468+Y468+AA468+AC468+AE468+AG468+AI468+AK468+AM468+AO468+AQ468+AS468+AU468+AW468+AY468+BA468+BC468+BE468+BG468+BI468+BK468+BM468+BO468+BQ468+BS468+BU468+BW468+BY468+CA468+CC468+CE468+CG468+CI468+CK468+CM468+CO468+CQ468</f>
        <v>48</v>
      </c>
      <c r="CT468" s="209">
        <f>R468+T468+V468+X468+Z468+AB468+AD468+AF468+AH468+AJ468+AL468+AN468+AP468+AR468+AT468+AV468+AX468+AZ468+BB468+BD468+BF468+BH468+BJ468+BL468+BN468+BP468+BR468+BT468+BV468+BX468+BZ468+CB468+CD468+CF468+CH468+CJ468+CL468+CN468+CP468+CR468</f>
        <v>11304</v>
      </c>
      <c r="CU468" s="257" t="s">
        <v>1891</v>
      </c>
      <c r="CV468" s="156"/>
      <c r="DA468" s="152">
        <f t="shared" si="414"/>
        <v>48</v>
      </c>
      <c r="DB468" s="152">
        <f t="shared" si="415"/>
        <v>11304</v>
      </c>
      <c r="DC468" s="158"/>
      <c r="DD468" s="158" t="s">
        <v>1509</v>
      </c>
      <c r="DE468" s="156" t="s">
        <v>1507</v>
      </c>
      <c r="DF468" s="260" t="s">
        <v>1508</v>
      </c>
      <c r="DG468" s="186" t="s">
        <v>371</v>
      </c>
      <c r="DH468" s="156">
        <v>11304</v>
      </c>
      <c r="DI468" s="187">
        <v>45904</v>
      </c>
      <c r="DJ468" s="429">
        <v>48</v>
      </c>
      <c r="DK468" s="709">
        <v>11304</v>
      </c>
      <c r="DL468" s="710">
        <f>14090.91/1.1</f>
        <v>12809.918181818181</v>
      </c>
      <c r="DM468" s="181">
        <f>DL468*DK468*1.1</f>
        <v>159283646.64000002</v>
      </c>
      <c r="DN468" s="446">
        <f>(DM468-DO468)/DO468</f>
        <v>0.10000000000000012</v>
      </c>
      <c r="DO468" s="160">
        <f>DL468*DK468</f>
        <v>144803315.12727273</v>
      </c>
      <c r="DP468" s="159"/>
      <c r="DQ468" s="152">
        <f>SUMIF($I:$I,I468,$DJ:$DJ)</f>
        <v>48</v>
      </c>
      <c r="DR468" s="152">
        <f>SUMIF($I:$I,I468,$DK:$DK)</f>
        <v>11304</v>
      </c>
      <c r="EO468" s="152">
        <f>SUMIF($I:$I,I468,$EC:$EC)</f>
        <v>0</v>
      </c>
      <c r="EP468" s="151">
        <f>SUMIF($I:$I,I468,$ED:$ED)</f>
        <v>0</v>
      </c>
      <c r="EQ468" s="153"/>
      <c r="ER468" s="153"/>
      <c r="ES468" s="153"/>
      <c r="ET468" s="153"/>
      <c r="EU468" s="152">
        <f t="shared" si="416"/>
        <v>48</v>
      </c>
      <c r="EV468" s="152">
        <f t="shared" si="417"/>
        <v>11304</v>
      </c>
      <c r="EW468" s="152">
        <f t="shared" si="418"/>
        <v>0</v>
      </c>
      <c r="EX468" s="152">
        <f t="shared" si="419"/>
        <v>0</v>
      </c>
      <c r="EY468" s="151" t="str">
        <f t="shared" si="420"/>
        <v>Đủ</v>
      </c>
    </row>
    <row r="469" spans="1:155" s="155" customFormat="1" ht="14" hidden="1" customHeight="1">
      <c r="A469" s="208" t="str">
        <f t="shared" si="392"/>
        <v>Hiện</v>
      </c>
      <c r="B469" s="154" t="str">
        <f t="shared" si="404"/>
        <v>Đủ</v>
      </c>
      <c r="C469" s="154">
        <f t="shared" si="405"/>
        <v>0</v>
      </c>
      <c r="D469" s="154" t="s">
        <v>1315</v>
      </c>
      <c r="E469" s="154"/>
      <c r="F469" s="344" t="s">
        <v>1728</v>
      </c>
      <c r="G469" s="154"/>
      <c r="H469" s="154"/>
      <c r="I469" s="253" t="s">
        <v>1039</v>
      </c>
      <c r="J469" s="254" t="s">
        <v>235</v>
      </c>
      <c r="K469" s="253" t="s">
        <v>1040</v>
      </c>
      <c r="L469" s="261" t="s">
        <v>399</v>
      </c>
      <c r="M469" s="256" t="s">
        <v>44</v>
      </c>
      <c r="N469" s="259">
        <v>274.75</v>
      </c>
      <c r="O469" s="194">
        <f t="shared" si="406"/>
        <v>4.0735213830755237</v>
      </c>
      <c r="P469" s="190">
        <v>1119.2</v>
      </c>
      <c r="AO469" s="193">
        <v>6</v>
      </c>
      <c r="AP469" s="193">
        <v>1648.5</v>
      </c>
      <c r="AQ469" s="193">
        <v>0</v>
      </c>
      <c r="AR469" s="193">
        <v>0</v>
      </c>
      <c r="AS469" s="193">
        <v>0</v>
      </c>
      <c r="AT469" s="193">
        <v>0</v>
      </c>
      <c r="AU469" s="162">
        <v>0</v>
      </c>
      <c r="AV469" s="162">
        <v>0</v>
      </c>
      <c r="AW469" s="162">
        <v>0</v>
      </c>
      <c r="AX469" s="162">
        <v>0</v>
      </c>
      <c r="AY469" s="162">
        <v>0</v>
      </c>
      <c r="AZ469" s="162">
        <v>0</v>
      </c>
      <c r="BA469" s="162"/>
      <c r="BB469" s="162"/>
      <c r="BC469" s="162">
        <v>0</v>
      </c>
      <c r="BD469" s="162">
        <v>0</v>
      </c>
      <c r="BE469" s="162">
        <v>0</v>
      </c>
      <c r="BF469" s="162">
        <v>0</v>
      </c>
      <c r="BG469" s="162">
        <v>0</v>
      </c>
      <c r="BH469" s="162">
        <v>0</v>
      </c>
      <c r="BI469" s="162">
        <v>0</v>
      </c>
      <c r="BJ469" s="162">
        <v>0</v>
      </c>
      <c r="BK469" s="162">
        <v>0</v>
      </c>
      <c r="BL469" s="162">
        <v>0</v>
      </c>
      <c r="BM469" s="162">
        <v>0</v>
      </c>
      <c r="BN469" s="162">
        <v>0</v>
      </c>
      <c r="BO469" s="162"/>
      <c r="BP469" s="162"/>
      <c r="BQ469" s="162">
        <v>0</v>
      </c>
      <c r="BR469" s="162">
        <v>0</v>
      </c>
      <c r="BS469" s="162">
        <v>0</v>
      </c>
      <c r="BT469" s="162">
        <v>0</v>
      </c>
      <c r="BU469" s="162">
        <v>0</v>
      </c>
      <c r="BV469" s="162">
        <v>0</v>
      </c>
      <c r="BW469" s="162"/>
      <c r="BX469" s="162"/>
      <c r="BY469" s="162">
        <v>0</v>
      </c>
      <c r="BZ469" s="162">
        <v>0</v>
      </c>
      <c r="CA469" s="162">
        <v>0</v>
      </c>
      <c r="CB469" s="162">
        <v>0</v>
      </c>
      <c r="CC469" s="162">
        <v>0</v>
      </c>
      <c r="CD469" s="162">
        <v>0</v>
      </c>
      <c r="CE469" s="162">
        <f>VLOOKUP(I469,[120]REV33!$A:$O,11,0)</f>
        <v>0</v>
      </c>
      <c r="CF469" s="162">
        <f>VLOOKUP(I469,[120]REV33!$A:$O,12,0)</f>
        <v>0</v>
      </c>
      <c r="CG469" s="162"/>
      <c r="CH469" s="162"/>
      <c r="CI469" s="162"/>
      <c r="CJ469" s="162"/>
      <c r="CK469" s="162"/>
      <c r="CL469" s="162"/>
      <c r="CM469" s="162"/>
      <c r="CN469" s="162"/>
      <c r="CO469" s="162">
        <v>0</v>
      </c>
      <c r="CP469" s="162">
        <v>0</v>
      </c>
      <c r="CQ469" s="162">
        <v>0</v>
      </c>
      <c r="CR469" s="162">
        <v>0</v>
      </c>
      <c r="CS469" s="209">
        <f>Q469+S469+U469+W469+Y469+AA469+AC469+AE469+AG469+AI469+AK469+AM469+AO469+AQ469+AS469+AU469+AW469+AY469+BA469+BC469+BE469+BG469+BI469+BK469+BM469+BO469+BQ469+BS469+BU469+BW469+BY469+CA469+CC469+CE469+CG469+CI469+CK469+CM469+CO469+CQ469</f>
        <v>6</v>
      </c>
      <c r="CT469" s="209">
        <f>R469+T469+V469+X469+Z469+AB469+AD469+AF469+AH469+AJ469+AL469+AN469+AP469+AR469+AT469+AV469+AX469+AZ469+BB469+BD469+BF469+BH469+BJ469+BL469+BN469+BP469+BR469+BT469+BV469+BX469+BZ469+CB469+CD469+CF469+CH469+CJ469+CL469+CN469+CP469+CR469</f>
        <v>1648.5</v>
      </c>
      <c r="CU469" s="257" t="s">
        <v>1157</v>
      </c>
      <c r="CV469" s="156"/>
      <c r="CW469" s="155">
        <v>6</v>
      </c>
      <c r="CX469" s="155">
        <v>1648.5</v>
      </c>
      <c r="CZ469" s="155" t="s">
        <v>1354</v>
      </c>
      <c r="DA469" s="152" t="str">
        <f t="shared" si="414"/>
        <v>0</v>
      </c>
      <c r="DB469" s="152" t="str">
        <f t="shared" si="415"/>
        <v>0</v>
      </c>
      <c r="DC469" s="158"/>
      <c r="DD469" s="158"/>
      <c r="DE469" s="156"/>
      <c r="DF469" s="260"/>
      <c r="DG469" s="186"/>
      <c r="DH469" s="156"/>
      <c r="DI469" s="187"/>
      <c r="DJ469" s="429"/>
      <c r="DK469" s="240"/>
      <c r="DL469" s="189"/>
      <c r="DM469" s="189"/>
      <c r="DN469" s="189"/>
      <c r="DO469" s="160"/>
      <c r="DP469" s="159"/>
      <c r="DQ469" s="152">
        <f>SUMIF($I:$I,I469,$DJ:$DJ)</f>
        <v>0</v>
      </c>
      <c r="DR469" s="152">
        <f>SUMIF($I:$I,I469,$DK:$DK)</f>
        <v>0</v>
      </c>
      <c r="EO469" s="152">
        <f>SUMIF($I:$I,I469,$EC:$EC)</f>
        <v>0</v>
      </c>
      <c r="EP469" s="151">
        <f>SUMIF($I:$I,I469,$ED:$ED)</f>
        <v>0</v>
      </c>
      <c r="EQ469" s="153"/>
      <c r="ER469" s="153"/>
      <c r="ES469" s="153"/>
      <c r="ET469" s="153"/>
      <c r="EU469" s="152">
        <f t="shared" si="416"/>
        <v>0</v>
      </c>
      <c r="EV469" s="152">
        <f t="shared" si="417"/>
        <v>0</v>
      </c>
      <c r="EW469" s="152">
        <f t="shared" si="418"/>
        <v>0</v>
      </c>
      <c r="EX469" s="152">
        <f t="shared" si="419"/>
        <v>0</v>
      </c>
      <c r="EY469" s="151" t="str">
        <f t="shared" si="420"/>
        <v>Đủ</v>
      </c>
    </row>
    <row r="470" spans="1:155" s="155" customFormat="1" ht="14" hidden="1" customHeight="1">
      <c r="A470" s="208" t="str">
        <f t="shared" si="392"/>
        <v>Hiện</v>
      </c>
      <c r="B470" s="154" t="str">
        <f>CONCATENATE(EY470," Thiếu ít lấy chỗ khác sang")</f>
        <v>Thiếu Thiếu ít lấy chỗ khác sang</v>
      </c>
      <c r="C470" s="154">
        <f t="shared" si="405"/>
        <v>2</v>
      </c>
      <c r="D470" s="154"/>
      <c r="E470" s="154"/>
      <c r="F470" s="344" t="s">
        <v>1728</v>
      </c>
      <c r="G470" s="703" t="s">
        <v>1304</v>
      </c>
      <c r="H470" s="703"/>
      <c r="I470" s="254" t="s">
        <v>1041</v>
      </c>
      <c r="J470" s="254" t="s">
        <v>267</v>
      </c>
      <c r="K470" s="253" t="s">
        <v>307</v>
      </c>
      <c r="L470" s="261" t="s">
        <v>399</v>
      </c>
      <c r="M470" s="256" t="s">
        <v>61</v>
      </c>
      <c r="N470" s="259">
        <v>19.899999999999999</v>
      </c>
      <c r="O470" s="191">
        <v>45.391999999999996</v>
      </c>
      <c r="P470" s="190">
        <v>855.2</v>
      </c>
      <c r="AO470" s="234">
        <v>36</v>
      </c>
      <c r="AP470" s="193">
        <v>716.4</v>
      </c>
      <c r="AQ470" s="193">
        <v>0</v>
      </c>
      <c r="AR470" s="193">
        <v>0</v>
      </c>
      <c r="AS470" s="193">
        <v>0</v>
      </c>
      <c r="AT470" s="193">
        <v>0</v>
      </c>
      <c r="AU470" s="162">
        <v>0</v>
      </c>
      <c r="AV470" s="162">
        <v>0</v>
      </c>
      <c r="AW470" s="162">
        <v>0</v>
      </c>
      <c r="AX470" s="162">
        <v>0</v>
      </c>
      <c r="AY470" s="162">
        <v>0</v>
      </c>
      <c r="AZ470" s="162">
        <v>0</v>
      </c>
      <c r="BA470" s="162"/>
      <c r="BB470" s="162"/>
      <c r="BC470" s="162">
        <v>0</v>
      </c>
      <c r="BD470" s="162">
        <v>0</v>
      </c>
      <c r="BE470" s="162">
        <v>0</v>
      </c>
      <c r="BF470" s="162">
        <v>0</v>
      </c>
      <c r="BG470" s="162">
        <v>0</v>
      </c>
      <c r="BH470" s="162">
        <v>0</v>
      </c>
      <c r="BI470" s="162">
        <v>0</v>
      </c>
      <c r="BJ470" s="162">
        <v>0</v>
      </c>
      <c r="BK470" s="162">
        <v>0</v>
      </c>
      <c r="BL470" s="162">
        <v>0</v>
      </c>
      <c r="BM470" s="162">
        <v>48</v>
      </c>
      <c r="BN470" s="162">
        <v>955.19999999999993</v>
      </c>
      <c r="BO470" s="162"/>
      <c r="BP470" s="162"/>
      <c r="BQ470" s="162">
        <v>74</v>
      </c>
      <c r="BR470" s="162">
        <v>1472.6</v>
      </c>
      <c r="BS470" s="162">
        <v>0</v>
      </c>
      <c r="BT470" s="162">
        <v>0</v>
      </c>
      <c r="BU470" s="162">
        <v>0</v>
      </c>
      <c r="BV470" s="162">
        <v>0</v>
      </c>
      <c r="BW470" s="162"/>
      <c r="BX470" s="162"/>
      <c r="BY470" s="162">
        <v>0</v>
      </c>
      <c r="BZ470" s="162">
        <v>0</v>
      </c>
      <c r="CA470" s="162">
        <v>0</v>
      </c>
      <c r="CB470" s="162">
        <v>0</v>
      </c>
      <c r="CC470" s="162">
        <v>0</v>
      </c>
      <c r="CD470" s="162">
        <v>0</v>
      </c>
      <c r="CE470" s="162">
        <f>VLOOKUP(I470,[120]REV33!$A:$O,11,0)</f>
        <v>0</v>
      </c>
      <c r="CF470" s="162">
        <f>VLOOKUP(I470,[120]REV33!$A:$O,12,0)</f>
        <v>0</v>
      </c>
      <c r="CG470" s="162"/>
      <c r="CH470" s="162"/>
      <c r="CI470" s="162"/>
      <c r="CJ470" s="162"/>
      <c r="CK470" s="162"/>
      <c r="CL470" s="162"/>
      <c r="CM470" s="162"/>
      <c r="CN470" s="162"/>
      <c r="CO470" s="162">
        <v>0</v>
      </c>
      <c r="CP470" s="162">
        <v>0</v>
      </c>
      <c r="CQ470" s="162">
        <v>0</v>
      </c>
      <c r="CR470" s="162">
        <v>0</v>
      </c>
      <c r="CS470" s="209">
        <f>Q470+S470+U470+W470+Y470+AA470+AC470+AE470+AG470+AI470+AK470+AM470+AO470+AQ470+AS470+AU470+AW470+AY470+BA470+BC470+BE470+BG470+BI470+BK470+BM470+BO470+BQ470+BS470+BU470+BW470+BY470+CA470+CC470+CE470+CG470+CI470+CK470+CM470+CO470+CQ470</f>
        <v>158</v>
      </c>
      <c r="CT470" s="209">
        <f>R470+T470+V470+X470+Z470+AB470+AD470+AF470+AH470+AJ470+AL470+AN470+AP470+AR470+AT470+AV470+AX470+AZ470+BB470+BD470+BF470+BH470+BJ470+BL470+BN470+BP470+BR470+BT470+BV470+BX470+BZ470+CB470+CD470+CF470+CH470+CJ470+CL470+CN470+CP470+CR470</f>
        <v>3144.2</v>
      </c>
      <c r="CU470" s="257" t="s">
        <v>1892</v>
      </c>
      <c r="CV470" s="156"/>
      <c r="DA470" s="152">
        <f t="shared" si="414"/>
        <v>158</v>
      </c>
      <c r="DB470" s="152">
        <f t="shared" si="415"/>
        <v>3144.2</v>
      </c>
      <c r="DC470" s="158"/>
      <c r="DD470" s="187" t="s">
        <v>1692</v>
      </c>
      <c r="DE470" s="156" t="s">
        <v>45</v>
      </c>
      <c r="DF470" s="705" t="s">
        <v>1415</v>
      </c>
      <c r="DG470" s="186"/>
      <c r="DH470" s="156">
        <v>856.8</v>
      </c>
      <c r="DI470" s="187">
        <v>45904</v>
      </c>
      <c r="DJ470" s="429">
        <v>36</v>
      </c>
      <c r="DK470" s="240">
        <v>856.8</v>
      </c>
      <c r="DL470" s="280">
        <v>17636.36</v>
      </c>
      <c r="DM470" s="181">
        <f t="shared" ref="DM470:DM498" si="421">DL470*DK470*1.1</f>
        <v>16621916.572800001</v>
      </c>
      <c r="DN470" s="446">
        <f t="shared" ref="DN470:DN498" si="422">(DM470-DO470)/DO470</f>
        <v>0.1000000000000001</v>
      </c>
      <c r="DO470" s="281">
        <f t="shared" ref="DO470:DO498" si="423">DL470*DK470</f>
        <v>15110833.248</v>
      </c>
      <c r="DP470" s="159">
        <v>45907</v>
      </c>
      <c r="DQ470" s="152">
        <f>SUMIF($I:$I,I470,$DJ:$DJ)</f>
        <v>156</v>
      </c>
      <c r="DR470" s="152">
        <f>SUMIF($I:$I,I470,$DK:$DK)</f>
        <v>3688.8</v>
      </c>
      <c r="EO470" s="152">
        <f>SUMIF($I:$I,I470,$EC:$EC)</f>
        <v>0</v>
      </c>
      <c r="EP470" s="151">
        <f>SUMIF($I:$I,I470,$ED:$ED)</f>
        <v>0</v>
      </c>
      <c r="EQ470" s="153"/>
      <c r="ER470" s="153"/>
      <c r="ES470" s="153"/>
      <c r="ET470" s="153"/>
      <c r="EU470" s="152">
        <f t="shared" si="416"/>
        <v>156</v>
      </c>
      <c r="EV470" s="152">
        <f t="shared" si="417"/>
        <v>3688.8</v>
      </c>
      <c r="EW470" s="152">
        <f t="shared" si="418"/>
        <v>2</v>
      </c>
      <c r="EX470" s="152">
        <f t="shared" si="419"/>
        <v>-544.60000000000036</v>
      </c>
      <c r="EY470" s="151" t="str">
        <f t="shared" si="420"/>
        <v>Thiếu</v>
      </c>
    </row>
    <row r="471" spans="1:155" s="155" customFormat="1" ht="14" hidden="1" customHeight="1">
      <c r="A471" s="208" t="str">
        <f t="shared" si="392"/>
        <v>ok</v>
      </c>
      <c r="B471" s="154"/>
      <c r="C471" s="154"/>
      <c r="D471" s="154"/>
      <c r="E471" s="154"/>
      <c r="F471" s="344"/>
      <c r="G471" s="703"/>
      <c r="H471" s="703"/>
      <c r="I471" s="254" t="s">
        <v>1041</v>
      </c>
      <c r="J471" s="254" t="s">
        <v>267</v>
      </c>
      <c r="K471" s="253" t="s">
        <v>307</v>
      </c>
      <c r="L471" s="261" t="s">
        <v>399</v>
      </c>
      <c r="M471" s="256" t="s">
        <v>61</v>
      </c>
      <c r="N471" s="259"/>
      <c r="O471" s="191"/>
      <c r="P471" s="190"/>
      <c r="AO471" s="234"/>
      <c r="AP471" s="193"/>
      <c r="AQ471" s="193"/>
      <c r="AR471" s="193"/>
      <c r="AS471" s="193"/>
      <c r="AT471" s="193"/>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162"/>
      <c r="CN471" s="162"/>
      <c r="CO471" s="162"/>
      <c r="CP471" s="162"/>
      <c r="CQ471" s="162"/>
      <c r="CR471" s="162"/>
      <c r="CS471" s="209"/>
      <c r="CT471" s="209"/>
      <c r="CU471" s="257"/>
      <c r="CV471" s="156"/>
      <c r="DA471" s="152"/>
      <c r="DB471" s="152"/>
      <c r="DC471" s="158"/>
      <c r="DD471" s="187" t="s">
        <v>2182</v>
      </c>
      <c r="DE471" s="156" t="s">
        <v>1901</v>
      </c>
      <c r="DF471" s="506" t="s">
        <v>2187</v>
      </c>
      <c r="DG471" s="186"/>
      <c r="DH471" s="505">
        <v>1699</v>
      </c>
      <c r="DI471" s="187">
        <v>45972</v>
      </c>
      <c r="DJ471" s="1005">
        <v>72</v>
      </c>
      <c r="DK471" s="505">
        <v>1699</v>
      </c>
      <c r="DL471" s="505">
        <v>17545.45</v>
      </c>
      <c r="DM471" s="181">
        <f>DL471*DK471*(1+DN471)</f>
        <v>32790691.505000003</v>
      </c>
      <c r="DN471" s="446">
        <v>0.1</v>
      </c>
      <c r="DO471" s="240">
        <f>DL471*DK471</f>
        <v>29809719.550000001</v>
      </c>
      <c r="DP471" s="159">
        <v>45976</v>
      </c>
      <c r="DQ471" s="152"/>
      <c r="DR471" s="152"/>
      <c r="EO471" s="152"/>
      <c r="EP471" s="151"/>
      <c r="EQ471" s="153"/>
      <c r="ER471" s="153"/>
      <c r="ES471" s="153"/>
      <c r="ET471" s="153"/>
      <c r="EU471" s="152"/>
      <c r="EV471" s="152"/>
      <c r="EW471" s="152"/>
      <c r="EX471" s="152"/>
      <c r="EY471" s="151"/>
    </row>
    <row r="472" spans="1:155" s="155" customFormat="1" ht="14" hidden="1" customHeight="1">
      <c r="A472" s="208" t="str">
        <f t="shared" si="392"/>
        <v>ok</v>
      </c>
      <c r="B472" s="154"/>
      <c r="C472" s="154"/>
      <c r="D472" s="154"/>
      <c r="E472" s="154"/>
      <c r="F472" s="344" t="s">
        <v>1728</v>
      </c>
      <c r="G472" s="703"/>
      <c r="H472" s="703"/>
      <c r="I472" s="254" t="s">
        <v>1041</v>
      </c>
      <c r="J472" s="254" t="s">
        <v>267</v>
      </c>
      <c r="K472" s="253" t="s">
        <v>307</v>
      </c>
      <c r="L472" s="261" t="s">
        <v>399</v>
      </c>
      <c r="M472" s="256" t="s">
        <v>61</v>
      </c>
      <c r="N472" s="259"/>
      <c r="O472" s="191"/>
      <c r="P472" s="190"/>
      <c r="AO472" s="234"/>
      <c r="AP472" s="193"/>
      <c r="AQ472" s="193"/>
      <c r="AR472" s="193"/>
      <c r="AS472" s="193"/>
      <c r="AT472" s="193"/>
      <c r="AU472" s="162"/>
      <c r="AV472" s="162"/>
      <c r="AW472" s="162"/>
      <c r="AX472" s="162"/>
      <c r="AY472" s="162"/>
      <c r="AZ472" s="162"/>
      <c r="BA472" s="162"/>
      <c r="BB472" s="162"/>
      <c r="BC472" s="162"/>
      <c r="BD472" s="162"/>
      <c r="BE472" s="162"/>
      <c r="BF472" s="162"/>
      <c r="BG472" s="162"/>
      <c r="BH472" s="162"/>
      <c r="BI472" s="162"/>
      <c r="BJ472" s="162"/>
      <c r="BK472" s="162"/>
      <c r="BL472" s="162"/>
      <c r="BM472" s="162"/>
      <c r="BN472" s="162"/>
      <c r="BO472" s="162"/>
      <c r="BP472" s="162"/>
      <c r="BQ472" s="162"/>
      <c r="BR472" s="162"/>
      <c r="BS472" s="162"/>
      <c r="BT472" s="162"/>
      <c r="BU472" s="162"/>
      <c r="BV472" s="162"/>
      <c r="BW472" s="162"/>
      <c r="BX472" s="162"/>
      <c r="BY472" s="162"/>
      <c r="BZ472" s="162"/>
      <c r="CA472" s="162"/>
      <c r="CB472" s="162"/>
      <c r="CC472" s="162"/>
      <c r="CD472" s="162"/>
      <c r="CE472" s="162"/>
      <c r="CF472" s="162"/>
      <c r="CG472" s="162"/>
      <c r="CH472" s="162"/>
      <c r="CI472" s="162"/>
      <c r="CJ472" s="162"/>
      <c r="CK472" s="162"/>
      <c r="CL472" s="162"/>
      <c r="CM472" s="162"/>
      <c r="CN472" s="162"/>
      <c r="CO472" s="162"/>
      <c r="CP472" s="162"/>
      <c r="CQ472" s="162"/>
      <c r="CR472" s="162"/>
      <c r="CS472" s="209"/>
      <c r="CT472" s="209"/>
      <c r="CU472" s="257"/>
      <c r="CV472" s="156"/>
      <c r="DA472" s="152"/>
      <c r="DB472" s="152"/>
      <c r="DC472" s="158"/>
      <c r="DD472" s="158" t="s">
        <v>374</v>
      </c>
      <c r="DE472" s="156" t="s">
        <v>1511</v>
      </c>
      <c r="DF472" s="705" t="s">
        <v>1675</v>
      </c>
      <c r="DG472" s="186"/>
      <c r="DH472" s="240">
        <v>1133</v>
      </c>
      <c r="DI472" s="187" t="s">
        <v>374</v>
      </c>
      <c r="DJ472" s="429">
        <v>48</v>
      </c>
      <c r="DK472" s="240">
        <v>1133</v>
      </c>
      <c r="DL472" s="189">
        <f>19300/1.1</f>
        <v>17545.454545454544</v>
      </c>
      <c r="DM472" s="181">
        <f t="shared" si="421"/>
        <v>21866900</v>
      </c>
      <c r="DN472" s="446">
        <f t="shared" si="422"/>
        <v>0.1</v>
      </c>
      <c r="DO472" s="281">
        <f t="shared" si="423"/>
        <v>19879000</v>
      </c>
      <c r="DP472" s="159">
        <v>45954</v>
      </c>
      <c r="DQ472" s="152">
        <f>SUMIF($I:$I,I472,$DJ:$DJ)</f>
        <v>156</v>
      </c>
      <c r="DR472" s="152"/>
      <c r="EO472" s="152"/>
      <c r="EP472" s="151"/>
      <c r="EQ472" s="153"/>
      <c r="ER472" s="153"/>
      <c r="ES472" s="153"/>
      <c r="ET472" s="153"/>
      <c r="EU472" s="152"/>
      <c r="EV472" s="152"/>
      <c r="EW472" s="152"/>
      <c r="EX472" s="152"/>
      <c r="EY472" s="151"/>
    </row>
    <row r="473" spans="1:155" s="155" customFormat="1" ht="14" hidden="1" customHeight="1">
      <c r="A473" s="208" t="str">
        <f t="shared" si="392"/>
        <v>Hiện</v>
      </c>
      <c r="B473" s="154" t="str">
        <f>EY473</f>
        <v>Thừa</v>
      </c>
      <c r="C473" s="154">
        <f t="shared" si="405"/>
        <v>-4.7347479999999678</v>
      </c>
      <c r="D473" s="154"/>
      <c r="E473" s="154"/>
      <c r="F473" s="344" t="s">
        <v>1728</v>
      </c>
      <c r="G473" s="703" t="s">
        <v>1305</v>
      </c>
      <c r="H473" s="703" t="s">
        <v>1305</v>
      </c>
      <c r="I473" s="253" t="s">
        <v>1042</v>
      </c>
      <c r="J473" s="254" t="s">
        <v>267</v>
      </c>
      <c r="K473" s="253" t="s">
        <v>1043</v>
      </c>
      <c r="L473" s="261" t="s">
        <v>399</v>
      </c>
      <c r="M473" s="256" t="s">
        <v>61</v>
      </c>
      <c r="N473" s="259">
        <v>35.6</v>
      </c>
      <c r="O473" s="191">
        <v>159.30024</v>
      </c>
      <c r="P473" s="190">
        <v>5570.72</v>
      </c>
      <c r="AO473" s="234">
        <v>167.265252</v>
      </c>
      <c r="AP473" s="193">
        <v>5954.6429711999999</v>
      </c>
      <c r="AQ473" s="193">
        <v>0</v>
      </c>
      <c r="AR473" s="193">
        <v>0</v>
      </c>
      <c r="AS473" s="193">
        <v>0</v>
      </c>
      <c r="AT473" s="193">
        <v>0</v>
      </c>
      <c r="AU473" s="162">
        <v>0</v>
      </c>
      <c r="AV473" s="162">
        <v>0</v>
      </c>
      <c r="AW473" s="162">
        <v>0</v>
      </c>
      <c r="AX473" s="162">
        <v>0</v>
      </c>
      <c r="AY473" s="162">
        <v>0</v>
      </c>
      <c r="AZ473" s="162">
        <v>0</v>
      </c>
      <c r="BA473" s="162"/>
      <c r="BB473" s="162"/>
      <c r="BC473" s="162">
        <v>0</v>
      </c>
      <c r="BD473" s="162">
        <v>0</v>
      </c>
      <c r="BE473" s="162">
        <v>0</v>
      </c>
      <c r="BF473" s="162">
        <v>0</v>
      </c>
      <c r="BG473" s="162">
        <v>0</v>
      </c>
      <c r="BH473" s="162">
        <v>0</v>
      </c>
      <c r="BI473" s="162">
        <v>0</v>
      </c>
      <c r="BJ473" s="162">
        <v>0</v>
      </c>
      <c r="BK473" s="162">
        <v>0</v>
      </c>
      <c r="BL473" s="162">
        <v>0</v>
      </c>
      <c r="BM473" s="162">
        <v>0</v>
      </c>
      <c r="BN473" s="162">
        <v>0</v>
      </c>
      <c r="BO473" s="162"/>
      <c r="BP473" s="162"/>
      <c r="BQ473" s="162">
        <v>140</v>
      </c>
      <c r="BR473" s="162">
        <v>4984</v>
      </c>
      <c r="BS473" s="162">
        <v>0</v>
      </c>
      <c r="BT473" s="162">
        <v>0</v>
      </c>
      <c r="BU473" s="162">
        <v>0</v>
      </c>
      <c r="BV473" s="162">
        <v>0</v>
      </c>
      <c r="BW473" s="162"/>
      <c r="BX473" s="162"/>
      <c r="BY473" s="162">
        <v>0</v>
      </c>
      <c r="BZ473" s="162">
        <v>0</v>
      </c>
      <c r="CA473" s="162">
        <v>0</v>
      </c>
      <c r="CB473" s="162">
        <v>0</v>
      </c>
      <c r="CC473" s="162">
        <v>0</v>
      </c>
      <c r="CD473" s="162">
        <v>0</v>
      </c>
      <c r="CE473" s="162">
        <f>VLOOKUP(I473,[120]REV33!$A:$O,11,0)</f>
        <v>0</v>
      </c>
      <c r="CF473" s="162">
        <f>VLOOKUP(I473,[120]REV33!$A:$O,12,0)</f>
        <v>0</v>
      </c>
      <c r="CG473" s="162"/>
      <c r="CH473" s="162"/>
      <c r="CI473" s="162"/>
      <c r="CJ473" s="162"/>
      <c r="CK473" s="162"/>
      <c r="CL473" s="162"/>
      <c r="CM473" s="162"/>
      <c r="CN473" s="162"/>
      <c r="CO473" s="162">
        <v>0</v>
      </c>
      <c r="CP473" s="162">
        <v>0</v>
      </c>
      <c r="CQ473" s="162">
        <v>0</v>
      </c>
      <c r="CR473" s="162">
        <v>0</v>
      </c>
      <c r="CS473" s="209">
        <f>Q473+S473+U473+W473+Y473+AA473+AC473+AE473+AG473+AI473+AK473+AM473+AO473+AQ473+AS473+AU473+AW473+AY473+BA473+BC473+BE473+BG473+BI473+BK473+BM473+BO473+BQ473+BS473+BU473+BW473+BY473+CA473+CC473+CE473+CG473+CI473+CK473+CM473+CO473+CQ473</f>
        <v>307.26525200000003</v>
      </c>
      <c r="CT473" s="209">
        <f>R473+T473+V473+X473+Z473+AB473+AD473+AF473+AH473+AJ473+AL473+AN473+AP473+AR473+AT473+AV473+AX473+AZ473+BB473+BD473+BF473+BH473+BJ473+BL473+BN473+BP473+BR473+BT473+BV473+BX473+BZ473+CB473+CD473+CF473+CH473+CJ473+CL473+CN473+CP473+CR473</f>
        <v>10938.642971199999</v>
      </c>
      <c r="CU473" s="257" t="s">
        <v>1892</v>
      </c>
      <c r="CV473" s="156"/>
      <c r="CW473" s="155">
        <v>12</v>
      </c>
      <c r="CX473" s="155">
        <f>CW473*N473</f>
        <v>427.20000000000005</v>
      </c>
      <c r="CY473" s="155" t="s">
        <v>383</v>
      </c>
      <c r="DA473" s="152">
        <f>IF(CS473&gt;CW473,CS473-CW473,"0")</f>
        <v>295.26525200000003</v>
      </c>
      <c r="DB473" s="152">
        <f>IF(CT473&gt;CX473,CT473-CX473,"0")</f>
        <v>10511.442971199998</v>
      </c>
      <c r="DC473" s="158"/>
      <c r="DD473" s="187" t="s">
        <v>1692</v>
      </c>
      <c r="DE473" s="156" t="s">
        <v>45</v>
      </c>
      <c r="DF473" s="705" t="s">
        <v>1416</v>
      </c>
      <c r="DG473" s="186"/>
      <c r="DH473" s="156">
        <v>7185.6</v>
      </c>
      <c r="DI473" s="187">
        <v>45904</v>
      </c>
      <c r="DJ473" s="429">
        <v>144</v>
      </c>
      <c r="DK473" s="240">
        <v>7185.6</v>
      </c>
      <c r="DL473" s="280">
        <v>17636.36</v>
      </c>
      <c r="DM473" s="181">
        <f t="shared" si="421"/>
        <v>139400611.25760001</v>
      </c>
      <c r="DN473" s="446">
        <f t="shared" si="422"/>
        <v>0.1</v>
      </c>
      <c r="DO473" s="281">
        <f t="shared" si="423"/>
        <v>126727828.41600001</v>
      </c>
      <c r="DP473" s="159">
        <v>45907</v>
      </c>
      <c r="DQ473" s="152">
        <f>SUMIF($I:$I,I473,$DJ:$DJ)</f>
        <v>300</v>
      </c>
      <c r="DR473" s="152">
        <f>SUMIF($I:$I,I473,$DK:$DK)</f>
        <v>14970.4</v>
      </c>
      <c r="EO473" s="152">
        <f>SUMIF($I:$I,I473,$EC:$EC)</f>
        <v>0</v>
      </c>
      <c r="EP473" s="151">
        <f>SUMIF($I:$I,I473,$ED:$ED)</f>
        <v>0</v>
      </c>
      <c r="EQ473" s="153"/>
      <c r="ER473" s="153"/>
      <c r="ES473" s="153"/>
      <c r="ET473" s="153"/>
      <c r="EU473" s="152">
        <f>DQ473+EO473</f>
        <v>300</v>
      </c>
      <c r="EV473" s="152">
        <f>DR473+EP473</f>
        <v>14970.4</v>
      </c>
      <c r="EW473" s="152">
        <f t="shared" ref="EW473" si="424">DA473-EU473</f>
        <v>-4.7347479999999678</v>
      </c>
      <c r="EX473" s="152">
        <f t="shared" ref="EX473" si="425">DB473-EV473</f>
        <v>-4458.9570288000014</v>
      </c>
      <c r="EY473" s="151" t="str">
        <f>IF(EW473&lt;0,"Thừa",IF(EW473=0,"Đủ","Thiếu"))</f>
        <v>Thừa</v>
      </c>
    </row>
    <row r="474" spans="1:155" s="155" customFormat="1" ht="14" hidden="1" customHeight="1">
      <c r="A474" s="208" t="str">
        <f t="shared" si="392"/>
        <v>ok</v>
      </c>
      <c r="B474" s="154"/>
      <c r="C474" s="154"/>
      <c r="D474" s="154"/>
      <c r="E474" s="154"/>
      <c r="F474" s="344"/>
      <c r="G474" s="703"/>
      <c r="H474" s="703"/>
      <c r="I474" s="253" t="s">
        <v>1042</v>
      </c>
      <c r="J474" s="254" t="s">
        <v>267</v>
      </c>
      <c r="K474" s="253" t="s">
        <v>1043</v>
      </c>
      <c r="L474" s="261" t="s">
        <v>399</v>
      </c>
      <c r="M474" s="256" t="s">
        <v>61</v>
      </c>
      <c r="N474" s="259"/>
      <c r="O474" s="191"/>
      <c r="P474" s="190"/>
      <c r="AO474" s="234"/>
      <c r="AP474" s="193"/>
      <c r="AQ474" s="193"/>
      <c r="AR474" s="193"/>
      <c r="AS474" s="193"/>
      <c r="AT474" s="193"/>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2"/>
      <c r="CE474" s="162"/>
      <c r="CF474" s="162"/>
      <c r="CG474" s="162"/>
      <c r="CH474" s="162"/>
      <c r="CI474" s="162"/>
      <c r="CJ474" s="162"/>
      <c r="CK474" s="162"/>
      <c r="CL474" s="162"/>
      <c r="CM474" s="162"/>
      <c r="CN474" s="162"/>
      <c r="CO474" s="162"/>
      <c r="CP474" s="162"/>
      <c r="CQ474" s="162"/>
      <c r="CR474" s="162"/>
      <c r="CS474" s="209"/>
      <c r="CT474" s="209"/>
      <c r="CU474" s="257"/>
      <c r="CV474" s="156"/>
      <c r="DA474" s="152"/>
      <c r="DB474" s="152"/>
      <c r="DC474" s="158"/>
      <c r="DD474" s="187" t="s">
        <v>2182</v>
      </c>
      <c r="DE474" s="156" t="s">
        <v>1901</v>
      </c>
      <c r="DF474" s="506" t="s">
        <v>2188</v>
      </c>
      <c r="DG474" s="186"/>
      <c r="DH474" s="505">
        <v>7186</v>
      </c>
      <c r="DI474" s="187">
        <v>45972</v>
      </c>
      <c r="DJ474" s="1005">
        <v>144</v>
      </c>
      <c r="DK474" s="505">
        <v>7186</v>
      </c>
      <c r="DL474" s="505">
        <v>17545.45</v>
      </c>
      <c r="DM474" s="181">
        <f>DL474*DK474*(1+DN474)</f>
        <v>138689764.07000002</v>
      </c>
      <c r="DN474" s="446">
        <v>0.1</v>
      </c>
      <c r="DO474" s="240">
        <f>DL474*DK474</f>
        <v>126081603.7</v>
      </c>
      <c r="DP474" s="159">
        <v>45976</v>
      </c>
      <c r="DQ474" s="152"/>
      <c r="DR474" s="152"/>
      <c r="EO474" s="152"/>
      <c r="EP474" s="151"/>
      <c r="EQ474" s="153"/>
      <c r="ER474" s="153"/>
      <c r="ES474" s="153"/>
      <c r="ET474" s="153"/>
      <c r="EU474" s="152"/>
      <c r="EV474" s="152"/>
      <c r="EW474" s="152"/>
      <c r="EX474" s="152"/>
      <c r="EY474" s="151"/>
    </row>
    <row r="475" spans="1:155" s="155" customFormat="1" ht="14" hidden="1" customHeight="1">
      <c r="A475" s="208" t="str">
        <f t="shared" si="392"/>
        <v>ok</v>
      </c>
      <c r="B475" s="154"/>
      <c r="C475" s="154"/>
      <c r="D475" s="154"/>
      <c r="E475" s="154"/>
      <c r="F475" s="344" t="s">
        <v>1728</v>
      </c>
      <c r="G475" s="703"/>
      <c r="H475" s="703"/>
      <c r="I475" s="253" t="s">
        <v>1042</v>
      </c>
      <c r="J475" s="254" t="s">
        <v>267</v>
      </c>
      <c r="K475" s="253" t="s">
        <v>1043</v>
      </c>
      <c r="L475" s="261" t="s">
        <v>399</v>
      </c>
      <c r="M475" s="256" t="s">
        <v>61</v>
      </c>
      <c r="N475" s="259"/>
      <c r="O475" s="191"/>
      <c r="P475" s="190"/>
      <c r="AO475" s="234"/>
      <c r="AP475" s="193"/>
      <c r="AQ475" s="193"/>
      <c r="AR475" s="193"/>
      <c r="AS475" s="193"/>
      <c r="AT475" s="193"/>
      <c r="AU475" s="162"/>
      <c r="AV475" s="162"/>
      <c r="AW475" s="162"/>
      <c r="AX475" s="162"/>
      <c r="AY475" s="162"/>
      <c r="AZ475" s="162"/>
      <c r="BA475" s="162"/>
      <c r="BB475" s="162"/>
      <c r="BC475" s="162"/>
      <c r="BD475" s="162"/>
      <c r="BE475" s="162"/>
      <c r="BF475" s="162"/>
      <c r="BG475" s="162"/>
      <c r="BH475" s="162"/>
      <c r="BI475" s="162"/>
      <c r="BJ475" s="162"/>
      <c r="BK475" s="162"/>
      <c r="BL475" s="162"/>
      <c r="BM475" s="162"/>
      <c r="BN475" s="162"/>
      <c r="BO475" s="162"/>
      <c r="BP475" s="162"/>
      <c r="BQ475" s="162"/>
      <c r="BR475" s="162"/>
      <c r="BS475" s="162"/>
      <c r="BT475" s="162"/>
      <c r="BU475" s="162"/>
      <c r="BV475" s="162"/>
      <c r="BW475" s="162"/>
      <c r="BX475" s="162"/>
      <c r="BY475" s="162"/>
      <c r="BZ475" s="162"/>
      <c r="CA475" s="162"/>
      <c r="CB475" s="162"/>
      <c r="CC475" s="162"/>
      <c r="CD475" s="162"/>
      <c r="CE475" s="162"/>
      <c r="CF475" s="162"/>
      <c r="CG475" s="162"/>
      <c r="CH475" s="162"/>
      <c r="CI475" s="162"/>
      <c r="CJ475" s="162"/>
      <c r="CK475" s="162"/>
      <c r="CL475" s="162"/>
      <c r="CM475" s="162"/>
      <c r="CN475" s="162"/>
      <c r="CO475" s="162"/>
      <c r="CP475" s="162"/>
      <c r="CQ475" s="162"/>
      <c r="CR475" s="162"/>
      <c r="CS475" s="209"/>
      <c r="CT475" s="209"/>
      <c r="CU475" s="257"/>
      <c r="CV475" s="156"/>
      <c r="DA475" s="152"/>
      <c r="DB475" s="152"/>
      <c r="DC475" s="158"/>
      <c r="DD475" s="158" t="s">
        <v>1693</v>
      </c>
      <c r="DE475" s="156" t="s">
        <v>45</v>
      </c>
      <c r="DF475" s="213" t="s">
        <v>1459</v>
      </c>
      <c r="DG475" s="186"/>
      <c r="DH475" s="156">
        <v>598.79999999999995</v>
      </c>
      <c r="DI475" s="187">
        <v>45908</v>
      </c>
      <c r="DJ475" s="429">
        <v>12</v>
      </c>
      <c r="DK475" s="240">
        <v>598.79999999999995</v>
      </c>
      <c r="DL475" s="189">
        <v>17636.36</v>
      </c>
      <c r="DM475" s="181">
        <f t="shared" si="421"/>
        <v>11616717.604799999</v>
      </c>
      <c r="DN475" s="446">
        <f t="shared" si="422"/>
        <v>0.10000000000000002</v>
      </c>
      <c r="DO475" s="160">
        <f t="shared" si="423"/>
        <v>10560652.367999999</v>
      </c>
      <c r="DP475" s="159">
        <v>45910</v>
      </c>
      <c r="DQ475" s="152"/>
      <c r="DR475" s="152"/>
      <c r="EO475" s="152"/>
      <c r="EP475" s="151"/>
      <c r="EQ475" s="158"/>
      <c r="ER475" s="158"/>
      <c r="ES475" s="158"/>
      <c r="ET475" s="158"/>
      <c r="EU475" s="152"/>
      <c r="EV475" s="152"/>
      <c r="EW475" s="152"/>
      <c r="EX475" s="152"/>
      <c r="EY475" s="151"/>
    </row>
    <row r="476" spans="1:155" s="155" customFormat="1" ht="13" hidden="1" customHeight="1">
      <c r="A476" s="208" t="str">
        <f t="shared" si="392"/>
        <v>Hiện</v>
      </c>
      <c r="B476" s="151" t="str">
        <f>CONCATENATE(EY476," bù C15 sang")</f>
        <v>Thiếu bù C15 sang</v>
      </c>
      <c r="C476" s="154">
        <f t="shared" si="405"/>
        <v>2.2531999999999925</v>
      </c>
      <c r="D476" s="154"/>
      <c r="E476" s="154" t="s">
        <v>1306</v>
      </c>
      <c r="F476" s="344" t="s">
        <v>1728</v>
      </c>
      <c r="G476" s="703" t="s">
        <v>1306</v>
      </c>
      <c r="H476" s="703" t="s">
        <v>1306</v>
      </c>
      <c r="I476" s="253" t="s">
        <v>1044</v>
      </c>
      <c r="J476" s="254" t="s">
        <v>267</v>
      </c>
      <c r="K476" s="253" t="s">
        <v>1045</v>
      </c>
      <c r="L476" s="261" t="s">
        <v>399</v>
      </c>
      <c r="M476" s="256" t="s">
        <v>61</v>
      </c>
      <c r="N476" s="259">
        <v>50.5</v>
      </c>
      <c r="O476" s="191">
        <v>215.38400000000001</v>
      </c>
      <c r="P476" s="190">
        <v>10872.240000000002</v>
      </c>
      <c r="AO476" s="234">
        <v>226.15320000000003</v>
      </c>
      <c r="AP476" s="193">
        <v>11420.736600000002</v>
      </c>
      <c r="AQ476" s="193">
        <v>0</v>
      </c>
      <c r="AR476" s="193">
        <v>0</v>
      </c>
      <c r="AS476" s="193">
        <v>0</v>
      </c>
      <c r="AT476" s="193">
        <v>0</v>
      </c>
      <c r="AU476" s="162">
        <v>-75</v>
      </c>
      <c r="AV476" s="162">
        <v>-3787.5</v>
      </c>
      <c r="AW476" s="162">
        <v>0</v>
      </c>
      <c r="AX476" s="162">
        <v>0</v>
      </c>
      <c r="AY476" s="162">
        <v>0</v>
      </c>
      <c r="AZ476" s="162">
        <v>0</v>
      </c>
      <c r="BA476" s="162"/>
      <c r="BB476" s="162"/>
      <c r="BC476" s="162">
        <v>0</v>
      </c>
      <c r="BD476" s="162">
        <v>0</v>
      </c>
      <c r="BE476" s="162">
        <v>0</v>
      </c>
      <c r="BF476" s="162">
        <v>0</v>
      </c>
      <c r="BG476" s="162">
        <v>0</v>
      </c>
      <c r="BH476" s="162">
        <v>0</v>
      </c>
      <c r="BI476" s="162">
        <v>0</v>
      </c>
      <c r="BJ476" s="162">
        <v>0</v>
      </c>
      <c r="BK476" s="162">
        <v>0</v>
      </c>
      <c r="BL476" s="162">
        <v>0</v>
      </c>
      <c r="BM476" s="162">
        <v>0</v>
      </c>
      <c r="BN476" s="162">
        <v>0</v>
      </c>
      <c r="BO476" s="162"/>
      <c r="BP476" s="162"/>
      <c r="BQ476" s="162">
        <v>0</v>
      </c>
      <c r="BR476" s="162">
        <v>0</v>
      </c>
      <c r="BS476" s="162">
        <v>109.1</v>
      </c>
      <c r="BT476" s="162">
        <v>5509.5499999999993</v>
      </c>
      <c r="BU476" s="162">
        <v>0</v>
      </c>
      <c r="BV476" s="162">
        <v>0</v>
      </c>
      <c r="BW476" s="162"/>
      <c r="BX476" s="162"/>
      <c r="BY476" s="162">
        <v>0</v>
      </c>
      <c r="BZ476" s="162">
        <v>0</v>
      </c>
      <c r="CA476" s="162">
        <v>0</v>
      </c>
      <c r="CB476" s="162">
        <v>0</v>
      </c>
      <c r="CC476" s="162">
        <v>0</v>
      </c>
      <c r="CD476" s="162">
        <v>0</v>
      </c>
      <c r="CE476" s="162">
        <f>VLOOKUP(I476,[120]REV33!$A:$O,11,0)</f>
        <v>0</v>
      </c>
      <c r="CF476" s="162">
        <f>VLOOKUP(I476,[120]REV33!$A:$O,12,0)</f>
        <v>0</v>
      </c>
      <c r="CG476" s="162"/>
      <c r="CH476" s="162"/>
      <c r="CI476" s="162"/>
      <c r="CJ476" s="162"/>
      <c r="CK476" s="162"/>
      <c r="CL476" s="162"/>
      <c r="CM476" s="162"/>
      <c r="CN476" s="162"/>
      <c r="CO476" s="162">
        <v>0</v>
      </c>
      <c r="CP476" s="162">
        <v>0</v>
      </c>
      <c r="CQ476" s="162">
        <v>0</v>
      </c>
      <c r="CR476" s="162">
        <v>0</v>
      </c>
      <c r="CS476" s="209">
        <f>Q476+S476+U476+W476+Y476+AA476+AC476+AE476+AG476+AI476+AK476+AM476+AO476+AQ476+AS476+AU476+AW476+AY476+BA476+BC476+BE476+BG476+BI476+BK476+BM476+BO476+BQ476+BS476+BU476+BW476+BY476+CA476+CC476+CE476+CG476+CI476+CK476+CM476+CO476+CQ476</f>
        <v>260.25319999999999</v>
      </c>
      <c r="CT476" s="209">
        <f>R476+T476+V476+X476+Z476+AB476+AD476+AF476+AH476+AJ476+AL476+AN476+AP476+AR476+AT476+AV476+AX476+AZ476+BB476+BD476+BF476+BH476+BJ476+BL476+BN476+BP476+BR476+BT476+BV476+BX476+BZ476+CB476+CD476+CF476+CH476+CJ476+CL476+CN476+CP476+CR476</f>
        <v>13142.786600000001</v>
      </c>
      <c r="CU476" s="257" t="s">
        <v>2055</v>
      </c>
      <c r="CV476" s="156"/>
      <c r="CW476" s="155">
        <v>18</v>
      </c>
      <c r="CX476" s="155">
        <f>CW476*N476</f>
        <v>909</v>
      </c>
      <c r="CY476" s="155" t="s">
        <v>383</v>
      </c>
      <c r="DA476" s="152">
        <f>IF(CS476&gt;CW476,CS476-CW476,"0")</f>
        <v>242.25319999999999</v>
      </c>
      <c r="DB476" s="152">
        <f>IF(CT476&gt;CX476,CT476-CX476,"0")</f>
        <v>12233.786600000001</v>
      </c>
      <c r="DC476" s="158"/>
      <c r="DD476" s="187" t="s">
        <v>1692</v>
      </c>
      <c r="DE476" s="156" t="s">
        <v>45</v>
      </c>
      <c r="DF476" s="705" t="s">
        <v>1417</v>
      </c>
      <c r="DG476" s="186"/>
      <c r="DH476" s="156">
        <v>6950.4</v>
      </c>
      <c r="DI476" s="187">
        <v>45904</v>
      </c>
      <c r="DJ476" s="429">
        <v>96</v>
      </c>
      <c r="DK476" s="240">
        <v>6950.4</v>
      </c>
      <c r="DL476" s="280">
        <v>17636.36</v>
      </c>
      <c r="DM476" s="181">
        <f t="shared" si="421"/>
        <v>134837732.19840002</v>
      </c>
      <c r="DN476" s="446">
        <f t="shared" si="422"/>
        <v>0.10000000000000017</v>
      </c>
      <c r="DO476" s="281">
        <f t="shared" si="423"/>
        <v>122579756.544</v>
      </c>
      <c r="DP476" s="159">
        <v>45907</v>
      </c>
      <c r="DQ476" s="152">
        <f>SUMIF($I:$I,I476,$DJ:$DJ)</f>
        <v>240</v>
      </c>
      <c r="DR476" s="152">
        <f>SUMIF($I:$I,I476,$DK:$DK)</f>
        <v>17304</v>
      </c>
      <c r="EO476" s="152">
        <f>SUMIF($I:$I,I476,$EC:$EC)</f>
        <v>0</v>
      </c>
      <c r="EP476" s="151">
        <f>SUMIF($I:$I,I476,$ED:$ED)</f>
        <v>0</v>
      </c>
      <c r="EQ476" s="153"/>
      <c r="ER476" s="153"/>
      <c r="ES476" s="153"/>
      <c r="ET476" s="153"/>
      <c r="EU476" s="152">
        <f>DQ476+EO476</f>
        <v>240</v>
      </c>
      <c r="EV476" s="152">
        <f>DR476+EP476</f>
        <v>17304</v>
      </c>
      <c r="EW476" s="152">
        <f t="shared" ref="EW476" si="426">DA476-EU476</f>
        <v>2.2531999999999925</v>
      </c>
      <c r="EX476" s="152">
        <f t="shared" ref="EX476" si="427">DB476-EV476</f>
        <v>-5070.2133999999987</v>
      </c>
      <c r="EY476" s="151" t="str">
        <f>IF(EW476&lt;0,"Thừa",IF(EW476=0,"Đủ","Thiếu"))</f>
        <v>Thiếu</v>
      </c>
    </row>
    <row r="477" spans="1:155" s="155" customFormat="1" ht="13" hidden="1" customHeight="1">
      <c r="A477" s="208" t="str">
        <f t="shared" si="392"/>
        <v>ok</v>
      </c>
      <c r="B477" s="151"/>
      <c r="C477" s="154"/>
      <c r="D477" s="154"/>
      <c r="E477" s="154"/>
      <c r="F477" s="344"/>
      <c r="G477" s="703"/>
      <c r="H477" s="703"/>
      <c r="I477" s="253" t="s">
        <v>1044</v>
      </c>
      <c r="J477" s="254" t="s">
        <v>267</v>
      </c>
      <c r="K477" s="253" t="s">
        <v>1045</v>
      </c>
      <c r="L477" s="261" t="s">
        <v>399</v>
      </c>
      <c r="M477" s="256" t="s">
        <v>61</v>
      </c>
      <c r="N477" s="259"/>
      <c r="O477" s="191"/>
      <c r="P477" s="190"/>
      <c r="AO477" s="234"/>
      <c r="AP477" s="193"/>
      <c r="AQ477" s="193"/>
      <c r="AR477" s="193"/>
      <c r="AS477" s="193"/>
      <c r="AT477" s="193"/>
      <c r="AU477" s="162"/>
      <c r="AV477" s="162"/>
      <c r="AW477" s="162"/>
      <c r="AX477" s="162"/>
      <c r="AY477" s="162"/>
      <c r="AZ477" s="162"/>
      <c r="BA477" s="162"/>
      <c r="BB477" s="162"/>
      <c r="BC477" s="162"/>
      <c r="BD477" s="162"/>
      <c r="BE477" s="162"/>
      <c r="BF477" s="162"/>
      <c r="BG477" s="162"/>
      <c r="BH477" s="162"/>
      <c r="BI477" s="162"/>
      <c r="BJ477" s="162"/>
      <c r="BK477" s="162"/>
      <c r="BL477" s="162"/>
      <c r="BM477" s="162"/>
      <c r="BN477" s="162"/>
      <c r="BO477" s="162"/>
      <c r="BP477" s="162"/>
      <c r="BQ477" s="162"/>
      <c r="BR477" s="162"/>
      <c r="BS477" s="162"/>
      <c r="BT477" s="162"/>
      <c r="BU477" s="162"/>
      <c r="BV477" s="162"/>
      <c r="BW477" s="162"/>
      <c r="BX477" s="162"/>
      <c r="BY477" s="162"/>
      <c r="BZ477" s="162"/>
      <c r="CA477" s="162"/>
      <c r="CB477" s="162"/>
      <c r="CC477" s="162"/>
      <c r="CD477" s="162"/>
      <c r="CE477" s="162"/>
      <c r="CF477" s="162"/>
      <c r="CG477" s="162"/>
      <c r="CH477" s="162"/>
      <c r="CI477" s="162"/>
      <c r="CJ477" s="162"/>
      <c r="CK477" s="162"/>
      <c r="CL477" s="162"/>
      <c r="CM477" s="162"/>
      <c r="CN477" s="162"/>
      <c r="CO477" s="162"/>
      <c r="CP477" s="162"/>
      <c r="CQ477" s="162"/>
      <c r="CR477" s="162"/>
      <c r="CS477" s="209"/>
      <c r="CT477" s="209"/>
      <c r="CU477" s="257"/>
      <c r="CV477" s="156"/>
      <c r="DA477" s="152"/>
      <c r="DB477" s="152"/>
      <c r="DC477" s="158"/>
      <c r="DD477" s="377" t="s">
        <v>2175</v>
      </c>
      <c r="DE477" s="153" t="s">
        <v>1496</v>
      </c>
      <c r="DF477" s="702" t="s">
        <v>2179</v>
      </c>
      <c r="DG477" s="405" t="s">
        <v>2181</v>
      </c>
      <c r="DH477" s="156"/>
      <c r="DI477" s="153">
        <v>45972</v>
      </c>
      <c r="DJ477" s="228">
        <v>120</v>
      </c>
      <c r="DK477" s="240">
        <v>8616</v>
      </c>
      <c r="DL477" s="280">
        <v>17454.55</v>
      </c>
      <c r="DM477" s="181">
        <f>DL477*DK477*(1+DN477)</f>
        <v>165427243.07999998</v>
      </c>
      <c r="DN477" s="446">
        <v>0.1</v>
      </c>
      <c r="DO477" s="182">
        <f>DK477*DL477</f>
        <v>150388402.79999998</v>
      </c>
      <c r="DP477" s="275">
        <v>45976</v>
      </c>
      <c r="DQ477" s="152"/>
      <c r="DR477" s="152"/>
      <c r="EO477" s="152"/>
      <c r="EP477" s="151"/>
      <c r="EQ477" s="153"/>
      <c r="ER477" s="153"/>
      <c r="ES477" s="153"/>
      <c r="ET477" s="153"/>
      <c r="EU477" s="152"/>
      <c r="EV477" s="152"/>
      <c r="EW477" s="152"/>
      <c r="EX477" s="152"/>
      <c r="EY477" s="151"/>
    </row>
    <row r="478" spans="1:155" s="155" customFormat="1" ht="13" hidden="1" customHeight="1">
      <c r="A478" s="208" t="str">
        <f t="shared" si="392"/>
        <v>ok</v>
      </c>
      <c r="B478" s="154"/>
      <c r="C478" s="154"/>
      <c r="D478" s="154"/>
      <c r="E478" s="154"/>
      <c r="F478" s="344" t="s">
        <v>1728</v>
      </c>
      <c r="G478" s="703"/>
      <c r="H478" s="703"/>
      <c r="I478" s="253" t="s">
        <v>1044</v>
      </c>
      <c r="J478" s="254" t="s">
        <v>267</v>
      </c>
      <c r="K478" s="253" t="s">
        <v>1045</v>
      </c>
      <c r="L478" s="261" t="s">
        <v>399</v>
      </c>
      <c r="M478" s="256" t="s">
        <v>61</v>
      </c>
      <c r="N478" s="259"/>
      <c r="O478" s="191"/>
      <c r="P478" s="190"/>
      <c r="AO478" s="234"/>
      <c r="AP478" s="193"/>
      <c r="AQ478" s="193"/>
      <c r="AR478" s="193"/>
      <c r="AS478" s="193"/>
      <c r="AT478" s="193"/>
      <c r="AU478" s="162"/>
      <c r="AV478" s="162"/>
      <c r="AW478" s="162"/>
      <c r="AX478" s="162"/>
      <c r="AY478" s="162"/>
      <c r="AZ478" s="162"/>
      <c r="BA478" s="162"/>
      <c r="BB478" s="162"/>
      <c r="BC478" s="162"/>
      <c r="BD478" s="162"/>
      <c r="BE478" s="162"/>
      <c r="BF478" s="162"/>
      <c r="BG478" s="162"/>
      <c r="BH478" s="162"/>
      <c r="BI478" s="162"/>
      <c r="BJ478" s="162"/>
      <c r="BK478" s="162"/>
      <c r="BL478" s="162"/>
      <c r="BM478" s="162"/>
      <c r="BN478" s="162"/>
      <c r="BO478" s="162"/>
      <c r="BP478" s="162"/>
      <c r="BQ478" s="162"/>
      <c r="BR478" s="162"/>
      <c r="BS478" s="162"/>
      <c r="BT478" s="162"/>
      <c r="BU478" s="162"/>
      <c r="BV478" s="162"/>
      <c r="BW478" s="162"/>
      <c r="BX478" s="162"/>
      <c r="BY478" s="162"/>
      <c r="BZ478" s="162"/>
      <c r="CA478" s="162"/>
      <c r="CB478" s="162"/>
      <c r="CC478" s="162"/>
      <c r="CD478" s="162"/>
      <c r="CE478" s="162"/>
      <c r="CF478" s="162"/>
      <c r="CG478" s="162"/>
      <c r="CH478" s="162"/>
      <c r="CI478" s="162"/>
      <c r="CJ478" s="162"/>
      <c r="CK478" s="162"/>
      <c r="CL478" s="162"/>
      <c r="CM478" s="162"/>
      <c r="CN478" s="162"/>
      <c r="CO478" s="162"/>
      <c r="CP478" s="162"/>
      <c r="CQ478" s="162"/>
      <c r="CR478" s="162"/>
      <c r="CS478" s="209"/>
      <c r="CT478" s="209"/>
      <c r="CU478" s="257"/>
      <c r="CV478" s="156"/>
      <c r="DA478" s="152"/>
      <c r="DB478" s="152"/>
      <c r="DC478" s="158"/>
      <c r="DD478" s="158" t="s">
        <v>1693</v>
      </c>
      <c r="DE478" s="156" t="s">
        <v>45</v>
      </c>
      <c r="DF478" s="213" t="s">
        <v>1460</v>
      </c>
      <c r="DG478" s="186"/>
      <c r="DH478" s="156">
        <v>1737.6</v>
      </c>
      <c r="DI478" s="187">
        <v>45908</v>
      </c>
      <c r="DJ478" s="429">
        <v>24</v>
      </c>
      <c r="DK478" s="240">
        <v>1737.6</v>
      </c>
      <c r="DL478" s="189">
        <v>17636.36</v>
      </c>
      <c r="DM478" s="181">
        <f t="shared" si="421"/>
        <v>33709433.049600005</v>
      </c>
      <c r="DN478" s="446">
        <f t="shared" si="422"/>
        <v>0.10000000000000017</v>
      </c>
      <c r="DO478" s="160">
        <f t="shared" si="423"/>
        <v>30644939.136</v>
      </c>
      <c r="DP478" s="159">
        <v>45910</v>
      </c>
      <c r="DQ478" s="152"/>
      <c r="DR478" s="152"/>
      <c r="EO478" s="152"/>
      <c r="EP478" s="151"/>
      <c r="EQ478" s="158"/>
      <c r="ER478" s="158"/>
      <c r="ES478" s="158"/>
      <c r="ET478" s="158"/>
      <c r="EU478" s="152"/>
      <c r="EV478" s="152"/>
      <c r="EW478" s="152"/>
      <c r="EX478" s="152"/>
      <c r="EY478" s="151"/>
    </row>
    <row r="479" spans="1:155" s="155" customFormat="1" ht="14" hidden="1" customHeight="1">
      <c r="A479" s="208" t="str">
        <f t="shared" si="392"/>
        <v>Hiện</v>
      </c>
      <c r="B479" s="154" t="str">
        <f>EY479</f>
        <v>Thừa</v>
      </c>
      <c r="C479" s="154">
        <f t="shared" si="405"/>
        <v>-10.32</v>
      </c>
      <c r="D479" s="154"/>
      <c r="E479" s="154"/>
      <c r="F479" s="344" t="s">
        <v>1728</v>
      </c>
      <c r="G479" s="703" t="s">
        <v>1306</v>
      </c>
      <c r="H479" s="703" t="s">
        <v>1306</v>
      </c>
      <c r="I479" s="253" t="s">
        <v>1046</v>
      </c>
      <c r="J479" s="254" t="s">
        <v>267</v>
      </c>
      <c r="K479" s="253" t="s">
        <v>1047</v>
      </c>
      <c r="L479" s="261" t="s">
        <v>399</v>
      </c>
      <c r="M479" s="256" t="s">
        <v>61</v>
      </c>
      <c r="N479" s="259">
        <v>68.099999999999994</v>
      </c>
      <c r="O479" s="191">
        <v>31.6</v>
      </c>
      <c r="P479" s="190">
        <v>2152.2399999999998</v>
      </c>
      <c r="AO479" s="234">
        <v>33.18</v>
      </c>
      <c r="AP479" s="193">
        <v>2259.558</v>
      </c>
      <c r="AQ479" s="193">
        <v>0</v>
      </c>
      <c r="AR479" s="193">
        <v>0</v>
      </c>
      <c r="AS479" s="193">
        <v>0</v>
      </c>
      <c r="AT479" s="193">
        <v>0</v>
      </c>
      <c r="AU479" s="162">
        <v>0</v>
      </c>
      <c r="AV479" s="162">
        <v>0</v>
      </c>
      <c r="AW479" s="162">
        <v>0</v>
      </c>
      <c r="AX479" s="162">
        <v>0</v>
      </c>
      <c r="AY479" s="162">
        <v>0</v>
      </c>
      <c r="AZ479" s="162">
        <v>0</v>
      </c>
      <c r="BA479" s="162"/>
      <c r="BB479" s="162"/>
      <c r="BC479" s="162">
        <v>0</v>
      </c>
      <c r="BD479" s="162">
        <v>0</v>
      </c>
      <c r="BE479" s="162">
        <v>0</v>
      </c>
      <c r="BF479" s="162">
        <v>0</v>
      </c>
      <c r="BG479" s="162">
        <v>0</v>
      </c>
      <c r="BH479" s="162">
        <v>0</v>
      </c>
      <c r="BI479" s="162">
        <v>0</v>
      </c>
      <c r="BJ479" s="162">
        <v>0</v>
      </c>
      <c r="BK479" s="162">
        <v>0</v>
      </c>
      <c r="BL479" s="162">
        <v>0</v>
      </c>
      <c r="BM479" s="162">
        <v>0</v>
      </c>
      <c r="BN479" s="162">
        <v>0</v>
      </c>
      <c r="BO479" s="162"/>
      <c r="BP479" s="162"/>
      <c r="BQ479" s="162">
        <v>28.5</v>
      </c>
      <c r="BR479" s="162">
        <v>1940.85</v>
      </c>
      <c r="BS479" s="162">
        <v>0</v>
      </c>
      <c r="BT479" s="162">
        <v>0</v>
      </c>
      <c r="BU479" s="162">
        <v>0</v>
      </c>
      <c r="BV479" s="162">
        <v>0</v>
      </c>
      <c r="BW479" s="162"/>
      <c r="BX479" s="162"/>
      <c r="BY479" s="162">
        <v>0</v>
      </c>
      <c r="BZ479" s="162">
        <v>0</v>
      </c>
      <c r="CA479" s="162">
        <v>0</v>
      </c>
      <c r="CB479" s="162">
        <v>0</v>
      </c>
      <c r="CC479" s="162">
        <v>0</v>
      </c>
      <c r="CD479" s="162">
        <v>0</v>
      </c>
      <c r="CE479" s="162">
        <f>VLOOKUP(I479,[120]REV33!$A:$O,11,0)</f>
        <v>0</v>
      </c>
      <c r="CF479" s="162">
        <f>VLOOKUP(I479,[120]REV33!$A:$O,12,0)</f>
        <v>0</v>
      </c>
      <c r="CG479" s="162"/>
      <c r="CH479" s="162"/>
      <c r="CI479" s="162"/>
      <c r="CJ479" s="162"/>
      <c r="CK479" s="162"/>
      <c r="CL479" s="162"/>
      <c r="CM479" s="162"/>
      <c r="CN479" s="162"/>
      <c r="CO479" s="162">
        <v>0</v>
      </c>
      <c r="CP479" s="162">
        <v>0</v>
      </c>
      <c r="CQ479" s="162">
        <v>0</v>
      </c>
      <c r="CR479" s="162">
        <v>0</v>
      </c>
      <c r="CS479" s="209">
        <f>Q479+S479+U479+W479+Y479+AA479+AC479+AE479+AG479+AI479+AK479+AM479+AO479+AQ479+AS479+AU479+AW479+AY479+BA479+BC479+BE479+BG479+BI479+BK479+BM479+BO479+BQ479+BS479+BU479+BW479+BY479+CA479+CC479+CE479+CG479+CI479+CK479+CM479+CO479+CQ479</f>
        <v>61.68</v>
      </c>
      <c r="CT479" s="209">
        <f>R479+T479+V479+X479+Z479+AB479+AD479+AF479+AH479+AJ479+AL479+AN479+AP479+AR479+AT479+AV479+AX479+AZ479+BB479+BD479+BF479+BH479+BJ479+BL479+BN479+BP479+BR479+BT479+BV479+BX479+BZ479+CB479+CD479+CF479+CH479+CJ479+CL479+CN479+CP479+CR479</f>
        <v>4200.4079999999994</v>
      </c>
      <c r="CU479" s="257" t="s">
        <v>1892</v>
      </c>
      <c r="CV479" s="156"/>
      <c r="DA479" s="152">
        <f>IF(CS479&gt;CW479,CS479-CW479,"0")</f>
        <v>61.68</v>
      </c>
      <c r="DB479" s="152">
        <f>IF(CT479&gt;CX479,CT479-CX479,"0")</f>
        <v>4200.4079999999994</v>
      </c>
      <c r="DC479" s="158"/>
      <c r="DD479" s="187" t="s">
        <v>1692</v>
      </c>
      <c r="DE479" s="156" t="s">
        <v>45</v>
      </c>
      <c r="DF479" s="705" t="s">
        <v>1418</v>
      </c>
      <c r="DG479" s="186"/>
      <c r="DH479" s="156">
        <v>2606.4</v>
      </c>
      <c r="DI479" s="187">
        <v>45904</v>
      </c>
      <c r="DJ479" s="429">
        <v>36</v>
      </c>
      <c r="DK479" s="240">
        <v>2606.4</v>
      </c>
      <c r="DL479" s="280">
        <v>17636.36</v>
      </c>
      <c r="DM479" s="181">
        <f t="shared" si="421"/>
        <v>50564149.574400008</v>
      </c>
      <c r="DN479" s="446">
        <f t="shared" si="422"/>
        <v>0.10000000000000007</v>
      </c>
      <c r="DO479" s="281">
        <f t="shared" si="423"/>
        <v>45967408.704000004</v>
      </c>
      <c r="DP479" s="159">
        <v>45907</v>
      </c>
      <c r="DQ479" s="152">
        <f>SUMIF($I:$I,I479,$DJ:$DJ)</f>
        <v>72</v>
      </c>
      <c r="DR479" s="152">
        <f>SUMIF($I:$I,I479,$DK:$DK)</f>
        <v>5191.3999999999996</v>
      </c>
      <c r="EO479" s="152">
        <f>SUMIF($I:$I,I479,$EC:$EC)</f>
        <v>0</v>
      </c>
      <c r="EP479" s="151">
        <f>SUMIF($I:$I,I479,$ED:$ED)</f>
        <v>0</v>
      </c>
      <c r="EQ479" s="153"/>
      <c r="ER479" s="153"/>
      <c r="ES479" s="153"/>
      <c r="ET479" s="153"/>
      <c r="EU479" s="152">
        <f>DQ479+EO479</f>
        <v>72</v>
      </c>
      <c r="EV479" s="152">
        <f>DR479+EP479</f>
        <v>5191.3999999999996</v>
      </c>
      <c r="EW479" s="152">
        <f t="shared" ref="EW479" si="428">DA479-EU479</f>
        <v>-10.32</v>
      </c>
      <c r="EX479" s="152">
        <f t="shared" ref="EX479" si="429">DB479-EV479</f>
        <v>-990.99200000000019</v>
      </c>
      <c r="EY479" s="151" t="str">
        <f>IF(EW479&lt;0,"Thừa",IF(EW479=0,"Đủ","Thiếu"))</f>
        <v>Thừa</v>
      </c>
    </row>
    <row r="480" spans="1:155" s="155" customFormat="1" ht="14" hidden="1" customHeight="1">
      <c r="A480" s="208" t="str">
        <f t="shared" si="392"/>
        <v>ok</v>
      </c>
      <c r="B480" s="154"/>
      <c r="C480" s="154"/>
      <c r="D480" s="154"/>
      <c r="E480" s="154"/>
      <c r="F480" s="344"/>
      <c r="G480" s="703"/>
      <c r="H480" s="703"/>
      <c r="I480" s="253" t="s">
        <v>1046</v>
      </c>
      <c r="J480" s="254" t="s">
        <v>267</v>
      </c>
      <c r="K480" s="253" t="s">
        <v>1047</v>
      </c>
      <c r="L480" s="261" t="s">
        <v>399</v>
      </c>
      <c r="M480" s="256" t="s">
        <v>61</v>
      </c>
      <c r="N480" s="259"/>
      <c r="O480" s="191"/>
      <c r="P480" s="190"/>
      <c r="AO480" s="234"/>
      <c r="AP480" s="193"/>
      <c r="AQ480" s="193"/>
      <c r="AR480" s="193"/>
      <c r="AS480" s="193"/>
      <c r="AT480" s="193"/>
      <c r="AU480" s="162"/>
      <c r="AV480" s="162"/>
      <c r="AW480" s="162"/>
      <c r="AX480" s="162"/>
      <c r="AY480" s="162"/>
      <c r="AZ480" s="162"/>
      <c r="BA480" s="162"/>
      <c r="BB480" s="162"/>
      <c r="BC480" s="162"/>
      <c r="BD480" s="162"/>
      <c r="BE480" s="162"/>
      <c r="BF480" s="162"/>
      <c r="BG480" s="162"/>
      <c r="BH480" s="162"/>
      <c r="BI480" s="162"/>
      <c r="BJ480" s="162"/>
      <c r="BK480" s="162"/>
      <c r="BL480" s="162"/>
      <c r="BM480" s="162"/>
      <c r="BN480" s="162"/>
      <c r="BO480" s="162"/>
      <c r="BP480" s="162"/>
      <c r="BQ480" s="162"/>
      <c r="BR480" s="162"/>
      <c r="BS480" s="162"/>
      <c r="BT480" s="162"/>
      <c r="BU480" s="162"/>
      <c r="BV480" s="162"/>
      <c r="BW480" s="162"/>
      <c r="BX480" s="162"/>
      <c r="BY480" s="162"/>
      <c r="BZ480" s="162"/>
      <c r="CA480" s="162"/>
      <c r="CB480" s="162"/>
      <c r="CC480" s="162"/>
      <c r="CD480" s="162"/>
      <c r="CE480" s="162"/>
      <c r="CF480" s="162"/>
      <c r="CG480" s="162"/>
      <c r="CH480" s="162"/>
      <c r="CI480" s="162"/>
      <c r="CJ480" s="162"/>
      <c r="CK480" s="162"/>
      <c r="CL480" s="162"/>
      <c r="CM480" s="162"/>
      <c r="CN480" s="162"/>
      <c r="CO480" s="162"/>
      <c r="CP480" s="162"/>
      <c r="CQ480" s="162"/>
      <c r="CR480" s="162"/>
      <c r="CS480" s="209"/>
      <c r="CT480" s="209"/>
      <c r="CU480" s="257"/>
      <c r="CV480" s="156"/>
      <c r="DA480" s="152"/>
      <c r="DB480" s="152"/>
      <c r="DC480" s="158"/>
      <c r="DD480" s="187" t="s">
        <v>2182</v>
      </c>
      <c r="DE480" s="156" t="s">
        <v>1901</v>
      </c>
      <c r="DF480" s="506" t="s">
        <v>2189</v>
      </c>
      <c r="DG480" s="186"/>
      <c r="DH480" s="505">
        <v>2585</v>
      </c>
      <c r="DI480" s="187">
        <v>45972</v>
      </c>
      <c r="DJ480" s="1005">
        <v>36</v>
      </c>
      <c r="DK480" s="505">
        <v>2585</v>
      </c>
      <c r="DL480" s="505">
        <v>17545.45</v>
      </c>
      <c r="DM480" s="181">
        <f>DL480*DK480*(1+DN480)</f>
        <v>49890487.075000003</v>
      </c>
      <c r="DN480" s="446">
        <v>0.1</v>
      </c>
      <c r="DO480" s="240">
        <f>DL480*DK480</f>
        <v>45354988.25</v>
      </c>
      <c r="DP480" s="159">
        <v>45976</v>
      </c>
      <c r="DQ480" s="152"/>
      <c r="DR480" s="152"/>
      <c r="EO480" s="152"/>
      <c r="EP480" s="151"/>
      <c r="EQ480" s="153"/>
      <c r="ER480" s="153"/>
      <c r="ES480" s="153"/>
      <c r="ET480" s="153"/>
      <c r="EU480" s="152"/>
      <c r="EV480" s="152"/>
      <c r="EW480" s="152"/>
      <c r="EX480" s="152"/>
      <c r="EY480" s="151"/>
    </row>
    <row r="481" spans="1:158" s="155" customFormat="1" ht="14" hidden="1" customHeight="1">
      <c r="A481" s="208" t="str">
        <f t="shared" si="392"/>
        <v>Hiện</v>
      </c>
      <c r="B481" s="154" t="str">
        <f>EY481</f>
        <v>Đủ</v>
      </c>
      <c r="C481" s="154">
        <f t="shared" si="405"/>
        <v>0</v>
      </c>
      <c r="D481" s="154"/>
      <c r="E481" s="154"/>
      <c r="F481" s="344" t="s">
        <v>1728</v>
      </c>
      <c r="G481" s="703" t="s">
        <v>1307</v>
      </c>
      <c r="H481" s="703" t="s">
        <v>1307</v>
      </c>
      <c r="I481" s="253" t="s">
        <v>1048</v>
      </c>
      <c r="J481" s="254" t="s">
        <v>267</v>
      </c>
      <c r="K481" s="253" t="s">
        <v>521</v>
      </c>
      <c r="L481" s="261" t="s">
        <v>399</v>
      </c>
      <c r="M481" s="256" t="s">
        <v>61</v>
      </c>
      <c r="N481" s="259">
        <v>33.700000000000003</v>
      </c>
      <c r="O481" s="191">
        <v>47.664000000000001</v>
      </c>
      <c r="P481" s="190">
        <v>1606.56</v>
      </c>
      <c r="AO481" s="234">
        <v>50.047200000000004</v>
      </c>
      <c r="AP481" s="193">
        <v>1686.5906400000003</v>
      </c>
      <c r="AQ481" s="193">
        <v>0</v>
      </c>
      <c r="AR481" s="193">
        <v>0</v>
      </c>
      <c r="AS481" s="193">
        <v>0</v>
      </c>
      <c r="AT481" s="193">
        <v>0</v>
      </c>
      <c r="AU481" s="162">
        <v>0</v>
      </c>
      <c r="AV481" s="162">
        <v>0</v>
      </c>
      <c r="AW481" s="162">
        <v>0</v>
      </c>
      <c r="AX481" s="162">
        <v>0</v>
      </c>
      <c r="AY481" s="162">
        <v>0</v>
      </c>
      <c r="AZ481" s="162">
        <v>0</v>
      </c>
      <c r="BA481" s="162"/>
      <c r="BB481" s="162"/>
      <c r="BC481" s="162">
        <v>0</v>
      </c>
      <c r="BD481" s="162">
        <v>0</v>
      </c>
      <c r="BE481" s="162">
        <v>0</v>
      </c>
      <c r="BF481" s="162">
        <v>0</v>
      </c>
      <c r="BG481" s="162">
        <v>0</v>
      </c>
      <c r="BH481" s="162">
        <v>0</v>
      </c>
      <c r="BI481" s="162">
        <v>0</v>
      </c>
      <c r="BJ481" s="162">
        <v>0</v>
      </c>
      <c r="BK481" s="162">
        <v>0</v>
      </c>
      <c r="BL481" s="162">
        <v>0</v>
      </c>
      <c r="BM481" s="162">
        <v>0</v>
      </c>
      <c r="BN481" s="162">
        <v>0</v>
      </c>
      <c r="BO481" s="162"/>
      <c r="BP481" s="162"/>
      <c r="BQ481" s="162">
        <v>42</v>
      </c>
      <c r="BR481" s="162">
        <v>1415.4</v>
      </c>
      <c r="BS481" s="162">
        <v>0</v>
      </c>
      <c r="BT481" s="162">
        <v>0</v>
      </c>
      <c r="BU481" s="162">
        <v>0</v>
      </c>
      <c r="BV481" s="162">
        <v>0</v>
      </c>
      <c r="BW481" s="162"/>
      <c r="BX481" s="162"/>
      <c r="BY481" s="162">
        <v>0</v>
      </c>
      <c r="BZ481" s="162">
        <v>0</v>
      </c>
      <c r="CA481" s="162">
        <v>0</v>
      </c>
      <c r="CB481" s="162">
        <v>0</v>
      </c>
      <c r="CC481" s="162">
        <v>0</v>
      </c>
      <c r="CD481" s="162">
        <v>0</v>
      </c>
      <c r="CE481" s="162">
        <f>VLOOKUP(I481,[120]REV33!$A:$O,11,0)</f>
        <v>0</v>
      </c>
      <c r="CF481" s="162">
        <f>VLOOKUP(I481,[120]REV33!$A:$O,12,0)</f>
        <v>0</v>
      </c>
      <c r="CG481" s="162"/>
      <c r="CH481" s="162"/>
      <c r="CI481" s="162"/>
      <c r="CJ481" s="162"/>
      <c r="CK481" s="162"/>
      <c r="CL481" s="162"/>
      <c r="CM481" s="162"/>
      <c r="CN481" s="162"/>
      <c r="CO481" s="162">
        <v>0</v>
      </c>
      <c r="CP481" s="162">
        <v>0</v>
      </c>
      <c r="CQ481" s="162">
        <v>0</v>
      </c>
      <c r="CR481" s="162">
        <v>0</v>
      </c>
      <c r="CS481" s="209">
        <f>Q481+S481+U481+W481+Y481+AA481+AC481+AE481+AG481+AI481+AK481+AM481+AO481+AQ481+AS481+AU481+AW481+AY481+BA481+BC481+BE481+BG481+BI481+BK481+BM481+BO481+BQ481+BS481+BU481+BW481+BY481+CA481+CC481+CE481+CG481+CI481+CK481+CM481+CO481+CQ481</f>
        <v>92.047200000000004</v>
      </c>
      <c r="CT481" s="209">
        <f>R481+T481+V481+X481+Z481+AB481+AD481+AF481+AH481+AJ481+AL481+AN481+AP481+AR481+AT481+AV481+AX481+AZ481+BB481+BD481+BF481+BH481+BJ481+BL481+BN481+BP481+BR481+BT481+BV481+BX481+BZ481+CB481+CD481+CF481+CH481+CJ481+CL481+CN481+CP481+CR481</f>
        <v>3101.9906400000004</v>
      </c>
      <c r="CU481" s="257" t="s">
        <v>1892</v>
      </c>
      <c r="CV481" s="156"/>
      <c r="CW481" s="155">
        <v>2.0472000000000037</v>
      </c>
      <c r="CX481" s="155">
        <f>CW481*N481</f>
        <v>68.990640000000127</v>
      </c>
      <c r="CY481" s="155" t="s">
        <v>383</v>
      </c>
      <c r="DA481" s="152">
        <f>IF(CS481&gt;CW481,CS481-CW481,"0")</f>
        <v>90</v>
      </c>
      <c r="DB481" s="152">
        <f>IF(CT481&gt;CX481,CT481-CX481,"0")</f>
        <v>3033.0000000000005</v>
      </c>
      <c r="DC481" s="158"/>
      <c r="DD481" s="187" t="s">
        <v>1692</v>
      </c>
      <c r="DE481" s="156" t="s">
        <v>45</v>
      </c>
      <c r="DF481" s="705" t="s">
        <v>1419</v>
      </c>
      <c r="DG481" s="186"/>
      <c r="DH481" s="156">
        <v>1512</v>
      </c>
      <c r="DI481" s="187">
        <v>45904</v>
      </c>
      <c r="DJ481" s="429">
        <v>48</v>
      </c>
      <c r="DK481" s="240">
        <v>1512</v>
      </c>
      <c r="DL481" s="280">
        <v>17636.36</v>
      </c>
      <c r="DM481" s="181">
        <f t="shared" si="421"/>
        <v>29332793.952000003</v>
      </c>
      <c r="DN481" s="446">
        <f t="shared" si="422"/>
        <v>0.10000000000000012</v>
      </c>
      <c r="DO481" s="281">
        <f t="shared" si="423"/>
        <v>26666176.32</v>
      </c>
      <c r="DP481" s="159">
        <v>45907</v>
      </c>
      <c r="DQ481" s="152">
        <f>SUMIF($I:$I,I481,$DJ:$DJ)</f>
        <v>90</v>
      </c>
      <c r="DR481" s="152">
        <f>SUMIF($I:$I,I481,$DK:$DK)</f>
        <v>2818</v>
      </c>
      <c r="EO481" s="152">
        <f>SUMIF($I:$I,I481,$EC:$EC)</f>
        <v>0</v>
      </c>
      <c r="EP481" s="151">
        <f>SUMIF($I:$I,I481,$ED:$ED)</f>
        <v>0</v>
      </c>
      <c r="EQ481" s="153"/>
      <c r="ER481" s="153"/>
      <c r="ES481" s="153"/>
      <c r="ET481" s="153"/>
      <c r="EU481" s="152">
        <f>DQ481+EO481</f>
        <v>90</v>
      </c>
      <c r="EV481" s="152">
        <f>DR481+EP481</f>
        <v>2818</v>
      </c>
      <c r="EW481" s="152">
        <f t="shared" ref="EW481" si="430">DA481-EU481</f>
        <v>0</v>
      </c>
      <c r="EX481" s="152">
        <f t="shared" ref="EX481" si="431">DB481-EV481</f>
        <v>215.00000000000045</v>
      </c>
      <c r="EY481" s="151" t="str">
        <f>IF(EW481&lt;0,"Thừa",IF(EW481=0,"Đủ","Thiếu"))</f>
        <v>Đủ</v>
      </c>
    </row>
    <row r="482" spans="1:158" s="155" customFormat="1" ht="14" hidden="1" customHeight="1">
      <c r="A482" s="208" t="str">
        <f t="shared" si="392"/>
        <v>ok</v>
      </c>
      <c r="B482" s="154"/>
      <c r="C482" s="154"/>
      <c r="D482" s="154"/>
      <c r="E482" s="154"/>
      <c r="F482" s="344"/>
      <c r="G482" s="703"/>
      <c r="H482" s="703"/>
      <c r="I482" s="253" t="s">
        <v>1048</v>
      </c>
      <c r="J482" s="254" t="s">
        <v>267</v>
      </c>
      <c r="K482" s="253" t="s">
        <v>521</v>
      </c>
      <c r="L482" s="261" t="s">
        <v>399</v>
      </c>
      <c r="M482" s="256" t="s">
        <v>61</v>
      </c>
      <c r="N482" s="259"/>
      <c r="O482" s="191"/>
      <c r="P482" s="190"/>
      <c r="AO482" s="234"/>
      <c r="AP482" s="193"/>
      <c r="AQ482" s="193"/>
      <c r="AR482" s="193"/>
      <c r="AS482" s="193"/>
      <c r="AT482" s="193"/>
      <c r="AU482" s="162"/>
      <c r="AV482" s="162"/>
      <c r="AW482" s="162"/>
      <c r="AX482" s="162"/>
      <c r="AY482" s="162"/>
      <c r="AZ482" s="162"/>
      <c r="BA482" s="162"/>
      <c r="BB482" s="162"/>
      <c r="BC482" s="162"/>
      <c r="BD482" s="162"/>
      <c r="BE482" s="162"/>
      <c r="BF482" s="162"/>
      <c r="BG482" s="162"/>
      <c r="BH482" s="162"/>
      <c r="BI482" s="162"/>
      <c r="BJ482" s="162"/>
      <c r="BK482" s="162"/>
      <c r="BL482" s="162"/>
      <c r="BM482" s="162"/>
      <c r="BN482" s="162"/>
      <c r="BO482" s="162"/>
      <c r="BP482" s="162"/>
      <c r="BQ482" s="162"/>
      <c r="BR482" s="162"/>
      <c r="BS482" s="162"/>
      <c r="BT482" s="162"/>
      <c r="BU482" s="162"/>
      <c r="BV482" s="162"/>
      <c r="BW482" s="162"/>
      <c r="BX482" s="162"/>
      <c r="BY482" s="162"/>
      <c r="BZ482" s="162"/>
      <c r="CA482" s="162"/>
      <c r="CB482" s="162"/>
      <c r="CC482" s="162"/>
      <c r="CD482" s="162"/>
      <c r="CE482" s="162"/>
      <c r="CF482" s="162"/>
      <c r="CG482" s="162"/>
      <c r="CH482" s="162"/>
      <c r="CI482" s="162"/>
      <c r="CJ482" s="162"/>
      <c r="CK482" s="162"/>
      <c r="CL482" s="162"/>
      <c r="CM482" s="162"/>
      <c r="CN482" s="162"/>
      <c r="CO482" s="162"/>
      <c r="CP482" s="162"/>
      <c r="CQ482" s="162"/>
      <c r="CR482" s="162"/>
      <c r="CS482" s="209"/>
      <c r="CT482" s="209"/>
      <c r="CU482" s="257"/>
      <c r="CV482" s="156"/>
      <c r="DA482" s="152"/>
      <c r="DB482" s="152"/>
      <c r="DC482" s="158"/>
      <c r="DD482" s="187" t="s">
        <v>2182</v>
      </c>
      <c r="DE482" s="156" t="s">
        <v>1901</v>
      </c>
      <c r="DF482" s="506" t="s">
        <v>2190</v>
      </c>
      <c r="DG482" s="186"/>
      <c r="DH482" s="505">
        <v>1306</v>
      </c>
      <c r="DI482" s="187">
        <v>45972</v>
      </c>
      <c r="DJ482" s="1005">
        <v>42</v>
      </c>
      <c r="DK482" s="505">
        <v>1306</v>
      </c>
      <c r="DL482" s="505">
        <v>17545.45</v>
      </c>
      <c r="DM482" s="181">
        <f>DL482*DK482*(1+DN482)</f>
        <v>25205793.470000003</v>
      </c>
      <c r="DN482" s="446">
        <v>0.1</v>
      </c>
      <c r="DO482" s="240">
        <f>DL482*DK482</f>
        <v>22914357.699999999</v>
      </c>
      <c r="DP482" s="159">
        <v>45976</v>
      </c>
      <c r="DQ482" s="152"/>
      <c r="DR482" s="152"/>
      <c r="EO482" s="152"/>
      <c r="EP482" s="151"/>
      <c r="EQ482" s="153"/>
      <c r="ER482" s="153"/>
      <c r="ES482" s="153"/>
      <c r="ET482" s="153"/>
      <c r="EU482" s="152"/>
      <c r="EV482" s="152"/>
      <c r="EW482" s="152"/>
      <c r="EX482" s="152"/>
      <c r="EY482" s="151"/>
    </row>
    <row r="483" spans="1:158" s="155" customFormat="1" ht="14" hidden="1" customHeight="1">
      <c r="A483" s="208" t="str">
        <f t="shared" si="392"/>
        <v>Hiện</v>
      </c>
      <c r="B483" s="154" t="str">
        <f>EY483</f>
        <v>Thừa</v>
      </c>
      <c r="C483" s="154">
        <f t="shared" si="405"/>
        <v>-3.4058399999999907</v>
      </c>
      <c r="D483" s="154"/>
      <c r="E483" s="154"/>
      <c r="F483" s="344" t="s">
        <v>1728</v>
      </c>
      <c r="G483" s="703" t="s">
        <v>1306</v>
      </c>
      <c r="H483" s="703" t="s">
        <v>1306</v>
      </c>
      <c r="I483" s="253" t="s">
        <v>1049</v>
      </c>
      <c r="J483" s="254" t="s">
        <v>267</v>
      </c>
      <c r="K483" s="253" t="s">
        <v>1050</v>
      </c>
      <c r="L483" s="261" t="s">
        <v>399</v>
      </c>
      <c r="M483" s="256" t="s">
        <v>61</v>
      </c>
      <c r="N483" s="259">
        <v>71.400000000000006</v>
      </c>
      <c r="O483" s="191">
        <v>53.899200000000008</v>
      </c>
      <c r="P483" s="190">
        <v>3747.44</v>
      </c>
      <c r="AO483" s="234">
        <v>56.594160000000009</v>
      </c>
      <c r="AP483" s="193">
        <v>4040.8230240000012</v>
      </c>
      <c r="AQ483" s="193">
        <v>0</v>
      </c>
      <c r="AR483" s="193">
        <v>0</v>
      </c>
      <c r="AS483" s="193">
        <v>0</v>
      </c>
      <c r="AT483" s="193">
        <v>0</v>
      </c>
      <c r="AU483" s="162">
        <v>0</v>
      </c>
      <c r="AV483" s="162">
        <v>0</v>
      </c>
      <c r="AW483" s="162">
        <v>0</v>
      </c>
      <c r="AX483" s="162">
        <v>0</v>
      </c>
      <c r="AY483" s="162">
        <v>0</v>
      </c>
      <c r="AZ483" s="162">
        <v>0</v>
      </c>
      <c r="BA483" s="162"/>
      <c r="BB483" s="162"/>
      <c r="BC483" s="162">
        <v>0</v>
      </c>
      <c r="BD483" s="162">
        <v>0</v>
      </c>
      <c r="BE483" s="162">
        <v>0</v>
      </c>
      <c r="BF483" s="162">
        <v>0</v>
      </c>
      <c r="BG483" s="162">
        <v>0</v>
      </c>
      <c r="BH483" s="162">
        <v>0</v>
      </c>
      <c r="BI483" s="162">
        <v>0</v>
      </c>
      <c r="BJ483" s="162">
        <v>0</v>
      </c>
      <c r="BK483" s="162">
        <v>0</v>
      </c>
      <c r="BL483" s="162">
        <v>0</v>
      </c>
      <c r="BM483" s="162">
        <v>0</v>
      </c>
      <c r="BN483" s="162">
        <v>0</v>
      </c>
      <c r="BO483" s="162"/>
      <c r="BP483" s="162"/>
      <c r="BQ483" s="162">
        <v>0</v>
      </c>
      <c r="BR483" s="162">
        <v>0</v>
      </c>
      <c r="BS483" s="162">
        <v>0</v>
      </c>
      <c r="BT483" s="162">
        <v>0</v>
      </c>
      <c r="BU483" s="162">
        <v>0</v>
      </c>
      <c r="BV483" s="162">
        <v>0</v>
      </c>
      <c r="BW483" s="162"/>
      <c r="BX483" s="162"/>
      <c r="BY483" s="162">
        <v>0</v>
      </c>
      <c r="BZ483" s="162">
        <v>0</v>
      </c>
      <c r="CA483" s="162">
        <v>0</v>
      </c>
      <c r="CB483" s="162">
        <v>0</v>
      </c>
      <c r="CC483" s="162">
        <v>0</v>
      </c>
      <c r="CD483" s="162">
        <v>0</v>
      </c>
      <c r="CE483" s="162">
        <f>VLOOKUP(I483,[120]REV33!$A:$O,11,0)</f>
        <v>0</v>
      </c>
      <c r="CF483" s="162">
        <f>VLOOKUP(I483,[120]REV33!$A:$O,12,0)</f>
        <v>0</v>
      </c>
      <c r="CG483" s="162"/>
      <c r="CH483" s="162"/>
      <c r="CI483" s="162"/>
      <c r="CJ483" s="162"/>
      <c r="CK483" s="162"/>
      <c r="CL483" s="162"/>
      <c r="CM483" s="162"/>
      <c r="CN483" s="162"/>
      <c r="CO483" s="162">
        <v>0</v>
      </c>
      <c r="CP483" s="162">
        <v>0</v>
      </c>
      <c r="CQ483" s="162">
        <v>0</v>
      </c>
      <c r="CR483" s="162">
        <v>0</v>
      </c>
      <c r="CS483" s="209">
        <f>Q483+S483+U483+W483+Y483+AA483+AC483+AE483+AG483+AI483+AK483+AM483+AO483+AQ483+AS483+AU483+AW483+AY483+BA483+BC483+BE483+BG483+BI483+BK483+BM483+BO483+BQ483+BS483+BU483+BW483+BY483+CA483+CC483+CE483+CG483+CI483+CK483+CM483+CO483+CQ483</f>
        <v>56.594160000000009</v>
      </c>
      <c r="CT483" s="209">
        <f>R483+T483+V483+X483+Z483+AB483+AD483+AF483+AH483+AJ483+AL483+AN483+AP483+AR483+AT483+AV483+AX483+AZ483+BB483+BD483+BF483+BH483+BJ483+BL483+BN483+BP483+BR483+BT483+BV483+BX483+BZ483+CB483+CD483+CF483+CH483+CJ483+CL483+CN483+CP483+CR483</f>
        <v>4040.8230240000012</v>
      </c>
      <c r="CU483" s="257" t="s">
        <v>1157</v>
      </c>
      <c r="CV483" s="156"/>
      <c r="DA483" s="152">
        <f t="shared" ref="DA483:DA485" si="432">IF(CS483&gt;CW483,CS483-CW483,"0")</f>
        <v>56.594160000000009</v>
      </c>
      <c r="DB483" s="152">
        <f t="shared" ref="DB483:DB485" si="433">IF(CT483&gt;CX483,CT483-CX483,"0")</f>
        <v>4040.8230240000012</v>
      </c>
      <c r="DC483" s="158"/>
      <c r="DD483" s="187" t="s">
        <v>1692</v>
      </c>
      <c r="DE483" s="156" t="s">
        <v>45</v>
      </c>
      <c r="DF483" s="705" t="s">
        <v>1420</v>
      </c>
      <c r="DG483" s="186"/>
      <c r="DH483" s="156">
        <v>4344</v>
      </c>
      <c r="DI483" s="187">
        <v>45904</v>
      </c>
      <c r="DJ483" s="429">
        <v>60</v>
      </c>
      <c r="DK483" s="240">
        <v>4344</v>
      </c>
      <c r="DL483" s="280">
        <v>17636.36</v>
      </c>
      <c r="DM483" s="181">
        <f t="shared" si="421"/>
        <v>84273582.624000013</v>
      </c>
      <c r="DN483" s="446">
        <f t="shared" si="422"/>
        <v>0.10000000000000012</v>
      </c>
      <c r="DO483" s="281">
        <f t="shared" si="423"/>
        <v>76612347.840000004</v>
      </c>
      <c r="DP483" s="159">
        <v>45907</v>
      </c>
      <c r="DQ483" s="152">
        <f>SUMIF($I:$I,I483,$DJ:$DJ)</f>
        <v>60</v>
      </c>
      <c r="DR483" s="152">
        <f>SUMIF($I:$I,I483,$DK:$DK)</f>
        <v>4344</v>
      </c>
      <c r="EO483" s="152">
        <f>SUMIF($I:$I,I483,$EC:$EC)</f>
        <v>0</v>
      </c>
      <c r="EP483" s="151">
        <f>SUMIF($I:$I,I483,$ED:$ED)</f>
        <v>0</v>
      </c>
      <c r="EQ483" s="153"/>
      <c r="ER483" s="153"/>
      <c r="ES483" s="153"/>
      <c r="ET483" s="153"/>
      <c r="EU483" s="152">
        <f t="shared" ref="EU483:EU485" si="434">DQ483+EO483</f>
        <v>60</v>
      </c>
      <c r="EV483" s="152">
        <f t="shared" ref="EV483:EV485" si="435">DR483+EP483</f>
        <v>4344</v>
      </c>
      <c r="EW483" s="152">
        <f t="shared" ref="EW483:EW485" si="436">DA483-EU483</f>
        <v>-3.4058399999999907</v>
      </c>
      <c r="EX483" s="152">
        <f t="shared" ref="EX483:EX485" si="437">DB483-EV483</f>
        <v>-303.17697599999883</v>
      </c>
      <c r="EY483" s="151" t="str">
        <f t="shared" ref="EY483:EY485" si="438">IF(EW483&lt;0,"Thừa",IF(EW483=0,"Đủ","Thiếu"))</f>
        <v>Thừa</v>
      </c>
    </row>
    <row r="484" spans="1:158" s="155" customFormat="1" ht="45" hidden="1" customHeight="1">
      <c r="A484" s="208" t="str">
        <f t="shared" si="392"/>
        <v>Hiện</v>
      </c>
      <c r="B484" s="154" t="str">
        <f>CONCATENATE(EY484," Đã đủ")</f>
        <v>Thiếu Đã đủ</v>
      </c>
      <c r="C484" s="154">
        <f t="shared" si="405"/>
        <v>84</v>
      </c>
      <c r="D484" s="154" t="s">
        <v>1355</v>
      </c>
      <c r="E484" s="154"/>
      <c r="F484" s="344" t="s">
        <v>1728</v>
      </c>
      <c r="G484" s="703" t="s">
        <v>1308</v>
      </c>
      <c r="H484" s="703" t="s">
        <v>1308</v>
      </c>
      <c r="I484" s="253" t="s">
        <v>1051</v>
      </c>
      <c r="J484" s="254" t="s">
        <v>267</v>
      </c>
      <c r="K484" s="253" t="s">
        <v>312</v>
      </c>
      <c r="L484" s="261" t="s">
        <v>399</v>
      </c>
      <c r="M484" s="256" t="s">
        <v>61</v>
      </c>
      <c r="N484" s="259">
        <v>117</v>
      </c>
      <c r="O484" s="191">
        <v>102.7578</v>
      </c>
      <c r="P484" s="190">
        <v>11345.16</v>
      </c>
      <c r="AO484" s="234">
        <v>108</v>
      </c>
      <c r="AP484" s="193">
        <v>12636</v>
      </c>
      <c r="AQ484" s="193">
        <v>0</v>
      </c>
      <c r="AR484" s="193">
        <v>0</v>
      </c>
      <c r="AS484" s="193">
        <v>0</v>
      </c>
      <c r="AT484" s="193">
        <v>0</v>
      </c>
      <c r="AU484" s="162">
        <v>0</v>
      </c>
      <c r="AV484" s="162">
        <v>0</v>
      </c>
      <c r="AW484" s="162">
        <v>0</v>
      </c>
      <c r="AX484" s="162">
        <v>0</v>
      </c>
      <c r="AY484" s="162">
        <v>0</v>
      </c>
      <c r="AZ484" s="162">
        <v>0</v>
      </c>
      <c r="BA484" s="162"/>
      <c r="BB484" s="162"/>
      <c r="BC484" s="162">
        <v>0</v>
      </c>
      <c r="BD484" s="162">
        <v>0</v>
      </c>
      <c r="BE484" s="162">
        <v>0</v>
      </c>
      <c r="BF484" s="162">
        <v>0</v>
      </c>
      <c r="BG484" s="162">
        <v>0</v>
      </c>
      <c r="BH484" s="162">
        <v>0</v>
      </c>
      <c r="BI484" s="162">
        <v>0</v>
      </c>
      <c r="BJ484" s="162">
        <v>0</v>
      </c>
      <c r="BK484" s="162">
        <v>0</v>
      </c>
      <c r="BL484" s="162">
        <v>0</v>
      </c>
      <c r="BM484" s="162">
        <v>0</v>
      </c>
      <c r="BN484" s="162">
        <v>0</v>
      </c>
      <c r="BO484" s="162"/>
      <c r="BP484" s="162"/>
      <c r="BQ484" s="162">
        <v>0</v>
      </c>
      <c r="BR484" s="162">
        <v>0</v>
      </c>
      <c r="BS484" s="162">
        <v>0</v>
      </c>
      <c r="BT484" s="162">
        <v>0</v>
      </c>
      <c r="BU484" s="162">
        <v>0</v>
      </c>
      <c r="BV484" s="162">
        <v>0</v>
      </c>
      <c r="BW484" s="162"/>
      <c r="BX484" s="162"/>
      <c r="BY484" s="162">
        <v>0</v>
      </c>
      <c r="BZ484" s="162">
        <v>0</v>
      </c>
      <c r="CA484" s="162">
        <v>0</v>
      </c>
      <c r="CB484" s="162">
        <v>0</v>
      </c>
      <c r="CC484" s="162">
        <v>0</v>
      </c>
      <c r="CD484" s="162">
        <v>0</v>
      </c>
      <c r="CE484" s="162">
        <f>VLOOKUP(I484,[120]REV33!$A:$O,11,0)</f>
        <v>0</v>
      </c>
      <c r="CF484" s="162">
        <f>VLOOKUP(I484,[120]REV33!$A:$O,12,0)</f>
        <v>0</v>
      </c>
      <c r="CG484" s="162"/>
      <c r="CH484" s="162"/>
      <c r="CI484" s="162"/>
      <c r="CJ484" s="162"/>
      <c r="CK484" s="162"/>
      <c r="CL484" s="162"/>
      <c r="CM484" s="162"/>
      <c r="CN484" s="162"/>
      <c r="CO484" s="162">
        <v>0</v>
      </c>
      <c r="CP484" s="162">
        <v>0</v>
      </c>
      <c r="CQ484" s="162">
        <v>0</v>
      </c>
      <c r="CR484" s="162">
        <v>0</v>
      </c>
      <c r="CS484" s="209">
        <f>Q484+S484+U484+W484+Y484+AA484+AC484+AE484+AG484+AI484+AK484+AM484+AO484+AQ484+AS484+AU484+AW484+AY484+BA484+BC484+BE484+BG484+BI484+BK484+BM484+BO484+BQ484+BS484+BU484+BW484+BY484+CA484+CC484+CE484+CG484+CI484+CK484+CM484+CO484+CQ484</f>
        <v>108</v>
      </c>
      <c r="CT484" s="209">
        <f>R484+T484+V484+X484+Z484+AB484+AD484+AF484+AH484+AJ484+AL484+AN484+AP484+AR484+AT484+AV484+AX484+AZ484+BB484+BD484+BF484+BH484+BJ484+BL484+BN484+BP484+BR484+BT484+BV484+BX484+BZ484+CB484+CD484+CF484+CH484+CJ484+CL484+CN484+CP484+CR484</f>
        <v>12636</v>
      </c>
      <c r="CU484" s="257" t="s">
        <v>1158</v>
      </c>
      <c r="CV484" s="156"/>
      <c r="DA484" s="152">
        <f t="shared" si="432"/>
        <v>108</v>
      </c>
      <c r="DB484" s="152">
        <f t="shared" si="433"/>
        <v>12636</v>
      </c>
      <c r="DC484" s="158"/>
      <c r="DD484" s="187" t="s">
        <v>1692</v>
      </c>
      <c r="DE484" s="156" t="s">
        <v>45</v>
      </c>
      <c r="DF484" s="260" t="s">
        <v>1421</v>
      </c>
      <c r="DG484" s="186"/>
      <c r="DH484" s="156">
        <v>3288</v>
      </c>
      <c r="DI484" s="187">
        <v>45904</v>
      </c>
      <c r="DJ484" s="429">
        <v>24</v>
      </c>
      <c r="DK484" s="240">
        <v>3288</v>
      </c>
      <c r="DL484" s="280">
        <v>14545.45</v>
      </c>
      <c r="DM484" s="181">
        <f t="shared" si="421"/>
        <v>52607983.560000002</v>
      </c>
      <c r="DN484" s="446">
        <f t="shared" si="422"/>
        <v>0.10000000000000002</v>
      </c>
      <c r="DO484" s="281">
        <f t="shared" si="423"/>
        <v>47825439.600000001</v>
      </c>
      <c r="DP484" s="159">
        <v>45910</v>
      </c>
      <c r="DQ484" s="152">
        <f>SUMIF($I:$I,I484,$DJ:$DJ)</f>
        <v>24</v>
      </c>
      <c r="DR484" s="152">
        <f>SUMIF($I:$I,I484,$DK:$DK)</f>
        <v>3288</v>
      </c>
      <c r="EO484" s="152">
        <f>SUMIF($I:$I,I484,$EC:$EC)</f>
        <v>0</v>
      </c>
      <c r="EP484" s="151">
        <f>SUMIF($I:$I,I484,$ED:$ED)</f>
        <v>0</v>
      </c>
      <c r="EQ484" s="153"/>
      <c r="ER484" s="153"/>
      <c r="ES484" s="153"/>
      <c r="ET484" s="153"/>
      <c r="EU484" s="152">
        <f t="shared" si="434"/>
        <v>24</v>
      </c>
      <c r="EV484" s="152">
        <f t="shared" si="435"/>
        <v>3288</v>
      </c>
      <c r="EW484" s="152">
        <f t="shared" si="436"/>
        <v>84</v>
      </c>
      <c r="EX484" s="152">
        <f t="shared" si="437"/>
        <v>9348</v>
      </c>
      <c r="EY484" s="151" t="str">
        <f t="shared" si="438"/>
        <v>Thiếu</v>
      </c>
    </row>
    <row r="485" spans="1:158" s="155" customFormat="1" ht="29.5" hidden="1" customHeight="1">
      <c r="A485" s="208" t="str">
        <f t="shared" si="392"/>
        <v>Hiện</v>
      </c>
      <c r="B485" s="154" t="str">
        <f>EY485</f>
        <v>Thừa</v>
      </c>
      <c r="C485" s="154">
        <f t="shared" si="405"/>
        <v>-7.4759999999999991</v>
      </c>
      <c r="D485" s="262"/>
      <c r="E485" s="154"/>
      <c r="F485" s="344" t="s">
        <v>1728</v>
      </c>
      <c r="G485" s="703"/>
      <c r="H485" s="260" t="s">
        <v>1516</v>
      </c>
      <c r="I485" s="253" t="s">
        <v>1052</v>
      </c>
      <c r="J485" s="254" t="s">
        <v>267</v>
      </c>
      <c r="K485" s="253" t="s">
        <v>1053</v>
      </c>
      <c r="L485" s="261" t="s">
        <v>399</v>
      </c>
      <c r="M485" s="256" t="s">
        <v>61</v>
      </c>
      <c r="N485" s="259">
        <v>134.9</v>
      </c>
      <c r="O485" s="191">
        <v>72.88</v>
      </c>
      <c r="P485" s="190">
        <v>9798.76</v>
      </c>
      <c r="AO485" s="234">
        <v>76.524000000000001</v>
      </c>
      <c r="AP485" s="193">
        <v>10323.087600000001</v>
      </c>
      <c r="AQ485" s="193">
        <v>0</v>
      </c>
      <c r="AR485" s="193">
        <v>0</v>
      </c>
      <c r="AS485" s="193">
        <v>0</v>
      </c>
      <c r="AT485" s="193">
        <v>0</v>
      </c>
      <c r="AU485" s="162">
        <v>0</v>
      </c>
      <c r="AV485" s="162">
        <v>0</v>
      </c>
      <c r="AW485" s="162">
        <v>0</v>
      </c>
      <c r="AX485" s="162">
        <v>0</v>
      </c>
      <c r="AY485" s="162">
        <v>0</v>
      </c>
      <c r="AZ485" s="162">
        <v>0</v>
      </c>
      <c r="BA485" s="162"/>
      <c r="BB485" s="162"/>
      <c r="BC485" s="162">
        <v>0</v>
      </c>
      <c r="BD485" s="162">
        <v>0</v>
      </c>
      <c r="BE485" s="162">
        <v>0</v>
      </c>
      <c r="BF485" s="162">
        <v>0</v>
      </c>
      <c r="BG485" s="162">
        <v>0</v>
      </c>
      <c r="BH485" s="162">
        <v>0</v>
      </c>
      <c r="BI485" s="162">
        <v>0</v>
      </c>
      <c r="BJ485" s="162">
        <v>0</v>
      </c>
      <c r="BK485" s="162">
        <v>0</v>
      </c>
      <c r="BL485" s="162">
        <v>0</v>
      </c>
      <c r="BM485" s="162">
        <v>0</v>
      </c>
      <c r="BN485" s="162">
        <v>0</v>
      </c>
      <c r="BO485" s="162"/>
      <c r="BP485" s="162"/>
      <c r="BQ485" s="162">
        <v>0</v>
      </c>
      <c r="BR485" s="162">
        <v>0</v>
      </c>
      <c r="BS485" s="162">
        <v>0</v>
      </c>
      <c r="BT485" s="162">
        <v>0</v>
      </c>
      <c r="BU485" s="162">
        <v>0</v>
      </c>
      <c r="BV485" s="162">
        <v>0</v>
      </c>
      <c r="BW485" s="162"/>
      <c r="BX485" s="162"/>
      <c r="BY485" s="162">
        <v>0</v>
      </c>
      <c r="BZ485" s="162">
        <v>0</v>
      </c>
      <c r="CA485" s="162">
        <v>0</v>
      </c>
      <c r="CB485" s="162">
        <v>0</v>
      </c>
      <c r="CC485" s="162">
        <v>0</v>
      </c>
      <c r="CD485" s="162">
        <v>0</v>
      </c>
      <c r="CE485" s="162">
        <f>VLOOKUP(I485,[120]REV33!$A:$O,11,0)</f>
        <v>0</v>
      </c>
      <c r="CF485" s="162">
        <f>VLOOKUP(I485,[120]REV33!$A:$O,12,0)</f>
        <v>0</v>
      </c>
      <c r="CG485" s="162"/>
      <c r="CH485" s="162"/>
      <c r="CI485" s="162"/>
      <c r="CJ485" s="162"/>
      <c r="CK485" s="162"/>
      <c r="CL485" s="162"/>
      <c r="CM485" s="162"/>
      <c r="CN485" s="162"/>
      <c r="CO485" s="162">
        <v>0</v>
      </c>
      <c r="CP485" s="162">
        <v>0</v>
      </c>
      <c r="CQ485" s="162">
        <v>0</v>
      </c>
      <c r="CR485" s="162">
        <v>0</v>
      </c>
      <c r="CS485" s="209">
        <f>Q485+S485+U485+W485+Y485+AA485+AC485+AE485+AG485+AI485+AK485+AM485+AO485+AQ485+AS485+AU485+AW485+AY485+BA485+BC485+BE485+BG485+BI485+BK485+BM485+BO485+BQ485+BS485+BU485+BW485+BY485+CA485+CC485+CE485+CG485+CI485+CK485+CM485+CO485+CQ485</f>
        <v>76.524000000000001</v>
      </c>
      <c r="CT485" s="209">
        <f>R485+T485+V485+X485+Z485+AB485+AD485+AF485+AH485+AJ485+AL485+AN485+AP485+AR485+AT485+AV485+AX485+AZ485+BB485+BD485+BF485+BH485+BJ485+BL485+BN485+BP485+BR485+BT485+BV485+BX485+BZ485+CB485+CD485+CF485+CH485+CJ485+CL485+CN485+CP485+CR485</f>
        <v>10323.087600000001</v>
      </c>
      <c r="CU485" s="257" t="s">
        <v>1157</v>
      </c>
      <c r="CV485" s="156"/>
      <c r="DA485" s="152">
        <f t="shared" si="432"/>
        <v>76.524000000000001</v>
      </c>
      <c r="DB485" s="152">
        <f t="shared" si="433"/>
        <v>10323.087600000001</v>
      </c>
      <c r="DC485" s="158"/>
      <c r="DD485" s="158" t="s">
        <v>1512</v>
      </c>
      <c r="DE485" s="156" t="s">
        <v>1511</v>
      </c>
      <c r="DF485" s="260" t="s">
        <v>1515</v>
      </c>
      <c r="DG485" s="186"/>
      <c r="DH485" s="156">
        <v>4860</v>
      </c>
      <c r="DI485" s="187">
        <v>45909</v>
      </c>
      <c r="DJ485" s="429">
        <f>3*12</f>
        <v>36</v>
      </c>
      <c r="DK485" s="240">
        <v>4860</v>
      </c>
      <c r="DL485" s="189">
        <v>14090.91</v>
      </c>
      <c r="DM485" s="181">
        <f t="shared" si="421"/>
        <v>75330004.859999999</v>
      </c>
      <c r="DN485" s="446">
        <f t="shared" si="422"/>
        <v>0.10000000000000009</v>
      </c>
      <c r="DO485" s="160">
        <f t="shared" si="423"/>
        <v>68481822.599999994</v>
      </c>
      <c r="DP485" s="159">
        <v>45936</v>
      </c>
      <c r="DQ485" s="152">
        <f>SUMIF($I:$I,I485,$DJ:$DJ)</f>
        <v>84</v>
      </c>
      <c r="DR485" s="152">
        <f>SUMIF($I:$I,I485,$DK:$DK)</f>
        <v>11436</v>
      </c>
      <c r="EO485" s="152">
        <f>SUMIF($I:$I,I485,$EC:$EC)</f>
        <v>0</v>
      </c>
      <c r="EP485" s="151">
        <f>SUMIF($I:$I,I485,$ED:$ED)</f>
        <v>0</v>
      </c>
      <c r="EQ485" s="153"/>
      <c r="ER485" s="153"/>
      <c r="ES485" s="153"/>
      <c r="ET485" s="153"/>
      <c r="EU485" s="152">
        <f t="shared" si="434"/>
        <v>84</v>
      </c>
      <c r="EV485" s="152">
        <f t="shared" si="435"/>
        <v>11436</v>
      </c>
      <c r="EW485" s="152">
        <f t="shared" si="436"/>
        <v>-7.4759999999999991</v>
      </c>
      <c r="EX485" s="152">
        <f t="shared" si="437"/>
        <v>-1112.9123999999993</v>
      </c>
      <c r="EY485" s="151" t="str">
        <f t="shared" si="438"/>
        <v>Thừa</v>
      </c>
    </row>
    <row r="486" spans="1:158" s="155" customFormat="1" ht="14" hidden="1" customHeight="1">
      <c r="A486" s="208" t="str">
        <f t="shared" ref="A486:A517" si="439">IF(I486=I485,"ok","Hiện")</f>
        <v>ok</v>
      </c>
      <c r="B486" s="154"/>
      <c r="C486" s="154"/>
      <c r="D486" s="154"/>
      <c r="E486" s="154"/>
      <c r="F486" s="344" t="s">
        <v>1728</v>
      </c>
      <c r="G486" s="703"/>
      <c r="H486" s="703"/>
      <c r="I486" s="253" t="s">
        <v>1052</v>
      </c>
      <c r="J486" s="254" t="s">
        <v>267</v>
      </c>
      <c r="K486" s="253" t="s">
        <v>1053</v>
      </c>
      <c r="L486" s="261" t="s">
        <v>399</v>
      </c>
      <c r="M486" s="256" t="s">
        <v>61</v>
      </c>
      <c r="N486" s="259"/>
      <c r="O486" s="191"/>
      <c r="P486" s="190"/>
      <c r="AO486" s="234"/>
      <c r="AP486" s="193"/>
      <c r="AQ486" s="193"/>
      <c r="AR486" s="193"/>
      <c r="AS486" s="193"/>
      <c r="AT486" s="193"/>
      <c r="AU486" s="162"/>
      <c r="AV486" s="162"/>
      <c r="AW486" s="162"/>
      <c r="AX486" s="162"/>
      <c r="AY486" s="162"/>
      <c r="AZ486" s="162"/>
      <c r="BA486" s="162"/>
      <c r="BB486" s="162"/>
      <c r="BC486" s="162"/>
      <c r="BD486" s="162"/>
      <c r="BE486" s="162"/>
      <c r="BF486" s="162"/>
      <c r="BG486" s="162"/>
      <c r="BH486" s="162"/>
      <c r="BI486" s="162"/>
      <c r="BJ486" s="162"/>
      <c r="BK486" s="162"/>
      <c r="BL486" s="162"/>
      <c r="BM486" s="162"/>
      <c r="BN486" s="162"/>
      <c r="BO486" s="162"/>
      <c r="BP486" s="162"/>
      <c r="BQ486" s="162"/>
      <c r="BR486" s="162"/>
      <c r="BS486" s="162"/>
      <c r="BT486" s="162"/>
      <c r="BU486" s="162"/>
      <c r="BV486" s="162"/>
      <c r="BW486" s="162"/>
      <c r="BX486" s="162"/>
      <c r="BY486" s="162"/>
      <c r="BZ486" s="162"/>
      <c r="CA486" s="162"/>
      <c r="CB486" s="162"/>
      <c r="CC486" s="162"/>
      <c r="CD486" s="162"/>
      <c r="CE486" s="162"/>
      <c r="CF486" s="162"/>
      <c r="CG486" s="162"/>
      <c r="CH486" s="162"/>
      <c r="CI486" s="162"/>
      <c r="CJ486" s="162"/>
      <c r="CK486" s="162"/>
      <c r="CL486" s="162"/>
      <c r="CM486" s="162"/>
      <c r="CN486" s="162"/>
      <c r="CO486" s="162"/>
      <c r="CP486" s="162"/>
      <c r="CQ486" s="162"/>
      <c r="CR486" s="162"/>
      <c r="CS486" s="209"/>
      <c r="CT486" s="209"/>
      <c r="CU486" s="257"/>
      <c r="CV486" s="156"/>
      <c r="DA486" s="152"/>
      <c r="DB486" s="152"/>
      <c r="DC486" s="158"/>
      <c r="DD486" s="158" t="s">
        <v>1693</v>
      </c>
      <c r="DE486" s="156" t="s">
        <v>45</v>
      </c>
      <c r="DF486" s="213" t="s">
        <v>1461</v>
      </c>
      <c r="DG486" s="186"/>
      <c r="DH486" s="156">
        <v>3288</v>
      </c>
      <c r="DI486" s="187">
        <v>45908</v>
      </c>
      <c r="DJ486" s="429">
        <v>24</v>
      </c>
      <c r="DK486" s="240">
        <v>3288</v>
      </c>
      <c r="DL486" s="189">
        <v>14545.45</v>
      </c>
      <c r="DM486" s="181">
        <f t="shared" si="421"/>
        <v>52607983.560000002</v>
      </c>
      <c r="DN486" s="446">
        <f t="shared" si="422"/>
        <v>0.10000000000000002</v>
      </c>
      <c r="DO486" s="160">
        <f t="shared" si="423"/>
        <v>47825439.600000001</v>
      </c>
      <c r="DP486" s="159">
        <v>45910</v>
      </c>
      <c r="DQ486" s="152"/>
      <c r="DR486" s="152"/>
      <c r="EO486" s="152"/>
      <c r="EP486" s="151"/>
      <c r="EQ486" s="158"/>
      <c r="ER486" s="158"/>
      <c r="ES486" s="158"/>
      <c r="ET486" s="158"/>
      <c r="EU486" s="152"/>
      <c r="EV486" s="152"/>
      <c r="EW486" s="152"/>
      <c r="EX486" s="152"/>
      <c r="EY486" s="151"/>
    </row>
    <row r="487" spans="1:158" s="155" customFormat="1" ht="14" hidden="1" customHeight="1">
      <c r="A487" s="208" t="str">
        <f t="shared" si="439"/>
        <v>ok</v>
      </c>
      <c r="B487" s="154"/>
      <c r="C487" s="154"/>
      <c r="D487" s="154"/>
      <c r="E487" s="154"/>
      <c r="F487" s="344" t="s">
        <v>1728</v>
      </c>
      <c r="G487" s="703"/>
      <c r="H487" s="703"/>
      <c r="I487" s="253" t="s">
        <v>1052</v>
      </c>
      <c r="J487" s="254" t="s">
        <v>267</v>
      </c>
      <c r="K487" s="253" t="s">
        <v>1053</v>
      </c>
      <c r="L487" s="261" t="s">
        <v>399</v>
      </c>
      <c r="M487" s="256" t="s">
        <v>61</v>
      </c>
      <c r="N487" s="259"/>
      <c r="O487" s="191"/>
      <c r="P487" s="190"/>
      <c r="AO487" s="234"/>
      <c r="AP487" s="193"/>
      <c r="AQ487" s="193"/>
      <c r="AR487" s="193"/>
      <c r="AS487" s="193"/>
      <c r="AT487" s="193"/>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209"/>
      <c r="CT487" s="209"/>
      <c r="CU487" s="257"/>
      <c r="CV487" s="156"/>
      <c r="DA487" s="152"/>
      <c r="DB487" s="152"/>
      <c r="DC487" s="158"/>
      <c r="DD487" s="187" t="s">
        <v>1560</v>
      </c>
      <c r="DE487" s="156" t="s">
        <v>45</v>
      </c>
      <c r="DF487" s="702" t="s">
        <v>1590</v>
      </c>
      <c r="DG487" s="213" t="s">
        <v>87</v>
      </c>
      <c r="DH487" s="156">
        <v>3288</v>
      </c>
      <c r="DI487" s="153">
        <v>45933</v>
      </c>
      <c r="DJ487" s="429">
        <v>24</v>
      </c>
      <c r="DK487" s="240">
        <v>3288</v>
      </c>
      <c r="DL487" s="189">
        <v>15000</v>
      </c>
      <c r="DM487" s="181">
        <f t="shared" si="421"/>
        <v>54252000.000000007</v>
      </c>
      <c r="DN487" s="446">
        <f t="shared" si="422"/>
        <v>0.10000000000000014</v>
      </c>
      <c r="DO487" s="160">
        <f t="shared" si="423"/>
        <v>49320000</v>
      </c>
      <c r="DP487" s="275">
        <v>45939</v>
      </c>
      <c r="DQ487" s="152"/>
      <c r="DR487" s="152"/>
      <c r="EO487" s="152"/>
      <c r="EP487" s="151"/>
      <c r="EQ487" s="158"/>
      <c r="ER487" s="158"/>
      <c r="ES487" s="158"/>
      <c r="ET487" s="158"/>
      <c r="EU487" s="152"/>
      <c r="EV487" s="152"/>
      <c r="EW487" s="152"/>
      <c r="EX487" s="152"/>
      <c r="EY487" s="151"/>
    </row>
    <row r="488" spans="1:158" s="155" customFormat="1" ht="14" hidden="1" customHeight="1">
      <c r="A488" s="208" t="str">
        <f t="shared" si="439"/>
        <v>Hiện</v>
      </c>
      <c r="B488" s="154" t="str">
        <f>EY488</f>
        <v>Đủ</v>
      </c>
      <c r="C488" s="154">
        <f t="shared" si="405"/>
        <v>0</v>
      </c>
      <c r="D488" s="154" t="s">
        <v>383</v>
      </c>
      <c r="E488" s="154"/>
      <c r="F488" s="344" t="s">
        <v>1728</v>
      </c>
      <c r="G488" s="703" t="s">
        <v>1309</v>
      </c>
      <c r="H488" s="703" t="s">
        <v>1309</v>
      </c>
      <c r="I488" s="253" t="s">
        <v>1054</v>
      </c>
      <c r="J488" s="254" t="s">
        <v>277</v>
      </c>
      <c r="K488" s="253" t="s">
        <v>1055</v>
      </c>
      <c r="L488" s="261" t="s">
        <v>399</v>
      </c>
      <c r="M488" s="256" t="s">
        <v>61</v>
      </c>
      <c r="N488" s="259">
        <v>10.6</v>
      </c>
      <c r="O488" s="191">
        <v>35.344000000000001</v>
      </c>
      <c r="P488" s="190">
        <v>368.96</v>
      </c>
      <c r="AO488" s="234">
        <v>37.111200000000004</v>
      </c>
      <c r="AP488" s="193">
        <v>393.37872000000004</v>
      </c>
      <c r="AQ488" s="193">
        <v>0</v>
      </c>
      <c r="AR488" s="193">
        <v>0</v>
      </c>
      <c r="AS488" s="193">
        <v>0</v>
      </c>
      <c r="AT488" s="193">
        <v>0</v>
      </c>
      <c r="AU488" s="162">
        <v>0</v>
      </c>
      <c r="AV488" s="162">
        <v>0</v>
      </c>
      <c r="AW488" s="162">
        <v>0</v>
      </c>
      <c r="AX488" s="162">
        <v>0</v>
      </c>
      <c r="AY488" s="162">
        <v>0</v>
      </c>
      <c r="AZ488" s="162">
        <v>0</v>
      </c>
      <c r="BA488" s="162"/>
      <c r="BB488" s="162"/>
      <c r="BC488" s="162">
        <v>0</v>
      </c>
      <c r="BD488" s="162">
        <v>0</v>
      </c>
      <c r="BE488" s="162">
        <v>0</v>
      </c>
      <c r="BF488" s="162">
        <v>0</v>
      </c>
      <c r="BG488" s="162">
        <v>0</v>
      </c>
      <c r="BH488" s="162">
        <v>0</v>
      </c>
      <c r="BI488" s="162">
        <v>0</v>
      </c>
      <c r="BJ488" s="162">
        <v>0</v>
      </c>
      <c r="BK488" s="162">
        <v>0</v>
      </c>
      <c r="BL488" s="162">
        <v>0</v>
      </c>
      <c r="BM488" s="162">
        <v>0</v>
      </c>
      <c r="BN488" s="162">
        <v>0</v>
      </c>
      <c r="BO488" s="162"/>
      <c r="BP488" s="162"/>
      <c r="BQ488" s="162">
        <v>0</v>
      </c>
      <c r="BR488" s="162">
        <v>0</v>
      </c>
      <c r="BS488" s="162">
        <v>0</v>
      </c>
      <c r="BT488" s="162">
        <v>0</v>
      </c>
      <c r="BU488" s="162">
        <v>0</v>
      </c>
      <c r="BV488" s="162">
        <v>0</v>
      </c>
      <c r="BW488" s="162"/>
      <c r="BX488" s="162"/>
      <c r="BY488" s="162">
        <v>0</v>
      </c>
      <c r="BZ488" s="162">
        <v>0</v>
      </c>
      <c r="CA488" s="162">
        <v>0</v>
      </c>
      <c r="CB488" s="162">
        <v>0</v>
      </c>
      <c r="CC488" s="162">
        <v>0</v>
      </c>
      <c r="CD488" s="162">
        <v>0</v>
      </c>
      <c r="CE488" s="162">
        <f>VLOOKUP(I488,[120]REV33!$A:$O,11,0)</f>
        <v>0</v>
      </c>
      <c r="CF488" s="162">
        <f>VLOOKUP(I488,[120]REV33!$A:$O,12,0)</f>
        <v>0</v>
      </c>
      <c r="CG488" s="162"/>
      <c r="CH488" s="162"/>
      <c r="CI488" s="162"/>
      <c r="CJ488" s="162"/>
      <c r="CK488" s="162"/>
      <c r="CL488" s="162"/>
      <c r="CM488" s="162"/>
      <c r="CN488" s="162"/>
      <c r="CO488" s="162">
        <v>0</v>
      </c>
      <c r="CP488" s="162">
        <v>0</v>
      </c>
      <c r="CQ488" s="162">
        <v>0</v>
      </c>
      <c r="CR488" s="162">
        <v>0</v>
      </c>
      <c r="CS488" s="209">
        <f>Q488+S488+U488+W488+Y488+AA488+AC488+AE488+AG488+AI488+AK488+AM488+AO488+AQ488+AS488+AU488+AW488+AY488+BA488+BC488+BE488+BG488+BI488+BK488+BM488+BO488+BQ488+BS488+BU488+BW488+BY488+CA488+CC488+CE488+CG488+CI488+CK488+CM488+CO488+CQ488</f>
        <v>37.111200000000004</v>
      </c>
      <c r="CT488" s="209">
        <f>R488+T488+V488+X488+Z488+AB488+AD488+AF488+AH488+AJ488+AL488+AN488+AP488+AR488+AT488+AV488+AX488+AZ488+BB488+BD488+BF488+BH488+BJ488+BL488+BN488+BP488+BR488+BT488+BV488+BX488+BZ488+CB488+CD488+CF488+CH488+CJ488+CL488+CN488+CP488+CR488</f>
        <v>393.37872000000004</v>
      </c>
      <c r="CU488" s="257" t="s">
        <v>1157</v>
      </c>
      <c r="CV488" s="156"/>
      <c r="CW488" s="155">
        <v>1.1112000000000037</v>
      </c>
      <c r="CX488" s="155">
        <f>CW488*N488</f>
        <v>11.778720000000039</v>
      </c>
      <c r="CY488" s="155" t="s">
        <v>383</v>
      </c>
      <c r="DA488" s="152">
        <f t="shared" ref="DA488:DA489" si="440">IF(CS488&gt;CW488,CS488-CW488,"0")</f>
        <v>36</v>
      </c>
      <c r="DB488" s="152">
        <f t="shared" ref="DB488:DB489" si="441">IF(CT488&gt;CX488,CT488-CX488,"0")</f>
        <v>381.6</v>
      </c>
      <c r="DC488" s="158"/>
      <c r="DD488" s="187" t="s">
        <v>1692</v>
      </c>
      <c r="DE488" s="156" t="s">
        <v>45</v>
      </c>
      <c r="DF488" s="705" t="s">
        <v>1422</v>
      </c>
      <c r="DG488" s="186"/>
      <c r="DH488" s="156">
        <v>482.4</v>
      </c>
      <c r="DI488" s="187">
        <v>45904</v>
      </c>
      <c r="DJ488" s="429">
        <v>36</v>
      </c>
      <c r="DK488" s="240">
        <v>482.4</v>
      </c>
      <c r="DL488" s="280">
        <v>17636.36</v>
      </c>
      <c r="DM488" s="181">
        <f t="shared" si="421"/>
        <v>9358558.0703999996</v>
      </c>
      <c r="DN488" s="446">
        <f t="shared" si="422"/>
        <v>0.10000000000000005</v>
      </c>
      <c r="DO488" s="281">
        <f t="shared" si="423"/>
        <v>8507780.0639999993</v>
      </c>
      <c r="DP488" s="159">
        <v>45907</v>
      </c>
      <c r="DQ488" s="152">
        <f>SUMIF($I:$I,I488,$DJ:$DJ)</f>
        <v>36</v>
      </c>
      <c r="DR488" s="152">
        <f>SUMIF($I:$I,I488,$DK:$DK)</f>
        <v>482.4</v>
      </c>
      <c r="EO488" s="152">
        <f>SUMIF($I:$I,I488,$EC:$EC)</f>
        <v>0</v>
      </c>
      <c r="EP488" s="151">
        <f>SUMIF($I:$I,I488,$ED:$ED)</f>
        <v>0</v>
      </c>
      <c r="EQ488" s="153"/>
      <c r="ER488" s="153"/>
      <c r="ES488" s="153"/>
      <c r="ET488" s="153"/>
      <c r="EU488" s="152">
        <f t="shared" ref="EU488:EU489" si="442">DQ488+EO488</f>
        <v>36</v>
      </c>
      <c r="EV488" s="152">
        <f t="shared" ref="EV488:EV489" si="443">DR488+EP488</f>
        <v>482.4</v>
      </c>
      <c r="EW488" s="152">
        <f t="shared" ref="EW488:EW489" si="444">DA488-EU488</f>
        <v>0</v>
      </c>
      <c r="EX488" s="152">
        <f t="shared" ref="EX488:EX489" si="445">DB488-EV488</f>
        <v>-100.79999999999995</v>
      </c>
      <c r="EY488" s="151" t="str">
        <f t="shared" ref="EY488:EY489" si="446">IF(EW488&lt;0,"Thừa",IF(EW488=0,"Đủ","Thiếu"))</f>
        <v>Đủ</v>
      </c>
    </row>
    <row r="489" spans="1:158" s="155" customFormat="1" ht="25" hidden="1" customHeight="1">
      <c r="A489" s="208" t="str">
        <f t="shared" si="439"/>
        <v>Hiện</v>
      </c>
      <c r="B489" s="154" t="str">
        <f>EY489</f>
        <v>Thừa</v>
      </c>
      <c r="C489" s="154">
        <f t="shared" si="405"/>
        <v>-2.5</v>
      </c>
      <c r="D489" s="154"/>
      <c r="E489" s="154"/>
      <c r="F489" s="344" t="s">
        <v>1728</v>
      </c>
      <c r="G489" s="703" t="s">
        <v>1310</v>
      </c>
      <c r="H489" s="260" t="s">
        <v>1517</v>
      </c>
      <c r="I489" s="254" t="s">
        <v>1056</v>
      </c>
      <c r="J489" s="254" t="s">
        <v>277</v>
      </c>
      <c r="K489" s="253" t="s">
        <v>444</v>
      </c>
      <c r="L489" s="261" t="s">
        <v>399</v>
      </c>
      <c r="M489" s="256" t="s">
        <v>61</v>
      </c>
      <c r="N489" s="259">
        <v>25.3</v>
      </c>
      <c r="O489" s="191">
        <v>144.28547999999998</v>
      </c>
      <c r="P489" s="190">
        <v>3715.6000000000004</v>
      </c>
      <c r="AO489" s="234">
        <v>204</v>
      </c>
      <c r="AP489" s="193">
        <v>5161.2</v>
      </c>
      <c r="AQ489" s="193">
        <v>0</v>
      </c>
      <c r="AR489" s="193">
        <v>0</v>
      </c>
      <c r="AS489" s="193">
        <v>0</v>
      </c>
      <c r="AT489" s="193">
        <v>0</v>
      </c>
      <c r="AU489" s="162">
        <v>0</v>
      </c>
      <c r="AV489" s="162">
        <v>0</v>
      </c>
      <c r="AW489" s="162">
        <v>0</v>
      </c>
      <c r="AX489" s="162">
        <v>0</v>
      </c>
      <c r="AY489" s="162">
        <v>132</v>
      </c>
      <c r="AZ489" s="162">
        <v>3339.6</v>
      </c>
      <c r="BA489" s="162"/>
      <c r="BB489" s="162"/>
      <c r="BC489" s="162">
        <v>-46</v>
      </c>
      <c r="BD489" s="162">
        <v>-1163.8</v>
      </c>
      <c r="BE489" s="162">
        <v>0</v>
      </c>
      <c r="BF489" s="162">
        <v>0</v>
      </c>
      <c r="BG489" s="162">
        <v>0</v>
      </c>
      <c r="BH489" s="162">
        <v>0</v>
      </c>
      <c r="BI489" s="162">
        <v>0</v>
      </c>
      <c r="BJ489" s="162">
        <v>0</v>
      </c>
      <c r="BK489" s="162">
        <v>0</v>
      </c>
      <c r="BL489" s="162">
        <v>0</v>
      </c>
      <c r="BM489" s="162">
        <v>46.5</v>
      </c>
      <c r="BN489" s="162">
        <v>1176.45</v>
      </c>
      <c r="BO489" s="162"/>
      <c r="BP489" s="162"/>
      <c r="BQ489" s="162">
        <v>45</v>
      </c>
      <c r="BR489" s="162">
        <v>1138.5</v>
      </c>
      <c r="BS489" s="162">
        <v>0</v>
      </c>
      <c r="BT489" s="162">
        <v>0</v>
      </c>
      <c r="BU489" s="162">
        <v>0</v>
      </c>
      <c r="BV489" s="162">
        <v>0</v>
      </c>
      <c r="BW489" s="162"/>
      <c r="BX489" s="162"/>
      <c r="BY489" s="162">
        <v>0</v>
      </c>
      <c r="BZ489" s="162">
        <v>0</v>
      </c>
      <c r="CA489" s="162">
        <v>0</v>
      </c>
      <c r="CB489" s="162">
        <v>0</v>
      </c>
      <c r="CC489" s="162">
        <v>0</v>
      </c>
      <c r="CD489" s="162">
        <v>0</v>
      </c>
      <c r="CE489" s="162">
        <f>VLOOKUP(I489,[120]REV33!$A:$O,11,0)</f>
        <v>0</v>
      </c>
      <c r="CF489" s="162">
        <f>VLOOKUP(I489,[120]REV33!$A:$O,12,0)</f>
        <v>0</v>
      </c>
      <c r="CG489" s="162"/>
      <c r="CH489" s="162"/>
      <c r="CI489" s="162"/>
      <c r="CJ489" s="162"/>
      <c r="CK489" s="162"/>
      <c r="CL489" s="162"/>
      <c r="CM489" s="162"/>
      <c r="CN489" s="162"/>
      <c r="CO489" s="162">
        <v>0</v>
      </c>
      <c r="CP489" s="162">
        <v>0</v>
      </c>
      <c r="CQ489" s="162">
        <v>0</v>
      </c>
      <c r="CR489" s="162">
        <v>0</v>
      </c>
      <c r="CS489" s="209">
        <f>Q489+S489+U489+W489+Y489+AA489+AC489+AE489+AG489+AI489+AK489+AM489+AO489+AQ489+AS489+AU489+AW489+AY489+BA489+BC489+BE489+BG489+BI489+BK489+BM489+BO489+BQ489+BS489+BU489+BW489+BY489+CA489+CC489+CE489+CG489+CI489+CK489+CM489+CO489+CQ489</f>
        <v>381.5</v>
      </c>
      <c r="CT489" s="209">
        <f>R489+T489+V489+X489+Z489+AB489+AD489+AF489+AH489+AJ489+AL489+AN489+AP489+AR489+AT489+AV489+AX489+AZ489+BB489+BD489+BF489+BH489+BJ489+BL489+BN489+BP489+BR489+BT489+BV489+BX489+BZ489+CB489+CD489+CF489+CH489+CJ489+CL489+CN489+CP489+CR489</f>
        <v>9651.9499999999989</v>
      </c>
      <c r="CU489" s="257" t="s">
        <v>1893</v>
      </c>
      <c r="CV489" s="156"/>
      <c r="DA489" s="152">
        <f t="shared" si="440"/>
        <v>381.5</v>
      </c>
      <c r="DB489" s="152">
        <f t="shared" si="441"/>
        <v>9651.9499999999989</v>
      </c>
      <c r="DC489" s="158"/>
      <c r="DD489" s="187" t="s">
        <v>1692</v>
      </c>
      <c r="DE489" s="156" t="s">
        <v>45</v>
      </c>
      <c r="DF489" s="260" t="s">
        <v>1423</v>
      </c>
      <c r="DG489" s="186"/>
      <c r="DH489" s="156">
        <v>2547.7199999999998</v>
      </c>
      <c r="DI489" s="187">
        <v>45904</v>
      </c>
      <c r="DJ489" s="429">
        <v>84</v>
      </c>
      <c r="DK489" s="240">
        <v>2547.7199999999998</v>
      </c>
      <c r="DL489" s="280">
        <v>17636.36</v>
      </c>
      <c r="DM489" s="181">
        <f t="shared" si="421"/>
        <v>49425757.809119999</v>
      </c>
      <c r="DN489" s="446">
        <f t="shared" si="422"/>
        <v>0.1000000000000001</v>
      </c>
      <c r="DO489" s="281">
        <f t="shared" si="423"/>
        <v>44932507.099199995</v>
      </c>
      <c r="DP489" s="159">
        <v>45907</v>
      </c>
      <c r="DQ489" s="152">
        <f>SUMIF($I:$I,I489,$DJ:$DJ)</f>
        <v>384</v>
      </c>
      <c r="DR489" s="152">
        <f>SUMIF($I:$I,I489,$DK:$DK)</f>
        <v>11637.919999999998</v>
      </c>
      <c r="EO489" s="152">
        <f>SUMIF($I:$I,I489,$EC:$EC)</f>
        <v>0</v>
      </c>
      <c r="EP489" s="151">
        <f>SUMIF($I:$I,I489,$ED:$ED)</f>
        <v>0</v>
      </c>
      <c r="EQ489" s="153"/>
      <c r="ER489" s="153"/>
      <c r="ES489" s="153"/>
      <c r="ET489" s="153"/>
      <c r="EU489" s="152">
        <f t="shared" si="442"/>
        <v>384</v>
      </c>
      <c r="EV489" s="152">
        <f t="shared" si="443"/>
        <v>11637.919999999998</v>
      </c>
      <c r="EW489" s="152">
        <f t="shared" si="444"/>
        <v>-2.5</v>
      </c>
      <c r="EX489" s="152">
        <f t="shared" si="445"/>
        <v>-1985.9699999999993</v>
      </c>
      <c r="EY489" s="151" t="str">
        <f t="shared" si="446"/>
        <v>Thừa</v>
      </c>
    </row>
    <row r="490" spans="1:158" s="155" customFormat="1" ht="25" hidden="1" customHeight="1">
      <c r="A490" s="208" t="str">
        <f t="shared" si="439"/>
        <v>ok</v>
      </c>
      <c r="B490" s="154"/>
      <c r="C490" s="154"/>
      <c r="D490" s="154"/>
      <c r="E490" s="154"/>
      <c r="F490" s="344"/>
      <c r="G490" s="703"/>
      <c r="H490" s="260"/>
      <c r="I490" s="254" t="s">
        <v>1056</v>
      </c>
      <c r="J490" s="254" t="s">
        <v>277</v>
      </c>
      <c r="K490" s="253" t="s">
        <v>444</v>
      </c>
      <c r="L490" s="261" t="s">
        <v>399</v>
      </c>
      <c r="M490" s="256" t="s">
        <v>61</v>
      </c>
      <c r="N490" s="259"/>
      <c r="O490" s="191"/>
      <c r="P490" s="190"/>
      <c r="AO490" s="234"/>
      <c r="AP490" s="193"/>
      <c r="AQ490" s="193"/>
      <c r="AR490" s="193"/>
      <c r="AS490" s="193"/>
      <c r="AT490" s="193"/>
      <c r="AU490" s="162"/>
      <c r="AV490" s="162"/>
      <c r="AW490" s="162"/>
      <c r="AX490" s="162"/>
      <c r="AY490" s="162"/>
      <c r="AZ490" s="162"/>
      <c r="BA490" s="162"/>
      <c r="BB490" s="162"/>
      <c r="BC490" s="162"/>
      <c r="BD490" s="162"/>
      <c r="BE490" s="162"/>
      <c r="BF490" s="162"/>
      <c r="BG490" s="162"/>
      <c r="BH490" s="162"/>
      <c r="BI490" s="162"/>
      <c r="BJ490" s="162"/>
      <c r="BK490" s="162"/>
      <c r="BL490" s="162"/>
      <c r="BM490" s="162"/>
      <c r="BN490" s="162"/>
      <c r="BO490" s="162"/>
      <c r="BP490" s="162"/>
      <c r="BQ490" s="162"/>
      <c r="BR490" s="162"/>
      <c r="BS490" s="162"/>
      <c r="BT490" s="162"/>
      <c r="BU490" s="162"/>
      <c r="BV490" s="162"/>
      <c r="BW490" s="162"/>
      <c r="BX490" s="162"/>
      <c r="BY490" s="162"/>
      <c r="BZ490" s="162"/>
      <c r="CA490" s="162"/>
      <c r="CB490" s="162"/>
      <c r="CC490" s="162"/>
      <c r="CD490" s="162"/>
      <c r="CE490" s="162"/>
      <c r="CF490" s="162"/>
      <c r="CG490" s="162"/>
      <c r="CH490" s="162"/>
      <c r="CI490" s="162"/>
      <c r="CJ490" s="162"/>
      <c r="CK490" s="162"/>
      <c r="CL490" s="162"/>
      <c r="CM490" s="162"/>
      <c r="CN490" s="162"/>
      <c r="CO490" s="162"/>
      <c r="CP490" s="162"/>
      <c r="CQ490" s="162"/>
      <c r="CR490" s="162"/>
      <c r="CS490" s="209"/>
      <c r="CT490" s="209"/>
      <c r="CU490" s="257"/>
      <c r="CV490" s="156"/>
      <c r="DA490" s="152"/>
      <c r="DB490" s="152"/>
      <c r="DC490" s="158"/>
      <c r="DD490" s="187" t="s">
        <v>2182</v>
      </c>
      <c r="DE490" s="156" t="s">
        <v>1901</v>
      </c>
      <c r="DF490" s="506" t="s">
        <v>2191</v>
      </c>
      <c r="DG490" s="186"/>
      <c r="DH490" s="505">
        <v>2909</v>
      </c>
      <c r="DI490" s="187">
        <v>45972</v>
      </c>
      <c r="DJ490" s="1005">
        <v>96</v>
      </c>
      <c r="DK490" s="505">
        <v>2909</v>
      </c>
      <c r="DL490" s="505">
        <v>17545.45</v>
      </c>
      <c r="DM490" s="181">
        <f>DL490*DK490*(1+DN490)</f>
        <v>56143685.455000013</v>
      </c>
      <c r="DN490" s="446">
        <v>0.1</v>
      </c>
      <c r="DO490" s="240">
        <f>DL490*DK490</f>
        <v>51039714.050000004</v>
      </c>
      <c r="DP490" s="159">
        <v>45976</v>
      </c>
      <c r="DQ490" s="152"/>
      <c r="DR490" s="152"/>
      <c r="EO490" s="152"/>
      <c r="EP490" s="151"/>
      <c r="EQ490" s="153"/>
      <c r="ER490" s="153"/>
      <c r="ES490" s="153"/>
      <c r="ET490" s="153"/>
      <c r="EU490" s="152"/>
      <c r="EV490" s="152"/>
      <c r="EW490" s="152"/>
      <c r="EX490" s="152"/>
      <c r="EY490" s="151"/>
    </row>
    <row r="491" spans="1:158" s="155" customFormat="1" ht="25" hidden="1" customHeight="1">
      <c r="A491" s="208" t="str">
        <f t="shared" si="439"/>
        <v>ok</v>
      </c>
      <c r="B491" s="154"/>
      <c r="C491" s="154"/>
      <c r="D491" s="154"/>
      <c r="E491" s="154"/>
      <c r="F491" s="344" t="s">
        <v>1728</v>
      </c>
      <c r="G491" s="703"/>
      <c r="H491" s="703"/>
      <c r="I491" s="253" t="s">
        <v>1056</v>
      </c>
      <c r="J491" s="254" t="s">
        <v>277</v>
      </c>
      <c r="K491" s="253" t="s">
        <v>444</v>
      </c>
      <c r="L491" s="261" t="s">
        <v>399</v>
      </c>
      <c r="M491" s="256" t="s">
        <v>61</v>
      </c>
      <c r="N491" s="259"/>
      <c r="O491" s="191"/>
      <c r="P491" s="190"/>
      <c r="AO491" s="234"/>
      <c r="AP491" s="193"/>
      <c r="AQ491" s="193"/>
      <c r="AR491" s="193"/>
      <c r="AS491" s="193"/>
      <c r="AT491" s="193"/>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209"/>
      <c r="CT491" s="209"/>
      <c r="CU491" s="711"/>
      <c r="CV491" s="156"/>
      <c r="DA491" s="152" t="str">
        <f t="shared" ref="DA491" si="447">IF(CS491&gt;CW491,CS491-CW491,"0")</f>
        <v>0</v>
      </c>
      <c r="DB491" s="152" t="str">
        <f t="shared" ref="DB491" si="448">IF(CT491&gt;CX491,CT491-CX491,"0")</f>
        <v>0</v>
      </c>
      <c r="DC491" s="158"/>
      <c r="DD491" s="158" t="s">
        <v>1512</v>
      </c>
      <c r="DE491" s="156" t="s">
        <v>1511</v>
      </c>
      <c r="DF491" s="260" t="s">
        <v>1513</v>
      </c>
      <c r="DG491" s="186"/>
      <c r="DH491" s="156">
        <v>3636</v>
      </c>
      <c r="DI491" s="187">
        <v>45909</v>
      </c>
      <c r="DJ491" s="429">
        <f>10*12</f>
        <v>120</v>
      </c>
      <c r="DK491" s="240">
        <v>3636</v>
      </c>
      <c r="DL491" s="189">
        <v>17454.55</v>
      </c>
      <c r="DM491" s="181">
        <f t="shared" si="421"/>
        <v>69811218.180000007</v>
      </c>
      <c r="DN491" s="446">
        <f t="shared" si="422"/>
        <v>0.10000000000000016</v>
      </c>
      <c r="DO491" s="160">
        <f t="shared" si="423"/>
        <v>63464743.799999997</v>
      </c>
      <c r="DP491" s="159">
        <v>45925</v>
      </c>
      <c r="DQ491" s="152"/>
      <c r="DR491" s="152">
        <f>SUMIF($I:$I,I491,$DK:$DK)</f>
        <v>11637.919999999998</v>
      </c>
      <c r="EO491" s="152"/>
      <c r="EP491" s="151"/>
      <c r="EQ491" s="153"/>
      <c r="ER491" s="153"/>
      <c r="ES491" s="153"/>
      <c r="ET491" s="153"/>
      <c r="EU491" s="152"/>
      <c r="EV491" s="152"/>
      <c r="EW491" s="152"/>
      <c r="EX491" s="152"/>
      <c r="EY491" s="151"/>
    </row>
    <row r="492" spans="1:158" s="155" customFormat="1" ht="25" hidden="1" customHeight="1">
      <c r="A492" s="208" t="str">
        <f t="shared" si="439"/>
        <v>ok</v>
      </c>
      <c r="B492" s="154"/>
      <c r="C492" s="154"/>
      <c r="D492" s="154"/>
      <c r="E492" s="154"/>
      <c r="F492" s="344" t="s">
        <v>1728</v>
      </c>
      <c r="G492" s="703"/>
      <c r="H492" s="703"/>
      <c r="I492" s="253" t="s">
        <v>1056</v>
      </c>
      <c r="J492" s="254" t="s">
        <v>277</v>
      </c>
      <c r="K492" s="253" t="s">
        <v>444</v>
      </c>
      <c r="L492" s="261" t="s">
        <v>399</v>
      </c>
      <c r="M492" s="256" t="s">
        <v>61</v>
      </c>
      <c r="N492" s="259"/>
      <c r="O492" s="191"/>
      <c r="P492" s="190"/>
      <c r="AO492" s="234"/>
      <c r="AP492" s="193"/>
      <c r="AQ492" s="193"/>
      <c r="AR492" s="193"/>
      <c r="AS492" s="193"/>
      <c r="AT492" s="193"/>
      <c r="AU492" s="162"/>
      <c r="AV492" s="162"/>
      <c r="AW492" s="162"/>
      <c r="AX492" s="162"/>
      <c r="AY492" s="162"/>
      <c r="AZ492" s="162"/>
      <c r="BA492" s="162"/>
      <c r="BB492" s="162"/>
      <c r="BC492" s="162"/>
      <c r="BD492" s="162"/>
      <c r="BE492" s="162"/>
      <c r="BF492" s="162"/>
      <c r="BG492" s="162"/>
      <c r="BH492" s="162"/>
      <c r="BI492" s="162"/>
      <c r="BJ492" s="162"/>
      <c r="BK492" s="162"/>
      <c r="BL492" s="162"/>
      <c r="BM492" s="162"/>
      <c r="BN492" s="162"/>
      <c r="BO492" s="162"/>
      <c r="BP492" s="162"/>
      <c r="BQ492" s="162"/>
      <c r="BR492" s="162"/>
      <c r="BS492" s="162"/>
      <c r="BT492" s="162"/>
      <c r="BU492" s="162"/>
      <c r="BV492" s="162"/>
      <c r="BW492" s="162"/>
      <c r="BX492" s="162"/>
      <c r="BY492" s="162"/>
      <c r="BZ492" s="162"/>
      <c r="CA492" s="162"/>
      <c r="CB492" s="162"/>
      <c r="CC492" s="162"/>
      <c r="CD492" s="162"/>
      <c r="CE492" s="162"/>
      <c r="CF492" s="162"/>
      <c r="CG492" s="162"/>
      <c r="CH492" s="162"/>
      <c r="CI492" s="162"/>
      <c r="CJ492" s="162"/>
      <c r="CK492" s="162"/>
      <c r="CL492" s="162"/>
      <c r="CM492" s="162"/>
      <c r="CN492" s="162"/>
      <c r="CO492" s="162"/>
      <c r="CP492" s="162"/>
      <c r="CQ492" s="162"/>
      <c r="CR492" s="162"/>
      <c r="CS492" s="209"/>
      <c r="CT492" s="209"/>
      <c r="CU492" s="711"/>
      <c r="CV492" s="156"/>
      <c r="DA492" s="152"/>
      <c r="DB492" s="152"/>
      <c r="DC492" s="158"/>
      <c r="DD492" s="187" t="s">
        <v>1560</v>
      </c>
      <c r="DE492" s="156" t="s">
        <v>45</v>
      </c>
      <c r="DF492" s="702" t="s">
        <v>1591</v>
      </c>
      <c r="DG492" s="213" t="s">
        <v>87</v>
      </c>
      <c r="DH492" s="156">
        <v>2545.1999999999998</v>
      </c>
      <c r="DI492" s="153">
        <v>45933</v>
      </c>
      <c r="DJ492" s="429">
        <v>84</v>
      </c>
      <c r="DK492" s="240">
        <v>2545.1999999999998</v>
      </c>
      <c r="DL492" s="189">
        <v>18000</v>
      </c>
      <c r="DM492" s="181">
        <f t="shared" si="421"/>
        <v>50394960.000000007</v>
      </c>
      <c r="DN492" s="446">
        <f t="shared" si="422"/>
        <v>0.10000000000000016</v>
      </c>
      <c r="DO492" s="160">
        <f t="shared" si="423"/>
        <v>45813600</v>
      </c>
      <c r="DP492" s="275">
        <v>45939</v>
      </c>
      <c r="DQ492" s="152"/>
      <c r="DR492" s="152"/>
      <c r="EO492" s="152"/>
      <c r="EP492" s="151"/>
      <c r="EQ492" s="153"/>
      <c r="ER492" s="153"/>
      <c r="ES492" s="153"/>
      <c r="ET492" s="153"/>
      <c r="EU492" s="152"/>
      <c r="EV492" s="152"/>
      <c r="EW492" s="152"/>
      <c r="EX492" s="152"/>
      <c r="EY492" s="151"/>
    </row>
    <row r="493" spans="1:158" s="155" customFormat="1" ht="14" hidden="1" customHeight="1">
      <c r="A493" s="208" t="str">
        <f t="shared" si="439"/>
        <v>Hiện</v>
      </c>
      <c r="B493" s="154" t="str">
        <f>CONCATENATE(EY493," Thiếu ít đủ")</f>
        <v>Thiếu Thiếu ít đủ</v>
      </c>
      <c r="C493" s="154">
        <f t="shared" si="405"/>
        <v>0.75739999999996144</v>
      </c>
      <c r="D493" s="154"/>
      <c r="E493" s="154"/>
      <c r="F493" s="344" t="s">
        <v>1728</v>
      </c>
      <c r="G493" s="703" t="s">
        <v>1898</v>
      </c>
      <c r="H493" s="260" t="s">
        <v>1518</v>
      </c>
      <c r="I493" s="254" t="s">
        <v>1057</v>
      </c>
      <c r="J493" s="254" t="s">
        <v>277</v>
      </c>
      <c r="K493" s="253" t="s">
        <v>1058</v>
      </c>
      <c r="L493" s="261" t="s">
        <v>399</v>
      </c>
      <c r="M493" s="256" t="s">
        <v>61</v>
      </c>
      <c r="N493" s="259">
        <v>29.4</v>
      </c>
      <c r="O493" s="191">
        <v>247.38800000000001</v>
      </c>
      <c r="P493" s="190">
        <v>7219.119999999999</v>
      </c>
      <c r="AO493" s="234">
        <v>259.75740000000002</v>
      </c>
      <c r="AP493" s="193">
        <v>7636.8675600000006</v>
      </c>
      <c r="AQ493" s="193">
        <v>0</v>
      </c>
      <c r="AR493" s="193">
        <v>0</v>
      </c>
      <c r="AS493" s="193">
        <v>0</v>
      </c>
      <c r="AT493" s="193">
        <v>0</v>
      </c>
      <c r="AU493" s="162">
        <v>0</v>
      </c>
      <c r="AV493" s="162">
        <v>0</v>
      </c>
      <c r="AW493" s="162">
        <v>213</v>
      </c>
      <c r="AX493" s="162">
        <v>6262.2</v>
      </c>
      <c r="AY493" s="162">
        <v>0</v>
      </c>
      <c r="AZ493" s="162">
        <v>0</v>
      </c>
      <c r="BA493" s="162"/>
      <c r="BB493" s="162"/>
      <c r="BC493" s="162">
        <v>0</v>
      </c>
      <c r="BD493" s="162">
        <v>0</v>
      </c>
      <c r="BE493" s="162">
        <v>0</v>
      </c>
      <c r="BF493" s="162">
        <v>0</v>
      </c>
      <c r="BG493" s="162">
        <v>0</v>
      </c>
      <c r="BH493" s="162">
        <v>0</v>
      </c>
      <c r="BI493" s="162">
        <v>0</v>
      </c>
      <c r="BJ493" s="162">
        <v>0</v>
      </c>
      <c r="BK493" s="162">
        <v>0</v>
      </c>
      <c r="BL493" s="162">
        <v>0</v>
      </c>
      <c r="BM493" s="162">
        <v>0</v>
      </c>
      <c r="BN493" s="162">
        <v>0</v>
      </c>
      <c r="BO493" s="162"/>
      <c r="BP493" s="162"/>
      <c r="BQ493" s="162">
        <v>416</v>
      </c>
      <c r="BR493" s="162">
        <v>12230.4</v>
      </c>
      <c r="BS493" s="162">
        <v>0</v>
      </c>
      <c r="BT493" s="162">
        <v>0</v>
      </c>
      <c r="BU493" s="162">
        <v>0</v>
      </c>
      <c r="BV493" s="162">
        <v>0</v>
      </c>
      <c r="BW493" s="162"/>
      <c r="BX493" s="162"/>
      <c r="BY493" s="162">
        <v>0</v>
      </c>
      <c r="BZ493" s="162">
        <v>0</v>
      </c>
      <c r="CA493" s="162">
        <v>0</v>
      </c>
      <c r="CB493" s="162">
        <v>0</v>
      </c>
      <c r="CC493" s="162">
        <v>0</v>
      </c>
      <c r="CD493" s="162">
        <v>0</v>
      </c>
      <c r="CE493" s="162">
        <f>VLOOKUP(I493,[120]REV33!$A:$O,11,0)</f>
        <v>0</v>
      </c>
      <c r="CF493" s="162">
        <f>VLOOKUP(I493,[120]REV33!$A:$O,12,0)</f>
        <v>0</v>
      </c>
      <c r="CG493" s="162"/>
      <c r="CH493" s="162"/>
      <c r="CI493" s="162"/>
      <c r="CJ493" s="162"/>
      <c r="CK493" s="162"/>
      <c r="CL493" s="162"/>
      <c r="CM493" s="162"/>
      <c r="CN493" s="162"/>
      <c r="CO493" s="162">
        <v>0</v>
      </c>
      <c r="CP493" s="162">
        <v>0</v>
      </c>
      <c r="CQ493" s="162">
        <v>0</v>
      </c>
      <c r="CR493" s="162">
        <v>0</v>
      </c>
      <c r="CS493" s="209">
        <f>Q493+S493+U493+W493+Y493+AA493+AC493+AE493+AG493+AI493+AK493+AM493+AO493+AQ493+AS493+AU493+AW493+AY493+BA493+BC493+BE493+BG493+BI493+BK493+BM493+BO493+BQ493+BS493+BU493+BW493+BY493+CA493+CC493+CE493+CG493+CI493+CK493+CM493+CO493+CQ493</f>
        <v>888.75739999999996</v>
      </c>
      <c r="CT493" s="209">
        <f>R493+T493+V493+X493+Z493+AB493+AD493+AF493+AH493+AJ493+AL493+AN493+AP493+AR493+AT493+AV493+AX493+AZ493+BB493+BD493+BF493+BH493+BJ493+BL493+BN493+BP493+BR493+BT493+BV493+BX493+BZ493+CB493+CD493+CF493+CH493+CJ493+CL493+CN493+CP493+CR493</f>
        <v>26129.467559999997</v>
      </c>
      <c r="CU493" s="257" t="s">
        <v>1892</v>
      </c>
      <c r="CV493" s="156"/>
      <c r="DA493" s="152">
        <f>IF(CS493&gt;CW493,CS493-CW493,"0")</f>
        <v>888.75739999999996</v>
      </c>
      <c r="DB493" s="152">
        <f>IF(CT493&gt;CX493,CT493-CX493,"0")</f>
        <v>26129.467559999997</v>
      </c>
      <c r="DC493" s="158"/>
      <c r="DD493" s="187" t="s">
        <v>1692</v>
      </c>
      <c r="DE493" s="156" t="s">
        <v>45</v>
      </c>
      <c r="DF493" s="260" t="s">
        <v>1424</v>
      </c>
      <c r="DG493" s="186"/>
      <c r="DH493" s="156">
        <v>4982.3999999999996</v>
      </c>
      <c r="DI493" s="187">
        <v>45904</v>
      </c>
      <c r="DJ493" s="429">
        <v>144</v>
      </c>
      <c r="DK493" s="240">
        <v>4982.3999999999996</v>
      </c>
      <c r="DL493" s="280">
        <v>18000</v>
      </c>
      <c r="DM493" s="181">
        <f t="shared" si="421"/>
        <v>98651520.000000015</v>
      </c>
      <c r="DN493" s="446">
        <f t="shared" si="422"/>
        <v>0.10000000000000017</v>
      </c>
      <c r="DO493" s="281">
        <f t="shared" si="423"/>
        <v>89683200</v>
      </c>
      <c r="DP493" s="159">
        <v>45907</v>
      </c>
      <c r="DQ493" s="152">
        <f>SUMIF($I:$I,I493,$DJ:$DJ)</f>
        <v>888</v>
      </c>
      <c r="DR493" s="152">
        <f>SUMIF($I:$I,I493,$DK:$DK)</f>
        <v>30724.800000000003</v>
      </c>
      <c r="EO493" s="152">
        <f>SUMIF($I:$I,I493,$EC:$EC)</f>
        <v>0</v>
      </c>
      <c r="EP493" s="151">
        <f>SUMIF($I:$I,I493,$ED:$ED)</f>
        <v>0</v>
      </c>
      <c r="EQ493" s="153"/>
      <c r="ER493" s="153"/>
      <c r="ES493" s="153"/>
      <c r="ET493" s="153"/>
      <c r="EU493" s="152">
        <f>DQ493+EO493</f>
        <v>888</v>
      </c>
      <c r="EV493" s="152">
        <f>DR493+EP493</f>
        <v>30724.800000000003</v>
      </c>
      <c r="EW493" s="152">
        <f t="shared" ref="EW493" si="449">DA493-EU493</f>
        <v>0.75739999999996144</v>
      </c>
      <c r="EX493" s="152">
        <f t="shared" ref="EX493" si="450">DB493-EV493</f>
        <v>-4595.3324400000056</v>
      </c>
      <c r="EY493" s="151" t="str">
        <f>IF(EW493&lt;0,"Thừa",IF(EW493=0,"Đủ","Thiếu"))</f>
        <v>Thiếu</v>
      </c>
    </row>
    <row r="494" spans="1:158" s="263" customFormat="1" ht="14" hidden="1" customHeight="1">
      <c r="A494" s="208" t="str">
        <f t="shared" si="439"/>
        <v>ok</v>
      </c>
      <c r="B494" s="154"/>
      <c r="C494" s="154"/>
      <c r="D494" s="154"/>
      <c r="E494" s="154"/>
      <c r="F494" s="344"/>
      <c r="G494" s="703"/>
      <c r="H494" s="260"/>
      <c r="I494" s="254" t="s">
        <v>1057</v>
      </c>
      <c r="J494" s="254" t="s">
        <v>277</v>
      </c>
      <c r="K494" s="253" t="s">
        <v>1058</v>
      </c>
      <c r="L494" s="261" t="s">
        <v>399</v>
      </c>
      <c r="M494" s="256" t="s">
        <v>61</v>
      </c>
      <c r="N494" s="259"/>
      <c r="O494" s="191"/>
      <c r="P494" s="190"/>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155"/>
      <c r="AM494" s="155"/>
      <c r="AN494" s="155"/>
      <c r="AO494" s="234"/>
      <c r="AP494" s="193"/>
      <c r="AQ494" s="193"/>
      <c r="AR494" s="193"/>
      <c r="AS494" s="193"/>
      <c r="AT494" s="193"/>
      <c r="AU494" s="162"/>
      <c r="AV494" s="162"/>
      <c r="AW494" s="162"/>
      <c r="AX494" s="162"/>
      <c r="AY494" s="162"/>
      <c r="AZ494" s="162"/>
      <c r="BA494" s="162"/>
      <c r="BB494" s="162"/>
      <c r="BC494" s="162"/>
      <c r="BD494" s="162"/>
      <c r="BE494" s="162"/>
      <c r="BF494" s="162"/>
      <c r="BG494" s="162"/>
      <c r="BH494" s="162"/>
      <c r="BI494" s="162"/>
      <c r="BJ494" s="162"/>
      <c r="BK494" s="162"/>
      <c r="BL494" s="162"/>
      <c r="BM494" s="162"/>
      <c r="BN494" s="162"/>
      <c r="BO494" s="162"/>
      <c r="BP494" s="162"/>
      <c r="BQ494" s="162"/>
      <c r="BR494" s="162"/>
      <c r="BS494" s="162"/>
      <c r="BT494" s="162"/>
      <c r="BU494" s="162"/>
      <c r="BV494" s="162"/>
      <c r="BW494" s="162"/>
      <c r="BX494" s="162"/>
      <c r="BY494" s="162"/>
      <c r="BZ494" s="162"/>
      <c r="CA494" s="162"/>
      <c r="CB494" s="162"/>
      <c r="CC494" s="162"/>
      <c r="CD494" s="162"/>
      <c r="CE494" s="162"/>
      <c r="CF494" s="162"/>
      <c r="CG494" s="162"/>
      <c r="CH494" s="162"/>
      <c r="CI494" s="162"/>
      <c r="CJ494" s="162"/>
      <c r="CK494" s="162"/>
      <c r="CL494" s="162"/>
      <c r="CM494" s="162"/>
      <c r="CN494" s="162"/>
      <c r="CO494" s="162"/>
      <c r="CP494" s="162"/>
      <c r="CQ494" s="162"/>
      <c r="CR494" s="162"/>
      <c r="CS494" s="209"/>
      <c r="CT494" s="209"/>
      <c r="CU494" s="257"/>
      <c r="CV494" s="156"/>
      <c r="CW494" s="155"/>
      <c r="CX494" s="155"/>
      <c r="CY494" s="155"/>
      <c r="CZ494" s="155"/>
      <c r="DA494" s="152"/>
      <c r="DB494" s="152"/>
      <c r="DC494" s="158"/>
      <c r="DD494" s="187" t="s">
        <v>2182</v>
      </c>
      <c r="DE494" s="156" t="s">
        <v>1901</v>
      </c>
      <c r="DF494" s="506" t="s">
        <v>2192</v>
      </c>
      <c r="DG494" s="186"/>
      <c r="DH494" s="505">
        <v>14532</v>
      </c>
      <c r="DI494" s="187">
        <v>45972</v>
      </c>
      <c r="DJ494" s="1005">
        <f>35*12</f>
        <v>420</v>
      </c>
      <c r="DK494" s="505">
        <v>14532</v>
      </c>
      <c r="DL494" s="505">
        <v>17545.45</v>
      </c>
      <c r="DM494" s="181">
        <f>DL494*DK494*(1+DN494)</f>
        <v>280467527.34000003</v>
      </c>
      <c r="DN494" s="446">
        <v>0.1</v>
      </c>
      <c r="DO494" s="240">
        <f>DL494*DK494</f>
        <v>254970479.40000001</v>
      </c>
      <c r="DP494" s="159">
        <v>45976</v>
      </c>
      <c r="DQ494" s="152"/>
      <c r="DR494" s="152"/>
      <c r="DS494" s="155"/>
      <c r="DT494" s="155"/>
      <c r="DU494" s="155"/>
      <c r="DV494" s="155"/>
      <c r="DW494" s="155"/>
      <c r="DX494" s="155"/>
      <c r="DY494" s="155"/>
      <c r="DZ494" s="155"/>
      <c r="EA494" s="155"/>
      <c r="EB494" s="155"/>
      <c r="EC494" s="155"/>
      <c r="ED494" s="155"/>
      <c r="EE494" s="155"/>
      <c r="EF494" s="155"/>
      <c r="EG494" s="155"/>
      <c r="EH494" s="155"/>
      <c r="EI494" s="155"/>
      <c r="EJ494" s="155"/>
      <c r="EK494" s="155"/>
      <c r="EL494" s="155"/>
      <c r="EM494" s="155"/>
      <c r="EN494" s="155"/>
      <c r="EO494" s="152"/>
      <c r="EP494" s="151"/>
      <c r="EQ494" s="153"/>
      <c r="ER494" s="153"/>
      <c r="ES494" s="153"/>
      <c r="ET494" s="153"/>
      <c r="EU494" s="152"/>
      <c r="EV494" s="152"/>
      <c r="EW494" s="152"/>
      <c r="EX494" s="152"/>
      <c r="EY494" s="151"/>
      <c r="EZ494" s="155"/>
      <c r="FA494" s="155"/>
      <c r="FB494" s="155"/>
    </row>
    <row r="495" spans="1:158" s="263" customFormat="1" ht="14" hidden="1" customHeight="1">
      <c r="A495" s="208" t="str">
        <f t="shared" si="439"/>
        <v>ok</v>
      </c>
      <c r="B495" s="154"/>
      <c r="C495" s="154"/>
      <c r="D495" s="154"/>
      <c r="E495" s="154"/>
      <c r="F495" s="344" t="s">
        <v>1728</v>
      </c>
      <c r="G495" s="703"/>
      <c r="H495" s="703"/>
      <c r="I495" s="253" t="s">
        <v>1057</v>
      </c>
      <c r="J495" s="254" t="s">
        <v>277</v>
      </c>
      <c r="K495" s="253" t="s">
        <v>1058</v>
      </c>
      <c r="L495" s="261" t="s">
        <v>399</v>
      </c>
      <c r="M495" s="256" t="s">
        <v>61</v>
      </c>
      <c r="N495" s="259"/>
      <c r="O495" s="191"/>
      <c r="P495" s="190"/>
      <c r="Q495" s="155"/>
      <c r="R495" s="155"/>
      <c r="S495" s="155"/>
      <c r="T495" s="155"/>
      <c r="U495" s="155"/>
      <c r="V495" s="155"/>
      <c r="W495" s="155"/>
      <c r="X495" s="155"/>
      <c r="Y495" s="155"/>
      <c r="Z495" s="155"/>
      <c r="AA495" s="155"/>
      <c r="AB495" s="155"/>
      <c r="AC495" s="155"/>
      <c r="AD495" s="155"/>
      <c r="AE495" s="155"/>
      <c r="AF495" s="155"/>
      <c r="AG495" s="155"/>
      <c r="AH495" s="155"/>
      <c r="AI495" s="155"/>
      <c r="AJ495" s="155"/>
      <c r="AK495" s="155"/>
      <c r="AL495" s="155"/>
      <c r="AM495" s="155"/>
      <c r="AN495" s="155"/>
      <c r="AO495" s="234"/>
      <c r="AP495" s="193"/>
      <c r="AQ495" s="193"/>
      <c r="AR495" s="193"/>
      <c r="AS495" s="193"/>
      <c r="AT495" s="193"/>
      <c r="AU495" s="162"/>
      <c r="AV495" s="162"/>
      <c r="AW495" s="162"/>
      <c r="AX495" s="162"/>
      <c r="AY495" s="162"/>
      <c r="AZ495" s="162"/>
      <c r="BA495" s="162"/>
      <c r="BB495" s="162"/>
      <c r="BC495" s="162"/>
      <c r="BD495" s="162"/>
      <c r="BE495" s="162"/>
      <c r="BF495" s="162"/>
      <c r="BG495" s="162"/>
      <c r="BH495" s="162"/>
      <c r="BI495" s="162"/>
      <c r="BJ495" s="162"/>
      <c r="BK495" s="162"/>
      <c r="BL495" s="162"/>
      <c r="BM495" s="162"/>
      <c r="BN495" s="162"/>
      <c r="BO495" s="162"/>
      <c r="BP495" s="162"/>
      <c r="BQ495" s="162"/>
      <c r="BR495" s="162"/>
      <c r="BS495" s="162"/>
      <c r="BT495" s="162"/>
      <c r="BU495" s="162"/>
      <c r="BV495" s="162"/>
      <c r="BW495" s="162"/>
      <c r="BX495" s="162"/>
      <c r="BY495" s="162"/>
      <c r="BZ495" s="162"/>
      <c r="CA495" s="162"/>
      <c r="CB495" s="162"/>
      <c r="CC495" s="162"/>
      <c r="CD495" s="162"/>
      <c r="CE495" s="162"/>
      <c r="CF495" s="162"/>
      <c r="CG495" s="162"/>
      <c r="CH495" s="162"/>
      <c r="CI495" s="162"/>
      <c r="CJ495" s="162"/>
      <c r="CK495" s="162"/>
      <c r="CL495" s="162"/>
      <c r="CM495" s="162"/>
      <c r="CN495" s="162"/>
      <c r="CO495" s="162"/>
      <c r="CP495" s="162"/>
      <c r="CQ495" s="162"/>
      <c r="CR495" s="162"/>
      <c r="CS495" s="209"/>
      <c r="CT495" s="209"/>
      <c r="CU495" s="257"/>
      <c r="CV495" s="156"/>
      <c r="CW495" s="155"/>
      <c r="CX495" s="155"/>
      <c r="CY495" s="155"/>
      <c r="CZ495" s="155"/>
      <c r="DA495" s="152"/>
      <c r="DB495" s="152"/>
      <c r="DC495" s="158"/>
      <c r="DD495" s="158" t="s">
        <v>1693</v>
      </c>
      <c r="DE495" s="156" t="s">
        <v>45</v>
      </c>
      <c r="DF495" s="213" t="s">
        <v>1462</v>
      </c>
      <c r="DG495" s="186"/>
      <c r="DH495" s="156">
        <v>8304</v>
      </c>
      <c r="DI495" s="187">
        <v>45908</v>
      </c>
      <c r="DJ495" s="429">
        <v>240</v>
      </c>
      <c r="DK495" s="240">
        <v>8304</v>
      </c>
      <c r="DL495" s="189">
        <v>18000</v>
      </c>
      <c r="DM495" s="181">
        <f t="shared" si="421"/>
        <v>164419200</v>
      </c>
      <c r="DN495" s="446">
        <f t="shared" si="422"/>
        <v>0.1</v>
      </c>
      <c r="DO495" s="160">
        <f t="shared" si="423"/>
        <v>149472000</v>
      </c>
      <c r="DP495" s="159">
        <v>45910</v>
      </c>
      <c r="DQ495" s="152"/>
      <c r="DR495" s="152"/>
      <c r="DS495" s="155"/>
      <c r="DT495" s="155"/>
      <c r="DU495" s="155"/>
      <c r="DV495" s="155"/>
      <c r="DW495" s="155"/>
      <c r="DX495" s="155"/>
      <c r="DY495" s="155"/>
      <c r="DZ495" s="155"/>
      <c r="EA495" s="155"/>
      <c r="EB495" s="155"/>
      <c r="EC495" s="155"/>
      <c r="ED495" s="155"/>
      <c r="EE495" s="155"/>
      <c r="EF495" s="155"/>
      <c r="EG495" s="155"/>
      <c r="EH495" s="155"/>
      <c r="EI495" s="155"/>
      <c r="EJ495" s="155"/>
      <c r="EK495" s="155"/>
      <c r="EL495" s="155"/>
      <c r="EM495" s="155"/>
      <c r="EN495" s="155"/>
      <c r="EO495" s="152"/>
      <c r="EP495" s="151"/>
      <c r="EQ495" s="158"/>
      <c r="ER495" s="158"/>
      <c r="ES495" s="158"/>
      <c r="ET495" s="158"/>
      <c r="EU495" s="152"/>
      <c r="EV495" s="152"/>
      <c r="EW495" s="152"/>
      <c r="EX495" s="152"/>
      <c r="EY495" s="151"/>
      <c r="EZ495" s="155"/>
      <c r="FA495" s="155"/>
      <c r="FB495" s="155"/>
    </row>
    <row r="496" spans="1:158" s="263" customFormat="1" ht="14" hidden="1" customHeight="1">
      <c r="A496" s="208" t="str">
        <f t="shared" si="439"/>
        <v>ok</v>
      </c>
      <c r="B496" s="154"/>
      <c r="C496" s="154"/>
      <c r="D496" s="154"/>
      <c r="E496" s="154"/>
      <c r="F496" s="344" t="s">
        <v>1728</v>
      </c>
      <c r="G496" s="703"/>
      <c r="H496" s="703"/>
      <c r="I496" s="253" t="s">
        <v>1057</v>
      </c>
      <c r="J496" s="254" t="s">
        <v>277</v>
      </c>
      <c r="K496" s="253" t="s">
        <v>1058</v>
      </c>
      <c r="L496" s="261" t="s">
        <v>399</v>
      </c>
      <c r="M496" s="256" t="s">
        <v>61</v>
      </c>
      <c r="N496" s="259"/>
      <c r="O496" s="191"/>
      <c r="P496" s="190"/>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c r="AN496" s="155"/>
      <c r="AO496" s="234"/>
      <c r="AP496" s="193"/>
      <c r="AQ496" s="193"/>
      <c r="AR496" s="193"/>
      <c r="AS496" s="193"/>
      <c r="AT496" s="193"/>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209"/>
      <c r="CT496" s="209"/>
      <c r="CU496" s="257"/>
      <c r="CV496" s="156"/>
      <c r="CW496" s="155"/>
      <c r="CX496" s="155"/>
      <c r="CY496" s="155"/>
      <c r="CZ496" s="155"/>
      <c r="DA496" s="152"/>
      <c r="DB496" s="152"/>
      <c r="DC496" s="158"/>
      <c r="DD496" s="187" t="s">
        <v>1560</v>
      </c>
      <c r="DE496" s="156" t="s">
        <v>45</v>
      </c>
      <c r="DF496" s="702" t="s">
        <v>1592</v>
      </c>
      <c r="DG496" s="213" t="s">
        <v>87</v>
      </c>
      <c r="DH496" s="156">
        <v>2906.4</v>
      </c>
      <c r="DI496" s="153">
        <v>45933</v>
      </c>
      <c r="DJ496" s="429">
        <v>84</v>
      </c>
      <c r="DK496" s="240">
        <v>2906.4</v>
      </c>
      <c r="DL496" s="189">
        <v>18000</v>
      </c>
      <c r="DM496" s="181">
        <f t="shared" si="421"/>
        <v>57546720.000000007</v>
      </c>
      <c r="DN496" s="446">
        <f t="shared" si="422"/>
        <v>0.10000000000000014</v>
      </c>
      <c r="DO496" s="160">
        <f t="shared" si="423"/>
        <v>52315200</v>
      </c>
      <c r="DP496" s="275">
        <v>45939</v>
      </c>
      <c r="DQ496" s="152"/>
      <c r="DR496" s="152"/>
      <c r="DS496" s="155"/>
      <c r="DT496" s="155"/>
      <c r="DU496" s="155"/>
      <c r="DV496" s="155"/>
      <c r="DW496" s="155"/>
      <c r="DX496" s="155"/>
      <c r="DY496" s="155"/>
      <c r="DZ496" s="155"/>
      <c r="EA496" s="155"/>
      <c r="EB496" s="155"/>
      <c r="EC496" s="155"/>
      <c r="ED496" s="155"/>
      <c r="EE496" s="155"/>
      <c r="EF496" s="155"/>
      <c r="EG496" s="155"/>
      <c r="EH496" s="155"/>
      <c r="EI496" s="155"/>
      <c r="EJ496" s="155"/>
      <c r="EK496" s="155"/>
      <c r="EL496" s="155"/>
      <c r="EM496" s="155"/>
      <c r="EN496" s="155"/>
      <c r="EO496" s="152"/>
      <c r="EP496" s="151"/>
      <c r="EQ496" s="158"/>
      <c r="ER496" s="158"/>
      <c r="ES496" s="158"/>
      <c r="ET496" s="158"/>
      <c r="EU496" s="152"/>
      <c r="EV496" s="152"/>
      <c r="EW496" s="152"/>
      <c r="EX496" s="152"/>
      <c r="EY496" s="151"/>
      <c r="EZ496" s="155"/>
      <c r="FA496" s="155"/>
      <c r="FB496" s="155"/>
    </row>
    <row r="497" spans="1:158" s="263" customFormat="1" ht="14" hidden="1" customHeight="1">
      <c r="A497" s="208" t="str">
        <f t="shared" si="439"/>
        <v>Hiện</v>
      </c>
      <c r="B497" s="154" t="str">
        <f>EY497</f>
        <v>Đủ</v>
      </c>
      <c r="C497" s="154">
        <f t="shared" si="405"/>
        <v>0</v>
      </c>
      <c r="D497" s="154"/>
      <c r="E497" s="154"/>
      <c r="F497" s="344" t="s">
        <v>1728</v>
      </c>
      <c r="G497" s="703" t="s">
        <v>1311</v>
      </c>
      <c r="H497" s="260" t="s">
        <v>1519</v>
      </c>
      <c r="I497" s="253" t="s">
        <v>1059</v>
      </c>
      <c r="J497" s="254" t="s">
        <v>277</v>
      </c>
      <c r="K497" s="253" t="s">
        <v>1060</v>
      </c>
      <c r="L497" s="261" t="s">
        <v>399</v>
      </c>
      <c r="M497" s="256" t="s">
        <v>61</v>
      </c>
      <c r="N497" s="259">
        <v>33.200000000000003</v>
      </c>
      <c r="O497" s="191">
        <v>55.546560000000007</v>
      </c>
      <c r="P497" s="190">
        <v>1775.8</v>
      </c>
      <c r="Q497" s="155"/>
      <c r="R497" s="155"/>
      <c r="S497" s="155"/>
      <c r="T497" s="155"/>
      <c r="U497" s="155"/>
      <c r="V497" s="155"/>
      <c r="W497" s="155"/>
      <c r="X497" s="155"/>
      <c r="Y497" s="155"/>
      <c r="Z497" s="155"/>
      <c r="AA497" s="155"/>
      <c r="AB497" s="155"/>
      <c r="AC497" s="155"/>
      <c r="AD497" s="155"/>
      <c r="AE497" s="155"/>
      <c r="AF497" s="155"/>
      <c r="AG497" s="155"/>
      <c r="AH497" s="155"/>
      <c r="AI497" s="155"/>
      <c r="AJ497" s="155"/>
      <c r="AK497" s="155"/>
      <c r="AL497" s="155"/>
      <c r="AM497" s="155"/>
      <c r="AN497" s="155"/>
      <c r="AO497" s="234">
        <v>48</v>
      </c>
      <c r="AP497" s="193">
        <v>1593.6000000000001</v>
      </c>
      <c r="AQ497" s="193">
        <v>0</v>
      </c>
      <c r="AR497" s="193">
        <v>0</v>
      </c>
      <c r="AS497" s="193">
        <v>0</v>
      </c>
      <c r="AT497" s="193">
        <v>0</v>
      </c>
      <c r="AU497" s="162">
        <v>0</v>
      </c>
      <c r="AV497" s="162">
        <v>0</v>
      </c>
      <c r="AW497" s="162">
        <v>0</v>
      </c>
      <c r="AX497" s="162">
        <v>0</v>
      </c>
      <c r="AY497" s="162">
        <v>0</v>
      </c>
      <c r="AZ497" s="162">
        <v>0</v>
      </c>
      <c r="BA497" s="162"/>
      <c r="BB497" s="162"/>
      <c r="BC497" s="162">
        <v>0</v>
      </c>
      <c r="BD497" s="162">
        <v>0</v>
      </c>
      <c r="BE497" s="162">
        <v>0</v>
      </c>
      <c r="BF497" s="162">
        <v>0</v>
      </c>
      <c r="BG497" s="162">
        <v>0</v>
      </c>
      <c r="BH497" s="162">
        <v>0</v>
      </c>
      <c r="BI497" s="162">
        <v>0</v>
      </c>
      <c r="BJ497" s="162">
        <v>0</v>
      </c>
      <c r="BK497" s="162">
        <v>0</v>
      </c>
      <c r="BL497" s="162">
        <v>0</v>
      </c>
      <c r="BM497" s="162">
        <v>0</v>
      </c>
      <c r="BN497" s="162">
        <v>0</v>
      </c>
      <c r="BO497" s="162"/>
      <c r="BP497" s="162"/>
      <c r="BQ497" s="162">
        <v>0</v>
      </c>
      <c r="BR497" s="162">
        <v>0</v>
      </c>
      <c r="BS497" s="162">
        <v>0</v>
      </c>
      <c r="BT497" s="162">
        <v>0</v>
      </c>
      <c r="BU497" s="162">
        <v>0</v>
      </c>
      <c r="BV497" s="162">
        <v>0</v>
      </c>
      <c r="BW497" s="162"/>
      <c r="BX497" s="162"/>
      <c r="BY497" s="162">
        <v>0</v>
      </c>
      <c r="BZ497" s="162">
        <v>0</v>
      </c>
      <c r="CA497" s="162">
        <v>0</v>
      </c>
      <c r="CB497" s="162">
        <v>0</v>
      </c>
      <c r="CC497" s="162">
        <v>0</v>
      </c>
      <c r="CD497" s="162">
        <v>0</v>
      </c>
      <c r="CE497" s="162">
        <f>VLOOKUP(I497,[120]REV33!$A:$O,11,0)</f>
        <v>0</v>
      </c>
      <c r="CF497" s="162">
        <f>VLOOKUP(I497,[120]REV33!$A:$O,12,0)</f>
        <v>0</v>
      </c>
      <c r="CG497" s="162"/>
      <c r="CH497" s="162"/>
      <c r="CI497" s="162"/>
      <c r="CJ497" s="162"/>
      <c r="CK497" s="162"/>
      <c r="CL497" s="162"/>
      <c r="CM497" s="162"/>
      <c r="CN497" s="162"/>
      <c r="CO497" s="162">
        <v>0</v>
      </c>
      <c r="CP497" s="162">
        <v>0</v>
      </c>
      <c r="CQ497" s="162">
        <v>0</v>
      </c>
      <c r="CR497" s="162">
        <v>0</v>
      </c>
      <c r="CS497" s="209">
        <f>Q497+S497+U497+W497+Y497+AA497+AC497+AE497+AG497+AI497+AK497+AM497+AO497+AQ497+AS497+AU497+AW497+AY497+BA497+BC497+BE497+BG497+BI497+BK497+BM497+BO497+BQ497+BS497+BU497+BW497+BY497+CA497+CC497+CE497+CG497+CI497+CK497+CM497+CO497+CQ497</f>
        <v>48</v>
      </c>
      <c r="CT497" s="209">
        <f>R497+T497+V497+X497+Z497+AB497+AD497+AF497+AH497+AJ497+AL497+AN497+AP497+AR497+AT497+AV497+AX497+AZ497+BB497+BD497+BF497+BH497+BJ497+BL497+BN497+BP497+BR497+BT497+BV497+BX497+BZ497+CB497+CD497+CF497+CH497+CJ497+CL497+CN497+CP497+CR497</f>
        <v>1593.6000000000001</v>
      </c>
      <c r="CU497" s="257" t="s">
        <v>1158</v>
      </c>
      <c r="CV497" s="156"/>
      <c r="CW497" s="155"/>
      <c r="CX497" s="155"/>
      <c r="CY497" s="155"/>
      <c r="CZ497" s="155"/>
      <c r="DA497" s="152">
        <f t="shared" ref="DA497:DA498" si="451">IF(CS497&gt;CW497,CS497-CW497,"0")</f>
        <v>48</v>
      </c>
      <c r="DB497" s="152">
        <f t="shared" ref="DB497:DB498" si="452">IF(CT497&gt;CX497,CT497-CX497,"0")</f>
        <v>1593.6000000000001</v>
      </c>
      <c r="DC497" s="158"/>
      <c r="DD497" s="187" t="s">
        <v>1560</v>
      </c>
      <c r="DE497" s="156" t="s">
        <v>45</v>
      </c>
      <c r="DF497" s="702" t="s">
        <v>1593</v>
      </c>
      <c r="DG497" s="213" t="s">
        <v>87</v>
      </c>
      <c r="DH497" s="156">
        <v>1660.8</v>
      </c>
      <c r="DI497" s="153">
        <v>45933</v>
      </c>
      <c r="DJ497" s="429">
        <v>48</v>
      </c>
      <c r="DK497" s="240">
        <v>1660.8</v>
      </c>
      <c r="DL497" s="189">
        <v>18000</v>
      </c>
      <c r="DM497" s="181">
        <f t="shared" si="421"/>
        <v>32883840.000000004</v>
      </c>
      <c r="DN497" s="446">
        <f t="shared" si="422"/>
        <v>0.10000000000000013</v>
      </c>
      <c r="DO497" s="160">
        <f t="shared" si="423"/>
        <v>29894400</v>
      </c>
      <c r="DP497" s="275">
        <v>45939</v>
      </c>
      <c r="DQ497" s="152">
        <f>SUMIF($I:$I,I497,$DJ:$DJ)</f>
        <v>48</v>
      </c>
      <c r="DR497" s="152">
        <f>SUMIF($I:$I,I497,$DK:$DK)</f>
        <v>1660.8</v>
      </c>
      <c r="DS497" s="155"/>
      <c r="DT497" s="155"/>
      <c r="DU497" s="155"/>
      <c r="DV497" s="155"/>
      <c r="DW497" s="155"/>
      <c r="DX497" s="155"/>
      <c r="DY497" s="155"/>
      <c r="DZ497" s="155"/>
      <c r="EA497" s="155"/>
      <c r="EB497" s="155"/>
      <c r="EC497" s="155"/>
      <c r="ED497" s="155"/>
      <c r="EE497" s="155"/>
      <c r="EF497" s="155"/>
      <c r="EG497" s="155"/>
      <c r="EH497" s="155"/>
      <c r="EI497" s="155"/>
      <c r="EJ497" s="155"/>
      <c r="EK497" s="155"/>
      <c r="EL497" s="155"/>
      <c r="EM497" s="155"/>
      <c r="EN497" s="155"/>
      <c r="EO497" s="152">
        <f>SUMIF($I:$I,I497,$EC:$EC)</f>
        <v>0</v>
      </c>
      <c r="EP497" s="151">
        <f>SUMIF($I:$I,I497,$ED:$ED)</f>
        <v>0</v>
      </c>
      <c r="EQ497" s="153"/>
      <c r="ER497" s="153"/>
      <c r="ES497" s="153"/>
      <c r="ET497" s="153"/>
      <c r="EU497" s="152">
        <f t="shared" ref="EU497:EU498" si="453">DQ497+EO497</f>
        <v>48</v>
      </c>
      <c r="EV497" s="152">
        <f t="shared" ref="EV497:EV498" si="454">DR497+EP497</f>
        <v>1660.8</v>
      </c>
      <c r="EW497" s="152">
        <f t="shared" ref="EW497:EW498" si="455">DA497-EU497</f>
        <v>0</v>
      </c>
      <c r="EX497" s="152">
        <f t="shared" ref="EX497:EX498" si="456">DB497-EV497</f>
        <v>-67.199999999999818</v>
      </c>
      <c r="EY497" s="151" t="str">
        <f t="shared" ref="EY497:EY498" si="457">IF(EW497&lt;0,"Thừa",IF(EW497=0,"Đủ","Thiếu"))</f>
        <v>Đủ</v>
      </c>
      <c r="EZ497" s="155"/>
      <c r="FA497" s="155"/>
      <c r="FB497" s="155"/>
    </row>
    <row r="498" spans="1:158" s="155" customFormat="1" ht="14" hidden="1" customHeight="1">
      <c r="A498" s="208" t="str">
        <f t="shared" si="439"/>
        <v>Hiện</v>
      </c>
      <c r="B498" s="154" t="str">
        <f>EY498</f>
        <v>Đủ</v>
      </c>
      <c r="C498" s="154">
        <f t="shared" si="405"/>
        <v>0</v>
      </c>
      <c r="D498" s="154"/>
      <c r="E498" s="154"/>
      <c r="F498" s="344" t="s">
        <v>1728</v>
      </c>
      <c r="G498" s="260" t="s">
        <v>1897</v>
      </c>
      <c r="H498" s="703" t="s">
        <v>1312</v>
      </c>
      <c r="I498" s="253" t="s">
        <v>1061</v>
      </c>
      <c r="J498" s="254" t="s">
        <v>277</v>
      </c>
      <c r="K498" s="253" t="s">
        <v>317</v>
      </c>
      <c r="L498" s="261" t="s">
        <v>399</v>
      </c>
      <c r="M498" s="256" t="s">
        <v>61</v>
      </c>
      <c r="N498" s="259">
        <v>37.9</v>
      </c>
      <c r="O498" s="191">
        <v>13.76</v>
      </c>
      <c r="P498" s="190">
        <v>521.96</v>
      </c>
      <c r="AO498" s="234">
        <v>12</v>
      </c>
      <c r="AP498" s="193">
        <v>454.79999999999995</v>
      </c>
      <c r="AQ498" s="193">
        <v>0</v>
      </c>
      <c r="AR498" s="193">
        <v>0</v>
      </c>
      <c r="AS498" s="193">
        <v>0</v>
      </c>
      <c r="AT498" s="193">
        <v>0</v>
      </c>
      <c r="AU498" s="162">
        <v>0</v>
      </c>
      <c r="AV498" s="162">
        <v>0</v>
      </c>
      <c r="AW498" s="162">
        <v>0</v>
      </c>
      <c r="AX498" s="162">
        <v>0</v>
      </c>
      <c r="AY498" s="162">
        <v>0</v>
      </c>
      <c r="AZ498" s="162">
        <v>0</v>
      </c>
      <c r="BA498" s="162"/>
      <c r="BB498" s="162"/>
      <c r="BC498" s="162">
        <v>0</v>
      </c>
      <c r="BD498" s="162">
        <v>0</v>
      </c>
      <c r="BE498" s="162">
        <v>0</v>
      </c>
      <c r="BF498" s="162">
        <v>0</v>
      </c>
      <c r="BG498" s="162">
        <v>0</v>
      </c>
      <c r="BH498" s="162">
        <v>0</v>
      </c>
      <c r="BI498" s="162">
        <v>0</v>
      </c>
      <c r="BJ498" s="162">
        <v>0</v>
      </c>
      <c r="BK498" s="162">
        <v>0</v>
      </c>
      <c r="BL498" s="162">
        <v>0</v>
      </c>
      <c r="BM498" s="162">
        <v>0</v>
      </c>
      <c r="BN498" s="162">
        <v>0</v>
      </c>
      <c r="BO498" s="162"/>
      <c r="BP498" s="162"/>
      <c r="BQ498" s="162">
        <v>12</v>
      </c>
      <c r="BR498" s="162">
        <v>454.79999999999995</v>
      </c>
      <c r="BS498" s="162">
        <v>0</v>
      </c>
      <c r="BT498" s="162">
        <v>0</v>
      </c>
      <c r="BU498" s="162">
        <v>0</v>
      </c>
      <c r="BV498" s="162">
        <v>0</v>
      </c>
      <c r="BW498" s="162"/>
      <c r="BX498" s="162"/>
      <c r="BY498" s="162">
        <v>0</v>
      </c>
      <c r="BZ498" s="162">
        <v>0</v>
      </c>
      <c r="CA498" s="162">
        <v>0</v>
      </c>
      <c r="CB498" s="162">
        <v>0</v>
      </c>
      <c r="CC498" s="162">
        <v>0</v>
      </c>
      <c r="CD498" s="162">
        <v>0</v>
      </c>
      <c r="CE498" s="162">
        <f>VLOOKUP(I498,[120]REV33!$A:$O,11,0)</f>
        <v>0</v>
      </c>
      <c r="CF498" s="162">
        <f>VLOOKUP(I498,[120]REV33!$A:$O,12,0)</f>
        <v>0</v>
      </c>
      <c r="CG498" s="162"/>
      <c r="CH498" s="162"/>
      <c r="CI498" s="162"/>
      <c r="CJ498" s="162"/>
      <c r="CK498" s="162"/>
      <c r="CL498" s="162"/>
      <c r="CM498" s="162"/>
      <c r="CN498" s="162"/>
      <c r="CO498" s="162">
        <v>0</v>
      </c>
      <c r="CP498" s="162">
        <v>0</v>
      </c>
      <c r="CQ498" s="162">
        <v>0</v>
      </c>
      <c r="CR498" s="162">
        <v>0</v>
      </c>
      <c r="CS498" s="209">
        <f>Q498+S498+U498+W498+Y498+AA498+AC498+AE498+AG498+AI498+AK498+AM498+AO498+AQ498+AS498+AU498+AW498+AY498+BA498+BC498+BE498+BG498+BI498+BK498+BM498+BO498+BQ498+BS498+BU498+BW498+BY498+CA498+CC498+CE498+CG498+CI498+CK498+CM498+CO498+CQ498</f>
        <v>24</v>
      </c>
      <c r="CT498" s="209">
        <f>R498+T498+V498+X498+Z498+AB498+AD498+AF498+AH498+AJ498+AL498+AN498+AP498+AR498+AT498+AV498+AX498+AZ498+BB498+BD498+BF498+BH498+BJ498+BL498+BN498+BP498+BR498+BT498+BV498+BX498+BZ498+CB498+CD498+CF498+CH498+CJ498+CL498+CN498+CP498+CR498</f>
        <v>909.59999999999991</v>
      </c>
      <c r="CU498" s="257" t="s">
        <v>1892</v>
      </c>
      <c r="CV498" s="156"/>
      <c r="DA498" s="152">
        <f t="shared" si="451"/>
        <v>24</v>
      </c>
      <c r="DB498" s="152">
        <f t="shared" si="452"/>
        <v>909.59999999999991</v>
      </c>
      <c r="DC498" s="158"/>
      <c r="DD498" s="187" t="s">
        <v>1692</v>
      </c>
      <c r="DE498" s="156" t="s">
        <v>45</v>
      </c>
      <c r="DF498" s="260" t="s">
        <v>1425</v>
      </c>
      <c r="DG498" s="186"/>
      <c r="DH498" s="156">
        <v>457.2</v>
      </c>
      <c r="DI498" s="187">
        <v>45904</v>
      </c>
      <c r="DJ498" s="429">
        <v>12</v>
      </c>
      <c r="DK498" s="240">
        <v>457.2</v>
      </c>
      <c r="DL498" s="280">
        <v>18000</v>
      </c>
      <c r="DM498" s="181">
        <f t="shared" si="421"/>
        <v>9052560</v>
      </c>
      <c r="DN498" s="446">
        <f t="shared" si="422"/>
        <v>0.1</v>
      </c>
      <c r="DO498" s="281">
        <f t="shared" si="423"/>
        <v>8229600</v>
      </c>
      <c r="DP498" s="159">
        <v>45907</v>
      </c>
      <c r="DQ498" s="152">
        <f>SUMIF($I:$I,I498,$DJ:$DJ)</f>
        <v>24</v>
      </c>
      <c r="DR498" s="152">
        <f>SUMIF($I:$I,I498,$DK:$DK)</f>
        <v>914.2</v>
      </c>
      <c r="EO498" s="152">
        <f>SUMIF($I:$I,I498,$EC:$EC)</f>
        <v>0</v>
      </c>
      <c r="EP498" s="151">
        <f>SUMIF($I:$I,I498,$ED:$ED)</f>
        <v>0</v>
      </c>
      <c r="EQ498" s="153"/>
      <c r="ER498" s="153"/>
      <c r="ES498" s="153"/>
      <c r="ET498" s="153"/>
      <c r="EU498" s="152">
        <f t="shared" si="453"/>
        <v>24</v>
      </c>
      <c r="EV498" s="152">
        <f t="shared" si="454"/>
        <v>914.2</v>
      </c>
      <c r="EW498" s="152">
        <f t="shared" si="455"/>
        <v>0</v>
      </c>
      <c r="EX498" s="152">
        <f t="shared" si="456"/>
        <v>-4.6000000000001364</v>
      </c>
      <c r="EY498" s="151" t="str">
        <f t="shared" si="457"/>
        <v>Đủ</v>
      </c>
    </row>
    <row r="499" spans="1:158" s="155" customFormat="1" ht="14" hidden="1" customHeight="1">
      <c r="A499" s="208" t="str">
        <f t="shared" si="439"/>
        <v>ok</v>
      </c>
      <c r="B499" s="154"/>
      <c r="C499" s="154"/>
      <c r="D499" s="154"/>
      <c r="E499" s="154"/>
      <c r="F499" s="344"/>
      <c r="G499" s="260"/>
      <c r="H499" s="703"/>
      <c r="I499" s="253" t="s">
        <v>1061</v>
      </c>
      <c r="J499" s="254" t="s">
        <v>277</v>
      </c>
      <c r="K499" s="253" t="s">
        <v>317</v>
      </c>
      <c r="L499" s="261" t="s">
        <v>399</v>
      </c>
      <c r="M499" s="256" t="s">
        <v>61</v>
      </c>
      <c r="N499" s="259"/>
      <c r="O499" s="191"/>
      <c r="P499" s="190"/>
      <c r="AO499" s="234"/>
      <c r="AP499" s="193"/>
      <c r="AQ499" s="193"/>
      <c r="AR499" s="193"/>
      <c r="AS499" s="193"/>
      <c r="AT499" s="193"/>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209"/>
      <c r="CT499" s="209"/>
      <c r="CU499" s="257"/>
      <c r="CV499" s="156"/>
      <c r="DA499" s="152"/>
      <c r="DB499" s="152"/>
      <c r="DC499" s="158"/>
      <c r="DD499" s="187" t="s">
        <v>2182</v>
      </c>
      <c r="DE499" s="156" t="s">
        <v>1901</v>
      </c>
      <c r="DF499" s="506" t="s">
        <v>2193</v>
      </c>
      <c r="DG499" s="186"/>
      <c r="DH499" s="505">
        <v>457</v>
      </c>
      <c r="DI499" s="187">
        <v>45972</v>
      </c>
      <c r="DJ499" s="1005">
        <v>12</v>
      </c>
      <c r="DK499" s="505">
        <v>457</v>
      </c>
      <c r="DL499" s="505">
        <v>17545.45</v>
      </c>
      <c r="DM499" s="181">
        <f>DL499*DK499*(1+DN499)</f>
        <v>8820097.7150000017</v>
      </c>
      <c r="DN499" s="446">
        <v>0.1</v>
      </c>
      <c r="DO499" s="240">
        <f>DL499*DK499</f>
        <v>8018270.6500000004</v>
      </c>
      <c r="DP499" s="159">
        <v>45976</v>
      </c>
      <c r="DQ499" s="152"/>
      <c r="DR499" s="152"/>
      <c r="EO499" s="152"/>
      <c r="EP499" s="151"/>
      <c r="EQ499" s="153"/>
      <c r="ER499" s="153"/>
      <c r="ES499" s="153"/>
      <c r="ET499" s="153"/>
      <c r="EU499" s="152"/>
      <c r="EV499" s="152"/>
      <c r="EW499" s="152"/>
      <c r="EX499" s="152"/>
      <c r="EY499" s="151"/>
    </row>
    <row r="500" spans="1:158" s="155" customFormat="1" ht="14" hidden="1" customHeight="1">
      <c r="A500" s="208" t="str">
        <f t="shared" si="439"/>
        <v>Hiện</v>
      </c>
      <c r="B500" s="154" t="str">
        <f>CONCATENATE(EY500," Bỏ")</f>
        <v>Đủ Bỏ</v>
      </c>
      <c r="C500" s="154">
        <f t="shared" si="405"/>
        <v>0</v>
      </c>
      <c r="D500" s="154"/>
      <c r="E500" s="154"/>
      <c r="F500" s="344" t="s">
        <v>1728</v>
      </c>
      <c r="G500" s="703" t="s">
        <v>1313</v>
      </c>
      <c r="H500" s="703" t="s">
        <v>1313</v>
      </c>
      <c r="I500" s="253" t="s">
        <v>1062</v>
      </c>
      <c r="J500" s="254" t="s">
        <v>277</v>
      </c>
      <c r="K500" s="253" t="s">
        <v>1063</v>
      </c>
      <c r="L500" s="261" t="s">
        <v>399</v>
      </c>
      <c r="M500" s="256" t="s">
        <v>61</v>
      </c>
      <c r="N500" s="259">
        <v>61.2</v>
      </c>
      <c r="O500" s="191">
        <v>66.564400000000006</v>
      </c>
      <c r="P500" s="190">
        <v>4010.7600000000007</v>
      </c>
      <c r="AO500" s="234">
        <v>69.892620000000008</v>
      </c>
      <c r="AP500" s="193">
        <v>4277.4283440000008</v>
      </c>
      <c r="AQ500" s="193">
        <v>0</v>
      </c>
      <c r="AR500" s="193">
        <v>0</v>
      </c>
      <c r="AS500" s="193">
        <v>0</v>
      </c>
      <c r="AT500" s="193">
        <v>0</v>
      </c>
      <c r="AU500" s="162">
        <v>0</v>
      </c>
      <c r="AV500" s="162">
        <v>0</v>
      </c>
      <c r="AW500" s="162">
        <v>0</v>
      </c>
      <c r="AX500" s="162">
        <v>0</v>
      </c>
      <c r="AY500" s="162">
        <f>-AO500</f>
        <v>-69.892620000000008</v>
      </c>
      <c r="AZ500" s="162">
        <f>-AP500</f>
        <v>-4277.4283440000008</v>
      </c>
      <c r="BA500" s="162"/>
      <c r="BB500" s="162"/>
      <c r="BC500" s="162">
        <v>0</v>
      </c>
      <c r="BD500" s="162">
        <v>0</v>
      </c>
      <c r="BE500" s="162">
        <v>0</v>
      </c>
      <c r="BF500" s="162">
        <v>0</v>
      </c>
      <c r="BG500" s="162">
        <v>0</v>
      </c>
      <c r="BH500" s="162">
        <v>0</v>
      </c>
      <c r="BI500" s="162">
        <v>0</v>
      </c>
      <c r="BJ500" s="162">
        <v>0</v>
      </c>
      <c r="BK500" s="162">
        <v>0</v>
      </c>
      <c r="BL500" s="162">
        <v>0</v>
      </c>
      <c r="BM500" s="162">
        <v>0</v>
      </c>
      <c r="BN500" s="162">
        <v>0</v>
      </c>
      <c r="BO500" s="162"/>
      <c r="BP500" s="162"/>
      <c r="BQ500" s="162">
        <v>0</v>
      </c>
      <c r="BR500" s="162">
        <v>0</v>
      </c>
      <c r="BS500" s="162">
        <v>0</v>
      </c>
      <c r="BT500" s="162">
        <v>0</v>
      </c>
      <c r="BU500" s="162">
        <v>0</v>
      </c>
      <c r="BV500" s="162">
        <v>0</v>
      </c>
      <c r="BW500" s="162"/>
      <c r="BX500" s="162"/>
      <c r="BY500" s="162">
        <v>0</v>
      </c>
      <c r="BZ500" s="162">
        <v>0</v>
      </c>
      <c r="CA500" s="162">
        <v>0</v>
      </c>
      <c r="CB500" s="162">
        <v>0</v>
      </c>
      <c r="CC500" s="162">
        <v>0</v>
      </c>
      <c r="CD500" s="162">
        <v>0</v>
      </c>
      <c r="CE500" s="162">
        <f>VLOOKUP(I500,[120]REV33!$A:$O,11,0)</f>
        <v>0</v>
      </c>
      <c r="CF500" s="162">
        <f>VLOOKUP(I500,[120]REV33!$A:$O,12,0)</f>
        <v>0</v>
      </c>
      <c r="CG500" s="162"/>
      <c r="CH500" s="162"/>
      <c r="CI500" s="162"/>
      <c r="CJ500" s="162"/>
      <c r="CK500" s="162"/>
      <c r="CL500" s="162"/>
      <c r="CM500" s="162"/>
      <c r="CN500" s="162"/>
      <c r="CO500" s="162">
        <v>0</v>
      </c>
      <c r="CP500" s="162">
        <v>0</v>
      </c>
      <c r="CQ500" s="162">
        <v>0</v>
      </c>
      <c r="CR500" s="162">
        <v>0</v>
      </c>
      <c r="CS500" s="209">
        <f>Q500+S500+U500+W500+Y500+AA500+AC500+AE500+AG500+AI500+AK500+AM500+AO500+AQ500+AS500+AU500+AW500+AY500+BA500+BC500+BE500+BG500+BI500+BK500+BM500+BO500+BQ500+BS500+BU500+BW500+BY500+CA500+CC500+CE500+CG500+CI500+CK500+CM500+CO500+CQ500</f>
        <v>0</v>
      </c>
      <c r="CT500" s="209">
        <f>R500+T500+V500+X500+Z500+AB500+AD500+AF500+AH500+AJ500+AL500+AN500+AP500+AR500+AT500+AV500+AX500+AZ500+BB500+BD500+BF500+BH500+BJ500+BL500+BN500+BP500+BR500+BT500+BV500+BX500+BZ500+CB500+CD500+CF500+CH500+CJ500+CL500+CN500+CP500+CR500</f>
        <v>0</v>
      </c>
      <c r="CU500" s="257" t="s">
        <v>1476</v>
      </c>
      <c r="CV500" s="156"/>
      <c r="DA500" s="152" t="str">
        <f t="shared" ref="DA500:DA501" si="458">IF(CS500&gt;CW500,CS500-CW500,"0")</f>
        <v>0</v>
      </c>
      <c r="DB500" s="152" t="str">
        <f t="shared" ref="DB500:DB501" si="459">IF(CT500&gt;CX500,CT500-CX500,"0")</f>
        <v>0</v>
      </c>
      <c r="DC500" s="158"/>
      <c r="DD500" s="158"/>
      <c r="DE500" s="156"/>
      <c r="DF500" s="260"/>
      <c r="DG500" s="186"/>
      <c r="DH500" s="156"/>
      <c r="DI500" s="187"/>
      <c r="DJ500" s="429"/>
      <c r="DK500" s="240"/>
      <c r="DL500" s="189">
        <v>0</v>
      </c>
      <c r="DM500" s="189"/>
      <c r="DN500" s="189"/>
      <c r="DO500" s="160"/>
      <c r="DP500" s="159"/>
      <c r="DQ500" s="152">
        <f>SUMIF($I:$I,I500,$DJ:$DJ)</f>
        <v>0</v>
      </c>
      <c r="DR500" s="152">
        <f>SUMIF($I:$I,I500,$DK:$DK)</f>
        <v>0</v>
      </c>
      <c r="EO500" s="152">
        <f>SUMIF($I:$I,I500,$EC:$EC)</f>
        <v>0</v>
      </c>
      <c r="EP500" s="151">
        <f>SUMIF($I:$I,I500,$ED:$ED)</f>
        <v>0</v>
      </c>
      <c r="EQ500" s="153"/>
      <c r="ER500" s="153"/>
      <c r="ES500" s="153"/>
      <c r="ET500" s="153"/>
      <c r="EU500" s="152">
        <f t="shared" ref="EU500:EU501" si="460">DQ500+EO500</f>
        <v>0</v>
      </c>
      <c r="EV500" s="152">
        <f t="shared" ref="EV500:EV501" si="461">DR500+EP500</f>
        <v>0</v>
      </c>
      <c r="EW500" s="152">
        <f t="shared" ref="EW500:EW501" si="462">DA500-EU500</f>
        <v>0</v>
      </c>
      <c r="EX500" s="152">
        <f t="shared" ref="EX500:EX501" si="463">DB500-EV500</f>
        <v>0</v>
      </c>
      <c r="EY500" s="151" t="str">
        <f t="shared" ref="EY500:EY501" si="464">IF(EW500&lt;0,"Thừa",IF(EW500=0,"Đủ","Thiếu"))</f>
        <v>Đủ</v>
      </c>
    </row>
    <row r="501" spans="1:158" s="155" customFormat="1" ht="14" hidden="1" customHeight="1">
      <c r="A501" s="208" t="str">
        <f t="shared" si="439"/>
        <v>Hiện</v>
      </c>
      <c r="B501" s="154" t="str">
        <f t="shared" ref="B501:B529" si="465">EY501</f>
        <v>Thừa</v>
      </c>
      <c r="C501" s="154">
        <f t="shared" si="405"/>
        <v>-5</v>
      </c>
      <c r="D501" s="154"/>
      <c r="E501" s="154"/>
      <c r="F501" s="344" t="s">
        <v>1728</v>
      </c>
      <c r="G501" s="703" t="s">
        <v>1309</v>
      </c>
      <c r="H501" s="703" t="s">
        <v>1669</v>
      </c>
      <c r="I501" s="254" t="s">
        <v>1064</v>
      </c>
      <c r="J501" s="254" t="s">
        <v>277</v>
      </c>
      <c r="K501" s="253" t="s">
        <v>698</v>
      </c>
      <c r="L501" s="261" t="s">
        <v>399</v>
      </c>
      <c r="M501" s="256" t="s">
        <v>61</v>
      </c>
      <c r="N501" s="259">
        <v>13.3</v>
      </c>
      <c r="O501" s="191">
        <v>99.536000000000001</v>
      </c>
      <c r="P501" s="190">
        <v>1317.3999999999999</v>
      </c>
      <c r="AO501" s="234">
        <v>104.51280000000001</v>
      </c>
      <c r="AP501" s="193">
        <v>1390.0202400000003</v>
      </c>
      <c r="AQ501" s="193">
        <v>0</v>
      </c>
      <c r="AR501" s="193">
        <v>0</v>
      </c>
      <c r="AS501" s="193">
        <v>0</v>
      </c>
      <c r="AT501" s="193">
        <v>0</v>
      </c>
      <c r="AU501" s="162">
        <v>0</v>
      </c>
      <c r="AV501" s="162">
        <v>0</v>
      </c>
      <c r="AW501" s="162">
        <v>0</v>
      </c>
      <c r="AX501" s="162">
        <v>0</v>
      </c>
      <c r="AY501" s="162">
        <v>0</v>
      </c>
      <c r="AZ501" s="162">
        <v>0</v>
      </c>
      <c r="BA501" s="162"/>
      <c r="BB501" s="162"/>
      <c r="BC501" s="162">
        <v>0</v>
      </c>
      <c r="BD501" s="162">
        <v>0</v>
      </c>
      <c r="BE501" s="162">
        <v>0</v>
      </c>
      <c r="BF501" s="162">
        <v>0</v>
      </c>
      <c r="BG501" s="162">
        <v>0</v>
      </c>
      <c r="BH501" s="162">
        <v>0</v>
      </c>
      <c r="BI501" s="162">
        <v>0</v>
      </c>
      <c r="BJ501" s="162">
        <v>0</v>
      </c>
      <c r="BK501" s="162">
        <v>0</v>
      </c>
      <c r="BL501" s="162">
        <v>0</v>
      </c>
      <c r="BM501" s="162">
        <v>40</v>
      </c>
      <c r="BN501" s="162">
        <v>532</v>
      </c>
      <c r="BO501" s="162"/>
      <c r="BP501" s="162"/>
      <c r="BQ501" s="162">
        <v>135</v>
      </c>
      <c r="BR501" s="162">
        <v>0</v>
      </c>
      <c r="BS501" s="162">
        <v>0</v>
      </c>
      <c r="BT501" s="162">
        <v>0</v>
      </c>
      <c r="BU501" s="162">
        <v>0</v>
      </c>
      <c r="BV501" s="162">
        <v>0</v>
      </c>
      <c r="BW501" s="162"/>
      <c r="BX501" s="162"/>
      <c r="BY501" s="162">
        <v>0</v>
      </c>
      <c r="BZ501" s="162">
        <v>0</v>
      </c>
      <c r="CA501" s="162">
        <v>0</v>
      </c>
      <c r="CB501" s="162">
        <v>0</v>
      </c>
      <c r="CC501" s="162">
        <v>0</v>
      </c>
      <c r="CD501" s="162">
        <v>0</v>
      </c>
      <c r="CE501" s="162">
        <f>VLOOKUP(I501,[120]REV33!$A:$O,11,0)</f>
        <v>0</v>
      </c>
      <c r="CF501" s="162">
        <f>VLOOKUP(I501,[120]REV33!$A:$O,12,0)</f>
        <v>0</v>
      </c>
      <c r="CG501" s="162"/>
      <c r="CH501" s="162"/>
      <c r="CI501" s="162"/>
      <c r="CJ501" s="162"/>
      <c r="CK501" s="162"/>
      <c r="CL501" s="162"/>
      <c r="CM501" s="162"/>
      <c r="CN501" s="162"/>
      <c r="CO501" s="162">
        <v>0</v>
      </c>
      <c r="CP501" s="162">
        <v>0</v>
      </c>
      <c r="CQ501" s="162">
        <v>0</v>
      </c>
      <c r="CR501" s="162">
        <v>0</v>
      </c>
      <c r="CS501" s="209">
        <f>Q501+S501+U501+W501+Y501+AA501+AC501+AE501+AG501+AI501+AK501+AM501+AO501+AQ501+AS501+AU501+AW501+AY501+BA501+BC501+BE501+BG501+BI501+BK501+BM501+BO501+BQ501+BS501+BU501+BW501+BY501+CA501+CC501+CE501+CG501+CI501+CK501+CM501+CO501+CQ501</f>
        <v>279.51280000000003</v>
      </c>
      <c r="CT501" s="209">
        <f>R501+T501+V501+X501+Z501+AB501+AD501+AF501+AH501+AJ501+AL501+AN501+AP501+AR501+AT501+AV501+AX501+AZ501+BB501+BD501+BF501+BH501+BJ501+BL501+BN501+BP501+BR501+BT501+BV501+BX501+BZ501+CB501+CD501+CF501+CH501+CJ501+CL501+CN501+CP501+CR501</f>
        <v>1922.0202400000003</v>
      </c>
      <c r="CU501" s="257" t="s">
        <v>1892</v>
      </c>
      <c r="CV501" s="156"/>
      <c r="CW501" s="155">
        <v>8.5128000000000128</v>
      </c>
      <c r="CX501" s="155">
        <f>CW501*N501</f>
        <v>113.22024000000017</v>
      </c>
      <c r="CZ501" s="155" t="s">
        <v>1490</v>
      </c>
      <c r="DA501" s="152">
        <f t="shared" si="458"/>
        <v>271</v>
      </c>
      <c r="DB501" s="152">
        <f t="shared" si="459"/>
        <v>1808.8000000000002</v>
      </c>
      <c r="DC501" s="158"/>
      <c r="DD501" s="187" t="s">
        <v>1692</v>
      </c>
      <c r="DE501" s="156" t="s">
        <v>45</v>
      </c>
      <c r="DF501" s="705" t="s">
        <v>1426</v>
      </c>
      <c r="DG501" s="186"/>
      <c r="DH501" s="156">
        <v>1286.4000000000001</v>
      </c>
      <c r="DI501" s="187">
        <v>45904</v>
      </c>
      <c r="DJ501" s="429">
        <v>96</v>
      </c>
      <c r="DK501" s="240">
        <v>1286.4000000000001</v>
      </c>
      <c r="DL501" s="280">
        <v>17636.36</v>
      </c>
      <c r="DM501" s="181">
        <f>DL501*DK501*1.1</f>
        <v>24956154.854400001</v>
      </c>
      <c r="DN501" s="446">
        <f>(DM501-DO501)/DO501</f>
        <v>0.10000000000000003</v>
      </c>
      <c r="DO501" s="281">
        <f>DL501*DK501</f>
        <v>22687413.504000001</v>
      </c>
      <c r="DP501" s="159">
        <v>45907</v>
      </c>
      <c r="DQ501" s="152">
        <f>SUMIF($I:$I,I501,$DJ:$DJ)</f>
        <v>276</v>
      </c>
      <c r="DR501" s="152">
        <f>SUMIF($I:$I,I501,$DK:$DK)</f>
        <v>3698.4</v>
      </c>
      <c r="EO501" s="152">
        <f>SUMIF($I:$I,I501,$EC:$EC)</f>
        <v>0</v>
      </c>
      <c r="EP501" s="151">
        <f>SUMIF($I:$I,I501,$ED:$ED)</f>
        <v>0</v>
      </c>
      <c r="EQ501" s="153"/>
      <c r="ER501" s="153"/>
      <c r="ES501" s="153"/>
      <c r="ET501" s="153"/>
      <c r="EU501" s="152">
        <f t="shared" si="460"/>
        <v>276</v>
      </c>
      <c r="EV501" s="152">
        <f t="shared" si="461"/>
        <v>3698.4</v>
      </c>
      <c r="EW501" s="152">
        <f t="shared" si="462"/>
        <v>-5</v>
      </c>
      <c r="EX501" s="152">
        <f t="shared" si="463"/>
        <v>-1889.6</v>
      </c>
      <c r="EY501" s="151" t="str">
        <f t="shared" si="464"/>
        <v>Thừa</v>
      </c>
    </row>
    <row r="502" spans="1:158" s="155" customFormat="1" ht="14" hidden="1" customHeight="1">
      <c r="A502" s="208" t="str">
        <f t="shared" si="439"/>
        <v>ok</v>
      </c>
      <c r="B502" s="154"/>
      <c r="C502" s="154"/>
      <c r="D502" s="154"/>
      <c r="E502" s="154"/>
      <c r="F502" s="344"/>
      <c r="G502" s="703"/>
      <c r="H502" s="703"/>
      <c r="I502" s="254" t="s">
        <v>1064</v>
      </c>
      <c r="J502" s="254" t="s">
        <v>277</v>
      </c>
      <c r="K502" s="253" t="s">
        <v>698</v>
      </c>
      <c r="L502" s="261" t="s">
        <v>399</v>
      </c>
      <c r="M502" s="256" t="s">
        <v>61</v>
      </c>
      <c r="N502" s="259"/>
      <c r="O502" s="191"/>
      <c r="P502" s="190"/>
      <c r="AO502" s="234"/>
      <c r="AP502" s="193"/>
      <c r="AQ502" s="193"/>
      <c r="AR502" s="193"/>
      <c r="AS502" s="193"/>
      <c r="AT502" s="193"/>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209"/>
      <c r="CT502" s="209"/>
      <c r="CU502" s="257"/>
      <c r="CV502" s="156"/>
      <c r="DA502" s="152"/>
      <c r="DB502" s="152"/>
      <c r="DC502" s="158"/>
      <c r="DD502" s="187" t="s">
        <v>2182</v>
      </c>
      <c r="DE502" s="156" t="s">
        <v>1901</v>
      </c>
      <c r="DF502" s="506" t="s">
        <v>2194</v>
      </c>
      <c r="DG502" s="186"/>
      <c r="DH502" s="156">
        <v>1769</v>
      </c>
      <c r="DI502" s="187">
        <v>45972</v>
      </c>
      <c r="DJ502" s="1005">
        <v>132</v>
      </c>
      <c r="DK502" s="505">
        <v>1769</v>
      </c>
      <c r="DL502" s="505">
        <v>17545.45</v>
      </c>
      <c r="DM502" s="181">
        <f>DL502*DK502*(1+DN502)</f>
        <v>34141691.155000001</v>
      </c>
      <c r="DN502" s="446">
        <v>0.1</v>
      </c>
      <c r="DO502" s="240">
        <f>DL502*DK502</f>
        <v>31037901.050000001</v>
      </c>
      <c r="DP502" s="159">
        <v>45978</v>
      </c>
      <c r="DQ502" s="152"/>
      <c r="DR502" s="152"/>
      <c r="EO502" s="152"/>
      <c r="EP502" s="151"/>
      <c r="EQ502" s="153"/>
      <c r="ER502" s="153"/>
      <c r="ES502" s="153"/>
      <c r="ET502" s="153"/>
      <c r="EU502" s="152"/>
      <c r="EV502" s="152"/>
      <c r="EW502" s="152"/>
      <c r="EX502" s="152"/>
      <c r="EY502" s="151"/>
    </row>
    <row r="503" spans="1:158" s="155" customFormat="1" ht="14" hidden="1" customHeight="1">
      <c r="A503" s="208" t="str">
        <f t="shared" si="439"/>
        <v>ok</v>
      </c>
      <c r="B503" s="154"/>
      <c r="C503" s="154"/>
      <c r="D503" s="154"/>
      <c r="E503" s="154"/>
      <c r="F503" s="344" t="s">
        <v>1728</v>
      </c>
      <c r="G503" s="703"/>
      <c r="H503" s="703"/>
      <c r="I503" s="254" t="s">
        <v>1064</v>
      </c>
      <c r="J503" s="254" t="s">
        <v>277</v>
      </c>
      <c r="K503" s="253" t="s">
        <v>698</v>
      </c>
      <c r="L503" s="261" t="s">
        <v>399</v>
      </c>
      <c r="M503" s="256" t="s">
        <v>61</v>
      </c>
      <c r="N503" s="259"/>
      <c r="O503" s="191"/>
      <c r="P503" s="190"/>
      <c r="AO503" s="234"/>
      <c r="AP503" s="193"/>
      <c r="AQ503" s="193"/>
      <c r="AR503" s="193"/>
      <c r="AS503" s="193"/>
      <c r="AT503" s="193"/>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209"/>
      <c r="CT503" s="209"/>
      <c r="CU503" s="257"/>
      <c r="CV503" s="156"/>
      <c r="DA503" s="152"/>
      <c r="DB503" s="152"/>
      <c r="DC503" s="158"/>
      <c r="DD503" s="187" t="s">
        <v>1700</v>
      </c>
      <c r="DE503" s="156" t="s">
        <v>1511</v>
      </c>
      <c r="DF503" s="712" t="s">
        <v>1701</v>
      </c>
      <c r="DG503" s="186"/>
      <c r="DH503" s="155">
        <v>643</v>
      </c>
      <c r="DI503" s="187">
        <v>45961</v>
      </c>
      <c r="DJ503" s="429">
        <f>4*12</f>
        <v>48</v>
      </c>
      <c r="DK503" s="155">
        <v>643</v>
      </c>
      <c r="DL503" s="240">
        <v>17545.45</v>
      </c>
      <c r="DM503" s="181">
        <f>DL503*DK503*1.1</f>
        <v>12409896.785</v>
      </c>
      <c r="DN503" s="446">
        <f>(DM503-DO503)/DO503</f>
        <v>0.10000000000000005</v>
      </c>
      <c r="DO503" s="281">
        <f>DL503*DK503</f>
        <v>11281724.35</v>
      </c>
      <c r="DP503" s="159">
        <v>45961</v>
      </c>
      <c r="DQ503" s="152"/>
      <c r="DR503" s="152"/>
      <c r="EO503" s="152"/>
      <c r="EP503" s="151"/>
      <c r="EQ503" s="153"/>
      <c r="ER503" s="153"/>
      <c r="ES503" s="153"/>
      <c r="ET503" s="153"/>
      <c r="EU503" s="152"/>
      <c r="EV503" s="152"/>
      <c r="EW503" s="152"/>
      <c r="EX503" s="152"/>
      <c r="EY503" s="151"/>
    </row>
    <row r="504" spans="1:158" s="155" customFormat="1" ht="14" hidden="1" customHeight="1">
      <c r="A504" s="208" t="str">
        <f t="shared" si="439"/>
        <v>Hiện</v>
      </c>
      <c r="B504" s="154" t="str">
        <f t="shared" si="465"/>
        <v>Thừa</v>
      </c>
      <c r="C504" s="154">
        <f t="shared" si="405"/>
        <v>-9.3887999999999998</v>
      </c>
      <c r="D504" s="154"/>
      <c r="E504" s="154"/>
      <c r="F504" s="344" t="s">
        <v>1728</v>
      </c>
      <c r="G504" s="703" t="s">
        <v>1314</v>
      </c>
      <c r="H504" s="703" t="s">
        <v>1314</v>
      </c>
      <c r="I504" s="253" t="s">
        <v>1065</v>
      </c>
      <c r="J504" s="254" t="s">
        <v>277</v>
      </c>
      <c r="K504" s="253" t="s">
        <v>523</v>
      </c>
      <c r="L504" s="261" t="s">
        <v>399</v>
      </c>
      <c r="M504" s="256" t="s">
        <v>61</v>
      </c>
      <c r="N504" s="259">
        <v>18.8</v>
      </c>
      <c r="O504" s="191">
        <v>25.343999999999998</v>
      </c>
      <c r="P504" s="190">
        <v>480.8</v>
      </c>
      <c r="AO504" s="234">
        <v>26.6112</v>
      </c>
      <c r="AP504" s="193">
        <v>500.29056000000003</v>
      </c>
      <c r="AQ504" s="193">
        <v>0</v>
      </c>
      <c r="AR504" s="193">
        <v>0</v>
      </c>
      <c r="AS504" s="193">
        <v>0</v>
      </c>
      <c r="AT504" s="193">
        <v>0</v>
      </c>
      <c r="AU504" s="162">
        <v>0</v>
      </c>
      <c r="AV504" s="162">
        <v>0</v>
      </c>
      <c r="AW504" s="162">
        <v>0</v>
      </c>
      <c r="AX504" s="162">
        <v>0</v>
      </c>
      <c r="AY504" s="162">
        <v>0</v>
      </c>
      <c r="AZ504" s="162">
        <v>0</v>
      </c>
      <c r="BA504" s="162"/>
      <c r="BB504" s="162"/>
      <c r="BC504" s="162">
        <v>0</v>
      </c>
      <c r="BD504" s="162">
        <v>0</v>
      </c>
      <c r="BE504" s="162">
        <v>0</v>
      </c>
      <c r="BF504" s="162">
        <v>0</v>
      </c>
      <c r="BG504" s="162">
        <v>0</v>
      </c>
      <c r="BH504" s="162">
        <v>0</v>
      </c>
      <c r="BI504" s="162">
        <v>0</v>
      </c>
      <c r="BJ504" s="162">
        <v>0</v>
      </c>
      <c r="BK504" s="162">
        <v>0</v>
      </c>
      <c r="BL504" s="162">
        <v>0</v>
      </c>
      <c r="BM504" s="162">
        <v>0</v>
      </c>
      <c r="BN504" s="162">
        <v>0</v>
      </c>
      <c r="BO504" s="162"/>
      <c r="BP504" s="162"/>
      <c r="BQ504" s="162">
        <v>0</v>
      </c>
      <c r="BR504" s="162">
        <v>0</v>
      </c>
      <c r="BS504" s="162">
        <v>0</v>
      </c>
      <c r="BT504" s="162">
        <v>0</v>
      </c>
      <c r="BU504" s="162">
        <v>0</v>
      </c>
      <c r="BV504" s="162">
        <v>0</v>
      </c>
      <c r="BW504" s="162"/>
      <c r="BX504" s="162"/>
      <c r="BY504" s="162">
        <v>0</v>
      </c>
      <c r="BZ504" s="162">
        <v>0</v>
      </c>
      <c r="CA504" s="162">
        <v>0</v>
      </c>
      <c r="CB504" s="162">
        <v>0</v>
      </c>
      <c r="CC504" s="162">
        <v>0</v>
      </c>
      <c r="CD504" s="162">
        <v>0</v>
      </c>
      <c r="CE504" s="162">
        <f>VLOOKUP(I504,[120]REV33!$A:$O,11,0)</f>
        <v>0</v>
      </c>
      <c r="CF504" s="162">
        <f>VLOOKUP(I504,[120]REV33!$A:$O,12,0)</f>
        <v>0</v>
      </c>
      <c r="CG504" s="162"/>
      <c r="CH504" s="162"/>
      <c r="CI504" s="162"/>
      <c r="CJ504" s="162"/>
      <c r="CK504" s="162"/>
      <c r="CL504" s="162"/>
      <c r="CM504" s="162"/>
      <c r="CN504" s="162"/>
      <c r="CO504" s="162">
        <v>0</v>
      </c>
      <c r="CP504" s="162">
        <v>0</v>
      </c>
      <c r="CQ504" s="162">
        <v>0</v>
      </c>
      <c r="CR504" s="162">
        <v>0</v>
      </c>
      <c r="CS504" s="209">
        <f>Q504+S504+U504+W504+Y504+AA504+AC504+AE504+AG504+AI504+AK504+AM504+AO504+AQ504+AS504+AU504+AW504+AY504+BA504+BC504+BE504+BG504+BI504+BK504+BM504+BO504+BQ504+BS504+BU504+BW504+BY504+CA504+CC504+CE504+CG504+CI504+CK504+CM504+CO504+CQ504</f>
        <v>26.6112</v>
      </c>
      <c r="CT504" s="209">
        <f>R504+T504+V504+X504+Z504+AB504+AD504+AF504+AH504+AJ504+AL504+AN504+AP504+AR504+AT504+AV504+AX504+AZ504+BB504+BD504+BF504+BH504+BJ504+BL504+BN504+BP504+BR504+BT504+BV504+BX504+BZ504+CB504+CD504+CF504+CH504+CJ504+CL504+CN504+CP504+CR504</f>
        <v>500.29056000000003</v>
      </c>
      <c r="CU504" s="257" t="s">
        <v>1157</v>
      </c>
      <c r="CV504" s="156"/>
      <c r="DA504" s="152">
        <f t="shared" ref="DA504:DA505" si="466">IF(CS504&gt;CW504,CS504-CW504,"0")</f>
        <v>26.6112</v>
      </c>
      <c r="DB504" s="152">
        <f t="shared" ref="DB504:DB505" si="467">IF(CT504&gt;CX504,CT504-CX504,"0")</f>
        <v>500.29056000000003</v>
      </c>
      <c r="DC504" s="158"/>
      <c r="DD504" s="158" t="s">
        <v>1512</v>
      </c>
      <c r="DE504" s="156" t="s">
        <v>1511</v>
      </c>
      <c r="DF504" s="260" t="s">
        <v>1514</v>
      </c>
      <c r="DG504" s="186"/>
      <c r="DH504" s="156">
        <v>864</v>
      </c>
      <c r="DI504" s="187">
        <v>45909</v>
      </c>
      <c r="DJ504" s="429">
        <f>36</f>
        <v>36</v>
      </c>
      <c r="DK504" s="240">
        <v>864</v>
      </c>
      <c r="DL504" s="189">
        <v>17272.73</v>
      </c>
      <c r="DM504" s="181">
        <f>DL504*DK504*1.1</f>
        <v>16416002.592</v>
      </c>
      <c r="DN504" s="446">
        <f>(DM504-DO504)/DO504</f>
        <v>0.1000000000000001</v>
      </c>
      <c r="DO504" s="160">
        <f>DL504*DK504</f>
        <v>14923638.719999999</v>
      </c>
      <c r="DP504" s="159">
        <v>45925</v>
      </c>
      <c r="DQ504" s="152">
        <f>SUMIF($I:$I,I504,$DJ:$DJ)</f>
        <v>36</v>
      </c>
      <c r="DR504" s="152">
        <f>SUMIF($I:$I,I504,$DK:$DK)</f>
        <v>864</v>
      </c>
      <c r="EO504" s="152">
        <f>SUMIF($I:$I,I504,$EC:$EC)</f>
        <v>0</v>
      </c>
      <c r="EP504" s="151">
        <f>SUMIF($I:$I,I504,$ED:$ED)</f>
        <v>0</v>
      </c>
      <c r="EQ504" s="153"/>
      <c r="ER504" s="153"/>
      <c r="ES504" s="153"/>
      <c r="ET504" s="153"/>
      <c r="EU504" s="152">
        <f t="shared" ref="EU504:EU505" si="468">DQ504+EO504</f>
        <v>36</v>
      </c>
      <c r="EV504" s="152">
        <f t="shared" ref="EV504:EV505" si="469">DR504+EP504</f>
        <v>864</v>
      </c>
      <c r="EW504" s="152">
        <f t="shared" ref="EW504:EW505" si="470">DA504-EU504</f>
        <v>-9.3887999999999998</v>
      </c>
      <c r="EX504" s="152">
        <f t="shared" ref="EX504:EX505" si="471">DB504-EV504</f>
        <v>-363.70943999999997</v>
      </c>
      <c r="EY504" s="151" t="str">
        <f t="shared" ref="EY504:EY505" si="472">IF(EW504&lt;0,"Thừa",IF(EW504=0,"Đủ","Thiếu"))</f>
        <v>Thừa</v>
      </c>
    </row>
    <row r="505" spans="1:158" s="155" customFormat="1" ht="23" hidden="1" customHeight="1">
      <c r="A505" s="208" t="str">
        <f t="shared" si="439"/>
        <v>Hiện</v>
      </c>
      <c r="B505" s="154" t="str">
        <f>EY505</f>
        <v>Thừa</v>
      </c>
      <c r="C505" s="154">
        <f t="shared" si="405"/>
        <v>-3</v>
      </c>
      <c r="D505" s="154"/>
      <c r="E505" s="154"/>
      <c r="F505" s="344"/>
      <c r="H505" s="154"/>
      <c r="I505" s="253" t="s">
        <v>1066</v>
      </c>
      <c r="J505" s="254" t="s">
        <v>284</v>
      </c>
      <c r="K505" s="253" t="s">
        <v>1067</v>
      </c>
      <c r="L505" s="261" t="s">
        <v>399</v>
      </c>
      <c r="M505" s="256" t="s">
        <v>61</v>
      </c>
      <c r="N505" s="259">
        <v>23</v>
      </c>
      <c r="O505" s="191">
        <v>3.2</v>
      </c>
      <c r="P505" s="190">
        <v>72.44</v>
      </c>
      <c r="AO505" s="234">
        <v>6</v>
      </c>
      <c r="AP505" s="193">
        <v>138</v>
      </c>
      <c r="AQ505" s="193">
        <v>0</v>
      </c>
      <c r="AR505" s="193">
        <v>0</v>
      </c>
      <c r="AS505" s="193">
        <v>0</v>
      </c>
      <c r="AT505" s="193">
        <v>0</v>
      </c>
      <c r="AU505" s="162">
        <v>0</v>
      </c>
      <c r="AV505" s="162">
        <v>0</v>
      </c>
      <c r="AW505" s="162">
        <v>0</v>
      </c>
      <c r="AX505" s="162">
        <v>0</v>
      </c>
      <c r="AY505" s="162">
        <v>0</v>
      </c>
      <c r="AZ505" s="162">
        <v>0</v>
      </c>
      <c r="BA505" s="162"/>
      <c r="BB505" s="162"/>
      <c r="BC505" s="162">
        <v>0</v>
      </c>
      <c r="BD505" s="162">
        <v>0</v>
      </c>
      <c r="BE505" s="162">
        <v>0</v>
      </c>
      <c r="BF505" s="162">
        <v>0</v>
      </c>
      <c r="BG505" s="162">
        <v>0</v>
      </c>
      <c r="BH505" s="162">
        <v>0</v>
      </c>
      <c r="BI505" s="162">
        <v>0</v>
      </c>
      <c r="BJ505" s="162">
        <v>0</v>
      </c>
      <c r="BK505" s="162">
        <v>0</v>
      </c>
      <c r="BL505" s="162">
        <v>0</v>
      </c>
      <c r="BM505" s="162">
        <v>0</v>
      </c>
      <c r="BN505" s="162">
        <v>0</v>
      </c>
      <c r="BO505" s="162"/>
      <c r="BP505" s="162"/>
      <c r="BQ505" s="162">
        <v>3</v>
      </c>
      <c r="BR505" s="162">
        <v>69</v>
      </c>
      <c r="BS505" s="162">
        <v>0</v>
      </c>
      <c r="BT505" s="162">
        <v>0</v>
      </c>
      <c r="BU505" s="162">
        <v>0</v>
      </c>
      <c r="BV505" s="162">
        <v>0</v>
      </c>
      <c r="BW505" s="162"/>
      <c r="BX505" s="162"/>
      <c r="BY505" s="162">
        <v>0</v>
      </c>
      <c r="BZ505" s="162">
        <v>0</v>
      </c>
      <c r="CA505" s="162">
        <v>0</v>
      </c>
      <c r="CB505" s="162">
        <v>0</v>
      </c>
      <c r="CC505" s="162">
        <v>0</v>
      </c>
      <c r="CD505" s="162">
        <v>0</v>
      </c>
      <c r="CE505" s="162">
        <f>VLOOKUP(I505,[120]REV33!$A:$O,11,0)</f>
        <v>0</v>
      </c>
      <c r="CF505" s="162">
        <f>VLOOKUP(I505,[120]REV33!$A:$O,12,0)</f>
        <v>0</v>
      </c>
      <c r="CG505" s="162"/>
      <c r="CH505" s="162"/>
      <c r="CI505" s="162"/>
      <c r="CJ505" s="162"/>
      <c r="CK505" s="162"/>
      <c r="CL505" s="162"/>
      <c r="CM505" s="162"/>
      <c r="CN505" s="162"/>
      <c r="CO505" s="162">
        <v>0</v>
      </c>
      <c r="CP505" s="162">
        <v>0</v>
      </c>
      <c r="CQ505" s="162">
        <v>0</v>
      </c>
      <c r="CR505" s="162">
        <v>0</v>
      </c>
      <c r="CS505" s="209">
        <f>Q505+S505+U505+W505+Y505+AA505+AC505+AE505+AG505+AI505+AK505+AM505+AO505+AQ505+AS505+AU505+AW505+AY505+BA505+BC505+BE505+BG505+BI505+BK505+BM505+BO505+BQ505+BS505+BU505+BW505+BY505+CA505+CC505+CE505+CG505+CI505+CK505+CM505+CO505+CQ505</f>
        <v>9</v>
      </c>
      <c r="CT505" s="209">
        <f>R505+T505+V505+X505+Z505+AB505+AD505+AF505+AH505+AJ505+AL505+AN505+AP505+AR505+AT505+AV505+AX505+AZ505+BB505+BD505+BF505+BH505+BJ505+BL505+BN505+BP505+BR505+BT505+BV505+BX505+BZ505+CB505+CD505+CF505+CH505+CJ505+CL505+CN505+CP505+CR505</f>
        <v>207</v>
      </c>
      <c r="CU505" s="257" t="s">
        <v>1892</v>
      </c>
      <c r="CV505" s="156"/>
      <c r="CW505" s="155">
        <v>6</v>
      </c>
      <c r="CX505" s="155">
        <v>138</v>
      </c>
      <c r="CZ505" s="155" t="s">
        <v>1429</v>
      </c>
      <c r="DA505" s="152">
        <f t="shared" si="466"/>
        <v>3</v>
      </c>
      <c r="DB505" s="152">
        <f t="shared" si="467"/>
        <v>69</v>
      </c>
      <c r="DC505" s="158"/>
      <c r="DD505" s="187" t="s">
        <v>2182</v>
      </c>
      <c r="DE505" s="156" t="s">
        <v>1901</v>
      </c>
      <c r="DF505" s="506" t="s">
        <v>2195</v>
      </c>
      <c r="DG505" s="186"/>
      <c r="DH505" s="505">
        <v>138</v>
      </c>
      <c r="DI505" s="187">
        <v>45972</v>
      </c>
      <c r="DJ505" s="1005">
        <v>6</v>
      </c>
      <c r="DK505" s="505">
        <v>138</v>
      </c>
      <c r="DL505" s="505">
        <v>15909.09</v>
      </c>
      <c r="DM505" s="181">
        <f>DL505*DK505*(1+DN505)</f>
        <v>2414999.8620000002</v>
      </c>
      <c r="DN505" s="446">
        <v>0.1</v>
      </c>
      <c r="DO505" s="240">
        <f>DL505*DK505</f>
        <v>2195454.42</v>
      </c>
      <c r="DP505" s="159">
        <v>45976</v>
      </c>
      <c r="DQ505" s="152">
        <f>SUMIF($I:$I,I505,$DJ:$DJ)</f>
        <v>6</v>
      </c>
      <c r="DR505" s="152">
        <f>SUMIF($I:$I,I505,$DK:$DK)</f>
        <v>138</v>
      </c>
      <c r="EO505" s="152">
        <f>SUMIF($I:$I,I505,$EC:$EC)</f>
        <v>0</v>
      </c>
      <c r="EP505" s="151">
        <f>SUMIF($I:$I,I505,$ED:$ED)</f>
        <v>0</v>
      </c>
      <c r="EQ505" s="153"/>
      <c r="ER505" s="153"/>
      <c r="ES505" s="153"/>
      <c r="ET505" s="153"/>
      <c r="EU505" s="152">
        <f t="shared" si="468"/>
        <v>6</v>
      </c>
      <c r="EV505" s="152">
        <f t="shared" si="469"/>
        <v>138</v>
      </c>
      <c r="EW505" s="152">
        <f t="shared" si="470"/>
        <v>-3</v>
      </c>
      <c r="EX505" s="152">
        <f t="shared" si="471"/>
        <v>-69</v>
      </c>
      <c r="EY505" s="151" t="str">
        <f t="shared" si="472"/>
        <v>Thừa</v>
      </c>
    </row>
    <row r="506" spans="1:158" s="155" customFormat="1" ht="23" hidden="1" customHeight="1">
      <c r="A506" s="208" t="str">
        <f t="shared" si="439"/>
        <v>ok</v>
      </c>
      <c r="B506" s="154"/>
      <c r="C506" s="154"/>
      <c r="D506" s="154"/>
      <c r="E506" s="154"/>
      <c r="F506" s="344"/>
      <c r="H506" s="154"/>
      <c r="I506" s="253" t="s">
        <v>1066</v>
      </c>
      <c r="J506" s="254" t="s">
        <v>284</v>
      </c>
      <c r="K506" s="253" t="s">
        <v>1067</v>
      </c>
      <c r="L506" s="261" t="s">
        <v>399</v>
      </c>
      <c r="M506" s="256" t="s">
        <v>61</v>
      </c>
      <c r="N506" s="259"/>
      <c r="O506" s="191"/>
      <c r="P506" s="190"/>
      <c r="AO506" s="234"/>
      <c r="AP506" s="193"/>
      <c r="AQ506" s="193"/>
      <c r="AR506" s="193"/>
      <c r="AS506" s="193"/>
      <c r="AT506" s="193"/>
      <c r="AU506" s="162"/>
      <c r="AV506" s="162"/>
      <c r="AW506" s="162"/>
      <c r="AX506" s="162"/>
      <c r="AY506" s="162"/>
      <c r="AZ506" s="162"/>
      <c r="BA506" s="162"/>
      <c r="BB506" s="162"/>
      <c r="BC506" s="162"/>
      <c r="BD506" s="162"/>
      <c r="BE506" s="162"/>
      <c r="BF506" s="162"/>
      <c r="BG506" s="162"/>
      <c r="BH506" s="162"/>
      <c r="BI506" s="162"/>
      <c r="BJ506" s="162"/>
      <c r="BK506" s="162"/>
      <c r="BL506" s="162"/>
      <c r="BM506" s="162"/>
      <c r="BN506" s="162"/>
      <c r="BO506" s="162"/>
      <c r="BP506" s="162"/>
      <c r="BQ506" s="162"/>
      <c r="BR506" s="162"/>
      <c r="BS506" s="162"/>
      <c r="BT506" s="162"/>
      <c r="BU506" s="162"/>
      <c r="BV506" s="162"/>
      <c r="BW506" s="162"/>
      <c r="BX506" s="162"/>
      <c r="BY506" s="162"/>
      <c r="BZ506" s="162"/>
      <c r="CA506" s="162"/>
      <c r="CB506" s="162"/>
      <c r="CC506" s="162"/>
      <c r="CD506" s="162"/>
      <c r="CE506" s="162"/>
      <c r="CF506" s="162"/>
      <c r="CG506" s="162"/>
      <c r="CH506" s="162"/>
      <c r="CI506" s="162"/>
      <c r="CJ506" s="162"/>
      <c r="CK506" s="162"/>
      <c r="CL506" s="162"/>
      <c r="CM506" s="162"/>
      <c r="CN506" s="162"/>
      <c r="CO506" s="162"/>
      <c r="CP506" s="162"/>
      <c r="CQ506" s="162"/>
      <c r="CR506" s="162"/>
      <c r="CS506" s="209"/>
      <c r="CT506" s="209"/>
      <c r="CU506" s="257"/>
      <c r="CV506" s="156"/>
      <c r="DA506" s="152"/>
      <c r="DB506" s="152"/>
      <c r="DC506" s="158"/>
      <c r="DD506" s="158"/>
      <c r="DE506" s="156"/>
      <c r="DF506" s="260"/>
      <c r="DG506" s="186"/>
      <c r="DH506" s="156"/>
      <c r="DI506" s="187"/>
      <c r="DJ506" s="429"/>
      <c r="DK506" s="240"/>
      <c r="DL506" s="189"/>
      <c r="DM506" s="189"/>
      <c r="DN506" s="189"/>
      <c r="DO506" s="160"/>
      <c r="DP506" s="159"/>
      <c r="DQ506" s="152"/>
      <c r="DR506" s="152"/>
      <c r="EO506" s="152"/>
      <c r="EP506" s="151"/>
      <c r="EQ506" s="153"/>
      <c r="ER506" s="153"/>
      <c r="ES506" s="153"/>
      <c r="ET506" s="153"/>
      <c r="EU506" s="152"/>
      <c r="EV506" s="152"/>
      <c r="EW506" s="152"/>
      <c r="EX506" s="152"/>
      <c r="EY506" s="151"/>
    </row>
    <row r="507" spans="1:158" s="155" customFormat="1" ht="14" hidden="1" customHeight="1">
      <c r="A507" s="208" t="str">
        <f t="shared" si="439"/>
        <v>Hiện</v>
      </c>
      <c r="B507" s="154" t="str">
        <f t="shared" si="465"/>
        <v>Thừa</v>
      </c>
      <c r="C507" s="154">
        <f t="shared" si="405"/>
        <v>-3.593687999999986</v>
      </c>
      <c r="D507" s="154"/>
      <c r="E507" s="154"/>
      <c r="F507" s="344" t="s">
        <v>1728</v>
      </c>
      <c r="G507" s="154" t="s">
        <v>1181</v>
      </c>
      <c r="H507" s="154"/>
      <c r="I507" s="253" t="s">
        <v>1068</v>
      </c>
      <c r="J507" s="254" t="s">
        <v>284</v>
      </c>
      <c r="K507" s="253" t="s">
        <v>1069</v>
      </c>
      <c r="L507" s="261" t="s">
        <v>399</v>
      </c>
      <c r="M507" s="256" t="s">
        <v>61</v>
      </c>
      <c r="N507" s="259">
        <v>6.9</v>
      </c>
      <c r="O507" s="191">
        <v>36.577440000000003</v>
      </c>
      <c r="P507" s="190">
        <v>250.16</v>
      </c>
      <c r="AO507" s="234">
        <v>38.406312000000007</v>
      </c>
      <c r="AP507" s="193">
        <v>265.00355280000008</v>
      </c>
      <c r="AQ507" s="193">
        <v>0</v>
      </c>
      <c r="AR507" s="193">
        <v>0</v>
      </c>
      <c r="AS507" s="193">
        <v>0</v>
      </c>
      <c r="AT507" s="193">
        <v>0</v>
      </c>
      <c r="AU507" s="162">
        <v>0</v>
      </c>
      <c r="AV507" s="162">
        <v>0</v>
      </c>
      <c r="AW507" s="162">
        <v>0</v>
      </c>
      <c r="AX507" s="162">
        <v>0</v>
      </c>
      <c r="AY507" s="162">
        <v>0</v>
      </c>
      <c r="AZ507" s="162">
        <v>0</v>
      </c>
      <c r="BA507" s="162"/>
      <c r="BB507" s="162"/>
      <c r="BC507" s="162">
        <v>0</v>
      </c>
      <c r="BD507" s="162">
        <v>0</v>
      </c>
      <c r="BE507" s="162">
        <v>0</v>
      </c>
      <c r="BF507" s="162">
        <v>0</v>
      </c>
      <c r="BG507" s="162">
        <v>0</v>
      </c>
      <c r="BH507" s="162">
        <v>0</v>
      </c>
      <c r="BI507" s="162">
        <v>0</v>
      </c>
      <c r="BJ507" s="162">
        <v>0</v>
      </c>
      <c r="BK507" s="162">
        <v>0</v>
      </c>
      <c r="BL507" s="162">
        <v>0</v>
      </c>
      <c r="BM507" s="162">
        <v>0</v>
      </c>
      <c r="BN507" s="162">
        <v>0</v>
      </c>
      <c r="BO507" s="162"/>
      <c r="BP507" s="162"/>
      <c r="BQ507" s="162">
        <v>36</v>
      </c>
      <c r="BR507" s="162">
        <v>248.4</v>
      </c>
      <c r="BS507" s="162">
        <v>0</v>
      </c>
      <c r="BT507" s="162">
        <v>0</v>
      </c>
      <c r="BU507" s="162">
        <v>0</v>
      </c>
      <c r="BV507" s="162">
        <v>0</v>
      </c>
      <c r="BW507" s="162"/>
      <c r="BX507" s="162"/>
      <c r="BY507" s="162">
        <v>0</v>
      </c>
      <c r="BZ507" s="162">
        <v>0</v>
      </c>
      <c r="CA507" s="162">
        <v>0</v>
      </c>
      <c r="CB507" s="162">
        <v>0</v>
      </c>
      <c r="CC507" s="162">
        <v>0</v>
      </c>
      <c r="CD507" s="162">
        <v>0</v>
      </c>
      <c r="CE507" s="162">
        <f>VLOOKUP(I507,[120]REV33!$A:$O,11,0)</f>
        <v>0</v>
      </c>
      <c r="CF507" s="162">
        <f>VLOOKUP(I507,[120]REV33!$A:$O,12,0)</f>
        <v>0</v>
      </c>
      <c r="CG507" s="162"/>
      <c r="CH507" s="162"/>
      <c r="CI507" s="162"/>
      <c r="CJ507" s="162"/>
      <c r="CK507" s="162"/>
      <c r="CL507" s="162"/>
      <c r="CM507" s="162"/>
      <c r="CN507" s="162"/>
      <c r="CO507" s="162">
        <v>0</v>
      </c>
      <c r="CP507" s="162">
        <v>0</v>
      </c>
      <c r="CQ507" s="162">
        <v>0</v>
      </c>
      <c r="CR507" s="162">
        <v>0</v>
      </c>
      <c r="CS507" s="209">
        <f>Q507+S507+U507+W507+Y507+AA507+AC507+AE507+AG507+AI507+AK507+AM507+AO507+AQ507+AS507+AU507+AW507+AY507+BA507+BC507+BE507+BG507+BI507+BK507+BM507+BO507+BQ507+BS507+BU507+BW507+BY507+CA507+CC507+CE507+CG507+CI507+CK507+CM507+CO507+CQ507</f>
        <v>74.406312000000014</v>
      </c>
      <c r="CT507" s="209">
        <f>R507+T507+V507+X507+Z507+AB507+AD507+AF507+AH507+AJ507+AL507+AN507+AP507+AR507+AT507+AV507+AX507+AZ507+BB507+BD507+BF507+BH507+BJ507+BL507+BN507+BP507+BR507+BT507+BV507+BX507+BZ507+CB507+CD507+CF507+CH507+CJ507+CL507+CN507+CP507+CR507</f>
        <v>513.40355280000006</v>
      </c>
      <c r="CU507" s="257" t="s">
        <v>1892</v>
      </c>
      <c r="CV507" s="156"/>
      <c r="DA507" s="152">
        <f>IF(CS507&gt;CW507,CS507-CW507,"0")</f>
        <v>74.406312000000014</v>
      </c>
      <c r="DB507" s="152">
        <f>IF(CT507&gt;CX507,CT507-CX507,"0")</f>
        <v>513.40355280000006</v>
      </c>
      <c r="DC507" s="158"/>
      <c r="DD507" s="187" t="s">
        <v>1692</v>
      </c>
      <c r="DE507" s="156" t="s">
        <v>45</v>
      </c>
      <c r="DF507" s="705" t="s">
        <v>1427</v>
      </c>
      <c r="DG507" s="186"/>
      <c r="DH507" s="156">
        <v>334.18</v>
      </c>
      <c r="DI507" s="187">
        <v>45904</v>
      </c>
      <c r="DJ507" s="429">
        <v>42</v>
      </c>
      <c r="DK507" s="240">
        <v>334.18</v>
      </c>
      <c r="DL507" s="280">
        <v>14181.82</v>
      </c>
      <c r="DM507" s="181">
        <f>DL507*DK507*1.1</f>
        <v>5213208.6683600005</v>
      </c>
      <c r="DN507" s="446">
        <f>(DM507-DO507)/DO507</f>
        <v>0.10000000000000016</v>
      </c>
      <c r="DO507" s="281">
        <f>DL507*DK507</f>
        <v>4739280.6075999998</v>
      </c>
      <c r="DP507" s="159">
        <v>45907</v>
      </c>
      <c r="DQ507" s="152">
        <f>SUMIF($I:$I,I507,$DJ:$DJ)</f>
        <v>78</v>
      </c>
      <c r="DR507" s="152">
        <f>SUMIF($I:$I,I507,$DK:$DK)</f>
        <v>581.18000000000006</v>
      </c>
      <c r="EO507" s="152">
        <f>SUMIF($I:$I,I507,$EC:$EC)</f>
        <v>0</v>
      </c>
      <c r="EP507" s="151">
        <f>SUMIF($I:$I,I507,$ED:$ED)</f>
        <v>0</v>
      </c>
      <c r="EQ507" s="153"/>
      <c r="ER507" s="153"/>
      <c r="ES507" s="153"/>
      <c r="ET507" s="153"/>
      <c r="EU507" s="152">
        <f>DQ507+EO507</f>
        <v>78</v>
      </c>
      <c r="EV507" s="152">
        <f>DR507+EP507</f>
        <v>581.18000000000006</v>
      </c>
      <c r="EW507" s="152">
        <f t="shared" ref="EW507" si="473">DA507-EU507</f>
        <v>-3.593687999999986</v>
      </c>
      <c r="EX507" s="152">
        <f t="shared" ref="EX507" si="474">DB507-EV507</f>
        <v>-67.776447200000007</v>
      </c>
      <c r="EY507" s="151" t="str">
        <f>IF(EW507&lt;0,"Thừa",IF(EW507=0,"Đủ","Thiếu"))</f>
        <v>Thừa</v>
      </c>
    </row>
    <row r="508" spans="1:158" s="155" customFormat="1" ht="14" hidden="1" customHeight="1">
      <c r="A508" s="208" t="str">
        <f t="shared" si="439"/>
        <v>ok</v>
      </c>
      <c r="B508" s="154"/>
      <c r="C508" s="154"/>
      <c r="D508" s="154"/>
      <c r="E508" s="154"/>
      <c r="F508" s="344"/>
      <c r="G508" s="154"/>
      <c r="H508" s="154"/>
      <c r="I508" s="253" t="s">
        <v>1068</v>
      </c>
      <c r="J508" s="254" t="s">
        <v>284</v>
      </c>
      <c r="K508" s="253" t="s">
        <v>1069</v>
      </c>
      <c r="L508" s="261" t="s">
        <v>399</v>
      </c>
      <c r="M508" s="256" t="s">
        <v>61</v>
      </c>
      <c r="N508" s="259"/>
      <c r="O508" s="191"/>
      <c r="P508" s="190"/>
      <c r="AO508" s="234"/>
      <c r="AP508" s="193"/>
      <c r="AQ508" s="193"/>
      <c r="AR508" s="193"/>
      <c r="AS508" s="193"/>
      <c r="AT508" s="193"/>
      <c r="AU508" s="162"/>
      <c r="AV508" s="162"/>
      <c r="AW508" s="162"/>
      <c r="AX508" s="162"/>
      <c r="AY508" s="162"/>
      <c r="AZ508" s="162"/>
      <c r="BA508" s="162"/>
      <c r="BB508" s="162"/>
      <c r="BC508" s="162"/>
      <c r="BD508" s="162"/>
      <c r="BE508" s="162"/>
      <c r="BF508" s="162"/>
      <c r="BG508" s="162"/>
      <c r="BH508" s="162"/>
      <c r="BI508" s="162"/>
      <c r="BJ508" s="162"/>
      <c r="BK508" s="162"/>
      <c r="BL508" s="162"/>
      <c r="BM508" s="162"/>
      <c r="BN508" s="162"/>
      <c r="BO508" s="162"/>
      <c r="BP508" s="162"/>
      <c r="BQ508" s="162"/>
      <c r="BR508" s="162"/>
      <c r="BS508" s="162"/>
      <c r="BT508" s="162"/>
      <c r="BU508" s="162"/>
      <c r="BV508" s="162"/>
      <c r="BW508" s="162"/>
      <c r="BX508" s="162"/>
      <c r="BY508" s="162"/>
      <c r="BZ508" s="162"/>
      <c r="CA508" s="162"/>
      <c r="CB508" s="162"/>
      <c r="CC508" s="162"/>
      <c r="CD508" s="162"/>
      <c r="CE508" s="162"/>
      <c r="CF508" s="162"/>
      <c r="CG508" s="162"/>
      <c r="CH508" s="162"/>
      <c r="CI508" s="162"/>
      <c r="CJ508" s="162"/>
      <c r="CK508" s="162"/>
      <c r="CL508" s="162"/>
      <c r="CM508" s="162"/>
      <c r="CN508" s="162"/>
      <c r="CO508" s="162"/>
      <c r="CP508" s="162"/>
      <c r="CQ508" s="162"/>
      <c r="CR508" s="162"/>
      <c r="CS508" s="209"/>
      <c r="CT508" s="209"/>
      <c r="CU508" s="257"/>
      <c r="CV508" s="156"/>
      <c r="DA508" s="152"/>
      <c r="DB508" s="152"/>
      <c r="DC508" s="158"/>
      <c r="DD508" s="187" t="s">
        <v>2182</v>
      </c>
      <c r="DE508" s="156" t="s">
        <v>1901</v>
      </c>
      <c r="DF508" s="506" t="s">
        <v>2197</v>
      </c>
      <c r="DG508" s="186"/>
      <c r="DH508" s="505">
        <v>247</v>
      </c>
      <c r="DI508" s="187">
        <v>45972</v>
      </c>
      <c r="DJ508" s="1005">
        <v>36</v>
      </c>
      <c r="DK508" s="505">
        <v>247</v>
      </c>
      <c r="DL508" s="505">
        <v>13909.09</v>
      </c>
      <c r="DM508" s="181">
        <f>DL508*DK508*(1+DN508)</f>
        <v>3779099.7530000005</v>
      </c>
      <c r="DN508" s="446">
        <v>0.1</v>
      </c>
      <c r="DO508" s="240">
        <f>DL508*DK508</f>
        <v>3435545.23</v>
      </c>
      <c r="DP508" s="159">
        <v>45976</v>
      </c>
      <c r="DQ508" s="152"/>
      <c r="DR508" s="152"/>
      <c r="EO508" s="152"/>
      <c r="EP508" s="151"/>
      <c r="EQ508" s="153"/>
      <c r="ER508" s="153"/>
      <c r="ES508" s="153"/>
      <c r="ET508" s="153"/>
      <c r="EU508" s="152"/>
      <c r="EV508" s="152"/>
      <c r="EW508" s="152"/>
      <c r="EX508" s="152"/>
      <c r="EY508" s="151"/>
    </row>
    <row r="509" spans="1:158" s="155" customFormat="1" ht="14" hidden="1" customHeight="1">
      <c r="A509" s="208" t="str">
        <f t="shared" si="439"/>
        <v>Hiện</v>
      </c>
      <c r="B509" s="154" t="str">
        <f t="shared" si="465"/>
        <v>Thừa</v>
      </c>
      <c r="C509" s="154">
        <f t="shared" si="405"/>
        <v>-2.1599999999999966</v>
      </c>
      <c r="D509" s="154"/>
      <c r="E509" s="154"/>
      <c r="F509" s="344" t="s">
        <v>1728</v>
      </c>
      <c r="G509" s="154" t="s">
        <v>1182</v>
      </c>
      <c r="H509" s="154"/>
      <c r="I509" s="253" t="s">
        <v>1070</v>
      </c>
      <c r="J509" s="254" t="s">
        <v>284</v>
      </c>
      <c r="K509" s="253" t="s">
        <v>1071</v>
      </c>
      <c r="L509" s="261" t="s">
        <v>399</v>
      </c>
      <c r="M509" s="256" t="s">
        <v>61</v>
      </c>
      <c r="N509" s="259">
        <v>9.6</v>
      </c>
      <c r="O509" s="191">
        <v>20.8</v>
      </c>
      <c r="P509" s="190">
        <v>198.24</v>
      </c>
      <c r="AO509" s="234">
        <v>21.840000000000003</v>
      </c>
      <c r="AP509" s="193">
        <v>209.66400000000002</v>
      </c>
      <c r="AQ509" s="193">
        <v>0</v>
      </c>
      <c r="AR509" s="193">
        <v>0</v>
      </c>
      <c r="AS509" s="193">
        <v>0</v>
      </c>
      <c r="AT509" s="193">
        <v>0</v>
      </c>
      <c r="AU509" s="162">
        <v>0</v>
      </c>
      <c r="AV509" s="162">
        <v>0</v>
      </c>
      <c r="AW509" s="162">
        <v>0</v>
      </c>
      <c r="AX509" s="162">
        <v>0</v>
      </c>
      <c r="AY509" s="162">
        <v>0</v>
      </c>
      <c r="AZ509" s="162">
        <v>0</v>
      </c>
      <c r="BA509" s="162"/>
      <c r="BB509" s="162"/>
      <c r="BC509" s="162">
        <v>0</v>
      </c>
      <c r="BD509" s="162">
        <v>0</v>
      </c>
      <c r="BE509" s="162">
        <v>0</v>
      </c>
      <c r="BF509" s="162">
        <v>0</v>
      </c>
      <c r="BG509" s="162">
        <v>0</v>
      </c>
      <c r="BH509" s="162">
        <v>0</v>
      </c>
      <c r="BI509" s="162">
        <v>0</v>
      </c>
      <c r="BJ509" s="162">
        <v>0</v>
      </c>
      <c r="BK509" s="162">
        <v>0</v>
      </c>
      <c r="BL509" s="162">
        <v>0</v>
      </c>
      <c r="BM509" s="162">
        <v>0</v>
      </c>
      <c r="BN509" s="162">
        <v>0</v>
      </c>
      <c r="BO509" s="162"/>
      <c r="BP509" s="162"/>
      <c r="BQ509" s="162">
        <v>18</v>
      </c>
      <c r="BR509" s="162">
        <v>172.79999999999998</v>
      </c>
      <c r="BS509" s="162">
        <v>0</v>
      </c>
      <c r="BT509" s="162">
        <v>0</v>
      </c>
      <c r="BU509" s="162">
        <v>0</v>
      </c>
      <c r="BV509" s="162">
        <v>0</v>
      </c>
      <c r="BW509" s="162"/>
      <c r="BX509" s="162"/>
      <c r="BY509" s="162">
        <v>0</v>
      </c>
      <c r="BZ509" s="162">
        <v>0</v>
      </c>
      <c r="CA509" s="162">
        <v>0</v>
      </c>
      <c r="CB509" s="162">
        <v>0</v>
      </c>
      <c r="CC509" s="162">
        <v>0</v>
      </c>
      <c r="CD509" s="162">
        <v>0</v>
      </c>
      <c r="CE509" s="162">
        <f>VLOOKUP(I509,[120]REV33!$A:$O,11,0)</f>
        <v>0</v>
      </c>
      <c r="CF509" s="162">
        <f>VLOOKUP(I509,[120]REV33!$A:$O,12,0)</f>
        <v>0</v>
      </c>
      <c r="CG509" s="162"/>
      <c r="CH509" s="162"/>
      <c r="CI509" s="162"/>
      <c r="CJ509" s="162"/>
      <c r="CK509" s="162"/>
      <c r="CL509" s="162"/>
      <c r="CM509" s="162"/>
      <c r="CN509" s="162"/>
      <c r="CO509" s="162">
        <v>0</v>
      </c>
      <c r="CP509" s="162">
        <v>0</v>
      </c>
      <c r="CQ509" s="162">
        <v>0</v>
      </c>
      <c r="CR509" s="162">
        <v>0</v>
      </c>
      <c r="CS509" s="209">
        <f>Q509+S509+U509+W509+Y509+AA509+AC509+AE509+AG509+AI509+AK509+AM509+AO509+AQ509+AS509+AU509+AW509+AY509+BA509+BC509+BE509+BG509+BI509+BK509+BM509+BO509+BQ509+BS509+BU509+BW509+BY509+CA509+CC509+CE509+CG509+CI509+CK509+CM509+CO509+CQ509</f>
        <v>39.840000000000003</v>
      </c>
      <c r="CT509" s="209">
        <f>R509+T509+V509+X509+Z509+AB509+AD509+AF509+AH509+AJ509+AL509+AN509+AP509+AR509+AT509+AV509+AX509+AZ509+BB509+BD509+BF509+BH509+BJ509+BL509+BN509+BP509+BR509+BT509+BV509+BX509+BZ509+CB509+CD509+CF509+CH509+CJ509+CL509+CN509+CP509+CR509</f>
        <v>382.464</v>
      </c>
      <c r="CU509" s="257" t="s">
        <v>1892</v>
      </c>
      <c r="CV509" s="156"/>
      <c r="DA509" s="152">
        <f>IF(CS509&gt;CW509,CS509-CW509,"0")</f>
        <v>39.840000000000003</v>
      </c>
      <c r="DB509" s="152">
        <f>IF(CT509&gt;CX509,CT509-CX509,"0")</f>
        <v>382.464</v>
      </c>
      <c r="DC509" s="158"/>
      <c r="DD509" s="187" t="s">
        <v>1692</v>
      </c>
      <c r="DE509" s="156" t="s">
        <v>45</v>
      </c>
      <c r="DF509" s="705" t="s">
        <v>1428</v>
      </c>
      <c r="DG509" s="186"/>
      <c r="DH509" s="156">
        <v>232</v>
      </c>
      <c r="DI509" s="187">
        <v>45904</v>
      </c>
      <c r="DJ509" s="429">
        <v>24</v>
      </c>
      <c r="DK509" s="240">
        <v>232</v>
      </c>
      <c r="DL509" s="280">
        <v>14181.82</v>
      </c>
      <c r="DM509" s="181">
        <f>DL509*DK509*1.1</f>
        <v>3619200.4640000002</v>
      </c>
      <c r="DN509" s="446">
        <f>(DM509-DO509)/DO509</f>
        <v>0.10000000000000013</v>
      </c>
      <c r="DO509" s="281">
        <f>DL509*DK509</f>
        <v>3290182.2399999998</v>
      </c>
      <c r="DP509" s="159">
        <v>45907</v>
      </c>
      <c r="DQ509" s="152">
        <f>SUMIF($I:$I,I509,$DJ:$DJ)</f>
        <v>42</v>
      </c>
      <c r="DR509" s="152">
        <f>SUMIF($I:$I,I509,$DK:$DK)</f>
        <v>405</v>
      </c>
      <c r="EO509" s="152">
        <f>SUMIF($I:$I,I509,$EC:$EC)</f>
        <v>0</v>
      </c>
      <c r="EP509" s="151">
        <f>SUMIF($I:$I,I509,$ED:$ED)</f>
        <v>0</v>
      </c>
      <c r="EQ509" s="153"/>
      <c r="ER509" s="153"/>
      <c r="ES509" s="153"/>
      <c r="ET509" s="153"/>
      <c r="EU509" s="152">
        <f>DQ509+EO509</f>
        <v>42</v>
      </c>
      <c r="EV509" s="152">
        <f>DR509+EP509</f>
        <v>405</v>
      </c>
      <c r="EW509" s="152">
        <f t="shared" ref="EW509" si="475">DA509-EU509</f>
        <v>-2.1599999999999966</v>
      </c>
      <c r="EX509" s="152">
        <f t="shared" ref="EX509" si="476">DB509-EV509</f>
        <v>-22.536000000000001</v>
      </c>
      <c r="EY509" s="151" t="str">
        <f>IF(EW509&lt;0,"Thừa",IF(EW509=0,"Đủ","Thiếu"))</f>
        <v>Thừa</v>
      </c>
    </row>
    <row r="510" spans="1:158" s="155" customFormat="1" ht="14" hidden="1" customHeight="1">
      <c r="A510" s="208" t="str">
        <f t="shared" si="439"/>
        <v>ok</v>
      </c>
      <c r="B510" s="154"/>
      <c r="C510" s="154"/>
      <c r="D510" s="154"/>
      <c r="E510" s="154"/>
      <c r="F510" s="344"/>
      <c r="G510" s="154"/>
      <c r="H510" s="154"/>
      <c r="I510" s="253" t="s">
        <v>1070</v>
      </c>
      <c r="J510" s="254" t="s">
        <v>284</v>
      </c>
      <c r="K510" s="253" t="s">
        <v>1071</v>
      </c>
      <c r="L510" s="261" t="s">
        <v>399</v>
      </c>
      <c r="M510" s="256" t="s">
        <v>61</v>
      </c>
      <c r="N510" s="259"/>
      <c r="O510" s="191"/>
      <c r="P510" s="190"/>
      <c r="AO510" s="234"/>
      <c r="AP510" s="193"/>
      <c r="AQ510" s="193"/>
      <c r="AR510" s="193"/>
      <c r="AS510" s="193"/>
      <c r="AT510" s="193"/>
      <c r="AU510" s="162"/>
      <c r="AV510" s="162"/>
      <c r="AW510" s="162"/>
      <c r="AX510" s="162"/>
      <c r="AY510" s="162"/>
      <c r="AZ510" s="162"/>
      <c r="BA510" s="162"/>
      <c r="BB510" s="162"/>
      <c r="BC510" s="162"/>
      <c r="BD510" s="162"/>
      <c r="BE510" s="162"/>
      <c r="BF510" s="162"/>
      <c r="BG510" s="162"/>
      <c r="BH510" s="162"/>
      <c r="BI510" s="162"/>
      <c r="BJ510" s="162"/>
      <c r="BK510" s="162"/>
      <c r="BL510" s="162"/>
      <c r="BM510" s="162"/>
      <c r="BN510" s="162"/>
      <c r="BO510" s="162"/>
      <c r="BP510" s="162"/>
      <c r="BQ510" s="162"/>
      <c r="BR510" s="162"/>
      <c r="BS510" s="162"/>
      <c r="BT510" s="162"/>
      <c r="BU510" s="162"/>
      <c r="BV510" s="162"/>
      <c r="BW510" s="162"/>
      <c r="BX510" s="162"/>
      <c r="BY510" s="162"/>
      <c r="BZ510" s="162"/>
      <c r="CA510" s="162"/>
      <c r="CB510" s="162"/>
      <c r="CC510" s="162"/>
      <c r="CD510" s="162"/>
      <c r="CE510" s="162"/>
      <c r="CF510" s="162"/>
      <c r="CG510" s="162"/>
      <c r="CH510" s="162"/>
      <c r="CI510" s="162"/>
      <c r="CJ510" s="162"/>
      <c r="CK510" s="162"/>
      <c r="CL510" s="162"/>
      <c r="CM510" s="162"/>
      <c r="CN510" s="162"/>
      <c r="CO510" s="162"/>
      <c r="CP510" s="162"/>
      <c r="CQ510" s="162"/>
      <c r="CR510" s="162"/>
      <c r="CS510" s="209"/>
      <c r="CT510" s="209"/>
      <c r="CU510" s="257"/>
      <c r="CV510" s="156"/>
      <c r="DA510" s="152"/>
      <c r="DB510" s="152"/>
      <c r="DC510" s="158"/>
      <c r="DD510" s="187" t="s">
        <v>2182</v>
      </c>
      <c r="DE510" s="156" t="s">
        <v>1901</v>
      </c>
      <c r="DF510" s="506" t="s">
        <v>2196</v>
      </c>
      <c r="DG510" s="186"/>
      <c r="DH510" s="505">
        <v>173</v>
      </c>
      <c r="DI510" s="187">
        <v>45972</v>
      </c>
      <c r="DJ510" s="1005">
        <v>18</v>
      </c>
      <c r="DK510" s="505">
        <v>173</v>
      </c>
      <c r="DL510" s="505">
        <v>13909.09</v>
      </c>
      <c r="DM510" s="181">
        <f>DL510*DK510*(1+DN510)</f>
        <v>2646899.827</v>
      </c>
      <c r="DN510" s="446">
        <v>0.1</v>
      </c>
      <c r="DO510" s="240">
        <f>DL510*DK510</f>
        <v>2406272.5699999998</v>
      </c>
      <c r="DP510" s="159">
        <v>45976</v>
      </c>
      <c r="DQ510" s="152"/>
      <c r="DR510" s="152"/>
      <c r="EO510" s="152"/>
      <c r="EP510" s="151"/>
      <c r="EQ510" s="153"/>
      <c r="ER510" s="153"/>
      <c r="ES510" s="153"/>
      <c r="ET510" s="153"/>
      <c r="EU510" s="152"/>
      <c r="EV510" s="152"/>
      <c r="EW510" s="152"/>
      <c r="EX510" s="152"/>
      <c r="EY510" s="151"/>
    </row>
    <row r="511" spans="1:158" s="155" customFormat="1" ht="14" hidden="1" customHeight="1">
      <c r="A511" s="208" t="str">
        <f t="shared" si="439"/>
        <v>Hiện</v>
      </c>
      <c r="B511" s="154" t="str">
        <f t="shared" si="465"/>
        <v>Đủ</v>
      </c>
      <c r="C511" s="154">
        <f t="shared" si="405"/>
        <v>0</v>
      </c>
      <c r="D511" s="154"/>
      <c r="E511" s="154"/>
      <c r="F511" s="344" t="s">
        <v>1728</v>
      </c>
      <c r="G511" s="154"/>
      <c r="H511" s="154"/>
      <c r="I511" s="256" t="s">
        <v>1072</v>
      </c>
      <c r="J511" s="254" t="s">
        <v>751</v>
      </c>
      <c r="K511" s="253" t="s">
        <v>1073</v>
      </c>
      <c r="L511" s="261"/>
      <c r="M511" s="256" t="s">
        <v>1074</v>
      </c>
      <c r="N511" s="259"/>
      <c r="O511" s="191">
        <v>32</v>
      </c>
      <c r="P511" s="190"/>
      <c r="AO511" s="234">
        <v>32</v>
      </c>
      <c r="AP511" s="193">
        <v>0</v>
      </c>
      <c r="AQ511" s="193">
        <v>0</v>
      </c>
      <c r="AR511" s="193">
        <v>0</v>
      </c>
      <c r="AS511" s="193">
        <v>0</v>
      </c>
      <c r="AT511" s="193">
        <v>0</v>
      </c>
      <c r="AU511" s="162">
        <v>0</v>
      </c>
      <c r="AV511" s="162">
        <v>0</v>
      </c>
      <c r="AW511" s="162">
        <v>0</v>
      </c>
      <c r="AX511" s="162">
        <v>0</v>
      </c>
      <c r="AY511" s="162">
        <v>0</v>
      </c>
      <c r="AZ511" s="162">
        <v>0</v>
      </c>
      <c r="BA511" s="162"/>
      <c r="BB511" s="162"/>
      <c r="BC511" s="162">
        <v>0</v>
      </c>
      <c r="BD511" s="162">
        <v>0</v>
      </c>
      <c r="BE511" s="162">
        <v>0</v>
      </c>
      <c r="BF511" s="162">
        <v>0</v>
      </c>
      <c r="BG511" s="162">
        <v>0</v>
      </c>
      <c r="BH511" s="162">
        <v>0</v>
      </c>
      <c r="BI511" s="162">
        <v>0</v>
      </c>
      <c r="BJ511" s="162">
        <v>0</v>
      </c>
      <c r="BK511" s="162">
        <v>0</v>
      </c>
      <c r="BL511" s="162">
        <v>0</v>
      </c>
      <c r="BM511" s="162">
        <v>0</v>
      </c>
      <c r="BN511" s="162">
        <v>0</v>
      </c>
      <c r="BO511" s="162"/>
      <c r="BP511" s="162"/>
      <c r="BQ511" s="162">
        <v>0</v>
      </c>
      <c r="BR511" s="162">
        <v>0</v>
      </c>
      <c r="BS511" s="162">
        <v>0</v>
      </c>
      <c r="BT511" s="162">
        <v>0</v>
      </c>
      <c r="BU511" s="162">
        <v>0</v>
      </c>
      <c r="BV511" s="162">
        <v>0</v>
      </c>
      <c r="BW511" s="162"/>
      <c r="BX511" s="162"/>
      <c r="BY511" s="162">
        <v>0</v>
      </c>
      <c r="BZ511" s="162">
        <v>0</v>
      </c>
      <c r="CA511" s="162">
        <v>0</v>
      </c>
      <c r="CB511" s="162">
        <v>0</v>
      </c>
      <c r="CC511" s="162">
        <v>0</v>
      </c>
      <c r="CD511" s="162">
        <v>0</v>
      </c>
      <c r="CE511" s="162">
        <f>VLOOKUP(I511,[120]REV33!$A:$O,11,0)</f>
        <v>0</v>
      </c>
      <c r="CF511" s="162">
        <f>VLOOKUP(I511,[120]REV33!$A:$O,12,0)</f>
        <v>0</v>
      </c>
      <c r="CG511" s="162"/>
      <c r="CH511" s="162"/>
      <c r="CI511" s="162"/>
      <c r="CJ511" s="162"/>
      <c r="CK511" s="162"/>
      <c r="CL511" s="162"/>
      <c r="CM511" s="162"/>
      <c r="CN511" s="162"/>
      <c r="CO511" s="162">
        <v>0</v>
      </c>
      <c r="CP511" s="162">
        <v>0</v>
      </c>
      <c r="CQ511" s="162">
        <v>0</v>
      </c>
      <c r="CR511" s="162">
        <v>0</v>
      </c>
      <c r="CS511" s="209">
        <f>Q511+S511+U511+W511+Y511+AA511+AC511+AE511+AG511+AI511+AK511+AM511+AO511+AQ511+AS511+AU511+AW511+AY511+BA511+BC511+BE511+BG511+BI511+BK511+BM511+BO511+BQ511+BS511+BU511+BW511+BY511+CA511+CC511+CE511+CG511+CI511+CK511+CM511+CO511+CQ511</f>
        <v>32</v>
      </c>
      <c r="CT511" s="209">
        <f>R511+T511+V511+X511+Z511+AB511+AD511+AF511+AH511+AJ511+AL511+AN511+AP511+AR511+AT511+AV511+AX511+AZ511+BB511+BD511+BF511+BH511+BJ511+BL511+BN511+BP511+BR511+BT511+BV511+BX511+BZ511+CB511+CD511+CF511+CH511+CJ511+CL511+CN511+CP511+CR511</f>
        <v>0</v>
      </c>
      <c r="CU511" s="257" t="s">
        <v>1157</v>
      </c>
      <c r="CV511" s="156"/>
      <c r="CW511" s="155">
        <v>32</v>
      </c>
      <c r="DA511" s="152" t="str">
        <f t="shared" ref="DA511:DA512" si="477">IF(CS511&gt;CW511,CS511-CW511,"0")</f>
        <v>0</v>
      </c>
      <c r="DB511" s="152" t="str">
        <f t="shared" ref="DB511:DB512" si="478">IF(CT511&gt;CX511,CT511-CX511,"0")</f>
        <v>0</v>
      </c>
      <c r="DC511" s="158"/>
      <c r="DD511" s="158"/>
      <c r="DE511" s="156"/>
      <c r="DF511" s="506"/>
      <c r="DG511" s="186"/>
      <c r="DH511" s="505"/>
      <c r="DI511" s="187"/>
      <c r="DJ511" s="1005"/>
      <c r="DK511" s="505"/>
      <c r="DL511" s="505"/>
      <c r="DM511" s="181"/>
      <c r="DN511" s="446"/>
      <c r="DO511" s="240"/>
      <c r="DP511" s="159"/>
      <c r="DQ511" s="152">
        <f>SUMIF($I:$I,I511,$DJ:$DJ)</f>
        <v>0</v>
      </c>
      <c r="DR511" s="152">
        <f>SUMIF($I:$I,I511,$DK:$DK)</f>
        <v>0</v>
      </c>
      <c r="EO511" s="152">
        <f>SUMIF($I:$I,I511,$EC:$EC)</f>
        <v>0</v>
      </c>
      <c r="EP511" s="151">
        <f>SUMIF($I:$I,I511,$ED:$ED)</f>
        <v>0</v>
      </c>
      <c r="EQ511" s="153"/>
      <c r="ER511" s="153"/>
      <c r="ES511" s="153"/>
      <c r="ET511" s="153"/>
      <c r="EU511" s="152">
        <f t="shared" ref="EU511:EU512" si="479">DQ511+EO511</f>
        <v>0</v>
      </c>
      <c r="EV511" s="152">
        <f t="shared" ref="EV511:EV512" si="480">DR511+EP511</f>
        <v>0</v>
      </c>
      <c r="EW511" s="152">
        <f t="shared" ref="EW511:EW512" si="481">DA511-EU511</f>
        <v>0</v>
      </c>
      <c r="EX511" s="152">
        <f t="shared" ref="EX511:EX512" si="482">DB511-EV511</f>
        <v>0</v>
      </c>
      <c r="EY511" s="151" t="str">
        <f t="shared" ref="EY511:EY512" si="483">IF(EW511&lt;0,"Thừa",IF(EW511=0,"Đủ","Thiếu"))</f>
        <v>Đủ</v>
      </c>
    </row>
    <row r="512" spans="1:158" s="155" customFormat="1" ht="14" hidden="1" customHeight="1">
      <c r="A512" s="208" t="str">
        <f t="shared" si="439"/>
        <v>Hiện</v>
      </c>
      <c r="B512" s="154" t="str">
        <f t="shared" si="465"/>
        <v>Đủ</v>
      </c>
      <c r="C512" s="154">
        <f t="shared" si="405"/>
        <v>0</v>
      </c>
      <c r="D512" s="154"/>
      <c r="E512" s="154"/>
      <c r="F512" s="344" t="s">
        <v>1728</v>
      </c>
      <c r="G512" s="154"/>
      <c r="H512" s="154"/>
      <c r="I512" s="256" t="s">
        <v>1075</v>
      </c>
      <c r="J512" s="254" t="s">
        <v>751</v>
      </c>
      <c r="K512" s="253" t="s">
        <v>777</v>
      </c>
      <c r="L512" s="261"/>
      <c r="M512" s="256" t="s">
        <v>1074</v>
      </c>
      <c r="N512" s="259"/>
      <c r="O512" s="191">
        <v>272</v>
      </c>
      <c r="P512" s="190"/>
      <c r="AO512" s="234">
        <v>272</v>
      </c>
      <c r="AP512" s="193">
        <v>0</v>
      </c>
      <c r="AQ512" s="193">
        <v>0</v>
      </c>
      <c r="AR512" s="193">
        <v>0</v>
      </c>
      <c r="AS512" s="193">
        <v>0</v>
      </c>
      <c r="AT512" s="193">
        <v>0</v>
      </c>
      <c r="AU512" s="162">
        <v>0</v>
      </c>
      <c r="AV512" s="162">
        <v>0</v>
      </c>
      <c r="AW512" s="162">
        <v>64</v>
      </c>
      <c r="AX512" s="162">
        <v>0</v>
      </c>
      <c r="AY512" s="162">
        <v>0</v>
      </c>
      <c r="AZ512" s="162">
        <v>0</v>
      </c>
      <c r="BA512" s="162"/>
      <c r="BB512" s="162"/>
      <c r="BC512" s="162">
        <v>0</v>
      </c>
      <c r="BD512" s="162">
        <v>0</v>
      </c>
      <c r="BE512" s="162">
        <v>0</v>
      </c>
      <c r="BF512" s="162">
        <v>0</v>
      </c>
      <c r="BG512" s="162">
        <v>0</v>
      </c>
      <c r="BH512" s="162">
        <v>0</v>
      </c>
      <c r="BI512" s="162">
        <v>0</v>
      </c>
      <c r="BJ512" s="162">
        <v>0</v>
      </c>
      <c r="BK512" s="162">
        <v>0</v>
      </c>
      <c r="BL512" s="162">
        <v>0</v>
      </c>
      <c r="BM512" s="162">
        <v>0</v>
      </c>
      <c r="BN512" s="162">
        <v>0</v>
      </c>
      <c r="BO512" s="162"/>
      <c r="BP512" s="162"/>
      <c r="BQ512" s="162">
        <v>788</v>
      </c>
      <c r="BR512" s="162">
        <v>0</v>
      </c>
      <c r="BS512" s="162">
        <v>0</v>
      </c>
      <c r="BT512" s="162">
        <v>0</v>
      </c>
      <c r="BU512" s="162">
        <v>0</v>
      </c>
      <c r="BV512" s="162">
        <v>0</v>
      </c>
      <c r="BW512" s="162"/>
      <c r="BX512" s="162"/>
      <c r="BY512" s="162">
        <v>0</v>
      </c>
      <c r="BZ512" s="162">
        <v>0</v>
      </c>
      <c r="CA512" s="162">
        <v>0</v>
      </c>
      <c r="CB512" s="162">
        <v>0</v>
      </c>
      <c r="CC512" s="162">
        <v>0</v>
      </c>
      <c r="CD512" s="162">
        <v>0</v>
      </c>
      <c r="CE512" s="162">
        <f>VLOOKUP(I512,[120]REV33!$A:$O,11,0)</f>
        <v>0</v>
      </c>
      <c r="CF512" s="162">
        <f>VLOOKUP(I512,[120]REV33!$A:$O,12,0)</f>
        <v>0</v>
      </c>
      <c r="CG512" s="162"/>
      <c r="CH512" s="162"/>
      <c r="CI512" s="162"/>
      <c r="CJ512" s="162"/>
      <c r="CK512" s="162"/>
      <c r="CL512" s="162"/>
      <c r="CM512" s="162"/>
      <c r="CN512" s="162"/>
      <c r="CO512" s="162">
        <v>0</v>
      </c>
      <c r="CP512" s="162">
        <v>0</v>
      </c>
      <c r="CQ512" s="162">
        <v>0</v>
      </c>
      <c r="CR512" s="162">
        <v>0</v>
      </c>
      <c r="CS512" s="209">
        <f>Q512+S512+U512+W512+Y512+AA512+AC512+AE512+AG512+AI512+AK512+AM512+AO512+AQ512+AS512+AU512+AW512+AY512+BA512+BC512+BE512+BG512+BI512+BK512+BM512+BO512+BQ512+BS512+BU512+BW512+BY512+CA512+CC512+CE512+CG512+CI512+CK512+CM512+CO512+CQ512</f>
        <v>1124</v>
      </c>
      <c r="CT512" s="209">
        <f>R512+T512+V512+X512+Z512+AB512+AD512+AF512+AH512+AJ512+AL512+AN512+AP512+AR512+AT512+AV512+AX512+AZ512+BB512+BD512+BF512+BH512+BJ512+BL512+BN512+BP512+BR512+BT512+BV512+BX512+BZ512+CB512+CD512+CF512+CH512+CJ512+CL512+CN512+CP512+CR512</f>
        <v>0</v>
      </c>
      <c r="CU512" s="257" t="s">
        <v>1894</v>
      </c>
      <c r="CV512" s="156"/>
      <c r="CW512" s="155">
        <v>272</v>
      </c>
      <c r="DA512" s="152">
        <f t="shared" si="477"/>
        <v>852</v>
      </c>
      <c r="DB512" s="152" t="str">
        <f t="shared" si="478"/>
        <v>0</v>
      </c>
      <c r="DC512" s="158"/>
      <c r="DD512" s="158" t="s">
        <v>1583</v>
      </c>
      <c r="DE512" s="156" t="s">
        <v>435</v>
      </c>
      <c r="DF512" s="253" t="s">
        <v>777</v>
      </c>
      <c r="DG512" s="186"/>
      <c r="DH512" s="156" t="s">
        <v>477</v>
      </c>
      <c r="DI512" s="187">
        <v>45916</v>
      </c>
      <c r="DJ512" s="717">
        <v>64</v>
      </c>
      <c r="DK512" s="240" t="s">
        <v>477</v>
      </c>
      <c r="DL512" s="189">
        <v>6700</v>
      </c>
      <c r="DM512" s="181">
        <f>DL512*DJ512*1.1</f>
        <v>471680.00000000006</v>
      </c>
      <c r="DN512" s="446">
        <f>(DM512-DO512)/DO512</f>
        <v>0.10000000000000013</v>
      </c>
      <c r="DO512" s="160">
        <f t="shared" ref="DO512:DO531" si="484">DL512*DJ512</f>
        <v>428800</v>
      </c>
      <c r="DP512" s="159">
        <v>45922</v>
      </c>
      <c r="DQ512" s="152">
        <f>SUMIF($I:$I,I512,$DJ:$DJ)</f>
        <v>852</v>
      </c>
      <c r="DR512" s="152">
        <f>SUMIF($I:$I,I512,$DK:$DK)</f>
        <v>0</v>
      </c>
      <c r="EO512" s="152">
        <f>SUMIF($I:$I,I512,$EC:$EC)</f>
        <v>0</v>
      </c>
      <c r="EP512" s="151">
        <f>SUMIF($I:$I,I512,$ED:$ED)</f>
        <v>0</v>
      </c>
      <c r="EQ512" s="153"/>
      <c r="ER512" s="153"/>
      <c r="ES512" s="153"/>
      <c r="ET512" s="153"/>
      <c r="EU512" s="152">
        <f t="shared" si="479"/>
        <v>852</v>
      </c>
      <c r="EV512" s="152">
        <f t="shared" si="480"/>
        <v>0</v>
      </c>
      <c r="EW512" s="152">
        <f t="shared" si="481"/>
        <v>0</v>
      </c>
      <c r="EX512" s="152">
        <f t="shared" si="482"/>
        <v>0</v>
      </c>
      <c r="EY512" s="151" t="str">
        <f t="shared" si="483"/>
        <v>Đủ</v>
      </c>
    </row>
    <row r="513" spans="1:158" s="263" customFormat="1" ht="14" hidden="1" customHeight="1">
      <c r="A513" s="208" t="str">
        <f t="shared" si="439"/>
        <v>ok</v>
      </c>
      <c r="B513" s="154"/>
      <c r="C513" s="154"/>
      <c r="D513" s="154"/>
      <c r="E513" s="154"/>
      <c r="F513" s="344"/>
      <c r="G513" s="154"/>
      <c r="H513" s="154"/>
      <c r="I513" s="256" t="s">
        <v>1075</v>
      </c>
      <c r="J513" s="254" t="s">
        <v>751</v>
      </c>
      <c r="K513" s="253" t="s">
        <v>777</v>
      </c>
      <c r="L513" s="261"/>
      <c r="M513" s="256" t="s">
        <v>1074</v>
      </c>
      <c r="N513" s="259"/>
      <c r="O513" s="191"/>
      <c r="P513" s="190"/>
      <c r="Q513" s="155"/>
      <c r="R513" s="155"/>
      <c r="S513" s="155"/>
      <c r="T513" s="155"/>
      <c r="U513" s="155"/>
      <c r="V513" s="155"/>
      <c r="W513" s="155"/>
      <c r="X513" s="155"/>
      <c r="Y513" s="155"/>
      <c r="Z513" s="155"/>
      <c r="AA513" s="155"/>
      <c r="AB513" s="155"/>
      <c r="AC513" s="155"/>
      <c r="AD513" s="155"/>
      <c r="AE513" s="155"/>
      <c r="AF513" s="155"/>
      <c r="AG513" s="155"/>
      <c r="AH513" s="155"/>
      <c r="AI513" s="155"/>
      <c r="AJ513" s="155"/>
      <c r="AK513" s="155"/>
      <c r="AL513" s="155"/>
      <c r="AM513" s="155"/>
      <c r="AN513" s="155"/>
      <c r="AO513" s="234"/>
      <c r="AP513" s="193"/>
      <c r="AQ513" s="193"/>
      <c r="AR513" s="193"/>
      <c r="AS513" s="193"/>
      <c r="AT513" s="193"/>
      <c r="AU513" s="162"/>
      <c r="AV513" s="162"/>
      <c r="AW513" s="162"/>
      <c r="AX513" s="162"/>
      <c r="AY513" s="162"/>
      <c r="AZ513" s="162"/>
      <c r="BA513" s="162"/>
      <c r="BB513" s="162"/>
      <c r="BC513" s="162"/>
      <c r="BD513" s="162"/>
      <c r="BE513" s="162"/>
      <c r="BF513" s="162"/>
      <c r="BG513" s="162"/>
      <c r="BH513" s="162"/>
      <c r="BI513" s="162"/>
      <c r="BJ513" s="162"/>
      <c r="BK513" s="162"/>
      <c r="BL513" s="162"/>
      <c r="BM513" s="162"/>
      <c r="BN513" s="162"/>
      <c r="BO513" s="162"/>
      <c r="BP513" s="162"/>
      <c r="BQ513" s="162"/>
      <c r="BR513" s="162"/>
      <c r="BS513" s="162"/>
      <c r="BT513" s="162"/>
      <c r="BU513" s="162"/>
      <c r="BV513" s="162"/>
      <c r="BW513" s="162"/>
      <c r="BX513" s="162"/>
      <c r="BY513" s="162"/>
      <c r="BZ513" s="162"/>
      <c r="CA513" s="162"/>
      <c r="CB513" s="162"/>
      <c r="CC513" s="162"/>
      <c r="CD513" s="162"/>
      <c r="CE513" s="162"/>
      <c r="CF513" s="162"/>
      <c r="CG513" s="162"/>
      <c r="CH513" s="162"/>
      <c r="CI513" s="162"/>
      <c r="CJ513" s="162"/>
      <c r="CK513" s="162"/>
      <c r="CL513" s="162"/>
      <c r="CM513" s="162"/>
      <c r="CN513" s="162"/>
      <c r="CO513" s="162"/>
      <c r="CP513" s="162"/>
      <c r="CQ513" s="162"/>
      <c r="CR513" s="162"/>
      <c r="CS513" s="209"/>
      <c r="CT513" s="209"/>
      <c r="CU513" s="257"/>
      <c r="CV513" s="156"/>
      <c r="CW513" s="155"/>
      <c r="CX513" s="155"/>
      <c r="CY513" s="155"/>
      <c r="CZ513" s="155"/>
      <c r="DA513" s="152"/>
      <c r="DB513" s="152"/>
      <c r="DC513" s="158"/>
      <c r="DD513" s="158" t="s">
        <v>2243</v>
      </c>
      <c r="DE513" s="156" t="s">
        <v>2042</v>
      </c>
      <c r="DF513" s="253" t="s">
        <v>2339</v>
      </c>
      <c r="DG513" s="186" t="s">
        <v>2340</v>
      </c>
      <c r="DH513" s="156" t="s">
        <v>477</v>
      </c>
      <c r="DI513" s="187">
        <v>45982</v>
      </c>
      <c r="DJ513" s="717">
        <v>788</v>
      </c>
      <c r="DK513" s="240" t="s">
        <v>477</v>
      </c>
      <c r="DL513" s="189">
        <v>4600</v>
      </c>
      <c r="DM513" s="181">
        <f>DL513*DJ513*(1+DN513)</f>
        <v>3914784.0000000005</v>
      </c>
      <c r="DN513" s="446">
        <v>0.08</v>
      </c>
      <c r="DO513" s="160">
        <f t="shared" si="484"/>
        <v>3624800</v>
      </c>
      <c r="DP513" s="159">
        <v>45982</v>
      </c>
      <c r="DQ513" s="152"/>
      <c r="DR513" s="152"/>
      <c r="DS513" s="155"/>
      <c r="DT513" s="155"/>
      <c r="DU513" s="155"/>
      <c r="DV513" s="155"/>
      <c r="DW513" s="155"/>
      <c r="DX513" s="155"/>
      <c r="DY513" s="155"/>
      <c r="DZ513" s="155"/>
      <c r="EA513" s="155"/>
      <c r="EB513" s="155"/>
      <c r="EC513" s="155"/>
      <c r="ED513" s="155"/>
      <c r="EE513" s="155"/>
      <c r="EF513" s="155"/>
      <c r="EG513" s="155"/>
      <c r="EH513" s="155"/>
      <c r="EI513" s="155"/>
      <c r="EJ513" s="155"/>
      <c r="EK513" s="155"/>
      <c r="EL513" s="155"/>
      <c r="EM513" s="155"/>
      <c r="EN513" s="155"/>
      <c r="EO513" s="152"/>
      <c r="EP513" s="151"/>
      <c r="EQ513" s="153"/>
      <c r="ER513" s="153"/>
      <c r="ES513" s="153"/>
      <c r="ET513" s="153"/>
      <c r="EU513" s="152"/>
      <c r="EV513" s="152"/>
      <c r="EW513" s="152"/>
      <c r="EX513" s="152"/>
      <c r="EY513" s="151"/>
      <c r="EZ513" s="155"/>
      <c r="FA513" s="155"/>
      <c r="FB513" s="155"/>
    </row>
    <row r="514" spans="1:158" s="263" customFormat="1" ht="14" hidden="1" customHeight="1">
      <c r="A514" s="208" t="str">
        <f t="shared" si="439"/>
        <v>Hiện</v>
      </c>
      <c r="B514" s="154" t="str">
        <f t="shared" si="465"/>
        <v>Đủ</v>
      </c>
      <c r="C514" s="154">
        <f t="shared" si="405"/>
        <v>0</v>
      </c>
      <c r="D514" s="154"/>
      <c r="E514" s="154"/>
      <c r="F514" s="344" t="s">
        <v>1728</v>
      </c>
      <c r="G514" s="154"/>
      <c r="H514" s="154"/>
      <c r="I514" s="256" t="s">
        <v>1076</v>
      </c>
      <c r="J514" s="254" t="s">
        <v>751</v>
      </c>
      <c r="K514" s="253" t="s">
        <v>781</v>
      </c>
      <c r="L514" s="261"/>
      <c r="M514" s="256" t="s">
        <v>1074</v>
      </c>
      <c r="N514" s="259"/>
      <c r="O514" s="191">
        <v>496</v>
      </c>
      <c r="P514" s="190"/>
      <c r="Q514" s="155"/>
      <c r="R514" s="155"/>
      <c r="S514" s="155"/>
      <c r="T514" s="155"/>
      <c r="U514" s="155"/>
      <c r="V514" s="155"/>
      <c r="W514" s="155"/>
      <c r="X514" s="155"/>
      <c r="Y514" s="155"/>
      <c r="Z514" s="155"/>
      <c r="AA514" s="155"/>
      <c r="AB514" s="155"/>
      <c r="AC514" s="155"/>
      <c r="AD514" s="155"/>
      <c r="AE514" s="155"/>
      <c r="AF514" s="155"/>
      <c r="AG514" s="155"/>
      <c r="AH514" s="155"/>
      <c r="AI514" s="155"/>
      <c r="AJ514" s="155"/>
      <c r="AK514" s="155"/>
      <c r="AL514" s="155"/>
      <c r="AM514" s="155"/>
      <c r="AN514" s="155"/>
      <c r="AO514" s="234">
        <v>496</v>
      </c>
      <c r="AP514" s="193">
        <v>0</v>
      </c>
      <c r="AQ514" s="193">
        <v>0</v>
      </c>
      <c r="AR514" s="193">
        <v>0</v>
      </c>
      <c r="AS514" s="193">
        <v>0</v>
      </c>
      <c r="AT514" s="193">
        <v>0</v>
      </c>
      <c r="AU514" s="162">
        <v>0</v>
      </c>
      <c r="AV514" s="162">
        <v>0</v>
      </c>
      <c r="AW514" s="162">
        <v>0</v>
      </c>
      <c r="AX514" s="162">
        <v>0</v>
      </c>
      <c r="AY514" s="162">
        <v>0</v>
      </c>
      <c r="AZ514" s="162">
        <v>0</v>
      </c>
      <c r="BA514" s="162"/>
      <c r="BB514" s="162"/>
      <c r="BC514" s="162">
        <v>0</v>
      </c>
      <c r="BD514" s="162">
        <v>0</v>
      </c>
      <c r="BE514" s="162">
        <v>0</v>
      </c>
      <c r="BF514" s="162">
        <v>0</v>
      </c>
      <c r="BG514" s="162">
        <v>0</v>
      </c>
      <c r="BH514" s="162">
        <v>0</v>
      </c>
      <c r="BI514" s="162">
        <v>0</v>
      </c>
      <c r="BJ514" s="162">
        <v>0</v>
      </c>
      <c r="BK514" s="162">
        <v>0</v>
      </c>
      <c r="BL514" s="162">
        <v>0</v>
      </c>
      <c r="BM514" s="162">
        <v>0</v>
      </c>
      <c r="BN514" s="162">
        <v>0</v>
      </c>
      <c r="BO514" s="162"/>
      <c r="BP514" s="162"/>
      <c r="BQ514" s="162">
        <v>372</v>
      </c>
      <c r="BR514" s="162">
        <v>0</v>
      </c>
      <c r="BS514" s="162">
        <v>0</v>
      </c>
      <c r="BT514" s="162">
        <v>0</v>
      </c>
      <c r="BU514" s="162">
        <v>0</v>
      </c>
      <c r="BV514" s="162">
        <v>0</v>
      </c>
      <c r="BW514" s="162"/>
      <c r="BX514" s="162"/>
      <c r="BY514" s="162">
        <v>0</v>
      </c>
      <c r="BZ514" s="162">
        <v>0</v>
      </c>
      <c r="CA514" s="162">
        <v>0</v>
      </c>
      <c r="CB514" s="162">
        <v>0</v>
      </c>
      <c r="CC514" s="162">
        <v>0</v>
      </c>
      <c r="CD514" s="162">
        <v>0</v>
      </c>
      <c r="CE514" s="162">
        <f>VLOOKUP(I514,[120]REV33!$A:$O,11,0)</f>
        <v>0</v>
      </c>
      <c r="CF514" s="162">
        <f>VLOOKUP(I514,[120]REV33!$A:$O,12,0)</f>
        <v>0</v>
      </c>
      <c r="CG514" s="162"/>
      <c r="CH514" s="162"/>
      <c r="CI514" s="162"/>
      <c r="CJ514" s="162"/>
      <c r="CK514" s="162"/>
      <c r="CL514" s="162"/>
      <c r="CM514" s="162"/>
      <c r="CN514" s="162"/>
      <c r="CO514" s="162">
        <v>0</v>
      </c>
      <c r="CP514" s="162">
        <v>0</v>
      </c>
      <c r="CQ514" s="162">
        <v>0</v>
      </c>
      <c r="CR514" s="162">
        <v>0</v>
      </c>
      <c r="CS514" s="209">
        <f>Q514+S514+U514+W514+Y514+AA514+AC514+AE514+AG514+AI514+AK514+AM514+AO514+AQ514+AS514+AU514+AW514+AY514+BA514+BC514+BE514+BG514+BI514+BK514+BM514+BO514+BQ514+BS514+BU514+BW514+BY514+CA514+CC514+CE514+CG514+CI514+CK514+CM514+CO514+CQ514</f>
        <v>868</v>
      </c>
      <c r="CT514" s="209">
        <f>R514+T514+V514+X514+Z514+AB514+AD514+AF514+AH514+AJ514+AL514+AN514+AP514+AR514+AT514+AV514+AX514+AZ514+BB514+BD514+BF514+BH514+BJ514+BL514+BN514+BP514+BR514+BT514+BV514+BX514+BZ514+CB514+CD514+CF514+CH514+CJ514+CL514+CN514+CP514+CR514</f>
        <v>0</v>
      </c>
      <c r="CU514" s="257" t="s">
        <v>1894</v>
      </c>
      <c r="CV514" s="156"/>
      <c r="CW514" s="155">
        <v>392</v>
      </c>
      <c r="CX514" s="155"/>
      <c r="CY514" s="155"/>
      <c r="CZ514" s="155"/>
      <c r="DA514" s="152">
        <f>IF(CS514&gt;CW514,CS514-CW514,"0")</f>
        <v>476</v>
      </c>
      <c r="DB514" s="152" t="str">
        <f>IF(CT514&gt;CX514,CT514-CX514,"0")</f>
        <v>0</v>
      </c>
      <c r="DC514" s="158"/>
      <c r="DD514" s="158" t="s">
        <v>1584</v>
      </c>
      <c r="DE514" s="156" t="s">
        <v>435</v>
      </c>
      <c r="DF514" s="260" t="s">
        <v>1320</v>
      </c>
      <c r="DG514" s="186"/>
      <c r="DH514" s="156" t="s">
        <v>477</v>
      </c>
      <c r="DI514" s="187">
        <v>45911</v>
      </c>
      <c r="DJ514" s="242">
        <v>104</v>
      </c>
      <c r="DK514" s="242" t="s">
        <v>477</v>
      </c>
      <c r="DL514" s="195">
        <v>7610</v>
      </c>
      <c r="DM514" s="181">
        <f>DL514*DJ514*1.1</f>
        <v>870584.00000000012</v>
      </c>
      <c r="DN514" s="446">
        <f>(DM514-DO514)/DO514</f>
        <v>0.10000000000000014</v>
      </c>
      <c r="DO514" s="195">
        <f t="shared" si="484"/>
        <v>791440</v>
      </c>
      <c r="DP514" s="159">
        <v>45913</v>
      </c>
      <c r="DQ514" s="152">
        <f>SUMIF($I:$I,I514,$DJ:$DJ)</f>
        <v>476</v>
      </c>
      <c r="DR514" s="152">
        <f>SUMIF($I:$I,I514,$DK:$DK)</f>
        <v>0</v>
      </c>
      <c r="DS514" s="155"/>
      <c r="DT514" s="155"/>
      <c r="DU514" s="155"/>
      <c r="DV514" s="155"/>
      <c r="DW514" s="155"/>
      <c r="DX514" s="155"/>
      <c r="DY514" s="155"/>
      <c r="DZ514" s="155"/>
      <c r="EA514" s="155"/>
      <c r="EB514" s="155"/>
      <c r="EC514" s="155"/>
      <c r="ED514" s="155"/>
      <c r="EE514" s="155"/>
      <c r="EF514" s="155"/>
      <c r="EG514" s="155"/>
      <c r="EH514" s="155"/>
      <c r="EI514" s="155"/>
      <c r="EJ514" s="155"/>
      <c r="EK514" s="155"/>
      <c r="EL514" s="155"/>
      <c r="EM514" s="155"/>
      <c r="EN514" s="155"/>
      <c r="EO514" s="152">
        <f>SUMIF($I:$I,I514,$EC:$EC)</f>
        <v>0</v>
      </c>
      <c r="EP514" s="151">
        <f>SUMIF($I:$I,I514,$ED:$ED)</f>
        <v>0</v>
      </c>
      <c r="EQ514" s="153"/>
      <c r="ER514" s="153"/>
      <c r="ES514" s="153"/>
      <c r="ET514" s="153"/>
      <c r="EU514" s="152">
        <f>DQ514+EO514</f>
        <v>476</v>
      </c>
      <c r="EV514" s="152">
        <f>DR514+EP514</f>
        <v>0</v>
      </c>
      <c r="EW514" s="152">
        <f t="shared" ref="EW514" si="485">DA514-EU514</f>
        <v>0</v>
      </c>
      <c r="EX514" s="152">
        <f t="shared" ref="EX514" si="486">DB514-EV514</f>
        <v>0</v>
      </c>
      <c r="EY514" s="151" t="str">
        <f>IF(EW514&lt;0,"Thừa",IF(EW514=0,"Đủ","Thiếu"))</f>
        <v>Đủ</v>
      </c>
      <c r="EZ514" s="155"/>
      <c r="FA514" s="155"/>
      <c r="FB514" s="155"/>
    </row>
    <row r="515" spans="1:158" s="263" customFormat="1" ht="14" hidden="1" customHeight="1">
      <c r="A515" s="208" t="str">
        <f t="shared" si="439"/>
        <v>ok</v>
      </c>
      <c r="B515" s="154"/>
      <c r="C515" s="154"/>
      <c r="D515" s="154"/>
      <c r="E515" s="154"/>
      <c r="F515" s="344"/>
      <c r="G515" s="154"/>
      <c r="H515" s="154"/>
      <c r="I515" s="256" t="s">
        <v>1076</v>
      </c>
      <c r="J515" s="254" t="s">
        <v>751</v>
      </c>
      <c r="K515" s="253" t="s">
        <v>781</v>
      </c>
      <c r="L515" s="261"/>
      <c r="M515" s="256" t="s">
        <v>1074</v>
      </c>
      <c r="N515" s="259"/>
      <c r="O515" s="191"/>
      <c r="P515" s="190"/>
      <c r="Q515" s="155"/>
      <c r="R515" s="155"/>
      <c r="S515" s="155"/>
      <c r="T515" s="155"/>
      <c r="U515" s="155"/>
      <c r="V515" s="155"/>
      <c r="W515" s="155"/>
      <c r="X515" s="155"/>
      <c r="Y515" s="155"/>
      <c r="Z515" s="155"/>
      <c r="AA515" s="155"/>
      <c r="AB515" s="155"/>
      <c r="AC515" s="155"/>
      <c r="AD515" s="155"/>
      <c r="AE515" s="155"/>
      <c r="AF515" s="155"/>
      <c r="AG515" s="155"/>
      <c r="AH515" s="155"/>
      <c r="AI515" s="155"/>
      <c r="AJ515" s="155"/>
      <c r="AK515" s="155"/>
      <c r="AL515" s="155"/>
      <c r="AM515" s="155"/>
      <c r="AN515" s="155"/>
      <c r="AO515" s="234"/>
      <c r="AP515" s="193"/>
      <c r="AQ515" s="193"/>
      <c r="AR515" s="193"/>
      <c r="AS515" s="193"/>
      <c r="AT515" s="193"/>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209"/>
      <c r="CT515" s="209"/>
      <c r="CU515" s="257"/>
      <c r="CV515" s="156"/>
      <c r="CW515" s="155"/>
      <c r="CX515" s="155"/>
      <c r="CY515" s="155"/>
      <c r="CZ515" s="155"/>
      <c r="DA515" s="152"/>
      <c r="DB515" s="152"/>
      <c r="DC515" s="158"/>
      <c r="DD515" s="158" t="s">
        <v>2243</v>
      </c>
      <c r="DE515" s="156" t="s">
        <v>2042</v>
      </c>
      <c r="DF515" s="253" t="s">
        <v>2341</v>
      </c>
      <c r="DG515" s="186" t="s">
        <v>2342</v>
      </c>
      <c r="DH515" s="156" t="s">
        <v>477</v>
      </c>
      <c r="DI515" s="187">
        <v>45982</v>
      </c>
      <c r="DJ515" s="717">
        <v>372</v>
      </c>
      <c r="DK515" s="240" t="s">
        <v>477</v>
      </c>
      <c r="DL515" s="189">
        <v>5250</v>
      </c>
      <c r="DM515" s="181">
        <f>DL515*DJ515*(1+DN515)</f>
        <v>2109240</v>
      </c>
      <c r="DN515" s="446">
        <v>0.08</v>
      </c>
      <c r="DO515" s="160">
        <f t="shared" si="484"/>
        <v>1953000</v>
      </c>
      <c r="DP515" s="159">
        <v>45982</v>
      </c>
      <c r="DQ515" s="152"/>
      <c r="DR515" s="152"/>
      <c r="DS515" s="155"/>
      <c r="DT515" s="155"/>
      <c r="DU515" s="155"/>
      <c r="DV515" s="155"/>
      <c r="DW515" s="155"/>
      <c r="DX515" s="155"/>
      <c r="DY515" s="155"/>
      <c r="DZ515" s="155"/>
      <c r="EA515" s="155"/>
      <c r="EB515" s="155"/>
      <c r="EC515" s="155"/>
      <c r="ED515" s="155"/>
      <c r="EE515" s="155"/>
      <c r="EF515" s="155"/>
      <c r="EG515" s="155"/>
      <c r="EH515" s="155"/>
      <c r="EI515" s="155"/>
      <c r="EJ515" s="155"/>
      <c r="EK515" s="155"/>
      <c r="EL515" s="155"/>
      <c r="EM515" s="155"/>
      <c r="EN515" s="155"/>
      <c r="EO515" s="152"/>
      <c r="EP515" s="151"/>
      <c r="EQ515" s="153"/>
      <c r="ER515" s="153"/>
      <c r="ES515" s="153"/>
      <c r="ET515" s="153"/>
      <c r="EU515" s="152"/>
      <c r="EV515" s="152"/>
      <c r="EW515" s="152"/>
      <c r="EX515" s="152"/>
      <c r="EY515" s="151"/>
      <c r="EZ515" s="155"/>
      <c r="FA515" s="155"/>
      <c r="FB515" s="155"/>
    </row>
    <row r="516" spans="1:158" s="155" customFormat="1" ht="14" hidden="1" customHeight="1">
      <c r="A516" s="208" t="str">
        <f t="shared" si="439"/>
        <v>Hiện</v>
      </c>
      <c r="B516" s="154" t="str">
        <f t="shared" si="465"/>
        <v>Đủ</v>
      </c>
      <c r="C516" s="154">
        <f t="shared" si="405"/>
        <v>0</v>
      </c>
      <c r="D516" s="154"/>
      <c r="E516" s="154"/>
      <c r="F516" s="344" t="s">
        <v>1728</v>
      </c>
      <c r="G516" s="154"/>
      <c r="H516" s="154"/>
      <c r="I516" s="256" t="s">
        <v>1077</v>
      </c>
      <c r="J516" s="254" t="s">
        <v>751</v>
      </c>
      <c r="K516" s="253" t="s">
        <v>1078</v>
      </c>
      <c r="L516" s="261"/>
      <c r="M516" s="256" t="s">
        <v>1074</v>
      </c>
      <c r="N516" s="259"/>
      <c r="O516" s="191">
        <v>32</v>
      </c>
      <c r="P516" s="190"/>
      <c r="AO516" s="234">
        <v>32</v>
      </c>
      <c r="AP516" s="193">
        <v>0</v>
      </c>
      <c r="AQ516" s="193">
        <v>0</v>
      </c>
      <c r="AR516" s="193">
        <v>0</v>
      </c>
      <c r="AS516" s="193">
        <v>0</v>
      </c>
      <c r="AT516" s="193">
        <v>0</v>
      </c>
      <c r="AU516" s="162">
        <v>0</v>
      </c>
      <c r="AV516" s="162">
        <v>0</v>
      </c>
      <c r="AW516" s="162">
        <v>0</v>
      </c>
      <c r="AX516" s="162">
        <v>0</v>
      </c>
      <c r="AY516" s="162">
        <v>0</v>
      </c>
      <c r="AZ516" s="162">
        <v>0</v>
      </c>
      <c r="BA516" s="162"/>
      <c r="BB516" s="162"/>
      <c r="BC516" s="162">
        <v>0</v>
      </c>
      <c r="BD516" s="162">
        <v>0</v>
      </c>
      <c r="BE516" s="162">
        <v>0</v>
      </c>
      <c r="BF516" s="162">
        <v>0</v>
      </c>
      <c r="BG516" s="162">
        <v>0</v>
      </c>
      <c r="BH516" s="162">
        <v>0</v>
      </c>
      <c r="BI516" s="162">
        <v>0</v>
      </c>
      <c r="BJ516" s="162">
        <v>0</v>
      </c>
      <c r="BK516" s="162">
        <v>0</v>
      </c>
      <c r="BL516" s="162">
        <v>0</v>
      </c>
      <c r="BM516" s="162">
        <v>0</v>
      </c>
      <c r="BN516" s="162">
        <v>0</v>
      </c>
      <c r="BO516" s="162"/>
      <c r="BP516" s="162"/>
      <c r="BQ516" s="162">
        <v>0</v>
      </c>
      <c r="BR516" s="162">
        <v>0</v>
      </c>
      <c r="BS516" s="162">
        <v>0</v>
      </c>
      <c r="BT516" s="162">
        <v>0</v>
      </c>
      <c r="BU516" s="162">
        <v>0</v>
      </c>
      <c r="BV516" s="162">
        <v>0</v>
      </c>
      <c r="BW516" s="162"/>
      <c r="BX516" s="162"/>
      <c r="BY516" s="162">
        <v>0</v>
      </c>
      <c r="BZ516" s="162">
        <v>0</v>
      </c>
      <c r="CA516" s="162">
        <v>0</v>
      </c>
      <c r="CB516" s="162">
        <v>0</v>
      </c>
      <c r="CC516" s="162">
        <v>0</v>
      </c>
      <c r="CD516" s="162">
        <v>0</v>
      </c>
      <c r="CE516" s="162">
        <f>VLOOKUP(I516,[120]REV33!$A:$O,11,0)</f>
        <v>0</v>
      </c>
      <c r="CF516" s="162">
        <f>VLOOKUP(I516,[120]REV33!$A:$O,12,0)</f>
        <v>0</v>
      </c>
      <c r="CG516" s="162"/>
      <c r="CH516" s="162"/>
      <c r="CI516" s="162"/>
      <c r="CJ516" s="162"/>
      <c r="CK516" s="162"/>
      <c r="CL516" s="162"/>
      <c r="CM516" s="162"/>
      <c r="CN516" s="162"/>
      <c r="CO516" s="162">
        <v>0</v>
      </c>
      <c r="CP516" s="162">
        <v>0</v>
      </c>
      <c r="CQ516" s="162">
        <v>0</v>
      </c>
      <c r="CR516" s="162">
        <v>0</v>
      </c>
      <c r="CS516" s="209">
        <f>Q516+S516+U516+W516+Y516+AA516+AC516+AE516+AG516+AI516+AK516+AM516+AO516+AQ516+AS516+AU516+AW516+AY516+BA516+BC516+BE516+BG516+BI516+BK516+BM516+BO516+BQ516+BS516+BU516+BW516+BY516+CA516+CC516+CE516+CG516+CI516+CK516+CM516+CO516+CQ516</f>
        <v>32</v>
      </c>
      <c r="CT516" s="209">
        <f>R516+T516+V516+X516+Z516+AB516+AD516+AF516+AH516+AJ516+AL516+AN516+AP516+AR516+AT516+AV516+AX516+AZ516+BB516+BD516+BF516+BH516+BJ516+BL516+BN516+BP516+BR516+BT516+BV516+BX516+BZ516+CB516+CD516+CF516+CH516+CJ516+CL516+CN516+CP516+CR516</f>
        <v>0</v>
      </c>
      <c r="CU516" s="257" t="s">
        <v>1157</v>
      </c>
      <c r="CV516" s="156"/>
      <c r="DA516" s="152">
        <f t="shared" ref="DA516:DA518" si="487">IF(CS516&gt;CW516,CS516-CW516,"0")</f>
        <v>32</v>
      </c>
      <c r="DB516" s="152" t="str">
        <f t="shared" ref="DB516:DB518" si="488">IF(CT516&gt;CX516,CT516-CX516,"0")</f>
        <v>0</v>
      </c>
      <c r="DC516" s="158"/>
      <c r="DD516" s="158" t="s">
        <v>1584</v>
      </c>
      <c r="DE516" s="156" t="s">
        <v>435</v>
      </c>
      <c r="DF516" s="260" t="s">
        <v>1321</v>
      </c>
      <c r="DG516" s="186"/>
      <c r="DH516" s="156" t="s">
        <v>477</v>
      </c>
      <c r="DI516" s="187">
        <v>45911</v>
      </c>
      <c r="DJ516" s="242">
        <v>32</v>
      </c>
      <c r="DK516" s="242" t="s">
        <v>477</v>
      </c>
      <c r="DL516" s="195">
        <v>13000</v>
      </c>
      <c r="DM516" s="181">
        <f>DL516*DJ516*1.1</f>
        <v>457600.00000000006</v>
      </c>
      <c r="DN516" s="446">
        <f>(DM516-DO516)/DO516</f>
        <v>0.10000000000000014</v>
      </c>
      <c r="DO516" s="195">
        <f t="shared" si="484"/>
        <v>416000</v>
      </c>
      <c r="DP516" s="159">
        <v>45913</v>
      </c>
      <c r="DQ516" s="152">
        <f>SUMIF($I:$I,I516,$DJ:$DJ)</f>
        <v>32</v>
      </c>
      <c r="DR516" s="152">
        <f>SUMIF($I:$I,I516,$DK:$DK)</f>
        <v>0</v>
      </c>
      <c r="EO516" s="152">
        <f>SUMIF($I:$I,I516,$EC:$EC)</f>
        <v>0</v>
      </c>
      <c r="EP516" s="151">
        <f>SUMIF($I:$I,I516,$ED:$ED)</f>
        <v>0</v>
      </c>
      <c r="EQ516" s="153"/>
      <c r="ER516" s="153"/>
      <c r="ES516" s="153"/>
      <c r="ET516" s="153"/>
      <c r="EU516" s="152">
        <f t="shared" ref="EU516:EU518" si="489">DQ516+EO516</f>
        <v>32</v>
      </c>
      <c r="EV516" s="152">
        <f t="shared" ref="EV516:EV518" si="490">DR516+EP516</f>
        <v>0</v>
      </c>
      <c r="EW516" s="152">
        <f t="shared" ref="EW516:EW518" si="491">DA516-EU516</f>
        <v>0</v>
      </c>
      <c r="EX516" s="152">
        <f t="shared" ref="EX516:EX518" si="492">DB516-EV516</f>
        <v>0</v>
      </c>
      <c r="EY516" s="151" t="str">
        <f t="shared" ref="EY516:EY518" si="493">IF(EW516&lt;0,"Thừa",IF(EW516=0,"Đủ","Thiếu"))</f>
        <v>Đủ</v>
      </c>
    </row>
    <row r="517" spans="1:158" s="155" customFormat="1" ht="16.5" hidden="1">
      <c r="A517" s="208" t="str">
        <f t="shared" si="439"/>
        <v>Hiện</v>
      </c>
      <c r="B517" s="154" t="str">
        <f t="shared" si="465"/>
        <v>Đủ</v>
      </c>
      <c r="C517" s="154">
        <f t="shared" si="405"/>
        <v>0</v>
      </c>
      <c r="D517" s="154"/>
      <c r="E517" s="154"/>
      <c r="F517" s="344" t="s">
        <v>1728</v>
      </c>
      <c r="G517" s="154"/>
      <c r="H517" s="154"/>
      <c r="I517" s="256" t="s">
        <v>1079</v>
      </c>
      <c r="J517" s="254" t="s">
        <v>751</v>
      </c>
      <c r="K517" s="253" t="s">
        <v>787</v>
      </c>
      <c r="L517" s="261"/>
      <c r="M517" s="256" t="s">
        <v>1074</v>
      </c>
      <c r="N517" s="259"/>
      <c r="O517" s="191">
        <v>64</v>
      </c>
      <c r="P517" s="190"/>
      <c r="AO517" s="234">
        <v>64</v>
      </c>
      <c r="AP517" s="193">
        <v>0</v>
      </c>
      <c r="AQ517" s="193">
        <v>0</v>
      </c>
      <c r="AR517" s="193">
        <v>0</v>
      </c>
      <c r="AS517" s="193">
        <v>0</v>
      </c>
      <c r="AT517" s="193">
        <v>0</v>
      </c>
      <c r="AU517" s="162">
        <v>0</v>
      </c>
      <c r="AV517" s="162">
        <v>0</v>
      </c>
      <c r="AW517" s="162">
        <v>0</v>
      </c>
      <c r="AX517" s="162">
        <v>0</v>
      </c>
      <c r="AY517" s="162">
        <v>0</v>
      </c>
      <c r="AZ517" s="162">
        <v>0</v>
      </c>
      <c r="BA517" s="162"/>
      <c r="BB517" s="162"/>
      <c r="BC517" s="162">
        <v>0</v>
      </c>
      <c r="BD517" s="162">
        <v>0</v>
      </c>
      <c r="BE517" s="162">
        <v>0</v>
      </c>
      <c r="BF517" s="162">
        <v>0</v>
      </c>
      <c r="BG517" s="162">
        <v>0</v>
      </c>
      <c r="BH517" s="162">
        <v>0</v>
      </c>
      <c r="BI517" s="162">
        <v>0</v>
      </c>
      <c r="BJ517" s="162">
        <v>0</v>
      </c>
      <c r="BK517" s="162">
        <v>0</v>
      </c>
      <c r="BL517" s="162">
        <v>0</v>
      </c>
      <c r="BM517" s="162">
        <v>0</v>
      </c>
      <c r="BN517" s="162">
        <v>0</v>
      </c>
      <c r="BO517" s="162"/>
      <c r="BP517" s="162"/>
      <c r="BQ517" s="162">
        <v>48</v>
      </c>
      <c r="BR517" s="162">
        <v>0</v>
      </c>
      <c r="BS517" s="162">
        <v>0</v>
      </c>
      <c r="BT517" s="162">
        <v>0</v>
      </c>
      <c r="BU517" s="162">
        <v>0</v>
      </c>
      <c r="BV517" s="162">
        <v>0</v>
      </c>
      <c r="BW517" s="162"/>
      <c r="BX517" s="162"/>
      <c r="BY517" s="162">
        <v>0</v>
      </c>
      <c r="BZ517" s="162">
        <v>0</v>
      </c>
      <c r="CA517" s="162">
        <v>0</v>
      </c>
      <c r="CB517" s="162">
        <v>0</v>
      </c>
      <c r="CC517" s="162">
        <v>0</v>
      </c>
      <c r="CD517" s="162">
        <v>0</v>
      </c>
      <c r="CE517" s="162">
        <f>VLOOKUP(I517,[120]REV33!$A:$O,11,0)</f>
        <v>0</v>
      </c>
      <c r="CF517" s="162">
        <f>VLOOKUP(I517,[120]REV33!$A:$O,12,0)</f>
        <v>0</v>
      </c>
      <c r="CG517" s="162"/>
      <c r="CH517" s="162"/>
      <c r="CI517" s="162"/>
      <c r="CJ517" s="162"/>
      <c r="CK517" s="162"/>
      <c r="CL517" s="162"/>
      <c r="CM517" s="162"/>
      <c r="CN517" s="162"/>
      <c r="CO517" s="162">
        <v>0</v>
      </c>
      <c r="CP517" s="162">
        <v>0</v>
      </c>
      <c r="CQ517" s="162">
        <v>0</v>
      </c>
      <c r="CR517" s="162">
        <v>0</v>
      </c>
      <c r="CS517" s="209">
        <f>Q517+S517+U517+W517+Y517+AA517+AC517+AE517+AG517+AI517+AK517+AM517+AO517+AQ517+AS517+AU517+AW517+AY517+BA517+BC517+BE517+BG517+BI517+BK517+BM517+BO517+BQ517+BS517+BU517+BW517+BY517+CA517+CC517+CE517+CG517+CI517+CK517+CM517+CO517+CQ517</f>
        <v>112</v>
      </c>
      <c r="CT517" s="209">
        <f>R517+T517+V517+X517+Z517+AB517+AD517+AF517+AH517+AJ517+AL517+AN517+AP517+AR517+AT517+AV517+AX517+AZ517+BB517+BD517+BF517+BH517+BJ517+BL517+BN517+BP517+BR517+BT517+BV517+BX517+BZ517+CB517+CD517+CF517+CH517+CJ517+CL517+CN517+CP517+CR517</f>
        <v>0</v>
      </c>
      <c r="CU517" s="257" t="s">
        <v>1894</v>
      </c>
      <c r="CV517" s="156"/>
      <c r="CW517" s="155">
        <v>64</v>
      </c>
      <c r="DA517" s="152">
        <f t="shared" si="487"/>
        <v>48</v>
      </c>
      <c r="DB517" s="152" t="str">
        <f t="shared" si="488"/>
        <v>0</v>
      </c>
      <c r="DC517" s="158"/>
      <c r="DD517" s="158" t="s">
        <v>2243</v>
      </c>
      <c r="DE517" s="156" t="s">
        <v>2042</v>
      </c>
      <c r="DF517" s="253" t="s">
        <v>2343</v>
      </c>
      <c r="DG517" s="186" t="s">
        <v>2344</v>
      </c>
      <c r="DH517" s="156" t="s">
        <v>477</v>
      </c>
      <c r="DI517" s="187">
        <v>45982</v>
      </c>
      <c r="DJ517" s="717">
        <v>48</v>
      </c>
      <c r="DK517" s="240" t="s">
        <v>477</v>
      </c>
      <c r="DL517" s="189">
        <v>5850</v>
      </c>
      <c r="DM517" s="181">
        <f>DL517*DJ517*(1+DN517)</f>
        <v>303264</v>
      </c>
      <c r="DN517" s="446">
        <v>0.08</v>
      </c>
      <c r="DO517" s="160">
        <f t="shared" si="484"/>
        <v>280800</v>
      </c>
      <c r="DP517" s="159">
        <v>45982</v>
      </c>
      <c r="DQ517" s="152">
        <f>SUMIF($I:$I,I517,$DJ:$DJ)</f>
        <v>48</v>
      </c>
      <c r="DR517" s="152">
        <f>SUMIF($I:$I,I517,$DK:$DK)</f>
        <v>0</v>
      </c>
      <c r="EO517" s="152">
        <f>SUMIF($I:$I,I517,$EC:$EC)</f>
        <v>0</v>
      </c>
      <c r="EP517" s="151">
        <f>SUMIF($I:$I,I517,$ED:$ED)</f>
        <v>0</v>
      </c>
      <c r="EQ517" s="153"/>
      <c r="ER517" s="153"/>
      <c r="ES517" s="153"/>
      <c r="ET517" s="153"/>
      <c r="EU517" s="152">
        <f t="shared" si="489"/>
        <v>48</v>
      </c>
      <c r="EV517" s="152">
        <f t="shared" si="490"/>
        <v>0</v>
      </c>
      <c r="EW517" s="152">
        <f t="shared" si="491"/>
        <v>0</v>
      </c>
      <c r="EX517" s="152">
        <f t="shared" si="492"/>
        <v>0</v>
      </c>
      <c r="EY517" s="151" t="str">
        <f t="shared" si="493"/>
        <v>Đủ</v>
      </c>
    </row>
    <row r="518" spans="1:158" s="155" customFormat="1" ht="14" hidden="1" customHeight="1">
      <c r="A518" s="208" t="str">
        <f t="shared" ref="A518:A549" si="494">IF(I518=I517,"ok","Hiện")</f>
        <v>Hiện</v>
      </c>
      <c r="B518" s="154" t="str">
        <f t="shared" si="465"/>
        <v>Đủ</v>
      </c>
      <c r="C518" s="154">
        <f t="shared" si="405"/>
        <v>0</v>
      </c>
      <c r="D518" s="154"/>
      <c r="E518" s="154"/>
      <c r="F518" s="344" t="s">
        <v>1728</v>
      </c>
      <c r="G518" s="154"/>
      <c r="H518" s="154"/>
      <c r="I518" s="256" t="s">
        <v>1080</v>
      </c>
      <c r="J518" s="254" t="s">
        <v>751</v>
      </c>
      <c r="K518" s="253" t="s">
        <v>791</v>
      </c>
      <c r="L518" s="261"/>
      <c r="M518" s="256" t="s">
        <v>1074</v>
      </c>
      <c r="N518" s="259"/>
      <c r="O518" s="191">
        <v>48</v>
      </c>
      <c r="P518" s="190"/>
      <c r="AO518" s="234">
        <v>48</v>
      </c>
      <c r="AP518" s="193">
        <v>0</v>
      </c>
      <c r="AQ518" s="193">
        <v>0</v>
      </c>
      <c r="AR518" s="193">
        <v>0</v>
      </c>
      <c r="AS518" s="193">
        <v>0</v>
      </c>
      <c r="AT518" s="193">
        <v>0</v>
      </c>
      <c r="AU518" s="162">
        <v>0</v>
      </c>
      <c r="AV518" s="162">
        <v>0</v>
      </c>
      <c r="AW518" s="162">
        <v>0</v>
      </c>
      <c r="AX518" s="162">
        <v>0</v>
      </c>
      <c r="AY518" s="162">
        <v>0</v>
      </c>
      <c r="AZ518" s="162">
        <v>0</v>
      </c>
      <c r="BA518" s="162"/>
      <c r="BB518" s="162"/>
      <c r="BC518" s="162">
        <v>0</v>
      </c>
      <c r="BD518" s="162">
        <v>0</v>
      </c>
      <c r="BE518" s="162">
        <v>0</v>
      </c>
      <c r="BF518" s="162">
        <v>0</v>
      </c>
      <c r="BG518" s="162">
        <v>0</v>
      </c>
      <c r="BH518" s="162">
        <v>0</v>
      </c>
      <c r="BI518" s="162">
        <v>0</v>
      </c>
      <c r="BJ518" s="162">
        <v>0</v>
      </c>
      <c r="BK518" s="162">
        <v>0</v>
      </c>
      <c r="BL518" s="162">
        <v>0</v>
      </c>
      <c r="BM518" s="162">
        <v>0</v>
      </c>
      <c r="BN518" s="162">
        <v>0</v>
      </c>
      <c r="BO518" s="162"/>
      <c r="BP518" s="162"/>
      <c r="BQ518" s="162">
        <v>36</v>
      </c>
      <c r="BR518" s="162">
        <v>0</v>
      </c>
      <c r="BS518" s="162">
        <v>0</v>
      </c>
      <c r="BT518" s="162">
        <v>0</v>
      </c>
      <c r="BU518" s="162">
        <v>0</v>
      </c>
      <c r="BV518" s="162">
        <v>0</v>
      </c>
      <c r="BW518" s="162"/>
      <c r="BX518" s="162"/>
      <c r="BY518" s="162">
        <v>0</v>
      </c>
      <c r="BZ518" s="162">
        <v>0</v>
      </c>
      <c r="CA518" s="162">
        <v>0</v>
      </c>
      <c r="CB518" s="162">
        <v>0</v>
      </c>
      <c r="CC518" s="162">
        <v>0</v>
      </c>
      <c r="CD518" s="162">
        <v>0</v>
      </c>
      <c r="CE518" s="162">
        <f>VLOOKUP(I518,[120]REV33!$A:$O,11,0)</f>
        <v>0</v>
      </c>
      <c r="CF518" s="162">
        <f>VLOOKUP(I518,[120]REV33!$A:$O,12,0)</f>
        <v>0</v>
      </c>
      <c r="CG518" s="162"/>
      <c r="CH518" s="162"/>
      <c r="CI518" s="162"/>
      <c r="CJ518" s="162"/>
      <c r="CK518" s="162"/>
      <c r="CL518" s="162"/>
      <c r="CM518" s="162"/>
      <c r="CN518" s="162"/>
      <c r="CO518" s="162">
        <v>0</v>
      </c>
      <c r="CP518" s="162">
        <v>0</v>
      </c>
      <c r="CQ518" s="162">
        <v>0</v>
      </c>
      <c r="CR518" s="162">
        <v>0</v>
      </c>
      <c r="CS518" s="209">
        <f>Q518+S518+U518+W518+Y518+AA518+AC518+AE518+AG518+AI518+AK518+AM518+AO518+AQ518+AS518+AU518+AW518+AY518+BA518+BC518+BE518+BG518+BI518+BK518+BM518+BO518+BQ518+BS518+BU518+BW518+BY518+CA518+CC518+CE518+CG518+CI518+CK518+CM518+CO518+CQ518</f>
        <v>84</v>
      </c>
      <c r="CT518" s="209">
        <f>R518+T518+V518+X518+Z518+AB518+AD518+AF518+AH518+AJ518+AL518+AN518+AP518+AR518+AT518+AV518+AX518+AZ518+BB518+BD518+BF518+BH518+BJ518+BL518+BN518+BP518+BR518+BT518+BV518+BX518+BZ518+CB518+CD518+CF518+CH518+CJ518+CL518+CN518+CP518+CR518</f>
        <v>0</v>
      </c>
      <c r="CU518" s="257" t="s">
        <v>1894</v>
      </c>
      <c r="CV518" s="156"/>
      <c r="CW518" s="155">
        <v>23</v>
      </c>
      <c r="DA518" s="152">
        <f t="shared" si="487"/>
        <v>61</v>
      </c>
      <c r="DB518" s="152" t="str">
        <f t="shared" si="488"/>
        <v>0</v>
      </c>
      <c r="DC518" s="158"/>
      <c r="DD518" s="158" t="s">
        <v>1584</v>
      </c>
      <c r="DE518" s="156" t="s">
        <v>435</v>
      </c>
      <c r="DF518" s="260" t="s">
        <v>1322</v>
      </c>
      <c r="DG518" s="186"/>
      <c r="DH518" s="156" t="s">
        <v>477</v>
      </c>
      <c r="DI518" s="187">
        <v>45911</v>
      </c>
      <c r="DJ518" s="242">
        <v>25</v>
      </c>
      <c r="DK518" s="242" t="s">
        <v>477</v>
      </c>
      <c r="DL518" s="195">
        <v>9360</v>
      </c>
      <c r="DM518" s="181">
        <f>DL518*DJ518*1.1</f>
        <v>257400.00000000003</v>
      </c>
      <c r="DN518" s="446">
        <f>(DM518-DO518)/DO518</f>
        <v>0.10000000000000013</v>
      </c>
      <c r="DO518" s="195">
        <f t="shared" si="484"/>
        <v>234000</v>
      </c>
      <c r="DP518" s="159">
        <v>45913</v>
      </c>
      <c r="DQ518" s="152">
        <f>SUMIF($I:$I,I518,$DJ:$DJ)</f>
        <v>61</v>
      </c>
      <c r="DR518" s="152">
        <f>SUMIF($I:$I,I518,$DK:$DK)</f>
        <v>0</v>
      </c>
      <c r="EO518" s="152">
        <f>SUMIF($I:$I,I518,$EC:$EC)</f>
        <v>0</v>
      </c>
      <c r="EP518" s="151">
        <f>SUMIF($I:$I,I518,$ED:$ED)</f>
        <v>0</v>
      </c>
      <c r="EQ518" s="153"/>
      <c r="ER518" s="153"/>
      <c r="ES518" s="153"/>
      <c r="ET518" s="153"/>
      <c r="EU518" s="152">
        <f t="shared" si="489"/>
        <v>61</v>
      </c>
      <c r="EV518" s="152">
        <f t="shared" si="490"/>
        <v>0</v>
      </c>
      <c r="EW518" s="152">
        <f t="shared" si="491"/>
        <v>0</v>
      </c>
      <c r="EX518" s="152">
        <f t="shared" si="492"/>
        <v>0</v>
      </c>
      <c r="EY518" s="151" t="str">
        <f t="shared" si="493"/>
        <v>Đủ</v>
      </c>
    </row>
    <row r="519" spans="1:158" s="155" customFormat="1" ht="14" hidden="1" customHeight="1">
      <c r="A519" s="208" t="str">
        <f t="shared" si="494"/>
        <v>ok</v>
      </c>
      <c r="B519" s="154"/>
      <c r="C519" s="154"/>
      <c r="D519" s="154"/>
      <c r="E519" s="154"/>
      <c r="F519" s="344"/>
      <c r="G519" s="154"/>
      <c r="H519" s="154"/>
      <c r="I519" s="256" t="s">
        <v>1080</v>
      </c>
      <c r="J519" s="254" t="s">
        <v>751</v>
      </c>
      <c r="K519" s="253" t="s">
        <v>791</v>
      </c>
      <c r="L519" s="261"/>
      <c r="M519" s="256" t="s">
        <v>1074</v>
      </c>
      <c r="N519" s="259"/>
      <c r="O519" s="191"/>
      <c r="P519" s="190"/>
      <c r="AO519" s="234"/>
      <c r="AP519" s="193"/>
      <c r="AQ519" s="193"/>
      <c r="AR519" s="193"/>
      <c r="AS519" s="193"/>
      <c r="AT519" s="193"/>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209"/>
      <c r="CT519" s="209"/>
      <c r="CU519" s="257"/>
      <c r="CV519" s="156"/>
      <c r="DA519" s="152"/>
      <c r="DB519" s="152"/>
      <c r="DC519" s="158"/>
      <c r="DD519" s="158" t="s">
        <v>2243</v>
      </c>
      <c r="DE519" s="156" t="s">
        <v>2042</v>
      </c>
      <c r="DF519" s="253" t="s">
        <v>2345</v>
      </c>
      <c r="DG519" s="186" t="s">
        <v>2346</v>
      </c>
      <c r="DH519" s="156" t="s">
        <v>477</v>
      </c>
      <c r="DI519" s="187">
        <v>45982</v>
      </c>
      <c r="DJ519" s="717">
        <v>36</v>
      </c>
      <c r="DK519" s="240" t="s">
        <v>477</v>
      </c>
      <c r="DL519" s="189">
        <v>6500</v>
      </c>
      <c r="DM519" s="181">
        <f>DL519*DJ519*(1+DN519)</f>
        <v>252720.00000000003</v>
      </c>
      <c r="DN519" s="446">
        <v>0.08</v>
      </c>
      <c r="DO519" s="160">
        <f t="shared" si="484"/>
        <v>234000</v>
      </c>
      <c r="DP519" s="159">
        <v>45982</v>
      </c>
      <c r="DQ519" s="152"/>
      <c r="DR519" s="152"/>
      <c r="EO519" s="152"/>
      <c r="EP519" s="151"/>
      <c r="EQ519" s="153"/>
      <c r="ER519" s="153"/>
      <c r="ES519" s="153"/>
      <c r="ET519" s="153"/>
      <c r="EU519" s="152"/>
      <c r="EV519" s="152"/>
      <c r="EW519" s="152"/>
      <c r="EX519" s="152"/>
      <c r="EY519" s="151"/>
    </row>
    <row r="520" spans="1:158" s="155" customFormat="1" ht="14" hidden="1" customHeight="1">
      <c r="A520" s="208" t="str">
        <f t="shared" si="494"/>
        <v>Hiện</v>
      </c>
      <c r="B520" s="154" t="str">
        <f t="shared" si="465"/>
        <v>Đủ</v>
      </c>
      <c r="C520" s="154">
        <f t="shared" si="405"/>
        <v>0</v>
      </c>
      <c r="D520" s="154"/>
      <c r="E520" s="154"/>
      <c r="F520" s="344" t="s">
        <v>1728</v>
      </c>
      <c r="G520" s="154"/>
      <c r="H520" s="154"/>
      <c r="I520" s="256" t="s">
        <v>1081</v>
      </c>
      <c r="J520" s="254" t="s">
        <v>751</v>
      </c>
      <c r="K520" s="253" t="s">
        <v>1082</v>
      </c>
      <c r="L520" s="261"/>
      <c r="M520" s="256" t="s">
        <v>1074</v>
      </c>
      <c r="N520" s="259"/>
      <c r="O520" s="191">
        <v>32</v>
      </c>
      <c r="P520" s="190"/>
      <c r="AO520" s="234">
        <v>32</v>
      </c>
      <c r="AP520" s="193">
        <v>0</v>
      </c>
      <c r="AQ520" s="193">
        <v>0</v>
      </c>
      <c r="AR520" s="193">
        <v>0</v>
      </c>
      <c r="AS520" s="193">
        <v>0</v>
      </c>
      <c r="AT520" s="193">
        <v>0</v>
      </c>
      <c r="AU520" s="162">
        <v>0</v>
      </c>
      <c r="AV520" s="162">
        <v>0</v>
      </c>
      <c r="AW520" s="162">
        <v>0</v>
      </c>
      <c r="AX520" s="162">
        <v>0</v>
      </c>
      <c r="AY520" s="162">
        <v>0</v>
      </c>
      <c r="AZ520" s="162">
        <v>0</v>
      </c>
      <c r="BA520" s="162"/>
      <c r="BB520" s="162"/>
      <c r="BC520" s="162">
        <v>0</v>
      </c>
      <c r="BD520" s="162">
        <v>0</v>
      </c>
      <c r="BE520" s="162">
        <v>0</v>
      </c>
      <c r="BF520" s="162">
        <v>0</v>
      </c>
      <c r="BG520" s="162">
        <v>0</v>
      </c>
      <c r="BH520" s="162">
        <v>0</v>
      </c>
      <c r="BI520" s="162">
        <v>0</v>
      </c>
      <c r="BJ520" s="162">
        <v>0</v>
      </c>
      <c r="BK520" s="162">
        <v>0</v>
      </c>
      <c r="BL520" s="162">
        <v>0</v>
      </c>
      <c r="BM520" s="162">
        <v>0</v>
      </c>
      <c r="BN520" s="162">
        <v>0</v>
      </c>
      <c r="BO520" s="162"/>
      <c r="BP520" s="162"/>
      <c r="BQ520" s="162">
        <v>24</v>
      </c>
      <c r="BR520" s="162">
        <v>0</v>
      </c>
      <c r="BS520" s="162">
        <v>0</v>
      </c>
      <c r="BT520" s="162">
        <v>0</v>
      </c>
      <c r="BU520" s="162">
        <v>0</v>
      </c>
      <c r="BV520" s="162">
        <v>0</v>
      </c>
      <c r="BW520" s="162"/>
      <c r="BX520" s="162"/>
      <c r="BY520" s="162">
        <v>0</v>
      </c>
      <c r="BZ520" s="162">
        <v>0</v>
      </c>
      <c r="CA520" s="162">
        <v>0</v>
      </c>
      <c r="CB520" s="162">
        <v>0</v>
      </c>
      <c r="CC520" s="162">
        <v>0</v>
      </c>
      <c r="CD520" s="162">
        <v>0</v>
      </c>
      <c r="CE520" s="162">
        <f>VLOOKUP(I520,[120]REV33!$A:$O,11,0)</f>
        <v>0</v>
      </c>
      <c r="CF520" s="162">
        <f>VLOOKUP(I520,[120]REV33!$A:$O,12,0)</f>
        <v>0</v>
      </c>
      <c r="CG520" s="162"/>
      <c r="CH520" s="162"/>
      <c r="CI520" s="162"/>
      <c r="CJ520" s="162"/>
      <c r="CK520" s="162"/>
      <c r="CL520" s="162"/>
      <c r="CM520" s="162"/>
      <c r="CN520" s="162"/>
      <c r="CO520" s="162">
        <v>0</v>
      </c>
      <c r="CP520" s="162">
        <v>0</v>
      </c>
      <c r="CQ520" s="162">
        <v>0</v>
      </c>
      <c r="CR520" s="162">
        <v>0</v>
      </c>
      <c r="CS520" s="209">
        <f>Q520+S520+U520+W520+Y520+AA520+AC520+AE520+AG520+AI520+AK520+AM520+AO520+AQ520+AS520+AU520+AW520+AY520+BA520+BC520+BE520+BG520+BI520+BK520+BM520+BO520+BQ520+BS520+BU520+BW520+BY520+CA520+CC520+CE520+CG520+CI520+CK520+CM520+CO520+CQ520</f>
        <v>56</v>
      </c>
      <c r="CT520" s="209">
        <f>R520+T520+V520+X520+Z520+AB520+AD520+AF520+AH520+AJ520+AL520+AN520+AP520+AR520+AT520+AV520+AX520+AZ520+BB520+BD520+BF520+BH520+BJ520+BL520+BN520+BP520+BR520+BT520+BV520+BX520+BZ520+CB520+CD520+CF520+CH520+CJ520+CL520+CN520+CP520+CR520</f>
        <v>0</v>
      </c>
      <c r="CU520" s="257" t="s">
        <v>1894</v>
      </c>
      <c r="CV520" s="156"/>
      <c r="CW520" s="155">
        <v>24</v>
      </c>
      <c r="DA520" s="152">
        <f>IF(CS520&gt;CW520,CS520-CW520,"0")</f>
        <v>32</v>
      </c>
      <c r="DB520" s="152" t="str">
        <f>IF(CT520&gt;CX520,CT520-CX520,"0")</f>
        <v>0</v>
      </c>
      <c r="DC520" s="158"/>
      <c r="DD520" s="158" t="s">
        <v>1584</v>
      </c>
      <c r="DE520" s="156" t="s">
        <v>435</v>
      </c>
      <c r="DF520" s="260" t="s">
        <v>1323</v>
      </c>
      <c r="DG520" s="186"/>
      <c r="DH520" s="156" t="s">
        <v>477</v>
      </c>
      <c r="DI520" s="187">
        <v>45911</v>
      </c>
      <c r="DJ520" s="242">
        <v>8</v>
      </c>
      <c r="DK520" s="242" t="s">
        <v>477</v>
      </c>
      <c r="DL520" s="195">
        <v>10990</v>
      </c>
      <c r="DM520" s="181">
        <f>DL520*DJ520*1.1</f>
        <v>96712.000000000015</v>
      </c>
      <c r="DN520" s="446">
        <f>(DM520-DO520)/DO520</f>
        <v>0.10000000000000017</v>
      </c>
      <c r="DO520" s="195">
        <f t="shared" si="484"/>
        <v>87920</v>
      </c>
      <c r="DP520" s="159">
        <v>45913</v>
      </c>
      <c r="DQ520" s="152">
        <f>SUMIF($I:$I,I520,$DJ:$DJ)</f>
        <v>32</v>
      </c>
      <c r="DR520" s="152">
        <f>SUMIF($I:$I,I520,$DK:$DK)</f>
        <v>0</v>
      </c>
      <c r="EO520" s="152">
        <f>SUMIF($I:$I,I520,$EC:$EC)</f>
        <v>0</v>
      </c>
      <c r="EP520" s="151">
        <f>SUMIF($I:$I,I520,$ED:$ED)</f>
        <v>0</v>
      </c>
      <c r="EQ520" s="153"/>
      <c r="ER520" s="153"/>
      <c r="ES520" s="153"/>
      <c r="ET520" s="153"/>
      <c r="EU520" s="152">
        <f>DQ520+EO520</f>
        <v>32</v>
      </c>
      <c r="EV520" s="152">
        <f>DR520+EP520</f>
        <v>0</v>
      </c>
      <c r="EW520" s="152">
        <f t="shared" ref="EW520" si="495">DA520-EU520</f>
        <v>0</v>
      </c>
      <c r="EX520" s="152">
        <f t="shared" ref="EX520" si="496">DB520-EV520</f>
        <v>0</v>
      </c>
      <c r="EY520" s="151" t="str">
        <f>IF(EW520&lt;0,"Thừa",IF(EW520=0,"Đủ","Thiếu"))</f>
        <v>Đủ</v>
      </c>
    </row>
    <row r="521" spans="1:158" s="155" customFormat="1" ht="14" hidden="1" customHeight="1">
      <c r="A521" s="208" t="str">
        <f t="shared" si="494"/>
        <v>ok</v>
      </c>
      <c r="B521" s="154"/>
      <c r="C521" s="154"/>
      <c r="D521" s="154"/>
      <c r="E521" s="154"/>
      <c r="F521" s="344"/>
      <c r="G521" s="154"/>
      <c r="H521" s="154"/>
      <c r="I521" s="256" t="s">
        <v>1081</v>
      </c>
      <c r="J521" s="254" t="s">
        <v>751</v>
      </c>
      <c r="K521" s="253" t="s">
        <v>1082</v>
      </c>
      <c r="L521" s="261"/>
      <c r="M521" s="256" t="s">
        <v>1074</v>
      </c>
      <c r="N521" s="259"/>
      <c r="O521" s="191"/>
      <c r="P521" s="190"/>
      <c r="AO521" s="234"/>
      <c r="AP521" s="193"/>
      <c r="AQ521" s="193"/>
      <c r="AR521" s="193"/>
      <c r="AS521" s="193"/>
      <c r="AT521" s="193"/>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209"/>
      <c r="CT521" s="209"/>
      <c r="CU521" s="257"/>
      <c r="CV521" s="156"/>
      <c r="DA521" s="152"/>
      <c r="DB521" s="152"/>
      <c r="DC521" s="158"/>
      <c r="DD521" s="158" t="s">
        <v>2243</v>
      </c>
      <c r="DE521" s="156" t="s">
        <v>2042</v>
      </c>
      <c r="DF521" s="253" t="s">
        <v>2347</v>
      </c>
      <c r="DG521" s="186" t="s">
        <v>2348</v>
      </c>
      <c r="DH521" s="156" t="s">
        <v>477</v>
      </c>
      <c r="DI521" s="187">
        <v>45982</v>
      </c>
      <c r="DJ521" s="717">
        <v>24</v>
      </c>
      <c r="DK521" s="240" t="s">
        <v>477</v>
      </c>
      <c r="DL521" s="189">
        <v>7100</v>
      </c>
      <c r="DM521" s="181">
        <f>DL521*DJ521*(1+DN521)</f>
        <v>184032</v>
      </c>
      <c r="DN521" s="446">
        <v>0.08</v>
      </c>
      <c r="DO521" s="160">
        <f t="shared" si="484"/>
        <v>170400</v>
      </c>
      <c r="DP521" s="159">
        <v>45982</v>
      </c>
      <c r="DQ521" s="152"/>
      <c r="DR521" s="152"/>
      <c r="EO521" s="152"/>
      <c r="EP521" s="151"/>
      <c r="EQ521" s="153"/>
      <c r="ER521" s="153"/>
      <c r="ES521" s="153"/>
      <c r="ET521" s="153"/>
      <c r="EU521" s="152"/>
      <c r="EV521" s="152"/>
      <c r="EW521" s="152"/>
      <c r="EX521" s="152"/>
      <c r="EY521" s="151"/>
    </row>
    <row r="522" spans="1:158" s="155" customFormat="1" ht="14" hidden="1" customHeight="1">
      <c r="A522" s="208" t="str">
        <f t="shared" si="494"/>
        <v>Hiện</v>
      </c>
      <c r="B522" s="154" t="str">
        <f t="shared" si="465"/>
        <v>Đủ</v>
      </c>
      <c r="C522" s="154">
        <f t="shared" si="405"/>
        <v>0</v>
      </c>
      <c r="D522" s="154"/>
      <c r="E522" s="154"/>
      <c r="F522" s="344" t="s">
        <v>1728</v>
      </c>
      <c r="G522" s="154"/>
      <c r="H522" s="154"/>
      <c r="I522" s="256" t="s">
        <v>1083</v>
      </c>
      <c r="J522" s="254" t="s">
        <v>751</v>
      </c>
      <c r="K522" s="253" t="s">
        <v>798</v>
      </c>
      <c r="L522" s="261"/>
      <c r="M522" s="256" t="s">
        <v>1074</v>
      </c>
      <c r="N522" s="259"/>
      <c r="O522" s="191">
        <v>40</v>
      </c>
      <c r="P522" s="190"/>
      <c r="AO522" s="234">
        <v>40</v>
      </c>
      <c r="AP522" s="193">
        <v>0</v>
      </c>
      <c r="AQ522" s="193">
        <v>0</v>
      </c>
      <c r="AR522" s="193">
        <v>0</v>
      </c>
      <c r="AS522" s="193">
        <v>0</v>
      </c>
      <c r="AT522" s="193">
        <v>0</v>
      </c>
      <c r="AU522" s="162">
        <v>0</v>
      </c>
      <c r="AV522" s="162">
        <v>0</v>
      </c>
      <c r="AW522" s="162">
        <v>0</v>
      </c>
      <c r="AX522" s="162">
        <v>0</v>
      </c>
      <c r="AY522" s="162">
        <v>0</v>
      </c>
      <c r="AZ522" s="162">
        <v>0</v>
      </c>
      <c r="BA522" s="162"/>
      <c r="BB522" s="162"/>
      <c r="BC522" s="162">
        <v>0</v>
      </c>
      <c r="BD522" s="162">
        <v>0</v>
      </c>
      <c r="BE522" s="162">
        <v>0</v>
      </c>
      <c r="BF522" s="162">
        <v>0</v>
      </c>
      <c r="BG522" s="162">
        <v>0</v>
      </c>
      <c r="BH522" s="162">
        <v>0</v>
      </c>
      <c r="BI522" s="162">
        <v>0</v>
      </c>
      <c r="BJ522" s="162">
        <v>0</v>
      </c>
      <c r="BK522" s="162">
        <v>0</v>
      </c>
      <c r="BL522" s="162">
        <v>0</v>
      </c>
      <c r="BM522" s="162">
        <v>0</v>
      </c>
      <c r="BN522" s="162">
        <v>0</v>
      </c>
      <c r="BO522" s="162"/>
      <c r="BP522" s="162"/>
      <c r="BQ522" s="162">
        <v>0</v>
      </c>
      <c r="BR522" s="162">
        <v>0</v>
      </c>
      <c r="BS522" s="162">
        <v>0</v>
      </c>
      <c r="BT522" s="162">
        <v>0</v>
      </c>
      <c r="BU522" s="162">
        <v>0</v>
      </c>
      <c r="BV522" s="162">
        <v>0</v>
      </c>
      <c r="BW522" s="162"/>
      <c r="BX522" s="162"/>
      <c r="BY522" s="162">
        <v>0</v>
      </c>
      <c r="BZ522" s="162">
        <v>0</v>
      </c>
      <c r="CA522" s="162">
        <v>0</v>
      </c>
      <c r="CB522" s="162">
        <v>0</v>
      </c>
      <c r="CC522" s="162">
        <v>0</v>
      </c>
      <c r="CD522" s="162">
        <v>0</v>
      </c>
      <c r="CE522" s="162">
        <f>VLOOKUP(I522,[120]REV33!$A:$O,11,0)</f>
        <v>0</v>
      </c>
      <c r="CF522" s="162">
        <f>VLOOKUP(I522,[120]REV33!$A:$O,12,0)</f>
        <v>0</v>
      </c>
      <c r="CG522" s="162"/>
      <c r="CH522" s="162"/>
      <c r="CI522" s="162"/>
      <c r="CJ522" s="162"/>
      <c r="CK522" s="162"/>
      <c r="CL522" s="162"/>
      <c r="CM522" s="162"/>
      <c r="CN522" s="162"/>
      <c r="CO522" s="162">
        <v>0</v>
      </c>
      <c r="CP522" s="162">
        <v>0</v>
      </c>
      <c r="CQ522" s="162">
        <v>0</v>
      </c>
      <c r="CR522" s="162">
        <v>0</v>
      </c>
      <c r="CS522" s="209">
        <f>Q522+S522+U522+W522+Y522+AA522+AC522+AE522+AG522+AI522+AK522+AM522+AO522+AQ522+AS522+AU522+AW522+AY522+BA522+BC522+BE522+BG522+BI522+BK522+BM522+BO522+BQ522+BS522+BU522+BW522+BY522+CA522+CC522+CE522+CG522+CI522+CK522+CM522+CO522+CQ522</f>
        <v>40</v>
      </c>
      <c r="CT522" s="209">
        <f>R522+T522+V522+X522+Z522+AB522+AD522+AF522+AH522+AJ522+AL522+AN522+AP522+AR522+AT522+AV522+AX522+AZ522+BB522+BD522+BF522+BH522+BJ522+BL522+BN522+BP522+BR522+BT522+BV522+BX522+BZ522+CB522+CD522+CF522+CH522+CJ522+CL522+CN522+CP522+CR522</f>
        <v>0</v>
      </c>
      <c r="CU522" s="257" t="s">
        <v>1157</v>
      </c>
      <c r="CV522" s="156"/>
      <c r="DA522" s="152">
        <f t="shared" ref="DA522:DA526" si="497">IF(CS522&gt;CW522,CS522-CW522,"0")</f>
        <v>40</v>
      </c>
      <c r="DB522" s="152" t="str">
        <f t="shared" ref="DB522:DB526" si="498">IF(CT522&gt;CX522,CT522-CX522,"0")</f>
        <v>0</v>
      </c>
      <c r="DC522" s="158"/>
      <c r="DD522" s="158" t="s">
        <v>1584</v>
      </c>
      <c r="DE522" s="156" t="s">
        <v>435</v>
      </c>
      <c r="DF522" s="260" t="s">
        <v>1324</v>
      </c>
      <c r="DG522" s="186"/>
      <c r="DH522" s="156" t="s">
        <v>477</v>
      </c>
      <c r="DI522" s="187">
        <v>45911</v>
      </c>
      <c r="DJ522" s="242">
        <v>40</v>
      </c>
      <c r="DK522" s="242" t="s">
        <v>477</v>
      </c>
      <c r="DL522" s="195">
        <v>18140</v>
      </c>
      <c r="DM522" s="181">
        <f>DL522*DJ522*1.1</f>
        <v>798160.00000000012</v>
      </c>
      <c r="DN522" s="446">
        <f>(DM522-DO522)/DO522</f>
        <v>0.10000000000000016</v>
      </c>
      <c r="DO522" s="195">
        <f t="shared" si="484"/>
        <v>725600</v>
      </c>
      <c r="DP522" s="159">
        <v>45913</v>
      </c>
      <c r="DQ522" s="152">
        <f>SUMIF($I:$I,I522,$DJ:$DJ)</f>
        <v>40</v>
      </c>
      <c r="DR522" s="152">
        <f>SUMIF($I:$I,I522,$DK:$DK)</f>
        <v>0</v>
      </c>
      <c r="EO522" s="152">
        <f>SUMIF($I:$I,I522,$EC:$EC)</f>
        <v>0</v>
      </c>
      <c r="EP522" s="151">
        <f>SUMIF($I:$I,I522,$ED:$ED)</f>
        <v>0</v>
      </c>
      <c r="EQ522" s="153"/>
      <c r="ER522" s="153"/>
      <c r="ES522" s="153"/>
      <c r="ET522" s="153"/>
      <c r="EU522" s="152">
        <f t="shared" ref="EU522:EU526" si="499">DQ522+EO522</f>
        <v>40</v>
      </c>
      <c r="EV522" s="152">
        <f t="shared" ref="EV522:EV526" si="500">DR522+EP522</f>
        <v>0</v>
      </c>
      <c r="EW522" s="152">
        <f t="shared" ref="EW522:EW526" si="501">DA522-EU522</f>
        <v>0</v>
      </c>
      <c r="EX522" s="152">
        <f t="shared" ref="EX522:EX526" si="502">DB522-EV522</f>
        <v>0</v>
      </c>
      <c r="EY522" s="151" t="str">
        <f t="shared" ref="EY522:EY526" si="503">IF(EW522&lt;0,"Thừa",IF(EW522=0,"Đủ","Thiếu"))</f>
        <v>Đủ</v>
      </c>
    </row>
    <row r="523" spans="1:158" s="155" customFormat="1" ht="14" hidden="1" customHeight="1">
      <c r="A523" s="208" t="str">
        <f t="shared" si="494"/>
        <v>Hiện</v>
      </c>
      <c r="B523" s="154" t="str">
        <f t="shared" si="465"/>
        <v>Đủ</v>
      </c>
      <c r="C523" s="154">
        <f t="shared" si="405"/>
        <v>0</v>
      </c>
      <c r="D523" s="154"/>
      <c r="E523" s="154"/>
      <c r="F523" s="344" t="s">
        <v>1728</v>
      </c>
      <c r="G523" s="154"/>
      <c r="H523" s="154"/>
      <c r="I523" s="256" t="s">
        <v>1084</v>
      </c>
      <c r="J523" s="254" t="s">
        <v>751</v>
      </c>
      <c r="K523" s="253" t="s">
        <v>800</v>
      </c>
      <c r="L523" s="261"/>
      <c r="M523" s="256" t="s">
        <v>1074</v>
      </c>
      <c r="N523" s="259"/>
      <c r="O523" s="191">
        <v>256</v>
      </c>
      <c r="P523" s="190"/>
      <c r="AO523" s="234">
        <v>256</v>
      </c>
      <c r="AP523" s="193">
        <v>0</v>
      </c>
      <c r="AQ523" s="193">
        <v>0</v>
      </c>
      <c r="AR523" s="193">
        <v>0</v>
      </c>
      <c r="AS523" s="193">
        <v>0</v>
      </c>
      <c r="AT523" s="193">
        <v>0</v>
      </c>
      <c r="AU523" s="162">
        <v>0</v>
      </c>
      <c r="AV523" s="162">
        <v>0</v>
      </c>
      <c r="AW523" s="162">
        <v>0</v>
      </c>
      <c r="AX523" s="162">
        <v>0</v>
      </c>
      <c r="AY523" s="162">
        <v>0</v>
      </c>
      <c r="AZ523" s="162">
        <v>0</v>
      </c>
      <c r="BA523" s="162"/>
      <c r="BB523" s="162"/>
      <c r="BC523" s="162">
        <v>0</v>
      </c>
      <c r="BD523" s="162">
        <v>0</v>
      </c>
      <c r="BE523" s="162">
        <v>0</v>
      </c>
      <c r="BF523" s="162">
        <v>0</v>
      </c>
      <c r="BG523" s="162">
        <v>0</v>
      </c>
      <c r="BH523" s="162">
        <v>0</v>
      </c>
      <c r="BI523" s="162">
        <v>0</v>
      </c>
      <c r="BJ523" s="162">
        <v>0</v>
      </c>
      <c r="BK523" s="162">
        <v>0</v>
      </c>
      <c r="BL523" s="162">
        <v>0</v>
      </c>
      <c r="BM523" s="162">
        <v>0</v>
      </c>
      <c r="BN523" s="162">
        <v>0</v>
      </c>
      <c r="BO523" s="162"/>
      <c r="BP523" s="162"/>
      <c r="BQ523" s="162">
        <v>0</v>
      </c>
      <c r="BR523" s="162">
        <v>0</v>
      </c>
      <c r="BS523" s="162">
        <v>0</v>
      </c>
      <c r="BT523" s="162">
        <v>0</v>
      </c>
      <c r="BU523" s="162">
        <v>0</v>
      </c>
      <c r="BV523" s="162">
        <v>0</v>
      </c>
      <c r="BW523" s="162"/>
      <c r="BX523" s="162"/>
      <c r="BY523" s="162">
        <v>0</v>
      </c>
      <c r="BZ523" s="162">
        <v>0</v>
      </c>
      <c r="CA523" s="162">
        <v>0</v>
      </c>
      <c r="CB523" s="162">
        <v>0</v>
      </c>
      <c r="CC523" s="162">
        <v>0</v>
      </c>
      <c r="CD523" s="162">
        <v>0</v>
      </c>
      <c r="CE523" s="162">
        <f>VLOOKUP(I523,[120]REV33!$A:$O,11,0)</f>
        <v>0</v>
      </c>
      <c r="CF523" s="162">
        <f>VLOOKUP(I523,[120]REV33!$A:$O,12,0)</f>
        <v>0</v>
      </c>
      <c r="CG523" s="162"/>
      <c r="CH523" s="162"/>
      <c r="CI523" s="162"/>
      <c r="CJ523" s="162"/>
      <c r="CK523" s="162"/>
      <c r="CL523" s="162"/>
      <c r="CM523" s="162"/>
      <c r="CN523" s="162"/>
      <c r="CO523" s="162">
        <v>0</v>
      </c>
      <c r="CP523" s="162">
        <v>0</v>
      </c>
      <c r="CQ523" s="162">
        <v>0</v>
      </c>
      <c r="CR523" s="162">
        <v>0</v>
      </c>
      <c r="CS523" s="209">
        <f>Q523+S523+U523+W523+Y523+AA523+AC523+AE523+AG523+AI523+AK523+AM523+AO523+AQ523+AS523+AU523+AW523+AY523+BA523+BC523+BE523+BG523+BI523+BK523+BM523+BO523+BQ523+BS523+BU523+BW523+BY523+CA523+CC523+CE523+CG523+CI523+CK523+CM523+CO523+CQ523</f>
        <v>256</v>
      </c>
      <c r="CT523" s="209">
        <f>R523+T523+V523+X523+Z523+AB523+AD523+AF523+AH523+AJ523+AL523+AN523+AP523+AR523+AT523+AV523+AX523+AZ523+BB523+BD523+BF523+BH523+BJ523+BL523+BN523+BP523+BR523+BT523+BV523+BX523+BZ523+CB523+CD523+CF523+CH523+CJ523+CL523+CN523+CP523+CR523</f>
        <v>0</v>
      </c>
      <c r="CU523" s="257" t="s">
        <v>1157</v>
      </c>
      <c r="CV523" s="156"/>
      <c r="DA523" s="152">
        <f t="shared" si="497"/>
        <v>256</v>
      </c>
      <c r="DB523" s="152" t="str">
        <f t="shared" si="498"/>
        <v>0</v>
      </c>
      <c r="DC523" s="158"/>
      <c r="DD523" s="158" t="s">
        <v>1584</v>
      </c>
      <c r="DE523" s="156" t="s">
        <v>435</v>
      </c>
      <c r="DF523" s="260" t="s">
        <v>1325</v>
      </c>
      <c r="DG523" s="186"/>
      <c r="DH523" s="156" t="s">
        <v>477</v>
      </c>
      <c r="DI523" s="187">
        <v>45911</v>
      </c>
      <c r="DJ523" s="242">
        <v>256</v>
      </c>
      <c r="DK523" s="242" t="s">
        <v>477</v>
      </c>
      <c r="DL523" s="195">
        <v>19500</v>
      </c>
      <c r="DM523" s="181">
        <f>DL523*DJ523*1.1</f>
        <v>5491200</v>
      </c>
      <c r="DN523" s="446">
        <f>(DM523-DO523)/DO523</f>
        <v>0.1</v>
      </c>
      <c r="DO523" s="195">
        <f t="shared" si="484"/>
        <v>4992000</v>
      </c>
      <c r="DP523" s="159">
        <v>45913</v>
      </c>
      <c r="DQ523" s="152">
        <f>SUMIF($I:$I,I523,$DJ:$DJ)</f>
        <v>256</v>
      </c>
      <c r="DR523" s="152">
        <f>SUMIF($I:$I,I523,$DK:$DK)</f>
        <v>0</v>
      </c>
      <c r="EO523" s="152">
        <f>SUMIF($I:$I,I523,$EC:$EC)</f>
        <v>0</v>
      </c>
      <c r="EP523" s="151">
        <f>SUMIF($I:$I,I523,$ED:$ED)</f>
        <v>0</v>
      </c>
      <c r="EQ523" s="153"/>
      <c r="ER523" s="153"/>
      <c r="ES523" s="153"/>
      <c r="ET523" s="153"/>
      <c r="EU523" s="152">
        <f t="shared" si="499"/>
        <v>256</v>
      </c>
      <c r="EV523" s="152">
        <f t="shared" si="500"/>
        <v>0</v>
      </c>
      <c r="EW523" s="152">
        <f t="shared" si="501"/>
        <v>0</v>
      </c>
      <c r="EX523" s="152">
        <f t="shared" si="502"/>
        <v>0</v>
      </c>
      <c r="EY523" s="151" t="str">
        <f t="shared" si="503"/>
        <v>Đủ</v>
      </c>
    </row>
    <row r="524" spans="1:158" s="155" customFormat="1" ht="14" hidden="1" customHeight="1">
      <c r="A524" s="208" t="str">
        <f t="shared" si="494"/>
        <v>Hiện</v>
      </c>
      <c r="B524" s="154" t="str">
        <f t="shared" si="465"/>
        <v>Đủ</v>
      </c>
      <c r="C524" s="154">
        <f t="shared" si="405"/>
        <v>0</v>
      </c>
      <c r="D524" s="154"/>
      <c r="E524" s="154"/>
      <c r="F524" s="344" t="s">
        <v>1728</v>
      </c>
      <c r="G524" s="154"/>
      <c r="H524" s="154"/>
      <c r="I524" s="256" t="s">
        <v>1085</v>
      </c>
      <c r="J524" s="254" t="s">
        <v>751</v>
      </c>
      <c r="K524" s="253" t="s">
        <v>1086</v>
      </c>
      <c r="L524" s="261"/>
      <c r="M524" s="256" t="s">
        <v>1074</v>
      </c>
      <c r="N524" s="259"/>
      <c r="O524" s="191">
        <v>32</v>
      </c>
      <c r="P524" s="190"/>
      <c r="AO524" s="234">
        <v>32</v>
      </c>
      <c r="AP524" s="193">
        <v>0</v>
      </c>
      <c r="AQ524" s="193">
        <v>0</v>
      </c>
      <c r="AR524" s="193">
        <v>0</v>
      </c>
      <c r="AS524" s="193">
        <v>0</v>
      </c>
      <c r="AT524" s="193">
        <v>0</v>
      </c>
      <c r="AU524" s="162">
        <v>0</v>
      </c>
      <c r="AV524" s="162">
        <v>0</v>
      </c>
      <c r="AW524" s="162">
        <v>0</v>
      </c>
      <c r="AX524" s="162">
        <v>0</v>
      </c>
      <c r="AY524" s="162">
        <v>0</v>
      </c>
      <c r="AZ524" s="162">
        <v>0</v>
      </c>
      <c r="BA524" s="162"/>
      <c r="BB524" s="162"/>
      <c r="BC524" s="162">
        <v>0</v>
      </c>
      <c r="BD524" s="162">
        <v>0</v>
      </c>
      <c r="BE524" s="162">
        <v>0</v>
      </c>
      <c r="BF524" s="162">
        <v>0</v>
      </c>
      <c r="BG524" s="162">
        <v>0</v>
      </c>
      <c r="BH524" s="162">
        <v>0</v>
      </c>
      <c r="BI524" s="162">
        <v>0</v>
      </c>
      <c r="BJ524" s="162">
        <v>0</v>
      </c>
      <c r="BK524" s="162">
        <v>0</v>
      </c>
      <c r="BL524" s="162">
        <v>0</v>
      </c>
      <c r="BM524" s="162">
        <v>0</v>
      </c>
      <c r="BN524" s="162">
        <v>0</v>
      </c>
      <c r="BO524" s="162"/>
      <c r="BP524" s="162"/>
      <c r="BQ524" s="162">
        <v>0</v>
      </c>
      <c r="BR524" s="162">
        <v>0</v>
      </c>
      <c r="BS524" s="162">
        <v>0</v>
      </c>
      <c r="BT524" s="162">
        <v>0</v>
      </c>
      <c r="BU524" s="162">
        <v>0</v>
      </c>
      <c r="BV524" s="162">
        <v>0</v>
      </c>
      <c r="BW524" s="162"/>
      <c r="BX524" s="162"/>
      <c r="BY524" s="162">
        <v>0</v>
      </c>
      <c r="BZ524" s="162">
        <v>0</v>
      </c>
      <c r="CA524" s="162">
        <v>0</v>
      </c>
      <c r="CB524" s="162">
        <v>0</v>
      </c>
      <c r="CC524" s="162">
        <v>0</v>
      </c>
      <c r="CD524" s="162">
        <v>0</v>
      </c>
      <c r="CE524" s="162">
        <f>VLOOKUP(I524,[120]REV33!$A:$O,11,0)</f>
        <v>0</v>
      </c>
      <c r="CF524" s="162">
        <f>VLOOKUP(I524,[120]REV33!$A:$O,12,0)</f>
        <v>0</v>
      </c>
      <c r="CG524" s="162"/>
      <c r="CH524" s="162"/>
      <c r="CI524" s="162"/>
      <c r="CJ524" s="162"/>
      <c r="CK524" s="162"/>
      <c r="CL524" s="162"/>
      <c r="CM524" s="162"/>
      <c r="CN524" s="162"/>
      <c r="CO524" s="162">
        <v>0</v>
      </c>
      <c r="CP524" s="162">
        <v>0</v>
      </c>
      <c r="CQ524" s="162">
        <v>0</v>
      </c>
      <c r="CR524" s="162">
        <v>0</v>
      </c>
      <c r="CS524" s="209">
        <f>Q524+S524+U524+W524+Y524+AA524+AC524+AE524+AG524+AI524+AK524+AM524+AO524+AQ524+AS524+AU524+AW524+AY524+BA524+BC524+BE524+BG524+BI524+BK524+BM524+BO524+BQ524+BS524+BU524+BW524+BY524+CA524+CC524+CE524+CG524+CI524+CK524+CM524+CO524+CQ524</f>
        <v>32</v>
      </c>
      <c r="CT524" s="209">
        <f>R524+T524+V524+X524+Z524+AB524+AD524+AF524+AH524+AJ524+AL524+AN524+AP524+AR524+AT524+AV524+AX524+AZ524+BB524+BD524+BF524+BH524+BJ524+BL524+BN524+BP524+BR524+BT524+BV524+BX524+BZ524+CB524+CD524+CF524+CH524+CJ524+CL524+CN524+CP524+CR524</f>
        <v>0</v>
      </c>
      <c r="CU524" s="257" t="s">
        <v>1157</v>
      </c>
      <c r="CV524" s="156"/>
      <c r="DA524" s="152">
        <f t="shared" si="497"/>
        <v>32</v>
      </c>
      <c r="DB524" s="152" t="str">
        <f t="shared" si="498"/>
        <v>0</v>
      </c>
      <c r="DC524" s="158"/>
      <c r="DD524" s="158" t="s">
        <v>1584</v>
      </c>
      <c r="DE524" s="156" t="s">
        <v>435</v>
      </c>
      <c r="DF524" s="260" t="s">
        <v>1326</v>
      </c>
      <c r="DG524" s="186"/>
      <c r="DH524" s="156" t="s">
        <v>477</v>
      </c>
      <c r="DI524" s="187">
        <v>45911</v>
      </c>
      <c r="DJ524" s="242">
        <v>32</v>
      </c>
      <c r="DK524" s="242" t="s">
        <v>477</v>
      </c>
      <c r="DL524" s="195">
        <v>22100</v>
      </c>
      <c r="DM524" s="181">
        <f>DL524*DJ524*1.1</f>
        <v>777920.00000000012</v>
      </c>
      <c r="DN524" s="446">
        <f>(DM524-DO524)/DO524</f>
        <v>0.10000000000000016</v>
      </c>
      <c r="DO524" s="195">
        <f t="shared" si="484"/>
        <v>707200</v>
      </c>
      <c r="DP524" s="159">
        <v>45913</v>
      </c>
      <c r="DQ524" s="152">
        <f>SUMIF($I:$I,I524,$DJ:$DJ)</f>
        <v>32</v>
      </c>
      <c r="DR524" s="152">
        <f>SUMIF($I:$I,I524,$DK:$DK)</f>
        <v>0</v>
      </c>
      <c r="EO524" s="152">
        <f>SUMIF($I:$I,I524,$EC:$EC)</f>
        <v>0</v>
      </c>
      <c r="EP524" s="151">
        <f>SUMIF($I:$I,I524,$ED:$ED)</f>
        <v>0</v>
      </c>
      <c r="EQ524" s="153"/>
      <c r="ER524" s="153"/>
      <c r="ES524" s="153"/>
      <c r="ET524" s="153"/>
      <c r="EU524" s="152">
        <f t="shared" si="499"/>
        <v>32</v>
      </c>
      <c r="EV524" s="152">
        <f t="shared" si="500"/>
        <v>0</v>
      </c>
      <c r="EW524" s="152">
        <f t="shared" si="501"/>
        <v>0</v>
      </c>
      <c r="EX524" s="152">
        <f t="shared" si="502"/>
        <v>0</v>
      </c>
      <c r="EY524" s="151" t="str">
        <f t="shared" si="503"/>
        <v>Đủ</v>
      </c>
    </row>
    <row r="525" spans="1:158" s="155" customFormat="1" ht="14" hidden="1" customHeight="1">
      <c r="A525" s="208" t="str">
        <f t="shared" si="494"/>
        <v>Hiện</v>
      </c>
      <c r="B525" s="154" t="str">
        <f t="shared" si="465"/>
        <v>Đủ</v>
      </c>
      <c r="C525" s="154">
        <f t="shared" si="405"/>
        <v>0</v>
      </c>
      <c r="D525" s="154"/>
      <c r="E525" s="154"/>
      <c r="F525" s="344" t="s">
        <v>1728</v>
      </c>
      <c r="G525" s="154"/>
      <c r="H525" s="154"/>
      <c r="I525" s="256" t="s">
        <v>1087</v>
      </c>
      <c r="J525" s="254" t="s">
        <v>751</v>
      </c>
      <c r="K525" s="253" t="s">
        <v>808</v>
      </c>
      <c r="L525" s="261"/>
      <c r="M525" s="256" t="s">
        <v>1074</v>
      </c>
      <c r="N525" s="259"/>
      <c r="O525" s="191">
        <v>208</v>
      </c>
      <c r="P525" s="190"/>
      <c r="AO525" s="234">
        <v>208</v>
      </c>
      <c r="AP525" s="193">
        <v>0</v>
      </c>
      <c r="AQ525" s="193">
        <v>0</v>
      </c>
      <c r="AR525" s="193">
        <v>0</v>
      </c>
      <c r="AS525" s="193">
        <v>0</v>
      </c>
      <c r="AT525" s="193">
        <v>0</v>
      </c>
      <c r="AU525" s="162">
        <v>0</v>
      </c>
      <c r="AV525" s="162">
        <v>0</v>
      </c>
      <c r="AW525" s="162">
        <v>0</v>
      </c>
      <c r="AX525" s="162">
        <v>0</v>
      </c>
      <c r="AY525" s="162">
        <v>0</v>
      </c>
      <c r="AZ525" s="162">
        <v>0</v>
      </c>
      <c r="BA525" s="162"/>
      <c r="BB525" s="162"/>
      <c r="BC525" s="162">
        <v>0</v>
      </c>
      <c r="BD525" s="162">
        <v>0</v>
      </c>
      <c r="BE525" s="162">
        <v>0</v>
      </c>
      <c r="BF525" s="162">
        <v>0</v>
      </c>
      <c r="BG525" s="162">
        <v>0</v>
      </c>
      <c r="BH525" s="162">
        <v>0</v>
      </c>
      <c r="BI525" s="162">
        <v>0</v>
      </c>
      <c r="BJ525" s="162">
        <v>0</v>
      </c>
      <c r="BK525" s="162">
        <v>0</v>
      </c>
      <c r="BL525" s="162">
        <v>0</v>
      </c>
      <c r="BM525" s="162">
        <v>0</v>
      </c>
      <c r="BN525" s="162">
        <v>0</v>
      </c>
      <c r="BO525" s="162"/>
      <c r="BP525" s="162"/>
      <c r="BQ525" s="162">
        <v>48</v>
      </c>
      <c r="BR525" s="162">
        <v>0</v>
      </c>
      <c r="BS525" s="162">
        <v>0</v>
      </c>
      <c r="BT525" s="162">
        <v>0</v>
      </c>
      <c r="BU525" s="162">
        <v>0</v>
      </c>
      <c r="BV525" s="162">
        <v>0</v>
      </c>
      <c r="BW525" s="162"/>
      <c r="BX525" s="162"/>
      <c r="BY525" s="162">
        <v>0</v>
      </c>
      <c r="BZ525" s="162">
        <v>0</v>
      </c>
      <c r="CA525" s="162">
        <v>0</v>
      </c>
      <c r="CB525" s="162">
        <v>0</v>
      </c>
      <c r="CC525" s="162">
        <v>0</v>
      </c>
      <c r="CD525" s="162">
        <v>0</v>
      </c>
      <c r="CE525" s="162">
        <f>VLOOKUP(I525,[120]REV33!$A:$O,11,0)</f>
        <v>0</v>
      </c>
      <c r="CF525" s="162">
        <f>VLOOKUP(I525,[120]REV33!$A:$O,12,0)</f>
        <v>0</v>
      </c>
      <c r="CG525" s="162"/>
      <c r="CH525" s="162"/>
      <c r="CI525" s="162"/>
      <c r="CJ525" s="162"/>
      <c r="CK525" s="162"/>
      <c r="CL525" s="162"/>
      <c r="CM525" s="162"/>
      <c r="CN525" s="162"/>
      <c r="CO525" s="162">
        <v>0</v>
      </c>
      <c r="CP525" s="162">
        <v>0</v>
      </c>
      <c r="CQ525" s="162">
        <v>0</v>
      </c>
      <c r="CR525" s="162">
        <v>0</v>
      </c>
      <c r="CS525" s="209">
        <f>Q525+S525+U525+W525+Y525+AA525+AC525+AE525+AG525+AI525+AK525+AM525+AO525+AQ525+AS525+AU525+AW525+AY525+BA525+BC525+BE525+BG525+BI525+BK525+BM525+BO525+BQ525+BS525+BU525+BW525+BY525+CA525+CC525+CE525+CG525+CI525+CK525+CM525+CO525+CQ525</f>
        <v>256</v>
      </c>
      <c r="CT525" s="209">
        <f>R525+T525+V525+X525+Z525+AB525+AD525+AF525+AH525+AJ525+AL525+AN525+AP525+AR525+AT525+AV525+AX525+AZ525+BB525+BD525+BF525+BH525+BJ525+BL525+BN525+BP525+BR525+BT525+BV525+BX525+BZ525+CB525+CD525+CF525+CH525+CJ525+CL525+CN525+CP525+CR525</f>
        <v>0</v>
      </c>
      <c r="CU525" s="257" t="s">
        <v>1894</v>
      </c>
      <c r="CV525" s="156"/>
      <c r="CW525" s="155">
        <v>208</v>
      </c>
      <c r="DA525" s="152">
        <f t="shared" si="497"/>
        <v>48</v>
      </c>
      <c r="DB525" s="152" t="str">
        <f t="shared" si="498"/>
        <v>0</v>
      </c>
      <c r="DC525" s="158"/>
      <c r="DD525" s="158" t="s">
        <v>2243</v>
      </c>
      <c r="DE525" s="156" t="s">
        <v>2042</v>
      </c>
      <c r="DF525" s="253" t="s">
        <v>2349</v>
      </c>
      <c r="DG525" s="186" t="s">
        <v>2350</v>
      </c>
      <c r="DH525" s="156" t="s">
        <v>477</v>
      </c>
      <c r="DI525" s="187">
        <v>45982</v>
      </c>
      <c r="DJ525" s="717">
        <v>48</v>
      </c>
      <c r="DK525" s="240" t="s">
        <v>477</v>
      </c>
      <c r="DL525" s="189">
        <v>8150</v>
      </c>
      <c r="DM525" s="181">
        <f>DL525*DJ525*(1+DN525)</f>
        <v>422496</v>
      </c>
      <c r="DN525" s="446">
        <v>0.08</v>
      </c>
      <c r="DO525" s="160">
        <f t="shared" si="484"/>
        <v>391200</v>
      </c>
      <c r="DP525" s="159">
        <v>45982</v>
      </c>
      <c r="DQ525" s="152">
        <f>SUMIF($I:$I,I525,$DJ:$DJ)</f>
        <v>48</v>
      </c>
      <c r="DR525" s="152">
        <f>SUMIF($I:$I,I525,$DK:$DK)</f>
        <v>0</v>
      </c>
      <c r="EO525" s="152">
        <f>SUMIF($I:$I,I525,$EC:$EC)</f>
        <v>0</v>
      </c>
      <c r="EP525" s="151">
        <f>SUMIF($I:$I,I525,$ED:$ED)</f>
        <v>0</v>
      </c>
      <c r="EQ525" s="153"/>
      <c r="ER525" s="153"/>
      <c r="ES525" s="153"/>
      <c r="ET525" s="153"/>
      <c r="EU525" s="152">
        <f t="shared" si="499"/>
        <v>48</v>
      </c>
      <c r="EV525" s="152">
        <f t="shared" si="500"/>
        <v>0</v>
      </c>
      <c r="EW525" s="152">
        <f t="shared" si="501"/>
        <v>0</v>
      </c>
      <c r="EX525" s="152">
        <f t="shared" si="502"/>
        <v>0</v>
      </c>
      <c r="EY525" s="151" t="str">
        <f t="shared" si="503"/>
        <v>Đủ</v>
      </c>
    </row>
    <row r="526" spans="1:158" s="155" customFormat="1" ht="14" hidden="1" customHeight="1">
      <c r="A526" s="208" t="str">
        <f t="shared" si="494"/>
        <v>Hiện</v>
      </c>
      <c r="B526" s="154" t="str">
        <f t="shared" si="465"/>
        <v>Đủ</v>
      </c>
      <c r="C526" s="154">
        <f t="shared" si="405"/>
        <v>0</v>
      </c>
      <c r="D526" s="154"/>
      <c r="E526" s="154"/>
      <c r="F526" s="344" t="s">
        <v>1728</v>
      </c>
      <c r="G526" s="154"/>
      <c r="H526" s="154"/>
      <c r="I526" s="256" t="s">
        <v>1088</v>
      </c>
      <c r="J526" s="254" t="s">
        <v>751</v>
      </c>
      <c r="K526" s="253" t="s">
        <v>810</v>
      </c>
      <c r="L526" s="261"/>
      <c r="M526" s="256" t="s">
        <v>1074</v>
      </c>
      <c r="N526" s="259"/>
      <c r="O526" s="191">
        <v>64</v>
      </c>
      <c r="P526" s="190"/>
      <c r="AO526" s="234">
        <v>64</v>
      </c>
      <c r="AP526" s="193">
        <v>0</v>
      </c>
      <c r="AQ526" s="193">
        <v>0</v>
      </c>
      <c r="AR526" s="193">
        <v>0</v>
      </c>
      <c r="AS526" s="193">
        <v>0</v>
      </c>
      <c r="AT526" s="193">
        <v>0</v>
      </c>
      <c r="AU526" s="162">
        <v>0</v>
      </c>
      <c r="AV526" s="162">
        <v>0</v>
      </c>
      <c r="AW526" s="162">
        <v>272</v>
      </c>
      <c r="AX526" s="162">
        <v>0</v>
      </c>
      <c r="AY526" s="162">
        <v>0</v>
      </c>
      <c r="AZ526" s="162">
        <v>0</v>
      </c>
      <c r="BA526" s="162"/>
      <c r="BB526" s="162"/>
      <c r="BC526" s="162">
        <v>0</v>
      </c>
      <c r="BD526" s="162">
        <v>0</v>
      </c>
      <c r="BE526" s="162">
        <v>0</v>
      </c>
      <c r="BF526" s="162">
        <v>0</v>
      </c>
      <c r="BG526" s="162">
        <v>0</v>
      </c>
      <c r="BH526" s="162">
        <v>0</v>
      </c>
      <c r="BI526" s="162">
        <v>0</v>
      </c>
      <c r="BJ526" s="162">
        <v>0</v>
      </c>
      <c r="BK526" s="162">
        <v>0</v>
      </c>
      <c r="BL526" s="162">
        <v>0</v>
      </c>
      <c r="BM526" s="162">
        <v>0</v>
      </c>
      <c r="BN526" s="162">
        <v>0</v>
      </c>
      <c r="BO526" s="162"/>
      <c r="BP526" s="162"/>
      <c r="BQ526" s="162">
        <v>213</v>
      </c>
      <c r="BR526" s="162">
        <v>0</v>
      </c>
      <c r="BS526" s="162">
        <v>0</v>
      </c>
      <c r="BT526" s="162">
        <v>0</v>
      </c>
      <c r="BU526" s="162">
        <v>0</v>
      </c>
      <c r="BV526" s="162">
        <v>0</v>
      </c>
      <c r="BW526" s="162"/>
      <c r="BX526" s="162"/>
      <c r="BY526" s="162">
        <v>0</v>
      </c>
      <c r="BZ526" s="162">
        <v>0</v>
      </c>
      <c r="CA526" s="162">
        <v>0</v>
      </c>
      <c r="CB526" s="162">
        <v>0</v>
      </c>
      <c r="CC526" s="162">
        <v>0</v>
      </c>
      <c r="CD526" s="162">
        <v>0</v>
      </c>
      <c r="CE526" s="162">
        <f>VLOOKUP(I526,[120]REV33!$A:$O,11,0)</f>
        <v>0</v>
      </c>
      <c r="CF526" s="162">
        <f>VLOOKUP(I526,[120]REV33!$A:$O,12,0)</f>
        <v>0</v>
      </c>
      <c r="CG526" s="162"/>
      <c r="CH526" s="162"/>
      <c r="CI526" s="162"/>
      <c r="CJ526" s="162"/>
      <c r="CK526" s="162"/>
      <c r="CL526" s="162"/>
      <c r="CM526" s="162"/>
      <c r="CN526" s="162"/>
      <c r="CO526" s="162">
        <v>0</v>
      </c>
      <c r="CP526" s="162">
        <v>0</v>
      </c>
      <c r="CQ526" s="162">
        <v>0</v>
      </c>
      <c r="CR526" s="162">
        <v>0</v>
      </c>
      <c r="CS526" s="209">
        <f>Q526+S526+U526+W526+Y526+AA526+AC526+AE526+AG526+AI526+AK526+AM526+AO526+AQ526+AS526+AU526+AW526+AY526+BA526+BC526+BE526+BG526+BI526+BK526+BM526+BO526+BQ526+BS526+BU526+BW526+BY526+CA526+CC526+CE526+CG526+CI526+CK526+CM526+CO526+CQ526</f>
        <v>549</v>
      </c>
      <c r="CT526" s="209">
        <f>R526+T526+V526+X526+Z526+AB526+AD526+AF526+AH526+AJ526+AL526+AN526+AP526+AR526+AT526+AV526+AX526+AZ526+BB526+BD526+BF526+BH526+BJ526+BL526+BN526+BP526+BR526+BT526+BV526+BX526+BZ526+CB526+CD526+CF526+CH526+CJ526+CL526+CN526+CP526+CR526</f>
        <v>0</v>
      </c>
      <c r="CU526" s="257" t="s">
        <v>1894</v>
      </c>
      <c r="CV526" s="156"/>
      <c r="CW526" s="155">
        <v>64</v>
      </c>
      <c r="DA526" s="152">
        <f t="shared" si="497"/>
        <v>485</v>
      </c>
      <c r="DB526" s="152" t="str">
        <f t="shared" si="498"/>
        <v>0</v>
      </c>
      <c r="DC526" s="158"/>
      <c r="DD526" s="158" t="s">
        <v>1583</v>
      </c>
      <c r="DE526" s="156" t="s">
        <v>435</v>
      </c>
      <c r="DF526" s="253" t="s">
        <v>1092</v>
      </c>
      <c r="DG526" s="186"/>
      <c r="DH526" s="156" t="s">
        <v>477</v>
      </c>
      <c r="DI526" s="187">
        <v>45916</v>
      </c>
      <c r="DJ526" s="242">
        <v>272</v>
      </c>
      <c r="DK526" s="240" t="s">
        <v>477</v>
      </c>
      <c r="DL526" s="195">
        <v>12740</v>
      </c>
      <c r="DM526" s="181">
        <f>DL526*DJ526*1.1</f>
        <v>3811808.0000000005</v>
      </c>
      <c r="DN526" s="446">
        <f>(DM526-DO526)/DO526</f>
        <v>0.10000000000000013</v>
      </c>
      <c r="DO526" s="160">
        <f t="shared" si="484"/>
        <v>3465280</v>
      </c>
      <c r="DP526" s="159">
        <v>45922</v>
      </c>
      <c r="DQ526" s="152">
        <f>SUMIF($I:$I,I526,$DJ:$DJ)</f>
        <v>485</v>
      </c>
      <c r="DR526" s="152">
        <f>SUMIF($I:$I,I526,$DK:$DK)</f>
        <v>0</v>
      </c>
      <c r="EO526" s="152">
        <f>SUMIF($I:$I,I526,$EC:$EC)</f>
        <v>0</v>
      </c>
      <c r="EP526" s="151">
        <f>SUMIF($I:$I,I526,$ED:$ED)</f>
        <v>0</v>
      </c>
      <c r="EQ526" s="153"/>
      <c r="ER526" s="153"/>
      <c r="ES526" s="153"/>
      <c r="ET526" s="153"/>
      <c r="EU526" s="152">
        <f t="shared" si="499"/>
        <v>485</v>
      </c>
      <c r="EV526" s="152">
        <f t="shared" si="500"/>
        <v>0</v>
      </c>
      <c r="EW526" s="152">
        <f t="shared" si="501"/>
        <v>0</v>
      </c>
      <c r="EX526" s="152">
        <f t="shared" si="502"/>
        <v>0</v>
      </c>
      <c r="EY526" s="151" t="str">
        <f t="shared" si="503"/>
        <v>Đủ</v>
      </c>
    </row>
    <row r="527" spans="1:158" s="263" customFormat="1" ht="14" hidden="1" customHeight="1">
      <c r="A527" s="208" t="str">
        <f t="shared" si="494"/>
        <v>ok</v>
      </c>
      <c r="B527" s="154"/>
      <c r="C527" s="154"/>
      <c r="D527" s="154"/>
      <c r="E527" s="154"/>
      <c r="F527" s="344"/>
      <c r="G527" s="154"/>
      <c r="H527" s="154"/>
      <c r="I527" s="256" t="s">
        <v>1088</v>
      </c>
      <c r="J527" s="254" t="s">
        <v>751</v>
      </c>
      <c r="K527" s="253" t="s">
        <v>810</v>
      </c>
      <c r="L527" s="261"/>
      <c r="M527" s="256" t="s">
        <v>1074</v>
      </c>
      <c r="N527" s="259"/>
      <c r="O527" s="191"/>
      <c r="P527" s="190"/>
      <c r="Q527" s="155"/>
      <c r="R527" s="155"/>
      <c r="S527" s="155"/>
      <c r="T527" s="155"/>
      <c r="U527" s="155"/>
      <c r="V527" s="155"/>
      <c r="W527" s="155"/>
      <c r="X527" s="155"/>
      <c r="Y527" s="155"/>
      <c r="Z527" s="155"/>
      <c r="AA527" s="155"/>
      <c r="AB527" s="155"/>
      <c r="AC527" s="155"/>
      <c r="AD527" s="155"/>
      <c r="AE527" s="155"/>
      <c r="AF527" s="155"/>
      <c r="AG527" s="155"/>
      <c r="AH527" s="155"/>
      <c r="AI527" s="155"/>
      <c r="AJ527" s="155"/>
      <c r="AK527" s="155"/>
      <c r="AL527" s="155"/>
      <c r="AM527" s="155"/>
      <c r="AN527" s="155"/>
      <c r="AO527" s="234"/>
      <c r="AP527" s="193"/>
      <c r="AQ527" s="193"/>
      <c r="AR527" s="193"/>
      <c r="AS527" s="193"/>
      <c r="AT527" s="193"/>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209"/>
      <c r="CT527" s="209"/>
      <c r="CU527" s="257"/>
      <c r="CV527" s="156"/>
      <c r="CW527" s="155"/>
      <c r="CX527" s="155"/>
      <c r="CY527" s="155"/>
      <c r="CZ527" s="155"/>
      <c r="DA527" s="152"/>
      <c r="DB527" s="152"/>
      <c r="DC527" s="158"/>
      <c r="DD527" s="158" t="s">
        <v>2243</v>
      </c>
      <c r="DE527" s="156" t="s">
        <v>2042</v>
      </c>
      <c r="DF527" s="253" t="s">
        <v>2351</v>
      </c>
      <c r="DG527" s="186" t="s">
        <v>2352</v>
      </c>
      <c r="DH527" s="156" t="s">
        <v>477</v>
      </c>
      <c r="DI527" s="187">
        <v>45982</v>
      </c>
      <c r="DJ527" s="717">
        <v>213</v>
      </c>
      <c r="DK527" s="240" t="s">
        <v>477</v>
      </c>
      <c r="DL527" s="189">
        <v>9000</v>
      </c>
      <c r="DM527" s="181">
        <f>DL527*DJ527*(1+DN527)</f>
        <v>2070360.0000000002</v>
      </c>
      <c r="DN527" s="446">
        <v>0.08</v>
      </c>
      <c r="DO527" s="160">
        <f t="shared" si="484"/>
        <v>1917000</v>
      </c>
      <c r="DP527" s="159">
        <v>45982</v>
      </c>
      <c r="DQ527" s="152"/>
      <c r="DR527" s="152"/>
      <c r="DS527" s="155"/>
      <c r="DT527" s="155"/>
      <c r="DU527" s="155"/>
      <c r="DV527" s="155"/>
      <c r="DW527" s="155"/>
      <c r="DX527" s="155"/>
      <c r="DY527" s="155"/>
      <c r="DZ527" s="155"/>
      <c r="EA527" s="155"/>
      <c r="EB527" s="155"/>
      <c r="EC527" s="155"/>
      <c r="ED527" s="155"/>
      <c r="EE527" s="155"/>
      <c r="EF527" s="155"/>
      <c r="EG527" s="155"/>
      <c r="EH527" s="155"/>
      <c r="EI527" s="155"/>
      <c r="EJ527" s="155"/>
      <c r="EK527" s="155"/>
      <c r="EL527" s="155"/>
      <c r="EM527" s="155"/>
      <c r="EN527" s="155"/>
      <c r="EO527" s="152"/>
      <c r="EP527" s="151"/>
      <c r="EQ527" s="153"/>
      <c r="ER527" s="153"/>
      <c r="ES527" s="153"/>
      <c r="ET527" s="153"/>
      <c r="EU527" s="152"/>
      <c r="EV527" s="152"/>
      <c r="EW527" s="152"/>
      <c r="EX527" s="152"/>
      <c r="EY527" s="151"/>
      <c r="EZ527" s="155"/>
      <c r="FA527" s="155"/>
      <c r="FB527" s="155"/>
    </row>
    <row r="528" spans="1:158" s="263" customFormat="1" ht="14" hidden="1" customHeight="1">
      <c r="A528" s="208" t="str">
        <f t="shared" si="494"/>
        <v>Hiện</v>
      </c>
      <c r="B528" s="154" t="str">
        <f t="shared" si="465"/>
        <v>Đủ</v>
      </c>
      <c r="C528" s="154">
        <f t="shared" si="405"/>
        <v>0</v>
      </c>
      <c r="D528" s="154"/>
      <c r="E528" s="154"/>
      <c r="F528" s="344" t="s">
        <v>1728</v>
      </c>
      <c r="G528" s="154"/>
      <c r="H528" s="154"/>
      <c r="I528" s="256" t="s">
        <v>1089</v>
      </c>
      <c r="J528" s="254" t="s">
        <v>751</v>
      </c>
      <c r="K528" s="253" t="s">
        <v>1090</v>
      </c>
      <c r="L528" s="261"/>
      <c r="M528" s="256" t="s">
        <v>1074</v>
      </c>
      <c r="N528" s="259"/>
      <c r="O528" s="191">
        <v>16</v>
      </c>
      <c r="P528" s="190"/>
      <c r="Q528" s="155"/>
      <c r="R528" s="155"/>
      <c r="S528" s="155"/>
      <c r="T528" s="155"/>
      <c r="U528" s="155"/>
      <c r="V528" s="155"/>
      <c r="W528" s="155"/>
      <c r="X528" s="155"/>
      <c r="Y528" s="155"/>
      <c r="Z528" s="155"/>
      <c r="AA528" s="155"/>
      <c r="AB528" s="155"/>
      <c r="AC528" s="155"/>
      <c r="AD528" s="155"/>
      <c r="AE528" s="155"/>
      <c r="AF528" s="155"/>
      <c r="AG528" s="155"/>
      <c r="AH528" s="155"/>
      <c r="AI528" s="155"/>
      <c r="AJ528" s="155"/>
      <c r="AK528" s="155"/>
      <c r="AL528" s="155"/>
      <c r="AM528" s="155"/>
      <c r="AN528" s="155"/>
      <c r="AO528" s="234">
        <v>16</v>
      </c>
      <c r="AP528" s="193">
        <v>0</v>
      </c>
      <c r="AQ528" s="193">
        <v>0</v>
      </c>
      <c r="AR528" s="193">
        <v>0</v>
      </c>
      <c r="AS528" s="193">
        <v>0</v>
      </c>
      <c r="AT528" s="193">
        <v>0</v>
      </c>
      <c r="AU528" s="162">
        <v>0</v>
      </c>
      <c r="AV528" s="162">
        <v>0</v>
      </c>
      <c r="AW528" s="162">
        <v>0</v>
      </c>
      <c r="AX528" s="162">
        <v>0</v>
      </c>
      <c r="AY528" s="162">
        <v>0</v>
      </c>
      <c r="AZ528" s="162">
        <v>0</v>
      </c>
      <c r="BA528" s="162"/>
      <c r="BB528" s="162"/>
      <c r="BC528" s="162">
        <v>0</v>
      </c>
      <c r="BD528" s="162">
        <v>0</v>
      </c>
      <c r="BE528" s="162">
        <v>0</v>
      </c>
      <c r="BF528" s="162">
        <v>0</v>
      </c>
      <c r="BG528" s="162">
        <v>0</v>
      </c>
      <c r="BH528" s="162">
        <v>0</v>
      </c>
      <c r="BI528" s="162">
        <v>0</v>
      </c>
      <c r="BJ528" s="162">
        <v>0</v>
      </c>
      <c r="BK528" s="162">
        <v>0</v>
      </c>
      <c r="BL528" s="162">
        <v>0</v>
      </c>
      <c r="BM528" s="162">
        <v>0</v>
      </c>
      <c r="BN528" s="162">
        <v>0</v>
      </c>
      <c r="BO528" s="162"/>
      <c r="BP528" s="162"/>
      <c r="BQ528" s="162">
        <v>0</v>
      </c>
      <c r="BR528" s="162">
        <v>0</v>
      </c>
      <c r="BS528" s="162">
        <v>0</v>
      </c>
      <c r="BT528" s="162">
        <v>0</v>
      </c>
      <c r="BU528" s="162">
        <v>0</v>
      </c>
      <c r="BV528" s="162">
        <v>0</v>
      </c>
      <c r="BW528" s="162"/>
      <c r="BX528" s="162"/>
      <c r="BY528" s="162">
        <v>0</v>
      </c>
      <c r="BZ528" s="162">
        <v>0</v>
      </c>
      <c r="CA528" s="162">
        <v>0</v>
      </c>
      <c r="CB528" s="162">
        <v>0</v>
      </c>
      <c r="CC528" s="162">
        <v>0</v>
      </c>
      <c r="CD528" s="162">
        <v>0</v>
      </c>
      <c r="CE528" s="162">
        <f>VLOOKUP(I528,[120]REV33!$A:$O,11,0)</f>
        <v>0</v>
      </c>
      <c r="CF528" s="162">
        <f>VLOOKUP(I528,[120]REV33!$A:$O,12,0)</f>
        <v>0</v>
      </c>
      <c r="CG528" s="162"/>
      <c r="CH528" s="162"/>
      <c r="CI528" s="162"/>
      <c r="CJ528" s="162"/>
      <c r="CK528" s="162"/>
      <c r="CL528" s="162"/>
      <c r="CM528" s="162"/>
      <c r="CN528" s="162"/>
      <c r="CO528" s="162">
        <v>0</v>
      </c>
      <c r="CP528" s="162">
        <v>0</v>
      </c>
      <c r="CQ528" s="162">
        <v>0</v>
      </c>
      <c r="CR528" s="162">
        <v>0</v>
      </c>
      <c r="CS528" s="209">
        <f>Q528+S528+U528+W528+Y528+AA528+AC528+AE528+AG528+AI528+AK528+AM528+AO528+AQ528+AS528+AU528+AW528+AY528+BA528+BC528+BE528+BG528+BI528+BK528+BM528+BO528+BQ528+BS528+BU528+BW528+BY528+CA528+CC528+CE528+CG528+CI528+CK528+CM528+CO528+CQ528</f>
        <v>16</v>
      </c>
      <c r="CT528" s="209">
        <f>R528+T528+V528+X528+Z528+AB528+AD528+AF528+AH528+AJ528+AL528+AN528+AP528+AR528+AT528+AV528+AX528+AZ528+BB528+BD528+BF528+BH528+BJ528+BL528+BN528+BP528+BR528+BT528+BV528+BX528+BZ528+CB528+CD528+CF528+CH528+CJ528+CL528+CN528+CP528+CR528</f>
        <v>0</v>
      </c>
      <c r="CU528" s="257" t="s">
        <v>1157</v>
      </c>
      <c r="CV528" s="156"/>
      <c r="CW528" s="155"/>
      <c r="CX528" s="155"/>
      <c r="CY528" s="155"/>
      <c r="CZ528" s="155"/>
      <c r="DA528" s="152">
        <f t="shared" ref="DA528:DA529" si="504">IF(CS528&gt;CW528,CS528-CW528,"0")</f>
        <v>16</v>
      </c>
      <c r="DB528" s="152" t="str">
        <f t="shared" ref="DB528:DB529" si="505">IF(CT528&gt;CX528,CT528-CX528,"0")</f>
        <v>0</v>
      </c>
      <c r="DC528" s="158"/>
      <c r="DD528" s="158" t="s">
        <v>1584</v>
      </c>
      <c r="DE528" s="156" t="s">
        <v>435</v>
      </c>
      <c r="DF528" s="260" t="s">
        <v>1327</v>
      </c>
      <c r="DG528" s="186"/>
      <c r="DH528" s="156" t="s">
        <v>477</v>
      </c>
      <c r="DI528" s="187">
        <v>45911</v>
      </c>
      <c r="DJ528" s="242">
        <v>16</v>
      </c>
      <c r="DK528" s="242" t="s">
        <v>477</v>
      </c>
      <c r="DL528" s="195">
        <v>19600</v>
      </c>
      <c r="DM528" s="181">
        <f>DL528*DJ528*1.1</f>
        <v>344960</v>
      </c>
      <c r="DN528" s="446">
        <f>(DM528-DO528)/DO528</f>
        <v>0.1</v>
      </c>
      <c r="DO528" s="195">
        <f t="shared" si="484"/>
        <v>313600</v>
      </c>
      <c r="DP528" s="159">
        <v>45913</v>
      </c>
      <c r="DQ528" s="152">
        <f>SUMIF($I:$I,I528,$DJ:$DJ)</f>
        <v>16</v>
      </c>
      <c r="DR528" s="152">
        <f>SUMIF($I:$I,I528,$DK:$DK)</f>
        <v>0</v>
      </c>
      <c r="DS528" s="155"/>
      <c r="DT528" s="155"/>
      <c r="DU528" s="155"/>
      <c r="DV528" s="155"/>
      <c r="DW528" s="155"/>
      <c r="DX528" s="155"/>
      <c r="DY528" s="155"/>
      <c r="DZ528" s="155"/>
      <c r="EA528" s="155"/>
      <c r="EB528" s="155"/>
      <c r="EC528" s="155"/>
      <c r="ED528" s="155"/>
      <c r="EE528" s="155"/>
      <c r="EF528" s="155"/>
      <c r="EG528" s="155"/>
      <c r="EH528" s="155"/>
      <c r="EI528" s="155"/>
      <c r="EJ528" s="155"/>
      <c r="EK528" s="155"/>
      <c r="EL528" s="155"/>
      <c r="EM528" s="155"/>
      <c r="EN528" s="155"/>
      <c r="EO528" s="152">
        <f>SUMIF($I:$I,I528,$EC:$EC)</f>
        <v>0</v>
      </c>
      <c r="EP528" s="151">
        <f>SUMIF($I:$I,I528,$ED:$ED)</f>
        <v>0</v>
      </c>
      <c r="EQ528" s="153"/>
      <c r="ER528" s="153"/>
      <c r="ES528" s="153"/>
      <c r="ET528" s="153"/>
      <c r="EU528" s="152">
        <f t="shared" ref="EU528:EU529" si="506">DQ528+EO528</f>
        <v>16</v>
      </c>
      <c r="EV528" s="152">
        <f t="shared" ref="EV528:EV529" si="507">DR528+EP528</f>
        <v>0</v>
      </c>
      <c r="EW528" s="152">
        <f t="shared" ref="EW528:EW529" si="508">DA528-EU528</f>
        <v>0</v>
      </c>
      <c r="EX528" s="152">
        <f t="shared" ref="EX528:EX529" si="509">DB528-EV528</f>
        <v>0</v>
      </c>
      <c r="EY528" s="151" t="str">
        <f t="shared" ref="EY528:EY529" si="510">IF(EW528&lt;0,"Thừa",IF(EW528=0,"Đủ","Thiếu"))</f>
        <v>Đủ</v>
      </c>
      <c r="EZ528" s="155"/>
      <c r="FA528" s="155"/>
      <c r="FB528" s="155"/>
    </row>
    <row r="529" spans="1:158" s="155" customFormat="1" ht="14" hidden="1" customHeight="1">
      <c r="A529" s="208" t="str">
        <f t="shared" si="494"/>
        <v>Hiện</v>
      </c>
      <c r="B529" s="154" t="str">
        <f t="shared" si="465"/>
        <v>Đủ</v>
      </c>
      <c r="C529" s="154">
        <f t="shared" si="405"/>
        <v>0</v>
      </c>
      <c r="D529" s="154"/>
      <c r="E529" s="154"/>
      <c r="F529" s="344" t="s">
        <v>1728</v>
      </c>
      <c r="G529" s="154"/>
      <c r="H529" s="154"/>
      <c r="I529" s="256" t="s">
        <v>1091</v>
      </c>
      <c r="J529" s="254" t="s">
        <v>751</v>
      </c>
      <c r="K529" s="253" t="s">
        <v>1092</v>
      </c>
      <c r="L529" s="261"/>
      <c r="M529" s="256" t="s">
        <v>1074</v>
      </c>
      <c r="N529" s="259"/>
      <c r="O529" s="191">
        <v>104</v>
      </c>
      <c r="P529" s="190"/>
      <c r="AO529" s="234">
        <v>104</v>
      </c>
      <c r="AP529" s="193">
        <v>0</v>
      </c>
      <c r="AQ529" s="193">
        <v>0</v>
      </c>
      <c r="AR529" s="193">
        <v>0</v>
      </c>
      <c r="AS529" s="193">
        <v>0</v>
      </c>
      <c r="AT529" s="193">
        <v>0</v>
      </c>
      <c r="AU529" s="162">
        <v>0</v>
      </c>
      <c r="AV529" s="162">
        <v>0</v>
      </c>
      <c r="AW529" s="162">
        <v>240</v>
      </c>
      <c r="AX529" s="162">
        <v>0</v>
      </c>
      <c r="AY529" s="162">
        <v>0</v>
      </c>
      <c r="AZ529" s="162">
        <v>0</v>
      </c>
      <c r="BA529" s="162"/>
      <c r="BB529" s="162"/>
      <c r="BC529" s="162">
        <v>0</v>
      </c>
      <c r="BD529" s="162">
        <v>0</v>
      </c>
      <c r="BE529" s="162">
        <v>0</v>
      </c>
      <c r="BF529" s="162">
        <v>0</v>
      </c>
      <c r="BG529" s="162">
        <v>0</v>
      </c>
      <c r="BH529" s="162">
        <v>0</v>
      </c>
      <c r="BI529" s="162">
        <v>0</v>
      </c>
      <c r="BJ529" s="162">
        <v>0</v>
      </c>
      <c r="BK529" s="162">
        <v>0</v>
      </c>
      <c r="BL529" s="162">
        <v>0</v>
      </c>
      <c r="BM529" s="162">
        <v>0</v>
      </c>
      <c r="BN529" s="162">
        <v>0</v>
      </c>
      <c r="BO529" s="162"/>
      <c r="BP529" s="162"/>
      <c r="BQ529" s="162">
        <v>272</v>
      </c>
      <c r="BR529" s="162">
        <v>0</v>
      </c>
      <c r="BS529" s="162">
        <v>0</v>
      </c>
      <c r="BT529" s="162">
        <v>0</v>
      </c>
      <c r="BU529" s="162">
        <v>0</v>
      </c>
      <c r="BV529" s="162">
        <v>0</v>
      </c>
      <c r="BW529" s="162"/>
      <c r="BX529" s="162"/>
      <c r="BY529" s="162">
        <v>0</v>
      </c>
      <c r="BZ529" s="162">
        <v>0</v>
      </c>
      <c r="CA529" s="162">
        <v>0</v>
      </c>
      <c r="CB529" s="162">
        <v>0</v>
      </c>
      <c r="CC529" s="162">
        <v>0</v>
      </c>
      <c r="CD529" s="162">
        <v>0</v>
      </c>
      <c r="CE529" s="162">
        <f>VLOOKUP(I529,[120]REV33!$A:$O,11,0)</f>
        <v>0</v>
      </c>
      <c r="CF529" s="162">
        <f>VLOOKUP(I529,[120]REV33!$A:$O,12,0)</f>
        <v>0</v>
      </c>
      <c r="CG529" s="162"/>
      <c r="CH529" s="162"/>
      <c r="CI529" s="162"/>
      <c r="CJ529" s="162"/>
      <c r="CK529" s="162"/>
      <c r="CL529" s="162"/>
      <c r="CM529" s="162"/>
      <c r="CN529" s="162"/>
      <c r="CO529" s="162">
        <v>0</v>
      </c>
      <c r="CP529" s="162">
        <v>0</v>
      </c>
      <c r="CQ529" s="162">
        <v>0</v>
      </c>
      <c r="CR529" s="162">
        <v>0</v>
      </c>
      <c r="CS529" s="209">
        <f>Q529+S529+U529+W529+Y529+AA529+AC529+AE529+AG529+AI529+AK529+AM529+AO529+AQ529+AS529+AU529+AW529+AY529+BA529+BC529+BE529+BG529+BI529+BK529+BM529+BO529+BQ529+BS529+BU529+BW529+BY529+CA529+CC529+CE529+CG529+CI529+CK529+CM529+CO529+CQ529</f>
        <v>616</v>
      </c>
      <c r="CT529" s="209">
        <f>R529+T529+V529+X529+Z529+AB529+AD529+AF529+AH529+AJ529+AL529+AN529+AP529+AR529+AT529+AV529+AX529+AZ529+BB529+BD529+BF529+BH529+BJ529+BL529+BN529+BP529+BR529+BT529+BV529+BX529+BZ529+CB529+CD529+CF529+CH529+CJ529+CL529+CN529+CP529+CR529</f>
        <v>0</v>
      </c>
      <c r="CU529" s="257" t="s">
        <v>1894</v>
      </c>
      <c r="CV529" s="156"/>
      <c r="CW529" s="155">
        <v>36</v>
      </c>
      <c r="DA529" s="152">
        <f t="shared" si="504"/>
        <v>580</v>
      </c>
      <c r="DB529" s="152" t="str">
        <f t="shared" si="505"/>
        <v>0</v>
      </c>
      <c r="DC529" s="158"/>
      <c r="DD529" s="158" t="s">
        <v>1584</v>
      </c>
      <c r="DE529" s="156" t="s">
        <v>435</v>
      </c>
      <c r="DF529" s="260" t="s">
        <v>1328</v>
      </c>
      <c r="DG529" s="186"/>
      <c r="DH529" s="156" t="s">
        <v>477</v>
      </c>
      <c r="DI529" s="187">
        <v>45911</v>
      </c>
      <c r="DJ529" s="242">
        <v>68</v>
      </c>
      <c r="DK529" s="242" t="s">
        <v>477</v>
      </c>
      <c r="DL529" s="195">
        <v>12740</v>
      </c>
      <c r="DM529" s="181">
        <f>DL529*DJ529*1.1</f>
        <v>952952.00000000012</v>
      </c>
      <c r="DN529" s="446">
        <f>(DM529-DO529)/DO529</f>
        <v>0.10000000000000013</v>
      </c>
      <c r="DO529" s="195">
        <f t="shared" si="484"/>
        <v>866320</v>
      </c>
      <c r="DP529" s="159">
        <v>45913</v>
      </c>
      <c r="DQ529" s="152">
        <f>SUMIF($I:$I,I529,$DJ:$DJ)</f>
        <v>580</v>
      </c>
      <c r="DR529" s="152">
        <f>SUMIF($I:$I,I529,$DK:$DK)</f>
        <v>0</v>
      </c>
      <c r="EO529" s="152">
        <f>SUMIF($I:$I,I529,$EC:$EC)</f>
        <v>0</v>
      </c>
      <c r="EP529" s="151">
        <f>SUMIF($I:$I,I529,$ED:$ED)</f>
        <v>0</v>
      </c>
      <c r="EQ529" s="153"/>
      <c r="ER529" s="153"/>
      <c r="ES529" s="153"/>
      <c r="ET529" s="153"/>
      <c r="EU529" s="152">
        <f t="shared" si="506"/>
        <v>580</v>
      </c>
      <c r="EV529" s="152">
        <f t="shared" si="507"/>
        <v>0</v>
      </c>
      <c r="EW529" s="152">
        <f t="shared" si="508"/>
        <v>0</v>
      </c>
      <c r="EX529" s="152">
        <f t="shared" si="509"/>
        <v>0</v>
      </c>
      <c r="EY529" s="151" t="str">
        <f t="shared" si="510"/>
        <v>Đủ</v>
      </c>
    </row>
    <row r="530" spans="1:158" s="263" customFormat="1" ht="14" hidden="1" customHeight="1">
      <c r="A530" s="208" t="str">
        <f t="shared" si="494"/>
        <v>ok</v>
      </c>
      <c r="B530" s="154"/>
      <c r="C530" s="154"/>
      <c r="D530" s="154"/>
      <c r="E530" s="154"/>
      <c r="F530" s="344"/>
      <c r="G530" s="154"/>
      <c r="H530" s="154"/>
      <c r="I530" s="256" t="s">
        <v>1091</v>
      </c>
      <c r="J530" s="254" t="s">
        <v>751</v>
      </c>
      <c r="K530" s="253" t="s">
        <v>1092</v>
      </c>
      <c r="L530" s="261"/>
      <c r="M530" s="256" t="s">
        <v>1074</v>
      </c>
      <c r="N530" s="259"/>
      <c r="O530" s="191"/>
      <c r="P530" s="190"/>
      <c r="Q530" s="155"/>
      <c r="R530" s="155"/>
      <c r="S530" s="155"/>
      <c r="T530" s="155"/>
      <c r="U530" s="155"/>
      <c r="V530" s="155"/>
      <c r="W530" s="155"/>
      <c r="X530" s="155"/>
      <c r="Y530" s="155"/>
      <c r="Z530" s="155"/>
      <c r="AA530" s="155"/>
      <c r="AB530" s="155"/>
      <c r="AC530" s="155"/>
      <c r="AD530" s="155"/>
      <c r="AE530" s="155"/>
      <c r="AF530" s="155"/>
      <c r="AG530" s="155"/>
      <c r="AH530" s="155"/>
      <c r="AI530" s="155"/>
      <c r="AJ530" s="155"/>
      <c r="AK530" s="155"/>
      <c r="AL530" s="155"/>
      <c r="AM530" s="155"/>
      <c r="AN530" s="155"/>
      <c r="AO530" s="234"/>
      <c r="AP530" s="193"/>
      <c r="AQ530" s="193"/>
      <c r="AR530" s="193"/>
      <c r="AS530" s="193"/>
      <c r="AT530" s="193"/>
      <c r="AU530" s="162"/>
      <c r="AV530" s="162"/>
      <c r="AW530" s="162"/>
      <c r="AX530" s="162"/>
      <c r="AY530" s="162"/>
      <c r="AZ530" s="162"/>
      <c r="BA530" s="162"/>
      <c r="BB530" s="162"/>
      <c r="BC530" s="162"/>
      <c r="BD530" s="162"/>
      <c r="BE530" s="162"/>
      <c r="BF530" s="162"/>
      <c r="BG530" s="162"/>
      <c r="BH530" s="162"/>
      <c r="BI530" s="162"/>
      <c r="BJ530" s="162"/>
      <c r="BK530" s="162"/>
      <c r="BL530" s="162"/>
      <c r="BM530" s="162"/>
      <c r="BN530" s="162"/>
      <c r="BO530" s="162"/>
      <c r="BP530" s="162"/>
      <c r="BQ530" s="162"/>
      <c r="BR530" s="162"/>
      <c r="BS530" s="162"/>
      <c r="BT530" s="162"/>
      <c r="BU530" s="162"/>
      <c r="BV530" s="162"/>
      <c r="BW530" s="162"/>
      <c r="BX530" s="162"/>
      <c r="BY530" s="162"/>
      <c r="BZ530" s="162"/>
      <c r="CA530" s="162"/>
      <c r="CB530" s="162"/>
      <c r="CC530" s="162"/>
      <c r="CD530" s="162"/>
      <c r="CE530" s="162"/>
      <c r="CF530" s="162"/>
      <c r="CG530" s="162"/>
      <c r="CH530" s="162"/>
      <c r="CI530" s="162"/>
      <c r="CJ530" s="162"/>
      <c r="CK530" s="162"/>
      <c r="CL530" s="162"/>
      <c r="CM530" s="162"/>
      <c r="CN530" s="162"/>
      <c r="CO530" s="162"/>
      <c r="CP530" s="162"/>
      <c r="CQ530" s="162"/>
      <c r="CR530" s="162"/>
      <c r="CS530" s="209"/>
      <c r="CT530" s="209"/>
      <c r="CU530" s="257"/>
      <c r="CV530" s="156"/>
      <c r="CW530" s="155"/>
      <c r="CX530" s="155"/>
      <c r="CY530" s="155"/>
      <c r="CZ530" s="155"/>
      <c r="DA530" s="152"/>
      <c r="DB530" s="152"/>
      <c r="DC530" s="158"/>
      <c r="DD530" s="158" t="s">
        <v>2243</v>
      </c>
      <c r="DE530" s="156" t="s">
        <v>2042</v>
      </c>
      <c r="DF530" s="253" t="s">
        <v>2353</v>
      </c>
      <c r="DG530" s="186" t="s">
        <v>2354</v>
      </c>
      <c r="DH530" s="156" t="s">
        <v>477</v>
      </c>
      <c r="DI530" s="187">
        <v>45982</v>
      </c>
      <c r="DJ530" s="717">
        <v>272</v>
      </c>
      <c r="DK530" s="240" t="s">
        <v>477</v>
      </c>
      <c r="DL530" s="189">
        <v>9000</v>
      </c>
      <c r="DM530" s="181">
        <f>DL530*DJ530*(1+DN530)</f>
        <v>2643840</v>
      </c>
      <c r="DN530" s="446">
        <v>0.08</v>
      </c>
      <c r="DO530" s="160">
        <f t="shared" si="484"/>
        <v>2448000</v>
      </c>
      <c r="DP530" s="159">
        <v>45982</v>
      </c>
      <c r="DQ530" s="152"/>
      <c r="DR530" s="152"/>
      <c r="DS530" s="155"/>
      <c r="DT530" s="155"/>
      <c r="DU530" s="155"/>
      <c r="DV530" s="155"/>
      <c r="DW530" s="155"/>
      <c r="DX530" s="155"/>
      <c r="DY530" s="155"/>
      <c r="DZ530" s="155"/>
      <c r="EA530" s="155"/>
      <c r="EB530" s="155"/>
      <c r="EC530" s="155"/>
      <c r="ED530" s="155"/>
      <c r="EE530" s="155"/>
      <c r="EF530" s="155"/>
      <c r="EG530" s="155"/>
      <c r="EH530" s="155"/>
      <c r="EI530" s="155"/>
      <c r="EJ530" s="155"/>
      <c r="EK530" s="155"/>
      <c r="EL530" s="155"/>
      <c r="EM530" s="155"/>
      <c r="EN530" s="155"/>
      <c r="EO530" s="152"/>
      <c r="EP530" s="151"/>
      <c r="EQ530" s="153"/>
      <c r="ER530" s="153"/>
      <c r="ES530" s="153"/>
      <c r="ET530" s="153"/>
      <c r="EU530" s="152"/>
      <c r="EV530" s="152"/>
      <c r="EW530" s="152"/>
      <c r="EX530" s="152"/>
      <c r="EY530" s="151"/>
      <c r="EZ530" s="155"/>
      <c r="FA530" s="155"/>
      <c r="FB530" s="155"/>
    </row>
    <row r="531" spans="1:158" s="263" customFormat="1" ht="14" hidden="1" customHeight="1">
      <c r="A531" s="208" t="str">
        <f t="shared" si="494"/>
        <v>ok</v>
      </c>
      <c r="B531" s="154"/>
      <c r="C531" s="154"/>
      <c r="D531" s="154"/>
      <c r="E531" s="154"/>
      <c r="F531" s="344" t="s">
        <v>1728</v>
      </c>
      <c r="G531" s="154"/>
      <c r="H531" s="154"/>
      <c r="I531" s="256" t="s">
        <v>1091</v>
      </c>
      <c r="J531" s="254" t="s">
        <v>751</v>
      </c>
      <c r="K531" s="253" t="s">
        <v>1092</v>
      </c>
      <c r="L531" s="261"/>
      <c r="M531" s="256" t="s">
        <v>1074</v>
      </c>
      <c r="N531" s="259"/>
      <c r="O531" s="191"/>
      <c r="P531" s="190"/>
      <c r="Q531" s="155"/>
      <c r="R531" s="155"/>
      <c r="S531" s="155"/>
      <c r="T531" s="155"/>
      <c r="U531" s="155"/>
      <c r="V531" s="155"/>
      <c r="W531" s="155"/>
      <c r="X531" s="155"/>
      <c r="Y531" s="155"/>
      <c r="Z531" s="155"/>
      <c r="AA531" s="155"/>
      <c r="AB531" s="155"/>
      <c r="AC531" s="155"/>
      <c r="AD531" s="155"/>
      <c r="AE531" s="155"/>
      <c r="AF531" s="155"/>
      <c r="AG531" s="155"/>
      <c r="AH531" s="155"/>
      <c r="AI531" s="155"/>
      <c r="AJ531" s="155"/>
      <c r="AK531" s="155"/>
      <c r="AL531" s="155"/>
      <c r="AM531" s="155"/>
      <c r="AN531" s="155"/>
      <c r="AO531" s="234"/>
      <c r="AP531" s="193"/>
      <c r="AQ531" s="193"/>
      <c r="AR531" s="193"/>
      <c r="AS531" s="193"/>
      <c r="AT531" s="193"/>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209"/>
      <c r="CT531" s="209"/>
      <c r="CU531" s="257"/>
      <c r="CV531" s="156"/>
      <c r="CW531" s="155"/>
      <c r="CX531" s="155"/>
      <c r="CY531" s="155"/>
      <c r="CZ531" s="155"/>
      <c r="DA531" s="152"/>
      <c r="DB531" s="152"/>
      <c r="DC531" s="158"/>
      <c r="DD531" s="158" t="s">
        <v>1583</v>
      </c>
      <c r="DE531" s="156" t="s">
        <v>435</v>
      </c>
      <c r="DF531" s="253" t="s">
        <v>1092</v>
      </c>
      <c r="DG531" s="186"/>
      <c r="DH531" s="156" t="s">
        <v>477</v>
      </c>
      <c r="DI531" s="187">
        <v>45916</v>
      </c>
      <c r="DJ531" s="242">
        <v>240</v>
      </c>
      <c r="DK531" s="240" t="s">
        <v>477</v>
      </c>
      <c r="DL531" s="195">
        <v>12740</v>
      </c>
      <c r="DM531" s="181">
        <f>DL531*DJ531*1.1</f>
        <v>3363360.0000000005</v>
      </c>
      <c r="DN531" s="446">
        <f>(DM531-DO531)/DO531</f>
        <v>0.10000000000000016</v>
      </c>
      <c r="DO531" s="160">
        <f t="shared" si="484"/>
        <v>3057600</v>
      </c>
      <c r="DP531" s="159">
        <v>45922</v>
      </c>
      <c r="DQ531" s="152"/>
      <c r="DR531" s="152"/>
      <c r="DS531" s="155"/>
      <c r="DT531" s="155"/>
      <c r="DU531" s="155"/>
      <c r="DV531" s="155"/>
      <c r="DW531" s="155"/>
      <c r="DX531" s="155"/>
      <c r="DY531" s="155"/>
      <c r="DZ531" s="155"/>
      <c r="EA531" s="155"/>
      <c r="EB531" s="155"/>
      <c r="EC531" s="155"/>
      <c r="ED531" s="155"/>
      <c r="EE531" s="155"/>
      <c r="EF531" s="155"/>
      <c r="EG531" s="155"/>
      <c r="EH531" s="155"/>
      <c r="EI531" s="155"/>
      <c r="EJ531" s="155"/>
      <c r="EK531" s="155"/>
      <c r="EL531" s="155"/>
      <c r="EM531" s="155"/>
      <c r="EN531" s="155"/>
      <c r="EO531" s="152"/>
      <c r="EP531" s="151"/>
      <c r="EQ531" s="153"/>
      <c r="ER531" s="153"/>
      <c r="ES531" s="153"/>
      <c r="ET531" s="153"/>
      <c r="EU531" s="152"/>
      <c r="EV531" s="152"/>
      <c r="EW531" s="152"/>
      <c r="EX531" s="152"/>
      <c r="EY531" s="151"/>
      <c r="EZ531" s="155"/>
      <c r="FA531" s="155"/>
      <c r="FB531" s="155"/>
    </row>
    <row r="532" spans="1:158" s="263" customFormat="1" ht="14" hidden="1" customHeight="1">
      <c r="A532" s="208" t="str">
        <f t="shared" si="494"/>
        <v>Hiện</v>
      </c>
      <c r="B532" s="154" t="str">
        <f t="shared" ref="B532:B551" si="511">EY532</f>
        <v>Đủ</v>
      </c>
      <c r="C532" s="154">
        <f t="shared" si="405"/>
        <v>0</v>
      </c>
      <c r="D532" s="154"/>
      <c r="E532" s="154"/>
      <c r="F532" s="344" t="s">
        <v>1728</v>
      </c>
      <c r="G532" s="154"/>
      <c r="H532" s="154"/>
      <c r="I532" s="256" t="s">
        <v>1093</v>
      </c>
      <c r="J532" s="254" t="s">
        <v>751</v>
      </c>
      <c r="K532" s="253" t="s">
        <v>812</v>
      </c>
      <c r="L532" s="261"/>
      <c r="M532" s="256" t="s">
        <v>1074</v>
      </c>
      <c r="N532" s="259"/>
      <c r="O532" s="191">
        <v>4</v>
      </c>
      <c r="P532" s="190"/>
      <c r="Q532" s="155"/>
      <c r="R532" s="155"/>
      <c r="S532" s="155"/>
      <c r="T532" s="155"/>
      <c r="U532" s="155"/>
      <c r="V532" s="155"/>
      <c r="W532" s="155"/>
      <c r="X532" s="155"/>
      <c r="Y532" s="155"/>
      <c r="Z532" s="155"/>
      <c r="AA532" s="155"/>
      <c r="AB532" s="155"/>
      <c r="AC532" s="155"/>
      <c r="AD532" s="155"/>
      <c r="AE532" s="155"/>
      <c r="AF532" s="155"/>
      <c r="AG532" s="155"/>
      <c r="AH532" s="155"/>
      <c r="AI532" s="155"/>
      <c r="AJ532" s="155"/>
      <c r="AK532" s="155"/>
      <c r="AL532" s="155"/>
      <c r="AM532" s="155"/>
      <c r="AN532" s="155"/>
      <c r="AO532" s="234">
        <v>4</v>
      </c>
      <c r="AP532" s="193">
        <v>0</v>
      </c>
      <c r="AQ532" s="193">
        <v>0</v>
      </c>
      <c r="AR532" s="193">
        <v>0</v>
      </c>
      <c r="AS532" s="193">
        <v>0</v>
      </c>
      <c r="AT532" s="193">
        <v>0</v>
      </c>
      <c r="AU532" s="162">
        <v>0</v>
      </c>
      <c r="AV532" s="162">
        <v>0</v>
      </c>
      <c r="AW532" s="162">
        <v>0</v>
      </c>
      <c r="AX532" s="162">
        <v>0</v>
      </c>
      <c r="AY532" s="162">
        <v>0</v>
      </c>
      <c r="AZ532" s="162">
        <v>0</v>
      </c>
      <c r="BA532" s="162"/>
      <c r="BB532" s="162"/>
      <c r="BC532" s="162">
        <v>0</v>
      </c>
      <c r="BD532" s="162">
        <v>0</v>
      </c>
      <c r="BE532" s="162">
        <v>0</v>
      </c>
      <c r="BF532" s="162">
        <v>0</v>
      </c>
      <c r="BG532" s="162">
        <v>0</v>
      </c>
      <c r="BH532" s="162">
        <v>0</v>
      </c>
      <c r="BI532" s="162">
        <v>0</v>
      </c>
      <c r="BJ532" s="162">
        <v>0</v>
      </c>
      <c r="BK532" s="162">
        <v>0</v>
      </c>
      <c r="BL532" s="162">
        <v>0</v>
      </c>
      <c r="BM532" s="162">
        <v>0</v>
      </c>
      <c r="BN532" s="162">
        <v>0</v>
      </c>
      <c r="BO532" s="162"/>
      <c r="BP532" s="162"/>
      <c r="BQ532" s="162">
        <v>0</v>
      </c>
      <c r="BR532" s="162">
        <v>0</v>
      </c>
      <c r="BS532" s="162">
        <v>0</v>
      </c>
      <c r="BT532" s="162">
        <v>0</v>
      </c>
      <c r="BU532" s="162">
        <v>0</v>
      </c>
      <c r="BV532" s="162">
        <v>0</v>
      </c>
      <c r="BW532" s="162"/>
      <c r="BX532" s="162"/>
      <c r="BY532" s="162">
        <v>0</v>
      </c>
      <c r="BZ532" s="162">
        <v>0</v>
      </c>
      <c r="CA532" s="162">
        <v>0</v>
      </c>
      <c r="CB532" s="162">
        <v>0</v>
      </c>
      <c r="CC532" s="162">
        <v>0</v>
      </c>
      <c r="CD532" s="162">
        <v>0</v>
      </c>
      <c r="CE532" s="162">
        <f>VLOOKUP(I532,[120]REV33!$A:$O,11,0)</f>
        <v>0</v>
      </c>
      <c r="CF532" s="162">
        <f>VLOOKUP(I532,[120]REV33!$A:$O,12,0)</f>
        <v>0</v>
      </c>
      <c r="CG532" s="162"/>
      <c r="CH532" s="162"/>
      <c r="CI532" s="162"/>
      <c r="CJ532" s="162"/>
      <c r="CK532" s="162"/>
      <c r="CL532" s="162"/>
      <c r="CM532" s="162"/>
      <c r="CN532" s="162"/>
      <c r="CO532" s="162">
        <v>0</v>
      </c>
      <c r="CP532" s="162">
        <v>0</v>
      </c>
      <c r="CQ532" s="162">
        <v>0</v>
      </c>
      <c r="CR532" s="162">
        <v>0</v>
      </c>
      <c r="CS532" s="209">
        <f>Q532+S532+U532+W532+Y532+AA532+AC532+AE532+AG532+AI532+AK532+AM532+AO532+AQ532+AS532+AU532+AW532+AY532+BA532+BC532+BE532+BG532+BI532+BK532+BM532+BO532+BQ532+BS532+BU532+BW532+BY532+CA532+CC532+CE532+CG532+CI532+CK532+CM532+CO532+CQ532</f>
        <v>4</v>
      </c>
      <c r="CT532" s="209">
        <f>R532+T532+V532+X532+Z532+AB532+AD532+AF532+AH532+AJ532+AL532+AN532+AP532+AR532+AT532+AV532+AX532+AZ532+BB532+BD532+BF532+BH532+BJ532+BL532+BN532+BP532+BR532+BT532+BV532+BX532+BZ532+CB532+CD532+CF532+CH532+CJ532+CL532+CN532+CP532+CR532</f>
        <v>0</v>
      </c>
      <c r="CU532" s="257" t="s">
        <v>1157</v>
      </c>
      <c r="CV532" s="156"/>
      <c r="CW532" s="155">
        <v>4</v>
      </c>
      <c r="CX532" s="155"/>
      <c r="CY532" s="155"/>
      <c r="CZ532" s="155"/>
      <c r="DA532" s="152" t="str">
        <f t="shared" ref="DA532:DA533" si="512">IF(CS532&gt;CW532,CS532-CW532,"0")</f>
        <v>0</v>
      </c>
      <c r="DB532" s="152" t="str">
        <f t="shared" ref="DB532:DB533" si="513">IF(CT532&gt;CX532,CT532-CX532,"0")</f>
        <v>0</v>
      </c>
      <c r="DC532" s="158"/>
      <c r="DD532" s="158"/>
      <c r="DE532" s="156"/>
      <c r="DF532" s="260"/>
      <c r="DG532" s="186"/>
      <c r="DH532" s="156"/>
      <c r="DI532" s="195"/>
      <c r="DJ532" s="242"/>
      <c r="DK532" s="242"/>
      <c r="DL532" s="195"/>
      <c r="DM532" s="195"/>
      <c r="DN532" s="195"/>
      <c r="DO532" s="195"/>
      <c r="DP532" s="160"/>
      <c r="DQ532" s="152">
        <f>SUMIF($I:$I,I532,$DJ:$DJ)</f>
        <v>0</v>
      </c>
      <c r="DR532" s="152">
        <f>SUMIF($I:$I,I532,$DK:$DK)</f>
        <v>0</v>
      </c>
      <c r="DS532" s="155"/>
      <c r="DT532" s="155"/>
      <c r="DU532" s="155"/>
      <c r="DV532" s="155"/>
      <c r="DW532" s="155"/>
      <c r="DX532" s="155"/>
      <c r="DY532" s="155"/>
      <c r="DZ532" s="155"/>
      <c r="EA532" s="155"/>
      <c r="EB532" s="155"/>
      <c r="EC532" s="155"/>
      <c r="ED532" s="155"/>
      <c r="EE532" s="155"/>
      <c r="EF532" s="155"/>
      <c r="EG532" s="155"/>
      <c r="EH532" s="155"/>
      <c r="EI532" s="155"/>
      <c r="EJ532" s="155"/>
      <c r="EK532" s="155"/>
      <c r="EL532" s="155"/>
      <c r="EM532" s="155"/>
      <c r="EN532" s="155"/>
      <c r="EO532" s="152">
        <f>SUMIF($I:$I,I532,$EC:$EC)</f>
        <v>0</v>
      </c>
      <c r="EP532" s="151">
        <f>SUMIF($I:$I,I532,$ED:$ED)</f>
        <v>0</v>
      </c>
      <c r="EQ532" s="153"/>
      <c r="ER532" s="153"/>
      <c r="ES532" s="153"/>
      <c r="ET532" s="153"/>
      <c r="EU532" s="152">
        <f t="shared" ref="EU532:EU533" si="514">DQ532+EO532</f>
        <v>0</v>
      </c>
      <c r="EV532" s="152">
        <f t="shared" ref="EV532:EV533" si="515">DR532+EP532</f>
        <v>0</v>
      </c>
      <c r="EW532" s="152">
        <f t="shared" ref="EW532:EW533" si="516">DA532-EU532</f>
        <v>0</v>
      </c>
      <c r="EX532" s="152">
        <f t="shared" ref="EX532:EX533" si="517">DB532-EV532</f>
        <v>0</v>
      </c>
      <c r="EY532" s="151" t="str">
        <f t="shared" ref="EY532:EY533" si="518">IF(EW532&lt;0,"Thừa",IF(EW532=0,"Đủ","Thiếu"))</f>
        <v>Đủ</v>
      </c>
      <c r="EZ532" s="155"/>
      <c r="FA532" s="155"/>
      <c r="FB532" s="155"/>
    </row>
    <row r="533" spans="1:158" s="155" customFormat="1" ht="14" hidden="1" customHeight="1">
      <c r="A533" s="208" t="str">
        <f t="shared" si="494"/>
        <v>Hiện</v>
      </c>
      <c r="B533" s="154" t="str">
        <f t="shared" si="511"/>
        <v>Đủ</v>
      </c>
      <c r="C533" s="154">
        <f t="shared" si="405"/>
        <v>0</v>
      </c>
      <c r="D533" s="154"/>
      <c r="E533" s="154"/>
      <c r="F533" s="344" t="s">
        <v>1728</v>
      </c>
      <c r="G533" s="154"/>
      <c r="H533" s="154"/>
      <c r="I533" s="256" t="s">
        <v>1094</v>
      </c>
      <c r="J533" s="254" t="s">
        <v>751</v>
      </c>
      <c r="K533" s="253" t="s">
        <v>1095</v>
      </c>
      <c r="L533" s="261"/>
      <c r="M533" s="256" t="s">
        <v>1074</v>
      </c>
      <c r="N533" s="259"/>
      <c r="O533" s="191">
        <v>272</v>
      </c>
      <c r="P533" s="190"/>
      <c r="AO533" s="234">
        <v>272</v>
      </c>
      <c r="AP533" s="193">
        <v>0</v>
      </c>
      <c r="AQ533" s="193">
        <v>0</v>
      </c>
      <c r="AR533" s="193">
        <v>0</v>
      </c>
      <c r="AS533" s="193">
        <v>0</v>
      </c>
      <c r="AT533" s="193">
        <v>0</v>
      </c>
      <c r="AU533" s="162">
        <v>0</v>
      </c>
      <c r="AV533" s="162">
        <v>0</v>
      </c>
      <c r="AW533" s="162">
        <v>0</v>
      </c>
      <c r="AX533" s="162">
        <v>0</v>
      </c>
      <c r="AY533" s="162">
        <v>0</v>
      </c>
      <c r="AZ533" s="162">
        <v>0</v>
      </c>
      <c r="BA533" s="162"/>
      <c r="BB533" s="162"/>
      <c r="BC533" s="162">
        <v>0</v>
      </c>
      <c r="BD533" s="162">
        <v>0</v>
      </c>
      <c r="BE533" s="162">
        <v>0</v>
      </c>
      <c r="BF533" s="162">
        <v>0</v>
      </c>
      <c r="BG533" s="162">
        <v>0</v>
      </c>
      <c r="BH533" s="162">
        <v>0</v>
      </c>
      <c r="BI533" s="162">
        <v>0</v>
      </c>
      <c r="BJ533" s="162">
        <v>0</v>
      </c>
      <c r="BK533" s="162">
        <v>0</v>
      </c>
      <c r="BL533" s="162">
        <v>0</v>
      </c>
      <c r="BM533" s="162">
        <v>0</v>
      </c>
      <c r="BN533" s="162">
        <v>0</v>
      </c>
      <c r="BO533" s="162"/>
      <c r="BP533" s="162"/>
      <c r="BQ533" s="162">
        <v>192</v>
      </c>
      <c r="BR533" s="162">
        <v>0</v>
      </c>
      <c r="BS533" s="162">
        <v>0</v>
      </c>
      <c r="BT533" s="162">
        <v>0</v>
      </c>
      <c r="BU533" s="162">
        <v>0</v>
      </c>
      <c r="BV533" s="162">
        <v>0</v>
      </c>
      <c r="BW533" s="162"/>
      <c r="BX533" s="162"/>
      <c r="BY533" s="162">
        <v>0</v>
      </c>
      <c r="BZ533" s="162">
        <v>0</v>
      </c>
      <c r="CA533" s="162">
        <v>0</v>
      </c>
      <c r="CB533" s="162">
        <v>0</v>
      </c>
      <c r="CC533" s="162">
        <v>0</v>
      </c>
      <c r="CD533" s="162">
        <v>0</v>
      </c>
      <c r="CE533" s="162">
        <f>VLOOKUP(I533,[120]REV33!$A:$O,11,0)</f>
        <v>0</v>
      </c>
      <c r="CF533" s="162">
        <f>VLOOKUP(I533,[120]REV33!$A:$O,12,0)</f>
        <v>0</v>
      </c>
      <c r="CG533" s="162"/>
      <c r="CH533" s="162"/>
      <c r="CI533" s="162"/>
      <c r="CJ533" s="162"/>
      <c r="CK533" s="162"/>
      <c r="CL533" s="162"/>
      <c r="CM533" s="162"/>
      <c r="CN533" s="162"/>
      <c r="CO533" s="162">
        <v>0</v>
      </c>
      <c r="CP533" s="162">
        <v>0</v>
      </c>
      <c r="CQ533" s="162">
        <v>0</v>
      </c>
      <c r="CR533" s="162">
        <v>0</v>
      </c>
      <c r="CS533" s="209">
        <f>Q533+S533+U533+W533+Y533+AA533+AC533+AE533+AG533+AI533+AK533+AM533+AO533+AQ533+AS533+AU533+AW533+AY533+BA533+BC533+BE533+BG533+BI533+BK533+BM533+BO533+BQ533+BS533+BU533+BW533+BY533+CA533+CC533+CE533+CG533+CI533+CK533+CM533+CO533+CQ533</f>
        <v>464</v>
      </c>
      <c r="CT533" s="209">
        <f>R533+T533+V533+X533+Z533+AB533+AD533+AF533+AH533+AJ533+AL533+AN533+AP533+AR533+AT533+AV533+AX533+AZ533+BB533+BD533+BF533+BH533+BJ533+BL533+BN533+BP533+BR533+BT533+BV533+BX533+BZ533+CB533+CD533+CF533+CH533+CJ533+CL533+CN533+CP533+CR533</f>
        <v>0</v>
      </c>
      <c r="CU533" s="257" t="s">
        <v>1894</v>
      </c>
      <c r="CV533" s="156"/>
      <c r="DA533" s="152">
        <f t="shared" si="512"/>
        <v>464</v>
      </c>
      <c r="DB533" s="152" t="str">
        <f t="shared" si="513"/>
        <v>0</v>
      </c>
      <c r="DC533" s="158"/>
      <c r="DD533" s="158" t="s">
        <v>1584</v>
      </c>
      <c r="DE533" s="156" t="s">
        <v>435</v>
      </c>
      <c r="DF533" s="260" t="s">
        <v>1329</v>
      </c>
      <c r="DG533" s="186"/>
      <c r="DH533" s="156" t="s">
        <v>477</v>
      </c>
      <c r="DI533" s="187">
        <v>45911</v>
      </c>
      <c r="DJ533" s="242">
        <v>272</v>
      </c>
      <c r="DK533" s="242" t="s">
        <v>477</v>
      </c>
      <c r="DL533" s="195">
        <v>14110</v>
      </c>
      <c r="DM533" s="181">
        <f t="shared" ref="DM533:DM542" si="519">DL533*DJ533*1.1</f>
        <v>4221712</v>
      </c>
      <c r="DN533" s="446">
        <f t="shared" ref="DN533:DN542" si="520">(DM533-DO533)/DO533</f>
        <v>0.1</v>
      </c>
      <c r="DO533" s="195">
        <f t="shared" ref="DO533:DO542" si="521">DL533*DJ533</f>
        <v>3837920</v>
      </c>
      <c r="DP533" s="159">
        <v>45913</v>
      </c>
      <c r="DQ533" s="152">
        <f>SUMIF($I:$I,I533,$DJ:$DJ)</f>
        <v>464</v>
      </c>
      <c r="DR533" s="152">
        <f>SUMIF($I:$I,I533,$DK:$DK)</f>
        <v>0</v>
      </c>
      <c r="EO533" s="152">
        <f>SUMIF($I:$I,I533,$EC:$EC)</f>
        <v>0</v>
      </c>
      <c r="EP533" s="151">
        <f>SUMIF($I:$I,I533,$ED:$ED)</f>
        <v>0</v>
      </c>
      <c r="EQ533" s="153"/>
      <c r="ER533" s="153"/>
      <c r="ES533" s="153"/>
      <c r="ET533" s="153"/>
      <c r="EU533" s="152">
        <f t="shared" si="514"/>
        <v>464</v>
      </c>
      <c r="EV533" s="152">
        <f t="shared" si="515"/>
        <v>0</v>
      </c>
      <c r="EW533" s="152">
        <f t="shared" si="516"/>
        <v>0</v>
      </c>
      <c r="EX533" s="152">
        <f t="shared" si="517"/>
        <v>0</v>
      </c>
      <c r="EY533" s="151" t="str">
        <f t="shared" si="518"/>
        <v>Đủ</v>
      </c>
    </row>
    <row r="534" spans="1:158" s="155" customFormat="1" ht="14" hidden="1" customHeight="1">
      <c r="A534" s="208" t="str">
        <f t="shared" si="494"/>
        <v>ok</v>
      </c>
      <c r="B534" s="154"/>
      <c r="C534" s="154"/>
      <c r="D534" s="154"/>
      <c r="E534" s="154"/>
      <c r="F534" s="344"/>
      <c r="G534" s="154"/>
      <c r="H534" s="154"/>
      <c r="I534" s="256" t="s">
        <v>1094</v>
      </c>
      <c r="J534" s="254" t="s">
        <v>751</v>
      </c>
      <c r="K534" s="253" t="s">
        <v>1095</v>
      </c>
      <c r="L534" s="261"/>
      <c r="M534" s="256" t="s">
        <v>1074</v>
      </c>
      <c r="N534" s="259"/>
      <c r="O534" s="191"/>
      <c r="P534" s="190"/>
      <c r="AO534" s="234"/>
      <c r="AP534" s="193"/>
      <c r="AQ534" s="193"/>
      <c r="AR534" s="193"/>
      <c r="AS534" s="193"/>
      <c r="AT534" s="193"/>
      <c r="AU534" s="162"/>
      <c r="AV534" s="162"/>
      <c r="AW534" s="162"/>
      <c r="AX534" s="162"/>
      <c r="AY534" s="162"/>
      <c r="AZ534" s="162"/>
      <c r="BA534" s="162"/>
      <c r="BB534" s="162"/>
      <c r="BC534" s="162"/>
      <c r="BD534" s="162"/>
      <c r="BE534" s="162"/>
      <c r="BF534" s="162"/>
      <c r="BG534" s="162"/>
      <c r="BH534" s="162"/>
      <c r="BI534" s="162"/>
      <c r="BJ534" s="162"/>
      <c r="BK534" s="162"/>
      <c r="BL534" s="162"/>
      <c r="BM534" s="162"/>
      <c r="BN534" s="162"/>
      <c r="BO534" s="162"/>
      <c r="BP534" s="162"/>
      <c r="BQ534" s="162"/>
      <c r="BR534" s="162"/>
      <c r="BS534" s="162"/>
      <c r="BT534" s="162"/>
      <c r="BU534" s="162"/>
      <c r="BV534" s="162"/>
      <c r="BW534" s="162"/>
      <c r="BX534" s="162"/>
      <c r="BY534" s="162"/>
      <c r="BZ534" s="162"/>
      <c r="CA534" s="162"/>
      <c r="CB534" s="162"/>
      <c r="CC534" s="162"/>
      <c r="CD534" s="162"/>
      <c r="CE534" s="162"/>
      <c r="CF534" s="162"/>
      <c r="CG534" s="162"/>
      <c r="CH534" s="162"/>
      <c r="CI534" s="162"/>
      <c r="CJ534" s="162"/>
      <c r="CK534" s="162"/>
      <c r="CL534" s="162"/>
      <c r="CM534" s="162"/>
      <c r="CN534" s="162"/>
      <c r="CO534" s="162"/>
      <c r="CP534" s="162"/>
      <c r="CQ534" s="162"/>
      <c r="CR534" s="162"/>
      <c r="CS534" s="209"/>
      <c r="CT534" s="209"/>
      <c r="CU534" s="257"/>
      <c r="CV534" s="156"/>
      <c r="DA534" s="152"/>
      <c r="DB534" s="152"/>
      <c r="DC534" s="158"/>
      <c r="DD534" s="158" t="s">
        <v>2243</v>
      </c>
      <c r="DE534" s="156" t="s">
        <v>2042</v>
      </c>
      <c r="DF534" s="253" t="s">
        <v>2355</v>
      </c>
      <c r="DG534" s="186" t="s">
        <v>2356</v>
      </c>
      <c r="DH534" s="156" t="s">
        <v>477</v>
      </c>
      <c r="DI534" s="187">
        <v>45982</v>
      </c>
      <c r="DJ534" s="717">
        <v>192</v>
      </c>
      <c r="DK534" s="240" t="s">
        <v>477</v>
      </c>
      <c r="DL534" s="189">
        <v>9900</v>
      </c>
      <c r="DM534" s="181">
        <f>DL534*DJ534*(1+DN534)</f>
        <v>2052864.0000000002</v>
      </c>
      <c r="DN534" s="446">
        <v>0.08</v>
      </c>
      <c r="DO534" s="160">
        <f>DL534*DJ534</f>
        <v>1900800</v>
      </c>
      <c r="DP534" s="159">
        <v>45982</v>
      </c>
      <c r="DQ534" s="152"/>
      <c r="DR534" s="152"/>
      <c r="EO534" s="152"/>
      <c r="EP534" s="151"/>
      <c r="EQ534" s="153"/>
      <c r="ER534" s="153"/>
      <c r="ES534" s="153"/>
      <c r="ET534" s="153"/>
      <c r="EU534" s="152"/>
      <c r="EV534" s="152"/>
      <c r="EW534" s="152"/>
      <c r="EX534" s="152"/>
      <c r="EY534" s="151"/>
    </row>
    <row r="535" spans="1:158" s="155" customFormat="1" ht="14" hidden="1" customHeight="1">
      <c r="A535" s="208" t="str">
        <f t="shared" si="494"/>
        <v>Hiện</v>
      </c>
      <c r="B535" s="154" t="str">
        <f t="shared" si="511"/>
        <v>Đủ</v>
      </c>
      <c r="C535" s="154">
        <f t="shared" si="405"/>
        <v>0</v>
      </c>
      <c r="D535" s="154"/>
      <c r="E535" s="154"/>
      <c r="F535" s="344" t="s">
        <v>1728</v>
      </c>
      <c r="G535" s="154"/>
      <c r="H535" s="154"/>
      <c r="I535" s="256" t="s">
        <v>1096</v>
      </c>
      <c r="J535" s="254" t="s">
        <v>751</v>
      </c>
      <c r="K535" s="253" t="s">
        <v>814</v>
      </c>
      <c r="L535" s="261"/>
      <c r="M535" s="256" t="s">
        <v>1074</v>
      </c>
      <c r="N535" s="259"/>
      <c r="O535" s="191">
        <v>164</v>
      </c>
      <c r="P535" s="190"/>
      <c r="AO535" s="234">
        <v>164</v>
      </c>
      <c r="AP535" s="193">
        <v>0</v>
      </c>
      <c r="AQ535" s="193">
        <v>0</v>
      </c>
      <c r="AR535" s="193">
        <v>0</v>
      </c>
      <c r="AS535" s="193">
        <v>0</v>
      </c>
      <c r="AT535" s="193">
        <v>0</v>
      </c>
      <c r="AU535" s="162">
        <v>0</v>
      </c>
      <c r="AV535" s="162">
        <v>0</v>
      </c>
      <c r="AW535" s="162">
        <v>0</v>
      </c>
      <c r="AX535" s="162">
        <v>0</v>
      </c>
      <c r="AY535" s="162">
        <v>0</v>
      </c>
      <c r="AZ535" s="162">
        <v>0</v>
      </c>
      <c r="BA535" s="162"/>
      <c r="BB535" s="162"/>
      <c r="BC535" s="162">
        <v>0</v>
      </c>
      <c r="BD535" s="162">
        <v>0</v>
      </c>
      <c r="BE535" s="162">
        <v>0</v>
      </c>
      <c r="BF535" s="162">
        <v>0</v>
      </c>
      <c r="BG535" s="162">
        <v>0</v>
      </c>
      <c r="BH535" s="162">
        <v>0</v>
      </c>
      <c r="BI535" s="162">
        <v>0</v>
      </c>
      <c r="BJ535" s="162">
        <v>0</v>
      </c>
      <c r="BK535" s="162">
        <v>0</v>
      </c>
      <c r="BL535" s="162">
        <v>0</v>
      </c>
      <c r="BM535" s="162">
        <v>0</v>
      </c>
      <c r="BN535" s="162">
        <v>0</v>
      </c>
      <c r="BO535" s="162"/>
      <c r="BP535" s="162"/>
      <c r="BQ535" s="162">
        <v>0</v>
      </c>
      <c r="BR535" s="162">
        <v>0</v>
      </c>
      <c r="BS535" s="162">
        <v>0</v>
      </c>
      <c r="BT535" s="162">
        <v>0</v>
      </c>
      <c r="BU535" s="162">
        <v>0</v>
      </c>
      <c r="BV535" s="162">
        <v>0</v>
      </c>
      <c r="BW535" s="162"/>
      <c r="BX535" s="162"/>
      <c r="BY535" s="162">
        <v>0</v>
      </c>
      <c r="BZ535" s="162">
        <v>0</v>
      </c>
      <c r="CA535" s="162">
        <v>0</v>
      </c>
      <c r="CB535" s="162">
        <v>0</v>
      </c>
      <c r="CC535" s="162">
        <v>0</v>
      </c>
      <c r="CD535" s="162">
        <v>0</v>
      </c>
      <c r="CE535" s="162">
        <f>VLOOKUP(I535,[120]REV33!$A:$O,11,0)</f>
        <v>0</v>
      </c>
      <c r="CF535" s="162">
        <f>VLOOKUP(I535,[120]REV33!$A:$O,12,0)</f>
        <v>0</v>
      </c>
      <c r="CG535" s="162"/>
      <c r="CH535" s="162"/>
      <c r="CI535" s="162"/>
      <c r="CJ535" s="162"/>
      <c r="CK535" s="162"/>
      <c r="CL535" s="162"/>
      <c r="CM535" s="162"/>
      <c r="CN535" s="162"/>
      <c r="CO535" s="162">
        <v>0</v>
      </c>
      <c r="CP535" s="162">
        <v>0</v>
      </c>
      <c r="CQ535" s="162">
        <v>0</v>
      </c>
      <c r="CR535" s="162">
        <v>0</v>
      </c>
      <c r="CS535" s="209">
        <f>Q535+S535+U535+W535+Y535+AA535+AC535+AE535+AG535+AI535+AK535+AM535+AO535+AQ535+AS535+AU535+AW535+AY535+BA535+BC535+BE535+BG535+BI535+BK535+BM535+BO535+BQ535+BS535+BU535+BW535+BY535+CA535+CC535+CE535+CG535+CI535+CK535+CM535+CO535+CQ535</f>
        <v>164</v>
      </c>
      <c r="CT535" s="209">
        <f>R535+T535+V535+X535+Z535+AB535+AD535+AF535+AH535+AJ535+AL535+AN535+AP535+AR535+AT535+AV535+AX535+AZ535+BB535+BD535+BF535+BH535+BJ535+BL535+BN535+BP535+BR535+BT535+BV535+BX535+BZ535+CB535+CD535+CF535+CH535+CJ535+CL535+CN535+CP535+CR535</f>
        <v>0</v>
      </c>
      <c r="CU535" s="257" t="s">
        <v>1157</v>
      </c>
      <c r="CV535" s="156"/>
      <c r="CW535" s="155">
        <v>100</v>
      </c>
      <c r="DA535" s="152">
        <f t="shared" ref="DA535:DA536" si="522">IF(CS535&gt;CW535,CS535-CW535,"0")</f>
        <v>64</v>
      </c>
      <c r="DB535" s="152" t="str">
        <f t="shared" ref="DB535:DB536" si="523">IF(CT535&gt;CX535,CT535-CX535,"0")</f>
        <v>0</v>
      </c>
      <c r="DC535" s="158"/>
      <c r="DD535" s="158" t="s">
        <v>1584</v>
      </c>
      <c r="DE535" s="156" t="s">
        <v>435</v>
      </c>
      <c r="DF535" s="260" t="s">
        <v>1330</v>
      </c>
      <c r="DG535" s="186"/>
      <c r="DH535" s="156" t="s">
        <v>477</v>
      </c>
      <c r="DI535" s="187">
        <v>45911</v>
      </c>
      <c r="DJ535" s="242">
        <v>64</v>
      </c>
      <c r="DK535" s="242" t="s">
        <v>477</v>
      </c>
      <c r="DL535" s="195">
        <v>15470</v>
      </c>
      <c r="DM535" s="181">
        <f t="shared" si="519"/>
        <v>1089088</v>
      </c>
      <c r="DN535" s="446">
        <f t="shared" si="520"/>
        <v>0.1</v>
      </c>
      <c r="DO535" s="195">
        <f t="shared" si="521"/>
        <v>990080</v>
      </c>
      <c r="DP535" s="159">
        <v>45913</v>
      </c>
      <c r="DQ535" s="152">
        <f>SUMIF($I:$I,I535,$DJ:$DJ)</f>
        <v>64</v>
      </c>
      <c r="DR535" s="152">
        <f>SUMIF($I:$I,I535,$DK:$DK)</f>
        <v>0</v>
      </c>
      <c r="EO535" s="152">
        <f>SUMIF($I:$I,I535,$EC:$EC)</f>
        <v>0</v>
      </c>
      <c r="EP535" s="151">
        <f>SUMIF($I:$I,I535,$ED:$ED)</f>
        <v>0</v>
      </c>
      <c r="EQ535" s="153"/>
      <c r="ER535" s="153"/>
      <c r="ES535" s="153"/>
      <c r="ET535" s="153"/>
      <c r="EU535" s="152">
        <f t="shared" ref="EU535:EU536" si="524">DQ535+EO535</f>
        <v>64</v>
      </c>
      <c r="EV535" s="152">
        <f t="shared" ref="EV535:EV536" si="525">DR535+EP535</f>
        <v>0</v>
      </c>
      <c r="EW535" s="152">
        <f t="shared" ref="EW535:EW536" si="526">DA535-EU535</f>
        <v>0</v>
      </c>
      <c r="EX535" s="152">
        <f t="shared" ref="EX535:EX536" si="527">DB535-EV535</f>
        <v>0</v>
      </c>
      <c r="EY535" s="151" t="str">
        <f t="shared" ref="EY535:EY536" si="528">IF(EW535&lt;0,"Thừa",IF(EW535=0,"Đủ","Thiếu"))</f>
        <v>Đủ</v>
      </c>
    </row>
    <row r="536" spans="1:158" s="155" customFormat="1" ht="14" hidden="1" customHeight="1">
      <c r="A536" s="208" t="str">
        <f t="shared" si="494"/>
        <v>Hiện</v>
      </c>
      <c r="B536" s="154" t="str">
        <f t="shared" si="511"/>
        <v>Đủ</v>
      </c>
      <c r="C536" s="154">
        <f t="shared" si="405"/>
        <v>0</v>
      </c>
      <c r="D536" s="154"/>
      <c r="E536" s="154"/>
      <c r="F536" s="344" t="s">
        <v>1728</v>
      </c>
      <c r="G536" s="154"/>
      <c r="H536" s="154"/>
      <c r="I536" s="256" t="s">
        <v>1097</v>
      </c>
      <c r="J536" s="254" t="s">
        <v>751</v>
      </c>
      <c r="K536" s="253" t="s">
        <v>1098</v>
      </c>
      <c r="L536" s="261"/>
      <c r="M536" s="256" t="s">
        <v>1074</v>
      </c>
      <c r="N536" s="259"/>
      <c r="O536" s="191">
        <v>456</v>
      </c>
      <c r="P536" s="190"/>
      <c r="AO536" s="234">
        <v>456</v>
      </c>
      <c r="AP536" s="193">
        <v>0</v>
      </c>
      <c r="AQ536" s="193">
        <v>0</v>
      </c>
      <c r="AR536" s="193">
        <v>0</v>
      </c>
      <c r="AS536" s="193">
        <v>0</v>
      </c>
      <c r="AT536" s="193">
        <v>0</v>
      </c>
      <c r="AU536" s="162">
        <v>0</v>
      </c>
      <c r="AV536" s="162">
        <v>0</v>
      </c>
      <c r="AW536" s="162">
        <v>0</v>
      </c>
      <c r="AX536" s="162">
        <v>0</v>
      </c>
      <c r="AY536" s="162">
        <v>0</v>
      </c>
      <c r="AZ536" s="162">
        <v>0</v>
      </c>
      <c r="BA536" s="162"/>
      <c r="BB536" s="162"/>
      <c r="BC536" s="162">
        <v>0</v>
      </c>
      <c r="BD536" s="162">
        <v>0</v>
      </c>
      <c r="BE536" s="162">
        <v>0</v>
      </c>
      <c r="BF536" s="162">
        <v>0</v>
      </c>
      <c r="BG536" s="162">
        <v>0</v>
      </c>
      <c r="BH536" s="162">
        <v>0</v>
      </c>
      <c r="BI536" s="162">
        <v>0</v>
      </c>
      <c r="BJ536" s="162">
        <v>0</v>
      </c>
      <c r="BK536" s="162">
        <v>0</v>
      </c>
      <c r="BL536" s="162">
        <v>0</v>
      </c>
      <c r="BM536" s="162">
        <v>0</v>
      </c>
      <c r="BN536" s="162">
        <v>0</v>
      </c>
      <c r="BO536" s="162"/>
      <c r="BP536" s="162"/>
      <c r="BQ536" s="162">
        <v>120</v>
      </c>
      <c r="BR536" s="162">
        <v>0</v>
      </c>
      <c r="BS536" s="162">
        <v>0</v>
      </c>
      <c r="BT536" s="162">
        <v>0</v>
      </c>
      <c r="BU536" s="162">
        <v>0</v>
      </c>
      <c r="BV536" s="162">
        <v>0</v>
      </c>
      <c r="BW536" s="162"/>
      <c r="BX536" s="162"/>
      <c r="BY536" s="162">
        <v>0</v>
      </c>
      <c r="BZ536" s="162">
        <v>0</v>
      </c>
      <c r="CA536" s="162">
        <v>0</v>
      </c>
      <c r="CB536" s="162">
        <v>0</v>
      </c>
      <c r="CC536" s="162">
        <v>0</v>
      </c>
      <c r="CD536" s="162">
        <v>0</v>
      </c>
      <c r="CE536" s="162">
        <f>VLOOKUP(I536,[120]REV33!$A:$O,11,0)</f>
        <v>0</v>
      </c>
      <c r="CF536" s="162">
        <f>VLOOKUP(I536,[120]REV33!$A:$O,12,0)</f>
        <v>0</v>
      </c>
      <c r="CG536" s="162"/>
      <c r="CH536" s="162"/>
      <c r="CI536" s="162"/>
      <c r="CJ536" s="162"/>
      <c r="CK536" s="162"/>
      <c r="CL536" s="162"/>
      <c r="CM536" s="162"/>
      <c r="CN536" s="162"/>
      <c r="CO536" s="162">
        <v>0</v>
      </c>
      <c r="CP536" s="162">
        <v>0</v>
      </c>
      <c r="CQ536" s="162">
        <v>0</v>
      </c>
      <c r="CR536" s="162">
        <v>0</v>
      </c>
      <c r="CS536" s="209">
        <f>Q536+S536+U536+W536+Y536+AA536+AC536+AE536+AG536+AI536+AK536+AM536+AO536+AQ536+AS536+AU536+AW536+AY536+BA536+BC536+BE536+BG536+BI536+BK536+BM536+BO536+BQ536+BS536+BU536+BW536+BY536+CA536+CC536+CE536+CG536+CI536+CK536+CM536+CO536+CQ536</f>
        <v>576</v>
      </c>
      <c r="CT536" s="209">
        <f>R536+T536+V536+X536+Z536+AB536+AD536+AF536+AH536+AJ536+AL536+AN536+AP536+AR536+AT536+AV536+AX536+AZ536+BB536+BD536+BF536+BH536+BJ536+BL536+BN536+BP536+BR536+BT536+BV536+BX536+BZ536+CB536+CD536+CF536+CH536+CJ536+CL536+CN536+CP536+CR536</f>
        <v>0</v>
      </c>
      <c r="CU536" s="257" t="s">
        <v>1894</v>
      </c>
      <c r="CV536" s="156"/>
      <c r="CW536" s="155">
        <v>126</v>
      </c>
      <c r="DA536" s="152">
        <f t="shared" si="522"/>
        <v>450</v>
      </c>
      <c r="DB536" s="152" t="str">
        <f t="shared" si="523"/>
        <v>0</v>
      </c>
      <c r="DC536" s="158"/>
      <c r="DD536" s="158" t="s">
        <v>1584</v>
      </c>
      <c r="DE536" s="156" t="s">
        <v>435</v>
      </c>
      <c r="DF536" s="260" t="s">
        <v>1331</v>
      </c>
      <c r="DG536" s="186"/>
      <c r="DH536" s="156" t="s">
        <v>477</v>
      </c>
      <c r="DI536" s="187">
        <v>45911</v>
      </c>
      <c r="DJ536" s="242">
        <v>330</v>
      </c>
      <c r="DK536" s="242" t="s">
        <v>477</v>
      </c>
      <c r="DL536" s="195">
        <v>19760</v>
      </c>
      <c r="DM536" s="181">
        <f t="shared" si="519"/>
        <v>7172880.0000000009</v>
      </c>
      <c r="DN536" s="446">
        <f t="shared" si="520"/>
        <v>0.10000000000000014</v>
      </c>
      <c r="DO536" s="195">
        <f t="shared" si="521"/>
        <v>6520800</v>
      </c>
      <c r="DP536" s="159">
        <v>45913</v>
      </c>
      <c r="DQ536" s="152">
        <f>SUMIF($I:$I,I536,$DJ:$DJ)</f>
        <v>450</v>
      </c>
      <c r="DR536" s="152">
        <f>SUMIF($I:$I,I536,$DK:$DK)</f>
        <v>0</v>
      </c>
      <c r="EO536" s="152">
        <f>SUMIF($I:$I,I536,$EC:$EC)</f>
        <v>0</v>
      </c>
      <c r="EP536" s="151">
        <f>SUMIF($I:$I,I536,$ED:$ED)</f>
        <v>0</v>
      </c>
      <c r="EQ536" s="153"/>
      <c r="ER536" s="153"/>
      <c r="ES536" s="153"/>
      <c r="ET536" s="153"/>
      <c r="EU536" s="152">
        <f t="shared" si="524"/>
        <v>450</v>
      </c>
      <c r="EV536" s="152">
        <f t="shared" si="525"/>
        <v>0</v>
      </c>
      <c r="EW536" s="152">
        <f t="shared" si="526"/>
        <v>0</v>
      </c>
      <c r="EX536" s="152">
        <f t="shared" si="527"/>
        <v>0</v>
      </c>
      <c r="EY536" s="151" t="str">
        <f t="shared" si="528"/>
        <v>Đủ</v>
      </c>
    </row>
    <row r="537" spans="1:158" s="155" customFormat="1" ht="14" hidden="1" customHeight="1">
      <c r="A537" s="208" t="str">
        <f t="shared" si="494"/>
        <v>ok</v>
      </c>
      <c r="B537" s="154"/>
      <c r="C537" s="154"/>
      <c r="D537" s="154"/>
      <c r="E537" s="154"/>
      <c r="F537" s="344"/>
      <c r="G537" s="154"/>
      <c r="H537" s="154"/>
      <c r="I537" s="256" t="s">
        <v>1097</v>
      </c>
      <c r="J537" s="254" t="s">
        <v>751</v>
      </c>
      <c r="K537" s="253" t="s">
        <v>1098</v>
      </c>
      <c r="L537" s="261"/>
      <c r="M537" s="256" t="s">
        <v>1074</v>
      </c>
      <c r="N537" s="259"/>
      <c r="O537" s="191"/>
      <c r="P537" s="190"/>
      <c r="AO537" s="234"/>
      <c r="AP537" s="193"/>
      <c r="AQ537" s="193"/>
      <c r="AR537" s="193"/>
      <c r="AS537" s="193"/>
      <c r="AT537" s="193"/>
      <c r="AU537" s="162"/>
      <c r="AV537" s="162"/>
      <c r="AW537" s="162"/>
      <c r="AX537" s="162"/>
      <c r="AY537" s="162"/>
      <c r="AZ537" s="162"/>
      <c r="BA537" s="162"/>
      <c r="BB537" s="162"/>
      <c r="BC537" s="162"/>
      <c r="BD537" s="162"/>
      <c r="BE537" s="162"/>
      <c r="BF537" s="162"/>
      <c r="BG537" s="162"/>
      <c r="BH537" s="162"/>
      <c r="BI537" s="162"/>
      <c r="BJ537" s="162"/>
      <c r="BK537" s="162"/>
      <c r="BL537" s="162"/>
      <c r="BM537" s="162"/>
      <c r="BN537" s="162"/>
      <c r="BO537" s="162"/>
      <c r="BP537" s="162"/>
      <c r="BQ537" s="162"/>
      <c r="BR537" s="162"/>
      <c r="BS537" s="162"/>
      <c r="BT537" s="162"/>
      <c r="BU537" s="162"/>
      <c r="BV537" s="162"/>
      <c r="BW537" s="162"/>
      <c r="BX537" s="162"/>
      <c r="BY537" s="162"/>
      <c r="BZ537" s="162"/>
      <c r="CA537" s="162"/>
      <c r="CB537" s="162"/>
      <c r="CC537" s="162"/>
      <c r="CD537" s="162"/>
      <c r="CE537" s="162"/>
      <c r="CF537" s="162"/>
      <c r="CG537" s="162"/>
      <c r="CH537" s="162"/>
      <c r="CI537" s="162"/>
      <c r="CJ537" s="162"/>
      <c r="CK537" s="162"/>
      <c r="CL537" s="162"/>
      <c r="CM537" s="162"/>
      <c r="CN537" s="162"/>
      <c r="CO537" s="162"/>
      <c r="CP537" s="162"/>
      <c r="CQ537" s="162"/>
      <c r="CR537" s="162"/>
      <c r="CS537" s="209"/>
      <c r="CT537" s="209"/>
      <c r="CU537" s="257"/>
      <c r="CV537" s="156"/>
      <c r="DA537" s="152"/>
      <c r="DB537" s="152"/>
      <c r="DC537" s="158"/>
      <c r="DD537" s="158" t="s">
        <v>2243</v>
      </c>
      <c r="DE537" s="156" t="s">
        <v>2042</v>
      </c>
      <c r="DF537" s="253" t="s">
        <v>2357</v>
      </c>
      <c r="DG537" s="186" t="s">
        <v>2358</v>
      </c>
      <c r="DH537" s="156" t="s">
        <v>477</v>
      </c>
      <c r="DI537" s="187">
        <v>45982</v>
      </c>
      <c r="DJ537" s="717">
        <v>120</v>
      </c>
      <c r="DK537" s="240" t="s">
        <v>477</v>
      </c>
      <c r="DL537" s="189">
        <v>19400</v>
      </c>
      <c r="DM537" s="181">
        <f>DL537*DJ537*(1+DN537)</f>
        <v>2514240</v>
      </c>
      <c r="DN537" s="446">
        <v>0.08</v>
      </c>
      <c r="DO537" s="160">
        <f>DL537*DJ537</f>
        <v>2328000</v>
      </c>
      <c r="DP537" s="159">
        <v>45982</v>
      </c>
      <c r="DQ537" s="152"/>
      <c r="DR537" s="152"/>
      <c r="EO537" s="152"/>
      <c r="EP537" s="151"/>
      <c r="EQ537" s="153"/>
      <c r="ER537" s="153"/>
      <c r="ES537" s="153"/>
      <c r="ET537" s="153"/>
      <c r="EU537" s="152"/>
      <c r="EV537" s="152"/>
      <c r="EW537" s="152"/>
      <c r="EX537" s="152"/>
      <c r="EY537" s="151"/>
    </row>
    <row r="538" spans="1:158" s="155" customFormat="1" ht="14" hidden="1" customHeight="1">
      <c r="A538" s="208" t="str">
        <f t="shared" si="494"/>
        <v>Hiện</v>
      </c>
      <c r="B538" s="154" t="str">
        <f t="shared" si="511"/>
        <v>Đủ</v>
      </c>
      <c r="C538" s="154">
        <f t="shared" si="405"/>
        <v>0</v>
      </c>
      <c r="D538" s="154"/>
      <c r="E538" s="154"/>
      <c r="F538" s="344" t="s">
        <v>1728</v>
      </c>
      <c r="G538" s="154"/>
      <c r="H538" s="154"/>
      <c r="I538" s="256" t="s">
        <v>1099</v>
      </c>
      <c r="J538" s="254" t="s">
        <v>751</v>
      </c>
      <c r="K538" s="253" t="s">
        <v>1100</v>
      </c>
      <c r="L538" s="261"/>
      <c r="M538" s="256" t="s">
        <v>1074</v>
      </c>
      <c r="N538" s="259"/>
      <c r="O538" s="191">
        <v>96</v>
      </c>
      <c r="P538" s="190"/>
      <c r="AO538" s="234">
        <v>96</v>
      </c>
      <c r="AP538" s="193">
        <v>0</v>
      </c>
      <c r="AQ538" s="193">
        <v>0</v>
      </c>
      <c r="AR538" s="193">
        <v>0</v>
      </c>
      <c r="AS538" s="193">
        <v>0</v>
      </c>
      <c r="AT538" s="193">
        <v>0</v>
      </c>
      <c r="AU538" s="162">
        <v>0</v>
      </c>
      <c r="AV538" s="162">
        <v>0</v>
      </c>
      <c r="AW538" s="162">
        <v>0</v>
      </c>
      <c r="AX538" s="162">
        <v>0</v>
      </c>
      <c r="AY538" s="162">
        <v>0</v>
      </c>
      <c r="AZ538" s="162">
        <v>0</v>
      </c>
      <c r="BA538" s="162"/>
      <c r="BB538" s="162"/>
      <c r="BC538" s="162">
        <v>0</v>
      </c>
      <c r="BD538" s="162">
        <v>0</v>
      </c>
      <c r="BE538" s="162">
        <v>0</v>
      </c>
      <c r="BF538" s="162">
        <v>0</v>
      </c>
      <c r="BG538" s="162">
        <v>0</v>
      </c>
      <c r="BH538" s="162">
        <v>0</v>
      </c>
      <c r="BI538" s="162">
        <v>0</v>
      </c>
      <c r="BJ538" s="162">
        <v>0</v>
      </c>
      <c r="BK538" s="162">
        <v>0</v>
      </c>
      <c r="BL538" s="162">
        <v>0</v>
      </c>
      <c r="BM538" s="162">
        <v>0</v>
      </c>
      <c r="BN538" s="162">
        <v>0</v>
      </c>
      <c r="BO538" s="162"/>
      <c r="BP538" s="162"/>
      <c r="BQ538" s="162">
        <v>0</v>
      </c>
      <c r="BR538" s="162">
        <v>0</v>
      </c>
      <c r="BS538" s="162">
        <v>0</v>
      </c>
      <c r="BT538" s="162">
        <v>0</v>
      </c>
      <c r="BU538" s="162">
        <v>0</v>
      </c>
      <c r="BV538" s="162">
        <v>0</v>
      </c>
      <c r="BW538" s="162"/>
      <c r="BX538" s="162"/>
      <c r="BY538" s="162">
        <v>0</v>
      </c>
      <c r="BZ538" s="162">
        <v>0</v>
      </c>
      <c r="CA538" s="162">
        <v>0</v>
      </c>
      <c r="CB538" s="162">
        <v>0</v>
      </c>
      <c r="CC538" s="162">
        <v>0</v>
      </c>
      <c r="CD538" s="162">
        <v>0</v>
      </c>
      <c r="CE538" s="162">
        <f>VLOOKUP(I538,[120]REV33!$A:$O,11,0)</f>
        <v>0</v>
      </c>
      <c r="CF538" s="162">
        <f>VLOOKUP(I538,[120]REV33!$A:$O,12,0)</f>
        <v>0</v>
      </c>
      <c r="CG538" s="162"/>
      <c r="CH538" s="162"/>
      <c r="CI538" s="162"/>
      <c r="CJ538" s="162"/>
      <c r="CK538" s="162"/>
      <c r="CL538" s="162"/>
      <c r="CM538" s="162"/>
      <c r="CN538" s="162"/>
      <c r="CO538" s="162">
        <v>0</v>
      </c>
      <c r="CP538" s="162">
        <v>0</v>
      </c>
      <c r="CQ538" s="162">
        <v>0</v>
      </c>
      <c r="CR538" s="162">
        <v>0</v>
      </c>
      <c r="CS538" s="209">
        <f>Q538+S538+U538+W538+Y538+AA538+AC538+AE538+AG538+AI538+AK538+AM538+AO538+AQ538+AS538+AU538+AW538+AY538+BA538+BC538+BE538+BG538+BI538+BK538+BM538+BO538+BQ538+BS538+BU538+BW538+BY538+CA538+CC538+CE538+CG538+CI538+CK538+CM538+CO538+CQ538</f>
        <v>96</v>
      </c>
      <c r="CT538" s="209">
        <f>R538+T538+V538+X538+Z538+AB538+AD538+AF538+AH538+AJ538+AL538+AN538+AP538+AR538+AT538+AV538+AX538+AZ538+BB538+BD538+BF538+BH538+BJ538+BL538+BN538+BP538+BR538+BT538+BV538+BX538+BZ538+CB538+CD538+CF538+CH538+CJ538+CL538+CN538+CP538+CR538</f>
        <v>0</v>
      </c>
      <c r="CU538" s="257" t="s">
        <v>1157</v>
      </c>
      <c r="CV538" s="156"/>
      <c r="DA538" s="152">
        <f t="shared" ref="DA538:DA539" si="529">IF(CS538&gt;CW538,CS538-CW538,"0")</f>
        <v>96</v>
      </c>
      <c r="DB538" s="152" t="str">
        <f t="shared" ref="DB538:DB539" si="530">IF(CT538&gt;CX538,CT538-CX538,"0")</f>
        <v>0</v>
      </c>
      <c r="DC538" s="158"/>
      <c r="DD538" s="158" t="s">
        <v>1584</v>
      </c>
      <c r="DE538" s="156" t="s">
        <v>435</v>
      </c>
      <c r="DF538" s="260" t="s">
        <v>1332</v>
      </c>
      <c r="DG538" s="186"/>
      <c r="DH538" s="156" t="s">
        <v>477</v>
      </c>
      <c r="DI538" s="187">
        <v>45911</v>
      </c>
      <c r="DJ538" s="242">
        <v>96</v>
      </c>
      <c r="DK538" s="242" t="s">
        <v>477</v>
      </c>
      <c r="DL538" s="195">
        <v>42300</v>
      </c>
      <c r="DM538" s="181">
        <f t="shared" si="519"/>
        <v>4466880</v>
      </c>
      <c r="DN538" s="446">
        <f t="shared" si="520"/>
        <v>0.1</v>
      </c>
      <c r="DO538" s="195">
        <f t="shared" si="521"/>
        <v>4060800</v>
      </c>
      <c r="DP538" s="158">
        <v>45916</v>
      </c>
      <c r="DQ538" s="152">
        <f>SUMIF($I:$I,I538,$DJ:$DJ)</f>
        <v>96</v>
      </c>
      <c r="DR538" s="152">
        <f>SUMIF($I:$I,I538,$DK:$DK)</f>
        <v>0</v>
      </c>
      <c r="EO538" s="152">
        <f>SUMIF($I:$I,I538,$EC:$EC)</f>
        <v>0</v>
      </c>
      <c r="EP538" s="151">
        <f>SUMIF($I:$I,I538,$ED:$ED)</f>
        <v>0</v>
      </c>
      <c r="EQ538" s="153"/>
      <c r="ER538" s="153"/>
      <c r="ES538" s="153"/>
      <c r="ET538" s="153"/>
      <c r="EU538" s="152">
        <f t="shared" ref="EU538:EU539" si="531">DQ538+EO538</f>
        <v>96</v>
      </c>
      <c r="EV538" s="152">
        <f t="shared" ref="EV538:EV539" si="532">DR538+EP538</f>
        <v>0</v>
      </c>
      <c r="EW538" s="152">
        <f t="shared" ref="EW538:EW539" si="533">DA538-EU538</f>
        <v>0</v>
      </c>
      <c r="EX538" s="152">
        <f t="shared" ref="EX538:EX539" si="534">DB538-EV538</f>
        <v>0</v>
      </c>
      <c r="EY538" s="151" t="str">
        <f t="shared" ref="EY538:EY539" si="535">IF(EW538&lt;0,"Thừa",IF(EW538=0,"Đủ","Thiếu"))</f>
        <v>Đủ</v>
      </c>
    </row>
    <row r="539" spans="1:158" s="155" customFormat="1" ht="14" hidden="1" customHeight="1">
      <c r="A539" s="208" t="str">
        <f t="shared" si="494"/>
        <v>Hiện</v>
      </c>
      <c r="B539" s="154" t="str">
        <f t="shared" si="511"/>
        <v>Đủ</v>
      </c>
      <c r="C539" s="154">
        <f t="shared" si="405"/>
        <v>0</v>
      </c>
      <c r="D539" s="154"/>
      <c r="E539" s="154"/>
      <c r="F539" s="344"/>
      <c r="G539" s="154" t="s">
        <v>2561</v>
      </c>
      <c r="H539" s="154"/>
      <c r="I539" s="256" t="s">
        <v>1101</v>
      </c>
      <c r="J539" s="254" t="s">
        <v>751</v>
      </c>
      <c r="K539" s="253" t="s">
        <v>1102</v>
      </c>
      <c r="L539" s="261"/>
      <c r="M539" s="256" t="s">
        <v>1074</v>
      </c>
      <c r="N539" s="259"/>
      <c r="O539" s="191">
        <v>128</v>
      </c>
      <c r="P539" s="190"/>
      <c r="AO539" s="234">
        <v>128</v>
      </c>
      <c r="AP539" s="193">
        <v>0</v>
      </c>
      <c r="AQ539" s="193">
        <v>0</v>
      </c>
      <c r="AR539" s="193">
        <v>0</v>
      </c>
      <c r="AS539" s="193">
        <v>0</v>
      </c>
      <c r="AT539" s="193">
        <v>0</v>
      </c>
      <c r="AU539" s="162">
        <v>0</v>
      </c>
      <c r="AV539" s="162">
        <v>0</v>
      </c>
      <c r="AW539" s="162">
        <v>0</v>
      </c>
      <c r="AX539" s="162">
        <v>0</v>
      </c>
      <c r="AY539" s="162">
        <v>0</v>
      </c>
      <c r="AZ539" s="162">
        <v>0</v>
      </c>
      <c r="BA539" s="162"/>
      <c r="BB539" s="162"/>
      <c r="BC539" s="162">
        <v>0</v>
      </c>
      <c r="BD539" s="162">
        <v>0</v>
      </c>
      <c r="BE539" s="162">
        <v>0</v>
      </c>
      <c r="BF539" s="162">
        <v>0</v>
      </c>
      <c r="BG539" s="162">
        <v>0</v>
      </c>
      <c r="BH539" s="162">
        <v>0</v>
      </c>
      <c r="BI539" s="162">
        <v>0</v>
      </c>
      <c r="BJ539" s="162">
        <v>0</v>
      </c>
      <c r="BK539" s="162">
        <v>0</v>
      </c>
      <c r="BL539" s="162">
        <v>0</v>
      </c>
      <c r="BM539" s="162">
        <v>0</v>
      </c>
      <c r="BN539" s="162">
        <v>0</v>
      </c>
      <c r="BO539" s="162"/>
      <c r="BP539" s="162"/>
      <c r="BQ539" s="162">
        <v>48</v>
      </c>
      <c r="BR539" s="162">
        <v>0</v>
      </c>
      <c r="BS539" s="162">
        <v>0</v>
      </c>
      <c r="BT539" s="162">
        <v>0</v>
      </c>
      <c r="BU539" s="162">
        <v>0</v>
      </c>
      <c r="BV539" s="162">
        <v>0</v>
      </c>
      <c r="BW539" s="162"/>
      <c r="BX539" s="162"/>
      <c r="BY539" s="162">
        <v>0</v>
      </c>
      <c r="BZ539" s="162">
        <v>0</v>
      </c>
      <c r="CA539" s="162">
        <v>24</v>
      </c>
      <c r="CB539" s="162">
        <v>0</v>
      </c>
      <c r="CC539" s="162">
        <v>0</v>
      </c>
      <c r="CD539" s="162">
        <v>0</v>
      </c>
      <c r="CE539" s="162">
        <f>VLOOKUP(I539,[120]REV33!$A:$O,11,0)</f>
        <v>0</v>
      </c>
      <c r="CF539" s="162">
        <f>VLOOKUP(I539,[120]REV33!$A:$O,12,0)</f>
        <v>0</v>
      </c>
      <c r="CG539" s="162"/>
      <c r="CH539" s="162"/>
      <c r="CI539" s="162"/>
      <c r="CJ539" s="162"/>
      <c r="CK539" s="162"/>
      <c r="CL539" s="162"/>
      <c r="CM539" s="162"/>
      <c r="CN539" s="162"/>
      <c r="CO539" s="162">
        <v>0</v>
      </c>
      <c r="CP539" s="162">
        <v>0</v>
      </c>
      <c r="CQ539" s="162">
        <v>0</v>
      </c>
      <c r="CR539" s="162">
        <v>0</v>
      </c>
      <c r="CS539" s="209">
        <f>Q539+S539+U539+W539+Y539+AA539+AC539+AE539+AG539+AI539+AK539+AM539+AO539+AQ539+AS539+AU539+AW539+AY539+BA539+BC539+BE539+BG539+BI539+BK539+BM539+BO539+BQ539+BS539+BU539+BW539+BY539+CA539+CC539+CE539+CG539+CI539+CK539+CM539+CO539+CQ539</f>
        <v>200</v>
      </c>
      <c r="CT539" s="209">
        <f>R539+T539+V539+X539+Z539+AB539+AD539+AF539+AH539+AJ539+AL539+AN539+AP539+AR539+AT539+AV539+AX539+AZ539+BB539+BD539+BF539+BH539+BJ539+BL539+BN539+BP539+BR539+BT539+BV539+BX539+BZ539+CB539+CD539+CF539+CH539+CJ539+CL539+CN539+CP539+CR539</f>
        <v>0</v>
      </c>
      <c r="CU539" s="763" t="s">
        <v>2326</v>
      </c>
      <c r="CV539" s="156"/>
      <c r="DA539" s="152">
        <f t="shared" si="529"/>
        <v>200</v>
      </c>
      <c r="DB539" s="152" t="str">
        <f t="shared" si="530"/>
        <v>0</v>
      </c>
      <c r="DC539" s="158"/>
      <c r="DD539" s="158" t="s">
        <v>1584</v>
      </c>
      <c r="DE539" s="156" t="s">
        <v>435</v>
      </c>
      <c r="DF539" s="260" t="s">
        <v>1333</v>
      </c>
      <c r="DG539" s="186"/>
      <c r="DH539" s="156" t="s">
        <v>477</v>
      </c>
      <c r="DI539" s="187">
        <v>45911</v>
      </c>
      <c r="DJ539" s="242">
        <v>128</v>
      </c>
      <c r="DK539" s="242" t="s">
        <v>477</v>
      </c>
      <c r="DL539" s="987">
        <v>29450</v>
      </c>
      <c r="DM539" s="181">
        <f t="shared" si="519"/>
        <v>4146560.0000000005</v>
      </c>
      <c r="DN539" s="446">
        <f t="shared" si="520"/>
        <v>0.10000000000000013</v>
      </c>
      <c r="DO539" s="195">
        <f t="shared" si="521"/>
        <v>3769600</v>
      </c>
      <c r="DP539" s="988">
        <v>45913</v>
      </c>
      <c r="DQ539" s="152">
        <f>SUMIF($I:$I,I539,$DJ:$DJ)</f>
        <v>200</v>
      </c>
      <c r="DR539" s="152">
        <f>SUMIF($I:$I,I539,$DK:$DK)</f>
        <v>0</v>
      </c>
      <c r="EO539" s="152">
        <f>SUMIF($I:$I,I539,$EC:$EC)</f>
        <v>0</v>
      </c>
      <c r="EP539" s="151">
        <f>SUMIF($I:$I,I539,$ED:$ED)</f>
        <v>0</v>
      </c>
      <c r="EQ539" s="153"/>
      <c r="ER539" s="153"/>
      <c r="ES539" s="153"/>
      <c r="ET539" s="153"/>
      <c r="EU539" s="152">
        <f t="shared" si="531"/>
        <v>200</v>
      </c>
      <c r="EV539" s="152">
        <f t="shared" si="532"/>
        <v>0</v>
      </c>
      <c r="EW539" s="152">
        <f t="shared" si="533"/>
        <v>0</v>
      </c>
      <c r="EX539" s="152">
        <f t="shared" si="534"/>
        <v>0</v>
      </c>
      <c r="EY539" s="151" t="str">
        <f t="shared" si="535"/>
        <v>Đủ</v>
      </c>
    </row>
    <row r="540" spans="1:158" s="155" customFormat="1" ht="14" hidden="1" customHeight="1">
      <c r="A540" s="208" t="str">
        <f t="shared" si="494"/>
        <v>ok</v>
      </c>
      <c r="B540" s="154"/>
      <c r="C540" s="154"/>
      <c r="D540" s="154"/>
      <c r="E540" s="154"/>
      <c r="F540" s="344"/>
      <c r="G540" s="154"/>
      <c r="H540" s="154"/>
      <c r="I540" s="256" t="s">
        <v>1101</v>
      </c>
      <c r="J540" s="254" t="s">
        <v>751</v>
      </c>
      <c r="K540" s="253" t="s">
        <v>1102</v>
      </c>
      <c r="L540" s="261"/>
      <c r="M540" s="256" t="s">
        <v>1074</v>
      </c>
      <c r="N540" s="259"/>
      <c r="O540" s="191"/>
      <c r="P540" s="190"/>
      <c r="AO540" s="234"/>
      <c r="AP540" s="193"/>
      <c r="AQ540" s="193"/>
      <c r="AR540" s="193"/>
      <c r="AS540" s="193"/>
      <c r="AT540" s="193"/>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209"/>
      <c r="CT540" s="209"/>
      <c r="CU540" s="763"/>
      <c r="CV540" s="156"/>
      <c r="DA540" s="152"/>
      <c r="DB540" s="152"/>
      <c r="DC540" s="158"/>
      <c r="DD540" s="158" t="s">
        <v>2579</v>
      </c>
      <c r="DE540" s="156" t="s">
        <v>2042</v>
      </c>
      <c r="DF540" s="983" t="s">
        <v>1999</v>
      </c>
      <c r="DG540" s="186"/>
      <c r="DH540" s="156" t="s">
        <v>477</v>
      </c>
      <c r="DI540" s="187" t="s">
        <v>374</v>
      </c>
      <c r="DJ540" s="242">
        <v>24</v>
      </c>
      <c r="DK540" s="242" t="s">
        <v>477</v>
      </c>
      <c r="DL540" s="987">
        <v>20800</v>
      </c>
      <c r="DM540" s="181">
        <f t="shared" si="519"/>
        <v>549120</v>
      </c>
      <c r="DN540" s="446">
        <v>0.08</v>
      </c>
      <c r="DO540" s="195">
        <f t="shared" si="521"/>
        <v>499200</v>
      </c>
      <c r="DP540" s="988">
        <v>46006</v>
      </c>
      <c r="DQ540" s="152"/>
      <c r="DR540" s="152"/>
      <c r="EO540" s="152"/>
      <c r="EP540" s="151"/>
      <c r="EQ540" s="153"/>
      <c r="ER540" s="153"/>
      <c r="ES540" s="153"/>
      <c r="ET540" s="153"/>
      <c r="EU540" s="152"/>
      <c r="EV540" s="152"/>
      <c r="EW540" s="152"/>
      <c r="EX540" s="152"/>
      <c r="EY540" s="151"/>
    </row>
    <row r="541" spans="1:158" s="155" customFormat="1" ht="14" hidden="1" customHeight="1">
      <c r="A541" s="208" t="str">
        <f t="shared" si="494"/>
        <v>ok</v>
      </c>
      <c r="B541" s="154"/>
      <c r="C541" s="154"/>
      <c r="D541" s="154"/>
      <c r="E541" s="154"/>
      <c r="F541" s="344"/>
      <c r="G541" s="154"/>
      <c r="H541" s="154"/>
      <c r="I541" s="256" t="s">
        <v>1101</v>
      </c>
      <c r="J541" s="254" t="s">
        <v>751</v>
      </c>
      <c r="K541" s="253" t="s">
        <v>1102</v>
      </c>
      <c r="L541" s="261"/>
      <c r="M541" s="256" t="s">
        <v>1074</v>
      </c>
      <c r="N541" s="259"/>
      <c r="O541" s="191"/>
      <c r="P541" s="190"/>
      <c r="AO541" s="234"/>
      <c r="AP541" s="193"/>
      <c r="AQ541" s="193"/>
      <c r="AR541" s="193"/>
      <c r="AS541" s="193"/>
      <c r="AT541" s="193"/>
      <c r="AU541" s="162"/>
      <c r="AV541" s="162"/>
      <c r="AW541" s="162"/>
      <c r="AX541" s="162"/>
      <c r="AY541" s="162"/>
      <c r="AZ541" s="162"/>
      <c r="BA541" s="162"/>
      <c r="BB541" s="162"/>
      <c r="BC541" s="162"/>
      <c r="BD541" s="162"/>
      <c r="BE541" s="162"/>
      <c r="BF541" s="162"/>
      <c r="BG541" s="162"/>
      <c r="BH541" s="162"/>
      <c r="BI541" s="162"/>
      <c r="BJ541" s="162"/>
      <c r="BK541" s="162"/>
      <c r="BL541" s="162"/>
      <c r="BM541" s="162"/>
      <c r="BN541" s="162"/>
      <c r="BO541" s="162"/>
      <c r="BP541" s="162"/>
      <c r="BQ541" s="162"/>
      <c r="BR541" s="162"/>
      <c r="BS541" s="162"/>
      <c r="BT541" s="162"/>
      <c r="BU541" s="162"/>
      <c r="BV541" s="162"/>
      <c r="BW541" s="162"/>
      <c r="BX541" s="162"/>
      <c r="BY541" s="162"/>
      <c r="BZ541" s="162"/>
      <c r="CA541" s="162"/>
      <c r="CB541" s="162"/>
      <c r="CC541" s="162"/>
      <c r="CD541" s="162"/>
      <c r="CE541" s="162"/>
      <c r="CF541" s="162"/>
      <c r="CG541" s="162"/>
      <c r="CH541" s="162"/>
      <c r="CI541" s="162"/>
      <c r="CJ541" s="162"/>
      <c r="CK541" s="162"/>
      <c r="CL541" s="162"/>
      <c r="CM541" s="162"/>
      <c r="CN541" s="162"/>
      <c r="CO541" s="162"/>
      <c r="CP541" s="162"/>
      <c r="CQ541" s="162"/>
      <c r="CR541" s="162"/>
      <c r="CS541" s="209"/>
      <c r="CT541" s="209"/>
      <c r="CU541" s="257"/>
      <c r="CV541" s="156"/>
      <c r="DA541" s="152"/>
      <c r="DB541" s="152"/>
      <c r="DC541" s="158"/>
      <c r="DD541" s="158" t="s">
        <v>2243</v>
      </c>
      <c r="DE541" s="156" t="s">
        <v>2042</v>
      </c>
      <c r="DF541" s="253" t="s">
        <v>2359</v>
      </c>
      <c r="DG541" s="186" t="s">
        <v>2360</v>
      </c>
      <c r="DH541" s="156" t="s">
        <v>477</v>
      </c>
      <c r="DI541" s="187">
        <v>45982</v>
      </c>
      <c r="DJ541" s="717">
        <v>48</v>
      </c>
      <c r="DK541" s="240" t="s">
        <v>477</v>
      </c>
      <c r="DL541" s="987">
        <v>20800</v>
      </c>
      <c r="DM541" s="181">
        <f>DL541*DJ541*(1+DN541)</f>
        <v>1078272</v>
      </c>
      <c r="DN541" s="446">
        <v>0.08</v>
      </c>
      <c r="DO541" s="160">
        <f>DL541*DJ541</f>
        <v>998400</v>
      </c>
      <c r="DP541" s="988">
        <v>45982</v>
      </c>
      <c r="DQ541" s="152"/>
      <c r="DR541" s="152"/>
      <c r="EO541" s="152"/>
      <c r="EP541" s="151"/>
      <c r="EQ541" s="153"/>
      <c r="ER541" s="153"/>
      <c r="ES541" s="153"/>
      <c r="ET541" s="153"/>
      <c r="EU541" s="152"/>
      <c r="EV541" s="152"/>
      <c r="EW541" s="152"/>
      <c r="EX541" s="152"/>
      <c r="EY541" s="151"/>
    </row>
    <row r="542" spans="1:158" s="155" customFormat="1" ht="14" hidden="1" customHeight="1">
      <c r="A542" s="208" t="str">
        <f t="shared" si="494"/>
        <v>Hiện</v>
      </c>
      <c r="B542" s="154" t="str">
        <f t="shared" si="511"/>
        <v>Đủ</v>
      </c>
      <c r="C542" s="154">
        <f t="shared" si="405"/>
        <v>0</v>
      </c>
      <c r="D542" s="154"/>
      <c r="E542" s="154"/>
      <c r="F542" s="344" t="s">
        <v>1728</v>
      </c>
      <c r="G542" s="154"/>
      <c r="H542" s="154"/>
      <c r="I542" s="256" t="s">
        <v>1103</v>
      </c>
      <c r="J542" s="254" t="s">
        <v>751</v>
      </c>
      <c r="K542" s="253" t="s">
        <v>1104</v>
      </c>
      <c r="L542" s="261"/>
      <c r="M542" s="256" t="s">
        <v>1074</v>
      </c>
      <c r="N542" s="259"/>
      <c r="O542" s="191">
        <v>192</v>
      </c>
      <c r="P542" s="190"/>
      <c r="AO542" s="234">
        <v>192</v>
      </c>
      <c r="AP542" s="193">
        <v>0</v>
      </c>
      <c r="AQ542" s="193">
        <v>0</v>
      </c>
      <c r="AR542" s="193">
        <v>0</v>
      </c>
      <c r="AS542" s="193">
        <v>0</v>
      </c>
      <c r="AT542" s="193">
        <v>0</v>
      </c>
      <c r="AU542" s="162">
        <v>0</v>
      </c>
      <c r="AV542" s="162">
        <v>0</v>
      </c>
      <c r="AW542" s="162">
        <v>0</v>
      </c>
      <c r="AX542" s="162">
        <v>0</v>
      </c>
      <c r="AY542" s="162">
        <v>0</v>
      </c>
      <c r="AZ542" s="162">
        <v>0</v>
      </c>
      <c r="BA542" s="162"/>
      <c r="BB542" s="162"/>
      <c r="BC542" s="162">
        <v>0</v>
      </c>
      <c r="BD542" s="162">
        <v>0</v>
      </c>
      <c r="BE542" s="162">
        <v>0</v>
      </c>
      <c r="BF542" s="162">
        <v>0</v>
      </c>
      <c r="BG542" s="162">
        <v>0</v>
      </c>
      <c r="BH542" s="162">
        <v>0</v>
      </c>
      <c r="BI542" s="162">
        <v>0</v>
      </c>
      <c r="BJ542" s="162">
        <v>0</v>
      </c>
      <c r="BK542" s="162">
        <v>0</v>
      </c>
      <c r="BL542" s="162">
        <v>0</v>
      </c>
      <c r="BM542" s="162">
        <v>0</v>
      </c>
      <c r="BN542" s="162">
        <v>0</v>
      </c>
      <c r="BO542" s="162"/>
      <c r="BP542" s="162"/>
      <c r="BQ542" s="162">
        <v>0</v>
      </c>
      <c r="BR542" s="162">
        <v>0</v>
      </c>
      <c r="BS542" s="162">
        <v>0</v>
      </c>
      <c r="BT542" s="162">
        <v>0</v>
      </c>
      <c r="BU542" s="162">
        <v>0</v>
      </c>
      <c r="BV542" s="162">
        <v>0</v>
      </c>
      <c r="BW542" s="162"/>
      <c r="BX542" s="162"/>
      <c r="BY542" s="162">
        <v>0</v>
      </c>
      <c r="BZ542" s="162">
        <v>0</v>
      </c>
      <c r="CA542" s="162">
        <v>0</v>
      </c>
      <c r="CB542" s="162">
        <v>0</v>
      </c>
      <c r="CC542" s="162">
        <v>0</v>
      </c>
      <c r="CD542" s="162">
        <v>0</v>
      </c>
      <c r="CE542" s="162">
        <f>VLOOKUP(I542,[120]REV33!$A:$O,11,0)</f>
        <v>0</v>
      </c>
      <c r="CF542" s="162">
        <f>VLOOKUP(I542,[120]REV33!$A:$O,12,0)</f>
        <v>0</v>
      </c>
      <c r="CG542" s="162"/>
      <c r="CH542" s="162"/>
      <c r="CI542" s="162"/>
      <c r="CJ542" s="162"/>
      <c r="CK542" s="162"/>
      <c r="CL542" s="162"/>
      <c r="CM542" s="162"/>
      <c r="CN542" s="162"/>
      <c r="CO542" s="162">
        <v>0</v>
      </c>
      <c r="CP542" s="162">
        <v>0</v>
      </c>
      <c r="CQ542" s="162">
        <v>0</v>
      </c>
      <c r="CR542" s="162">
        <v>0</v>
      </c>
      <c r="CS542" s="209">
        <f>Q542+S542+U542+W542+Y542+AA542+AC542+AE542+AG542+AI542+AK542+AM542+AO542+AQ542+AS542+AU542+AW542+AY542+BA542+BC542+BE542+BG542+BI542+BK542+BM542+BO542+BQ542+BS542+BU542+BW542+BY542+CA542+CC542+CE542+CG542+CI542+CK542+CM542+CO542+CQ542</f>
        <v>192</v>
      </c>
      <c r="CT542" s="209">
        <f>R542+T542+V542+X542+Z542+AB542+AD542+AF542+AH542+AJ542+AL542+AN542+AP542+AR542+AT542+AV542+AX542+AZ542+BB542+BD542+BF542+BH542+BJ542+BL542+BN542+BP542+BR542+BT542+BV542+BX542+BZ542+CB542+CD542+CF542+CH542+CJ542+CL542+CN542+CP542+CR542</f>
        <v>0</v>
      </c>
      <c r="CU542" s="257" t="s">
        <v>1157</v>
      </c>
      <c r="CV542" s="156"/>
      <c r="DA542" s="152">
        <f t="shared" ref="DA542:DA545" si="536">IF(CS542&gt;CW542,CS542-CW542,"0")</f>
        <v>192</v>
      </c>
      <c r="DB542" s="152" t="str">
        <f t="shared" ref="DB542:DB545" si="537">IF(CT542&gt;CX542,CT542-CX542,"0")</f>
        <v>0</v>
      </c>
      <c r="DC542" s="158"/>
      <c r="DD542" s="158" t="s">
        <v>1584</v>
      </c>
      <c r="DE542" s="156" t="s">
        <v>435</v>
      </c>
      <c r="DF542" s="260" t="s">
        <v>1334</v>
      </c>
      <c r="DG542" s="186"/>
      <c r="DH542" s="156" t="s">
        <v>477</v>
      </c>
      <c r="DI542" s="187">
        <v>45911</v>
      </c>
      <c r="DJ542" s="242">
        <v>192</v>
      </c>
      <c r="DK542" s="242" t="s">
        <v>477</v>
      </c>
      <c r="DL542" s="195">
        <v>31400</v>
      </c>
      <c r="DM542" s="181">
        <f t="shared" si="519"/>
        <v>6631680.0000000009</v>
      </c>
      <c r="DN542" s="446">
        <f t="shared" si="520"/>
        <v>0.10000000000000016</v>
      </c>
      <c r="DO542" s="195">
        <f t="shared" si="521"/>
        <v>6028800</v>
      </c>
      <c r="DP542" s="159">
        <v>45913</v>
      </c>
      <c r="DQ542" s="152">
        <f>SUMIF($I:$I,I542,$DJ:$DJ)</f>
        <v>192</v>
      </c>
      <c r="DR542" s="152">
        <f>SUMIF($I:$I,I542,$DK:$DK)</f>
        <v>0</v>
      </c>
      <c r="EO542" s="152">
        <f>SUMIF($I:$I,I542,$EC:$EC)</f>
        <v>0</v>
      </c>
      <c r="EP542" s="151">
        <f>SUMIF($I:$I,I542,$ED:$ED)</f>
        <v>0</v>
      </c>
      <c r="EQ542" s="153"/>
      <c r="ER542" s="153"/>
      <c r="ES542" s="153"/>
      <c r="ET542" s="153"/>
      <c r="EU542" s="152">
        <f t="shared" ref="EU542:EU545" si="538">DQ542+EO542</f>
        <v>192</v>
      </c>
      <c r="EV542" s="152">
        <f t="shared" ref="EV542:EV545" si="539">DR542+EP542</f>
        <v>0</v>
      </c>
      <c r="EW542" s="152">
        <f t="shared" ref="EW542:EW545" si="540">DA542-EU542</f>
        <v>0</v>
      </c>
      <c r="EX542" s="152">
        <f t="shared" ref="EX542:EX545" si="541">DB542-EV542</f>
        <v>0</v>
      </c>
      <c r="EY542" s="151" t="str">
        <f t="shared" ref="EY542:EY545" si="542">IF(EW542&lt;0,"Thừa",IF(EW542=0,"Đủ","Thiếu"))</f>
        <v>Đủ</v>
      </c>
    </row>
    <row r="543" spans="1:158" s="155" customFormat="1" ht="14" hidden="1" customHeight="1">
      <c r="A543" s="208" t="str">
        <f t="shared" si="494"/>
        <v>Hiện</v>
      </c>
      <c r="B543" s="154" t="str">
        <f t="shared" si="511"/>
        <v>Đủ</v>
      </c>
      <c r="C543" s="154">
        <f t="shared" si="405"/>
        <v>0</v>
      </c>
      <c r="D543" s="154"/>
      <c r="E543" s="154"/>
      <c r="F543" s="344" t="s">
        <v>1728</v>
      </c>
      <c r="G543" s="154"/>
      <c r="H543" s="154"/>
      <c r="I543" s="256" t="s">
        <v>1105</v>
      </c>
      <c r="J543" s="254" t="s">
        <v>751</v>
      </c>
      <c r="K543" s="253" t="s">
        <v>1106</v>
      </c>
      <c r="L543" s="261"/>
      <c r="M543" s="256" t="s">
        <v>1074</v>
      </c>
      <c r="N543" s="259"/>
      <c r="O543" s="191">
        <v>80</v>
      </c>
      <c r="P543" s="190"/>
      <c r="AO543" s="234">
        <v>80</v>
      </c>
      <c r="AP543" s="193">
        <v>0</v>
      </c>
      <c r="AQ543" s="193">
        <v>0</v>
      </c>
      <c r="AR543" s="193">
        <v>0</v>
      </c>
      <c r="AS543" s="193">
        <v>0</v>
      </c>
      <c r="AT543" s="193">
        <v>0</v>
      </c>
      <c r="AU543" s="162">
        <v>0</v>
      </c>
      <c r="AV543" s="162">
        <v>0</v>
      </c>
      <c r="AW543" s="162">
        <v>0</v>
      </c>
      <c r="AX543" s="162">
        <v>0</v>
      </c>
      <c r="AY543" s="162">
        <v>0</v>
      </c>
      <c r="AZ543" s="162">
        <v>0</v>
      </c>
      <c r="BA543" s="162"/>
      <c r="BB543" s="162"/>
      <c r="BC543" s="162">
        <v>0</v>
      </c>
      <c r="BD543" s="162">
        <v>0</v>
      </c>
      <c r="BE543" s="162">
        <v>0</v>
      </c>
      <c r="BF543" s="162">
        <v>0</v>
      </c>
      <c r="BG543" s="162">
        <v>0</v>
      </c>
      <c r="BH543" s="162">
        <v>0</v>
      </c>
      <c r="BI543" s="162">
        <v>0</v>
      </c>
      <c r="BJ543" s="162">
        <v>0</v>
      </c>
      <c r="BK543" s="162">
        <v>0</v>
      </c>
      <c r="BL543" s="162">
        <v>0</v>
      </c>
      <c r="BM543" s="162">
        <v>0</v>
      </c>
      <c r="BN543" s="162">
        <v>0</v>
      </c>
      <c r="BO543" s="162"/>
      <c r="BP543" s="162"/>
      <c r="BQ543" s="162">
        <v>120</v>
      </c>
      <c r="BR543" s="162">
        <v>0</v>
      </c>
      <c r="BS543" s="162">
        <v>0</v>
      </c>
      <c r="BT543" s="162">
        <v>0</v>
      </c>
      <c r="BU543" s="162">
        <v>0</v>
      </c>
      <c r="BV543" s="162">
        <v>0</v>
      </c>
      <c r="BW543" s="162"/>
      <c r="BX543" s="162"/>
      <c r="BY543" s="162">
        <v>0</v>
      </c>
      <c r="BZ543" s="162">
        <v>0</v>
      </c>
      <c r="CA543" s="162">
        <v>0</v>
      </c>
      <c r="CB543" s="162">
        <v>0</v>
      </c>
      <c r="CC543" s="162">
        <v>0</v>
      </c>
      <c r="CD543" s="162">
        <v>0</v>
      </c>
      <c r="CE543" s="162">
        <f>VLOOKUP(I543,[120]REV33!$A:$O,11,0)</f>
        <v>0</v>
      </c>
      <c r="CF543" s="162">
        <f>VLOOKUP(I543,[120]REV33!$A:$O,12,0)</f>
        <v>0</v>
      </c>
      <c r="CG543" s="162"/>
      <c r="CH543" s="162"/>
      <c r="CI543" s="162"/>
      <c r="CJ543" s="162"/>
      <c r="CK543" s="162"/>
      <c r="CL543" s="162"/>
      <c r="CM543" s="162"/>
      <c r="CN543" s="162"/>
      <c r="CO543" s="162">
        <v>0</v>
      </c>
      <c r="CP543" s="162">
        <v>0</v>
      </c>
      <c r="CQ543" s="162">
        <v>0</v>
      </c>
      <c r="CR543" s="162">
        <v>0</v>
      </c>
      <c r="CS543" s="209">
        <f>Q543+S543+U543+W543+Y543+AA543+AC543+AE543+AG543+AI543+AK543+AM543+AO543+AQ543+AS543+AU543+AW543+AY543+BA543+BC543+BE543+BG543+BI543+BK543+BM543+BO543+BQ543+BS543+BU543+BW543+BY543+CA543+CC543+CE543+CG543+CI543+CK543+CM543+CO543+CQ543</f>
        <v>200</v>
      </c>
      <c r="CT543" s="209">
        <f>R543+T543+V543+X543+Z543+AB543+AD543+AF543+AH543+AJ543+AL543+AN543+AP543+AR543+AT543+AV543+AX543+AZ543+BB543+BD543+BF543+BH543+BJ543+BL543+BN543+BP543+BR543+BT543+BV543+BX543+BZ543+CB543+CD543+CF543+CH543+CJ543+CL543+CN543+CP543+CR543</f>
        <v>0</v>
      </c>
      <c r="CU543" s="257" t="s">
        <v>1894</v>
      </c>
      <c r="CV543" s="156"/>
      <c r="CW543" s="155">
        <v>80</v>
      </c>
      <c r="DA543" s="152">
        <f t="shared" si="536"/>
        <v>120</v>
      </c>
      <c r="DB543" s="152" t="str">
        <f t="shared" si="537"/>
        <v>0</v>
      </c>
      <c r="DC543" s="158"/>
      <c r="DD543" s="158" t="s">
        <v>2243</v>
      </c>
      <c r="DE543" s="156" t="s">
        <v>2042</v>
      </c>
      <c r="DF543" s="253" t="s">
        <v>2361</v>
      </c>
      <c r="DG543" s="186" t="s">
        <v>2362</v>
      </c>
      <c r="DH543" s="156" t="s">
        <v>477</v>
      </c>
      <c r="DI543" s="187">
        <v>45982</v>
      </c>
      <c r="DJ543" s="717">
        <v>120</v>
      </c>
      <c r="DK543" s="240" t="s">
        <v>477</v>
      </c>
      <c r="DL543" s="189">
        <v>17900</v>
      </c>
      <c r="DM543" s="181">
        <f>DL543*DJ543*(1+DN543)</f>
        <v>2319840</v>
      </c>
      <c r="DN543" s="446">
        <v>0.08</v>
      </c>
      <c r="DO543" s="160">
        <f>DL543*DJ543</f>
        <v>2148000</v>
      </c>
      <c r="DP543" s="159">
        <v>45982</v>
      </c>
      <c r="DQ543" s="152">
        <f>SUMIF($I:$I,I543,$DJ:$DJ)</f>
        <v>120</v>
      </c>
      <c r="DR543" s="152">
        <f>SUMIF($I:$I,I543,$DK:$DK)</f>
        <v>0</v>
      </c>
      <c r="EO543" s="152">
        <f>SUMIF($I:$I,I543,$EC:$EC)</f>
        <v>0</v>
      </c>
      <c r="EP543" s="151">
        <f>SUMIF($I:$I,I543,$ED:$ED)</f>
        <v>0</v>
      </c>
      <c r="EQ543" s="153"/>
      <c r="ER543" s="153"/>
      <c r="ES543" s="153"/>
      <c r="ET543" s="153"/>
      <c r="EU543" s="152">
        <f t="shared" si="538"/>
        <v>120</v>
      </c>
      <c r="EV543" s="152">
        <f t="shared" si="539"/>
        <v>0</v>
      </c>
      <c r="EW543" s="152">
        <f t="shared" si="540"/>
        <v>0</v>
      </c>
      <c r="EX543" s="152">
        <f t="shared" si="541"/>
        <v>0</v>
      </c>
      <c r="EY543" s="151" t="str">
        <f t="shared" si="542"/>
        <v>Đủ</v>
      </c>
    </row>
    <row r="544" spans="1:158" s="155" customFormat="1" ht="14" hidden="1" customHeight="1">
      <c r="A544" s="208" t="str">
        <f t="shared" si="494"/>
        <v>Hiện</v>
      </c>
      <c r="B544" s="154" t="str">
        <f t="shared" si="511"/>
        <v>Đủ</v>
      </c>
      <c r="C544" s="154">
        <f t="shared" si="405"/>
        <v>0</v>
      </c>
      <c r="D544" s="154"/>
      <c r="E544" s="154"/>
      <c r="F544" s="344" t="s">
        <v>1728</v>
      </c>
      <c r="G544" s="154"/>
      <c r="H544" s="154"/>
      <c r="I544" s="256" t="s">
        <v>1107</v>
      </c>
      <c r="J544" s="254" t="s">
        <v>751</v>
      </c>
      <c r="K544" s="253" t="s">
        <v>1108</v>
      </c>
      <c r="L544" s="261"/>
      <c r="M544" s="256" t="s">
        <v>1074</v>
      </c>
      <c r="N544" s="259"/>
      <c r="O544" s="191">
        <v>32</v>
      </c>
      <c r="P544" s="190"/>
      <c r="AO544" s="234">
        <v>32</v>
      </c>
      <c r="AP544" s="193">
        <v>0</v>
      </c>
      <c r="AQ544" s="193">
        <v>0</v>
      </c>
      <c r="AR544" s="193">
        <v>0</v>
      </c>
      <c r="AS544" s="193">
        <v>0</v>
      </c>
      <c r="AT544" s="193">
        <v>0</v>
      </c>
      <c r="AU544" s="162">
        <v>0</v>
      </c>
      <c r="AV544" s="162">
        <v>0</v>
      </c>
      <c r="AW544" s="162">
        <v>0</v>
      </c>
      <c r="AX544" s="162">
        <v>0</v>
      </c>
      <c r="AY544" s="162">
        <v>0</v>
      </c>
      <c r="AZ544" s="162">
        <v>0</v>
      </c>
      <c r="BA544" s="162"/>
      <c r="BB544" s="162"/>
      <c r="BC544" s="162">
        <v>0</v>
      </c>
      <c r="BD544" s="162">
        <v>0</v>
      </c>
      <c r="BE544" s="162">
        <v>0</v>
      </c>
      <c r="BF544" s="162">
        <v>0</v>
      </c>
      <c r="BG544" s="162">
        <v>0</v>
      </c>
      <c r="BH544" s="162">
        <v>0</v>
      </c>
      <c r="BI544" s="162">
        <v>0</v>
      </c>
      <c r="BJ544" s="162">
        <v>0</v>
      </c>
      <c r="BK544" s="162">
        <v>0</v>
      </c>
      <c r="BL544" s="162">
        <v>0</v>
      </c>
      <c r="BM544" s="162">
        <v>0</v>
      </c>
      <c r="BN544" s="162">
        <v>0</v>
      </c>
      <c r="BO544" s="162"/>
      <c r="BP544" s="162"/>
      <c r="BQ544" s="162">
        <v>0</v>
      </c>
      <c r="BR544" s="162">
        <v>0</v>
      </c>
      <c r="BS544" s="162">
        <v>0</v>
      </c>
      <c r="BT544" s="162">
        <v>0</v>
      </c>
      <c r="BU544" s="162">
        <v>0</v>
      </c>
      <c r="BV544" s="162">
        <v>0</v>
      </c>
      <c r="BW544" s="162"/>
      <c r="BX544" s="162"/>
      <c r="BY544" s="162">
        <v>0</v>
      </c>
      <c r="BZ544" s="162">
        <v>0</v>
      </c>
      <c r="CA544" s="162">
        <v>0</v>
      </c>
      <c r="CB544" s="162">
        <v>0</v>
      </c>
      <c r="CC544" s="162">
        <v>0</v>
      </c>
      <c r="CD544" s="162">
        <v>0</v>
      </c>
      <c r="CE544" s="162">
        <f>VLOOKUP(I544,[120]REV33!$A:$O,11,0)</f>
        <v>0</v>
      </c>
      <c r="CF544" s="162">
        <f>VLOOKUP(I544,[120]REV33!$A:$O,12,0)</f>
        <v>0</v>
      </c>
      <c r="CG544" s="162"/>
      <c r="CH544" s="162"/>
      <c r="CI544" s="162"/>
      <c r="CJ544" s="162"/>
      <c r="CK544" s="162"/>
      <c r="CL544" s="162"/>
      <c r="CM544" s="162"/>
      <c r="CN544" s="162"/>
      <c r="CO544" s="162">
        <v>0</v>
      </c>
      <c r="CP544" s="162">
        <v>0</v>
      </c>
      <c r="CQ544" s="162">
        <v>0</v>
      </c>
      <c r="CR544" s="162">
        <v>0</v>
      </c>
      <c r="CS544" s="209">
        <f>Q544+S544+U544+W544+Y544+AA544+AC544+AE544+AG544+AI544+AK544+AM544+AO544+AQ544+AS544+AU544+AW544+AY544+BA544+BC544+BE544+BG544+BI544+BK544+BM544+BO544+BQ544+BS544+BU544+BW544+BY544+CA544+CC544+CE544+CG544+CI544+CK544+CM544+CO544+CQ544</f>
        <v>32</v>
      </c>
      <c r="CT544" s="209">
        <f>R544+T544+V544+X544+Z544+AB544+AD544+AF544+AH544+AJ544+AL544+AN544+AP544+AR544+AT544+AV544+AX544+AZ544+BB544+BD544+BF544+BH544+BJ544+BL544+BN544+BP544+BR544+BT544+BV544+BX544+BZ544+CB544+CD544+CF544+CH544+CJ544+CL544+CN544+CP544+CR544</f>
        <v>0</v>
      </c>
      <c r="CU544" s="257" t="s">
        <v>1157</v>
      </c>
      <c r="CV544" s="156"/>
      <c r="CW544" s="155">
        <v>32</v>
      </c>
      <c r="DA544" s="152" t="str">
        <f t="shared" si="536"/>
        <v>0</v>
      </c>
      <c r="DB544" s="152" t="str">
        <f t="shared" si="537"/>
        <v>0</v>
      </c>
      <c r="DC544" s="158"/>
      <c r="DD544" s="158"/>
      <c r="DE544" s="156"/>
      <c r="DF544" s="260"/>
      <c r="DG544" s="186"/>
      <c r="DH544" s="156"/>
      <c r="DI544" s="195"/>
      <c r="DJ544" s="242"/>
      <c r="DK544" s="242"/>
      <c r="DL544" s="195"/>
      <c r="DM544" s="195"/>
      <c r="DN544" s="195"/>
      <c r="DO544" s="195"/>
      <c r="DP544" s="160"/>
      <c r="DQ544" s="152">
        <f>SUMIF($I:$I,I544,$DJ:$DJ)</f>
        <v>0</v>
      </c>
      <c r="DR544" s="152">
        <f>SUMIF($I:$I,I544,$DK:$DK)</f>
        <v>0</v>
      </c>
      <c r="EO544" s="152">
        <f>SUMIF($I:$I,I544,$EC:$EC)</f>
        <v>0</v>
      </c>
      <c r="EP544" s="151">
        <f>SUMIF($I:$I,I544,$ED:$ED)</f>
        <v>0</v>
      </c>
      <c r="EQ544" s="153"/>
      <c r="ER544" s="153"/>
      <c r="ES544" s="153"/>
      <c r="ET544" s="153"/>
      <c r="EU544" s="152">
        <f t="shared" si="538"/>
        <v>0</v>
      </c>
      <c r="EV544" s="152">
        <f t="shared" si="539"/>
        <v>0</v>
      </c>
      <c r="EW544" s="152">
        <f t="shared" si="540"/>
        <v>0</v>
      </c>
      <c r="EX544" s="152">
        <f t="shared" si="541"/>
        <v>0</v>
      </c>
      <c r="EY544" s="151" t="str">
        <f t="shared" si="542"/>
        <v>Đủ</v>
      </c>
    </row>
    <row r="545" spans="1:164" s="155" customFormat="1" ht="14" hidden="1" customHeight="1">
      <c r="A545" s="208" t="str">
        <f t="shared" si="494"/>
        <v>Hiện</v>
      </c>
      <c r="B545" s="154" t="str">
        <f t="shared" si="511"/>
        <v>Đủ</v>
      </c>
      <c r="C545" s="154">
        <f t="shared" si="405"/>
        <v>0</v>
      </c>
      <c r="D545" s="154"/>
      <c r="E545" s="154"/>
      <c r="F545" s="344" t="s">
        <v>1728</v>
      </c>
      <c r="G545" s="154"/>
      <c r="H545" s="154"/>
      <c r="I545" s="256" t="s">
        <v>1109</v>
      </c>
      <c r="J545" s="254" t="s">
        <v>751</v>
      </c>
      <c r="K545" s="253" t="s">
        <v>1110</v>
      </c>
      <c r="L545" s="261"/>
      <c r="M545" s="256" t="s">
        <v>1074</v>
      </c>
      <c r="N545" s="259"/>
      <c r="O545" s="191">
        <v>320</v>
      </c>
      <c r="P545" s="190"/>
      <c r="AO545" s="234">
        <v>320</v>
      </c>
      <c r="AP545" s="193">
        <v>0</v>
      </c>
      <c r="AQ545" s="193">
        <v>0</v>
      </c>
      <c r="AR545" s="193">
        <v>0</v>
      </c>
      <c r="AS545" s="193">
        <v>0</v>
      </c>
      <c r="AT545" s="193">
        <v>0</v>
      </c>
      <c r="AU545" s="162">
        <v>0</v>
      </c>
      <c r="AV545" s="162">
        <v>0</v>
      </c>
      <c r="AW545" s="162">
        <v>0</v>
      </c>
      <c r="AX545" s="162">
        <v>0</v>
      </c>
      <c r="AY545" s="162">
        <v>0</v>
      </c>
      <c r="AZ545" s="162">
        <v>0</v>
      </c>
      <c r="BA545" s="162"/>
      <c r="BB545" s="162"/>
      <c r="BC545" s="162">
        <v>0</v>
      </c>
      <c r="BD545" s="162">
        <v>0</v>
      </c>
      <c r="BE545" s="162">
        <v>0</v>
      </c>
      <c r="BF545" s="162">
        <v>0</v>
      </c>
      <c r="BG545" s="162">
        <v>0</v>
      </c>
      <c r="BH545" s="162">
        <v>0</v>
      </c>
      <c r="BI545" s="162">
        <v>0</v>
      </c>
      <c r="BJ545" s="162">
        <v>0</v>
      </c>
      <c r="BK545" s="162">
        <v>0</v>
      </c>
      <c r="BL545" s="162">
        <v>0</v>
      </c>
      <c r="BM545" s="162">
        <v>0</v>
      </c>
      <c r="BN545" s="162">
        <v>0</v>
      </c>
      <c r="BO545" s="162"/>
      <c r="BP545" s="162"/>
      <c r="BQ545" s="162">
        <v>96</v>
      </c>
      <c r="BR545" s="162">
        <v>0</v>
      </c>
      <c r="BS545" s="162">
        <v>0</v>
      </c>
      <c r="BT545" s="162">
        <v>0</v>
      </c>
      <c r="BU545" s="162">
        <v>0</v>
      </c>
      <c r="BV545" s="162">
        <v>0</v>
      </c>
      <c r="BW545" s="162"/>
      <c r="BX545" s="162"/>
      <c r="BY545" s="162">
        <v>0</v>
      </c>
      <c r="BZ545" s="162">
        <v>0</v>
      </c>
      <c r="CA545" s="162">
        <v>0</v>
      </c>
      <c r="CB545" s="162">
        <v>0</v>
      </c>
      <c r="CC545" s="162">
        <v>0</v>
      </c>
      <c r="CD545" s="162">
        <v>0</v>
      </c>
      <c r="CE545" s="162">
        <f>VLOOKUP(I545,[120]REV33!$A:$O,11,0)</f>
        <v>0</v>
      </c>
      <c r="CF545" s="162">
        <f>VLOOKUP(I545,[120]REV33!$A:$O,12,0)</f>
        <v>0</v>
      </c>
      <c r="CG545" s="162"/>
      <c r="CH545" s="162"/>
      <c r="CI545" s="162"/>
      <c r="CJ545" s="162"/>
      <c r="CK545" s="162"/>
      <c r="CL545" s="162"/>
      <c r="CM545" s="162"/>
      <c r="CN545" s="162"/>
      <c r="CO545" s="162">
        <v>0</v>
      </c>
      <c r="CP545" s="162">
        <v>0</v>
      </c>
      <c r="CQ545" s="162">
        <v>0</v>
      </c>
      <c r="CR545" s="162">
        <v>0</v>
      </c>
      <c r="CS545" s="209">
        <f>Q545+S545+U545+W545+Y545+AA545+AC545+AE545+AG545+AI545+AK545+AM545+AO545+AQ545+AS545+AU545+AW545+AY545+BA545+BC545+BE545+BG545+BI545+BK545+BM545+BO545+BQ545+BS545+BU545+BW545+BY545+CA545+CC545+CE545+CG545+CI545+CK545+CM545+CO545+CQ545</f>
        <v>416</v>
      </c>
      <c r="CT545" s="209">
        <f>R545+T545+V545+X545+Z545+AB545+AD545+AF545+AH545+AJ545+AL545+AN545+AP545+AR545+AT545+AV545+AX545+AZ545+BB545+BD545+BF545+BH545+BJ545+BL545+BN545+BP545+BR545+BT545+BV545+BX545+BZ545+CB545+CD545+CF545+CH545+CJ545+CL545+CN545+CP545+CR545</f>
        <v>0</v>
      </c>
      <c r="CU545" s="257" t="s">
        <v>1894</v>
      </c>
      <c r="CV545" s="156"/>
      <c r="DA545" s="152">
        <f t="shared" si="536"/>
        <v>416</v>
      </c>
      <c r="DB545" s="152" t="str">
        <f t="shared" si="537"/>
        <v>0</v>
      </c>
      <c r="DC545" s="158"/>
      <c r="DD545" s="158" t="s">
        <v>1584</v>
      </c>
      <c r="DE545" s="156" t="s">
        <v>435</v>
      </c>
      <c r="DF545" s="260" t="s">
        <v>1335</v>
      </c>
      <c r="DG545" s="186"/>
      <c r="DH545" s="156" t="s">
        <v>477</v>
      </c>
      <c r="DI545" s="187">
        <v>45911</v>
      </c>
      <c r="DJ545" s="242">
        <v>320</v>
      </c>
      <c r="DK545" s="242" t="s">
        <v>477</v>
      </c>
      <c r="DL545" s="195">
        <v>53760</v>
      </c>
      <c r="DM545" s="181">
        <f>DL545*DJ545*1.1</f>
        <v>18923520</v>
      </c>
      <c r="DN545" s="446">
        <f>(DM545-DO545)/DO545</f>
        <v>0.1</v>
      </c>
      <c r="DO545" s="195">
        <f>DL545*DJ545</f>
        <v>17203200</v>
      </c>
      <c r="DP545" s="159">
        <v>45913</v>
      </c>
      <c r="DQ545" s="152">
        <f>SUMIF($I:$I,I545,$DJ:$DJ)</f>
        <v>416</v>
      </c>
      <c r="DR545" s="152">
        <f>SUMIF($I:$I,I545,$DK:$DK)</f>
        <v>0</v>
      </c>
      <c r="EO545" s="152">
        <f>SUMIF($I:$I,I545,$EC:$EC)</f>
        <v>0</v>
      </c>
      <c r="EP545" s="151">
        <f>SUMIF($I:$I,I545,$ED:$ED)</f>
        <v>0</v>
      </c>
      <c r="EQ545" s="153"/>
      <c r="ER545" s="153"/>
      <c r="ES545" s="153"/>
      <c r="ET545" s="153"/>
      <c r="EU545" s="152">
        <f t="shared" si="538"/>
        <v>416</v>
      </c>
      <c r="EV545" s="152">
        <f t="shared" si="539"/>
        <v>0</v>
      </c>
      <c r="EW545" s="152">
        <f t="shared" si="540"/>
        <v>0</v>
      </c>
      <c r="EX545" s="152">
        <f t="shared" si="541"/>
        <v>0</v>
      </c>
      <c r="EY545" s="151" t="str">
        <f t="shared" si="542"/>
        <v>Đủ</v>
      </c>
    </row>
    <row r="546" spans="1:164" s="155" customFormat="1" ht="14" hidden="1" customHeight="1">
      <c r="A546" s="208" t="str">
        <f t="shared" si="494"/>
        <v>ok</v>
      </c>
      <c r="B546" s="154"/>
      <c r="C546" s="154"/>
      <c r="D546" s="154"/>
      <c r="E546" s="154"/>
      <c r="F546" s="344"/>
      <c r="G546" s="154"/>
      <c r="H546" s="154"/>
      <c r="I546" s="256" t="s">
        <v>1109</v>
      </c>
      <c r="J546" s="254" t="s">
        <v>751</v>
      </c>
      <c r="K546" s="253" t="s">
        <v>1110</v>
      </c>
      <c r="L546" s="261"/>
      <c r="M546" s="256" t="s">
        <v>1074</v>
      </c>
      <c r="N546" s="259"/>
      <c r="O546" s="191"/>
      <c r="P546" s="190"/>
      <c r="AO546" s="234"/>
      <c r="AP546" s="193"/>
      <c r="AQ546" s="193"/>
      <c r="AR546" s="193"/>
      <c r="AS546" s="193"/>
      <c r="AT546" s="193"/>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209"/>
      <c r="CT546" s="209"/>
      <c r="CU546" s="257"/>
      <c r="CV546" s="156"/>
      <c r="DA546" s="152"/>
      <c r="DB546" s="152"/>
      <c r="DC546" s="158"/>
      <c r="DD546" s="158" t="s">
        <v>2243</v>
      </c>
      <c r="DE546" s="156" t="s">
        <v>2042</v>
      </c>
      <c r="DF546" s="253" t="s">
        <v>2363</v>
      </c>
      <c r="DG546" s="186" t="s">
        <v>2364</v>
      </c>
      <c r="DH546" s="156" t="s">
        <v>477</v>
      </c>
      <c r="DI546" s="187">
        <v>45982</v>
      </c>
      <c r="DJ546" s="717">
        <v>96</v>
      </c>
      <c r="DK546" s="240" t="s">
        <v>477</v>
      </c>
      <c r="DL546" s="189">
        <v>46000</v>
      </c>
      <c r="DM546" s="181">
        <f>DL546*DJ546*(1+DN546)</f>
        <v>4769280</v>
      </c>
      <c r="DN546" s="446">
        <v>0.08</v>
      </c>
      <c r="DO546" s="160">
        <f>DL546*DJ546</f>
        <v>4416000</v>
      </c>
      <c r="DP546" s="159">
        <v>45982</v>
      </c>
      <c r="DQ546" s="152"/>
      <c r="DR546" s="152"/>
      <c r="EO546" s="152"/>
      <c r="EP546" s="151"/>
      <c r="EQ546" s="153"/>
      <c r="ER546" s="153"/>
      <c r="ES546" s="153"/>
      <c r="ET546" s="153"/>
      <c r="EU546" s="152"/>
      <c r="EV546" s="152"/>
      <c r="EW546" s="152"/>
      <c r="EX546" s="152"/>
      <c r="EY546" s="151"/>
    </row>
    <row r="547" spans="1:164" s="155" customFormat="1" ht="14" hidden="1" customHeight="1">
      <c r="A547" s="208" t="str">
        <f t="shared" si="494"/>
        <v>Hiện</v>
      </c>
      <c r="B547" s="154" t="str">
        <f t="shared" si="511"/>
        <v>Đủ</v>
      </c>
      <c r="C547" s="154">
        <f t="shared" si="405"/>
        <v>0</v>
      </c>
      <c r="D547" s="154"/>
      <c r="E547" s="154"/>
      <c r="F547" s="344" t="s">
        <v>1728</v>
      </c>
      <c r="G547" s="154"/>
      <c r="H547" s="154"/>
      <c r="I547" s="256" t="s">
        <v>1111</v>
      </c>
      <c r="J547" s="254" t="s">
        <v>751</v>
      </c>
      <c r="K547" s="253" t="s">
        <v>1112</v>
      </c>
      <c r="L547" s="261"/>
      <c r="M547" s="256" t="s">
        <v>1074</v>
      </c>
      <c r="N547" s="259"/>
      <c r="O547" s="191">
        <v>64</v>
      </c>
      <c r="P547" s="190"/>
      <c r="AO547" s="234">
        <v>64</v>
      </c>
      <c r="AP547" s="193">
        <v>0</v>
      </c>
      <c r="AQ547" s="193">
        <v>0</v>
      </c>
      <c r="AR547" s="193">
        <v>0</v>
      </c>
      <c r="AS547" s="193">
        <v>0</v>
      </c>
      <c r="AT547" s="193">
        <v>0</v>
      </c>
      <c r="AU547" s="162">
        <v>0</v>
      </c>
      <c r="AV547" s="162">
        <v>0</v>
      </c>
      <c r="AW547" s="162">
        <v>0</v>
      </c>
      <c r="AX547" s="162">
        <v>0</v>
      </c>
      <c r="AY547" s="162">
        <v>0</v>
      </c>
      <c r="AZ547" s="162">
        <v>0</v>
      </c>
      <c r="BA547" s="162"/>
      <c r="BB547" s="162"/>
      <c r="BC547" s="162">
        <v>0</v>
      </c>
      <c r="BD547" s="162">
        <v>0</v>
      </c>
      <c r="BE547" s="162">
        <v>0</v>
      </c>
      <c r="BF547" s="162">
        <v>0</v>
      </c>
      <c r="BG547" s="162">
        <v>0</v>
      </c>
      <c r="BH547" s="162">
        <v>0</v>
      </c>
      <c r="BI547" s="162">
        <v>0</v>
      </c>
      <c r="BJ547" s="162">
        <v>0</v>
      </c>
      <c r="BK547" s="162">
        <v>0</v>
      </c>
      <c r="BL547" s="162">
        <v>0</v>
      </c>
      <c r="BM547" s="162">
        <v>0</v>
      </c>
      <c r="BN547" s="162">
        <v>0</v>
      </c>
      <c r="BO547" s="162"/>
      <c r="BP547" s="162"/>
      <c r="BQ547" s="162">
        <v>0</v>
      </c>
      <c r="BR547" s="162">
        <v>0</v>
      </c>
      <c r="BS547" s="162">
        <v>0</v>
      </c>
      <c r="BT547" s="162">
        <v>0</v>
      </c>
      <c r="BU547" s="162">
        <v>0</v>
      </c>
      <c r="BV547" s="162">
        <v>0</v>
      </c>
      <c r="BW547" s="162"/>
      <c r="BX547" s="162"/>
      <c r="BY547" s="162">
        <v>0</v>
      </c>
      <c r="BZ547" s="162">
        <v>0</v>
      </c>
      <c r="CA547" s="162">
        <v>0</v>
      </c>
      <c r="CB547" s="162">
        <v>0</v>
      </c>
      <c r="CC547" s="162">
        <v>0</v>
      </c>
      <c r="CD547" s="162">
        <v>0</v>
      </c>
      <c r="CE547" s="162">
        <f>VLOOKUP(I547,[120]REV33!$A:$O,11,0)</f>
        <v>0</v>
      </c>
      <c r="CF547" s="162">
        <f>VLOOKUP(I547,[120]REV33!$A:$O,12,0)</f>
        <v>0</v>
      </c>
      <c r="CG547" s="162"/>
      <c r="CH547" s="162"/>
      <c r="CI547" s="162"/>
      <c r="CJ547" s="162"/>
      <c r="CK547" s="162"/>
      <c r="CL547" s="162"/>
      <c r="CM547" s="162"/>
      <c r="CN547" s="162"/>
      <c r="CO547" s="162">
        <v>0</v>
      </c>
      <c r="CP547" s="162">
        <v>0</v>
      </c>
      <c r="CQ547" s="162">
        <v>0</v>
      </c>
      <c r="CR547" s="162">
        <v>0</v>
      </c>
      <c r="CS547" s="209">
        <f>Q547+S547+U547+W547+Y547+AA547+AC547+AE547+AG547+AI547+AK547+AM547+AO547+AQ547+AS547+AU547+AW547+AY547+BA547+BC547+BE547+BG547+BI547+BK547+BM547+BO547+BQ547+BS547+BU547+BW547+BY547+CA547+CC547+CE547+CG547+CI547+CK547+CM547+CO547+CQ547</f>
        <v>64</v>
      </c>
      <c r="CT547" s="209">
        <f>R547+T547+V547+X547+Z547+AB547+AD547+AF547+AH547+AJ547+AL547+AN547+AP547+AR547+AT547+AV547+AX547+AZ547+BB547+BD547+BF547+BH547+BJ547+BL547+BN547+BP547+BR547+BT547+BV547+BX547+BZ547+CB547+CD547+CF547+CH547+CJ547+CL547+CN547+CP547+CR547</f>
        <v>0</v>
      </c>
      <c r="CU547" s="257" t="s">
        <v>1157</v>
      </c>
      <c r="CV547" s="156"/>
      <c r="DA547" s="152">
        <f t="shared" ref="DA547:DA548" si="543">IF(CS547&gt;CW547,CS547-CW547,"0")</f>
        <v>64</v>
      </c>
      <c r="DB547" s="152" t="str">
        <f t="shared" ref="DB547:DB548" si="544">IF(CT547&gt;CX547,CT547-CX547,"0")</f>
        <v>0</v>
      </c>
      <c r="DC547" s="158"/>
      <c r="DD547" s="158" t="s">
        <v>1584</v>
      </c>
      <c r="DE547" s="156" t="s">
        <v>435</v>
      </c>
      <c r="DF547" s="260" t="s">
        <v>1336</v>
      </c>
      <c r="DG547" s="186"/>
      <c r="DH547" s="156" t="s">
        <v>477</v>
      </c>
      <c r="DI547" s="187">
        <v>45911</v>
      </c>
      <c r="DJ547" s="242">
        <v>64</v>
      </c>
      <c r="DK547" s="242" t="s">
        <v>477</v>
      </c>
      <c r="DL547" s="195">
        <v>84000</v>
      </c>
      <c r="DM547" s="181">
        <f>DL547*DJ547*1.1</f>
        <v>5913600.0000000009</v>
      </c>
      <c r="DN547" s="446">
        <f>(DM547-DO547)/DO547</f>
        <v>0.10000000000000017</v>
      </c>
      <c r="DO547" s="195">
        <f>DL547*DJ547</f>
        <v>5376000</v>
      </c>
      <c r="DP547" s="159">
        <v>45913</v>
      </c>
      <c r="DQ547" s="152">
        <f>SUMIF($I:$I,I547,$DJ:$DJ)</f>
        <v>64</v>
      </c>
      <c r="DR547" s="152">
        <f>SUMIF($I:$I,I547,$DK:$DK)</f>
        <v>0</v>
      </c>
      <c r="EO547" s="152">
        <f>SUMIF($I:$I,I547,$EC:$EC)</f>
        <v>0</v>
      </c>
      <c r="EP547" s="151">
        <f>SUMIF($I:$I,I547,$ED:$ED)</f>
        <v>0</v>
      </c>
      <c r="EQ547" s="153"/>
      <c r="ER547" s="153"/>
      <c r="ES547" s="153"/>
      <c r="ET547" s="153"/>
      <c r="EU547" s="152">
        <f t="shared" ref="EU547:EU548" si="545">DQ547+EO547</f>
        <v>64</v>
      </c>
      <c r="EV547" s="152">
        <f t="shared" ref="EV547:EV548" si="546">DR547+EP547</f>
        <v>0</v>
      </c>
      <c r="EW547" s="152">
        <f t="shared" ref="EW547:EW548" si="547">DA547-EU547</f>
        <v>0</v>
      </c>
      <c r="EX547" s="152">
        <f t="shared" ref="EX547:EX548" si="548">DB547-EV547</f>
        <v>0</v>
      </c>
      <c r="EY547" s="151" t="str">
        <f t="shared" ref="EY547:EY548" si="549">IF(EW547&lt;0,"Thừa",IF(EW547=0,"Đủ","Thiếu"))</f>
        <v>Đủ</v>
      </c>
    </row>
    <row r="548" spans="1:164" s="155" customFormat="1" ht="14" hidden="1" customHeight="1">
      <c r="A548" s="208" t="str">
        <f t="shared" si="494"/>
        <v>Hiện</v>
      </c>
      <c r="B548" s="154" t="str">
        <f t="shared" si="511"/>
        <v>Đủ</v>
      </c>
      <c r="C548" s="154">
        <f t="shared" si="405"/>
        <v>0</v>
      </c>
      <c r="D548" s="154"/>
      <c r="E548" s="154"/>
      <c r="F548" s="344" t="s">
        <v>1728</v>
      </c>
      <c r="G548" s="154"/>
      <c r="H548" s="154"/>
      <c r="I548" s="253" t="s">
        <v>1113</v>
      </c>
      <c r="J548" s="254" t="s">
        <v>863</v>
      </c>
      <c r="K548" s="253" t="s">
        <v>1114</v>
      </c>
      <c r="L548" s="261"/>
      <c r="M548" s="256" t="s">
        <v>1074</v>
      </c>
      <c r="N548" s="259"/>
      <c r="O548" s="191">
        <v>384</v>
      </c>
      <c r="P548" s="190"/>
      <c r="AO548" s="234">
        <v>384</v>
      </c>
      <c r="AP548" s="193">
        <v>0</v>
      </c>
      <c r="AQ548" s="193">
        <v>0</v>
      </c>
      <c r="AR548" s="193">
        <v>0</v>
      </c>
      <c r="AS548" s="193">
        <v>0</v>
      </c>
      <c r="AT548" s="193">
        <v>0</v>
      </c>
      <c r="AU548" s="162">
        <v>0</v>
      </c>
      <c r="AV548" s="162">
        <v>0</v>
      </c>
      <c r="AW548" s="162">
        <v>64</v>
      </c>
      <c r="AX548" s="162">
        <v>0</v>
      </c>
      <c r="AY548" s="162">
        <v>0</v>
      </c>
      <c r="AZ548" s="162">
        <v>0</v>
      </c>
      <c r="BA548" s="162"/>
      <c r="BB548" s="162"/>
      <c r="BC548" s="162">
        <v>0</v>
      </c>
      <c r="BD548" s="162">
        <v>0</v>
      </c>
      <c r="BE548" s="162">
        <v>0</v>
      </c>
      <c r="BF548" s="162">
        <v>0</v>
      </c>
      <c r="BG548" s="162">
        <v>0</v>
      </c>
      <c r="BH548" s="162">
        <v>0</v>
      </c>
      <c r="BI548" s="162">
        <v>0</v>
      </c>
      <c r="BJ548" s="162">
        <v>0</v>
      </c>
      <c r="BK548" s="162">
        <v>0</v>
      </c>
      <c r="BL548" s="162">
        <v>0</v>
      </c>
      <c r="BM548" s="162">
        <v>0</v>
      </c>
      <c r="BN548" s="162">
        <v>0</v>
      </c>
      <c r="BO548" s="162"/>
      <c r="BP548" s="162"/>
      <c r="BQ548" s="162">
        <v>1326</v>
      </c>
      <c r="BR548" s="162">
        <v>0</v>
      </c>
      <c r="BS548" s="162">
        <v>0</v>
      </c>
      <c r="BT548" s="162">
        <v>0</v>
      </c>
      <c r="BU548" s="162">
        <v>0</v>
      </c>
      <c r="BV548" s="162">
        <v>0</v>
      </c>
      <c r="BW548" s="162"/>
      <c r="BX548" s="162"/>
      <c r="BY548" s="162">
        <v>0</v>
      </c>
      <c r="BZ548" s="162">
        <v>0</v>
      </c>
      <c r="CA548" s="162">
        <v>0</v>
      </c>
      <c r="CB548" s="162">
        <v>0</v>
      </c>
      <c r="CC548" s="162">
        <v>0</v>
      </c>
      <c r="CD548" s="162">
        <v>0</v>
      </c>
      <c r="CE548" s="162">
        <f>VLOOKUP(I548,[120]REV33!$A:$O,11,0)</f>
        <v>0</v>
      </c>
      <c r="CF548" s="162">
        <f>VLOOKUP(I548,[120]REV33!$A:$O,12,0)</f>
        <v>0</v>
      </c>
      <c r="CG548" s="162"/>
      <c r="CH548" s="162"/>
      <c r="CI548" s="162"/>
      <c r="CJ548" s="162"/>
      <c r="CK548" s="162"/>
      <c r="CL548" s="162"/>
      <c r="CM548" s="162"/>
      <c r="CN548" s="162"/>
      <c r="CO548" s="162">
        <v>0</v>
      </c>
      <c r="CP548" s="162">
        <v>0</v>
      </c>
      <c r="CQ548" s="162">
        <v>0</v>
      </c>
      <c r="CR548" s="162">
        <v>0</v>
      </c>
      <c r="CS548" s="209">
        <f>Q548+S548+U548+W548+Y548+AA548+AC548+AE548+AG548+AI548+AK548+AM548+AO548+AQ548+AS548+AU548+AW548+AY548+BA548+BC548+BE548+BG548+BI548+BK548+BM548+BO548+BQ548+BS548+BU548+BW548+BY548+CA548+CC548+CE548+CG548+CI548+CK548+CM548+CO548+CQ548</f>
        <v>1774</v>
      </c>
      <c r="CT548" s="209">
        <f>R548+T548+V548+X548+Z548+AB548+AD548+AF548+AH548+AJ548+AL548+AN548+AP548+AR548+AT548+AV548+AX548+AZ548+BB548+BD548+BF548+BH548+BJ548+BL548+BN548+BP548+BR548+BT548+BV548+BX548+BZ548+CB548+CD548+CF548+CH548+CJ548+CL548+CN548+CP548+CR548</f>
        <v>0</v>
      </c>
      <c r="CU548" s="257" t="s">
        <v>1894</v>
      </c>
      <c r="CV548" s="156"/>
      <c r="CW548" s="155">
        <v>384</v>
      </c>
      <c r="DA548" s="152">
        <f t="shared" si="543"/>
        <v>1390</v>
      </c>
      <c r="DB548" s="152" t="str">
        <f t="shared" si="544"/>
        <v>0</v>
      </c>
      <c r="DC548" s="158"/>
      <c r="DD548" s="158" t="s">
        <v>1583</v>
      </c>
      <c r="DE548" s="156" t="s">
        <v>435</v>
      </c>
      <c r="DF548" s="253" t="s">
        <v>1114</v>
      </c>
      <c r="DG548" s="186"/>
      <c r="DH548" s="156" t="s">
        <v>477</v>
      </c>
      <c r="DI548" s="187">
        <v>45916</v>
      </c>
      <c r="DJ548" s="242">
        <v>64</v>
      </c>
      <c r="DK548" s="240" t="s">
        <v>477</v>
      </c>
      <c r="DL548" s="195">
        <v>2160</v>
      </c>
      <c r="DM548" s="181">
        <f>DL548*DJ548*1.1</f>
        <v>152064</v>
      </c>
      <c r="DN548" s="446">
        <f>(DM548-DO548)/DO548</f>
        <v>0.1</v>
      </c>
      <c r="DO548" s="160">
        <f>DL548*DJ548</f>
        <v>138240</v>
      </c>
      <c r="DP548" s="159">
        <v>45922</v>
      </c>
      <c r="DQ548" s="152">
        <f>SUMIF($I:$I,I548,$DJ:$DJ)</f>
        <v>1390</v>
      </c>
      <c r="DR548" s="152">
        <f>SUMIF($I:$I,I548,$DK:$DK)</f>
        <v>0</v>
      </c>
      <c r="EO548" s="152">
        <f>SUMIF($I:$I,I548,$EC:$EC)</f>
        <v>0</v>
      </c>
      <c r="EP548" s="151">
        <f>SUMIF($I:$I,I548,$ED:$ED)</f>
        <v>0</v>
      </c>
      <c r="EQ548" s="153"/>
      <c r="ER548" s="153"/>
      <c r="ES548" s="153"/>
      <c r="ET548" s="153"/>
      <c r="EU548" s="152">
        <f t="shared" si="545"/>
        <v>1390</v>
      </c>
      <c r="EV548" s="152">
        <f t="shared" si="546"/>
        <v>0</v>
      </c>
      <c r="EW548" s="152">
        <f t="shared" si="547"/>
        <v>0</v>
      </c>
      <c r="EX548" s="152">
        <f t="shared" si="548"/>
        <v>0</v>
      </c>
      <c r="EY548" s="151" t="str">
        <f t="shared" si="549"/>
        <v>Đủ</v>
      </c>
    </row>
    <row r="549" spans="1:164" s="263" customFormat="1" ht="14" hidden="1" customHeight="1">
      <c r="A549" s="208" t="str">
        <f t="shared" si="494"/>
        <v>ok</v>
      </c>
      <c r="B549" s="154"/>
      <c r="C549" s="154"/>
      <c r="D549" s="154"/>
      <c r="E549" s="154"/>
      <c r="F549" s="344"/>
      <c r="G549" s="154"/>
      <c r="H549" s="154"/>
      <c r="I549" s="253" t="s">
        <v>1113</v>
      </c>
      <c r="J549" s="254" t="s">
        <v>863</v>
      </c>
      <c r="K549" s="253" t="s">
        <v>1114</v>
      </c>
      <c r="L549" s="261"/>
      <c r="M549" s="256" t="s">
        <v>1074</v>
      </c>
      <c r="N549" s="259"/>
      <c r="O549" s="191"/>
      <c r="P549" s="190"/>
      <c r="Q549" s="155"/>
      <c r="R549" s="155"/>
      <c r="S549" s="155"/>
      <c r="T549" s="155"/>
      <c r="U549" s="155"/>
      <c r="V549" s="155"/>
      <c r="W549" s="155"/>
      <c r="X549" s="155"/>
      <c r="Y549" s="155"/>
      <c r="Z549" s="155"/>
      <c r="AA549" s="155"/>
      <c r="AB549" s="155"/>
      <c r="AC549" s="155"/>
      <c r="AD549" s="155"/>
      <c r="AE549" s="155"/>
      <c r="AF549" s="155"/>
      <c r="AG549" s="155"/>
      <c r="AH549" s="155"/>
      <c r="AI549" s="155"/>
      <c r="AJ549" s="155"/>
      <c r="AK549" s="155"/>
      <c r="AL549" s="155"/>
      <c r="AM549" s="155"/>
      <c r="AN549" s="155"/>
      <c r="AO549" s="234"/>
      <c r="AP549" s="193"/>
      <c r="AQ549" s="193"/>
      <c r="AR549" s="193"/>
      <c r="AS549" s="193"/>
      <c r="AT549" s="193"/>
      <c r="AU549" s="162"/>
      <c r="AV549" s="162"/>
      <c r="AW549" s="162"/>
      <c r="AX549" s="162"/>
      <c r="AY549" s="162"/>
      <c r="AZ549" s="162"/>
      <c r="BA549" s="162"/>
      <c r="BB549" s="162"/>
      <c r="BC549" s="162"/>
      <c r="BD549" s="162"/>
      <c r="BE549" s="162"/>
      <c r="BF549" s="162"/>
      <c r="BG549" s="162"/>
      <c r="BH549" s="162"/>
      <c r="BI549" s="162"/>
      <c r="BJ549" s="162"/>
      <c r="BK549" s="162"/>
      <c r="BL549" s="162"/>
      <c r="BM549" s="162"/>
      <c r="BN549" s="162"/>
      <c r="BO549" s="162"/>
      <c r="BP549" s="162"/>
      <c r="BQ549" s="162"/>
      <c r="BR549" s="162"/>
      <c r="BS549" s="162"/>
      <c r="BT549" s="162"/>
      <c r="BU549" s="162"/>
      <c r="BV549" s="162"/>
      <c r="BW549" s="162"/>
      <c r="BX549" s="162"/>
      <c r="BY549" s="162"/>
      <c r="BZ549" s="162"/>
      <c r="CA549" s="162"/>
      <c r="CB549" s="162"/>
      <c r="CC549" s="162"/>
      <c r="CD549" s="162"/>
      <c r="CE549" s="162"/>
      <c r="CF549" s="162"/>
      <c r="CG549" s="162"/>
      <c r="CH549" s="162"/>
      <c r="CI549" s="162"/>
      <c r="CJ549" s="162"/>
      <c r="CK549" s="162"/>
      <c r="CL549" s="162"/>
      <c r="CM549" s="162"/>
      <c r="CN549" s="162"/>
      <c r="CO549" s="162"/>
      <c r="CP549" s="162"/>
      <c r="CQ549" s="162"/>
      <c r="CR549" s="162"/>
      <c r="CS549" s="209"/>
      <c r="CT549" s="209"/>
      <c r="CU549" s="257"/>
      <c r="CV549" s="156"/>
      <c r="CW549" s="155"/>
      <c r="CX549" s="155"/>
      <c r="CY549" s="155"/>
      <c r="CZ549" s="155"/>
      <c r="DA549" s="152"/>
      <c r="DB549" s="152"/>
      <c r="DC549" s="158"/>
      <c r="DD549" s="158" t="s">
        <v>2243</v>
      </c>
      <c r="DE549" s="156" t="s">
        <v>2042</v>
      </c>
      <c r="DF549" s="253" t="s">
        <v>2365</v>
      </c>
      <c r="DG549" s="186" t="s">
        <v>2366</v>
      </c>
      <c r="DH549" s="156" t="s">
        <v>477</v>
      </c>
      <c r="DI549" s="187">
        <v>45982</v>
      </c>
      <c r="DJ549" s="717">
        <v>1326</v>
      </c>
      <c r="DK549" s="240" t="s">
        <v>477</v>
      </c>
      <c r="DL549" s="189">
        <v>1590</v>
      </c>
      <c r="DM549" s="181">
        <f>DL549*DJ549*(1+DN549)</f>
        <v>2277007.2000000002</v>
      </c>
      <c r="DN549" s="446">
        <v>0.08</v>
      </c>
      <c r="DO549" s="160">
        <f>DL549*DJ549</f>
        <v>2108340</v>
      </c>
      <c r="DP549" s="159">
        <v>45982</v>
      </c>
      <c r="DQ549" s="152"/>
      <c r="DR549" s="152"/>
      <c r="DS549" s="155"/>
      <c r="DT549" s="155"/>
      <c r="DU549" s="155"/>
      <c r="DV549" s="155"/>
      <c r="DW549" s="155"/>
      <c r="DX549" s="155"/>
      <c r="DY549" s="155"/>
      <c r="DZ549" s="155"/>
      <c r="EA549" s="155"/>
      <c r="EB549" s="155"/>
      <c r="EC549" s="155"/>
      <c r="ED549" s="155"/>
      <c r="EE549" s="155"/>
      <c r="EF549" s="155"/>
      <c r="EG549" s="155"/>
      <c r="EH549" s="155"/>
      <c r="EI549" s="155"/>
      <c r="EJ549" s="155"/>
      <c r="EK549" s="155"/>
      <c r="EL549" s="155"/>
      <c r="EM549" s="155"/>
      <c r="EN549" s="155"/>
      <c r="EO549" s="152"/>
      <c r="EP549" s="151"/>
      <c r="EQ549" s="153"/>
      <c r="ER549" s="153"/>
      <c r="ES549" s="153"/>
      <c r="ET549" s="153"/>
      <c r="EU549" s="152"/>
      <c r="EV549" s="152"/>
      <c r="EW549" s="152"/>
      <c r="EX549" s="152"/>
      <c r="EY549" s="151"/>
      <c r="EZ549" s="155"/>
      <c r="FA549" s="155"/>
      <c r="FB549" s="155"/>
    </row>
    <row r="550" spans="1:164" s="263" customFormat="1" ht="14" hidden="1" customHeight="1">
      <c r="A550" s="208" t="str">
        <f t="shared" ref="A550:A560" si="550">IF(I550=I549,"ok","Hiện")</f>
        <v>Hiện</v>
      </c>
      <c r="B550" s="154" t="str">
        <f t="shared" si="511"/>
        <v>Đủ</v>
      </c>
      <c r="C550" s="154">
        <f t="shared" si="405"/>
        <v>0</v>
      </c>
      <c r="D550" s="154"/>
      <c r="E550" s="154"/>
      <c r="F550" s="344" t="s">
        <v>1728</v>
      </c>
      <c r="G550" s="154"/>
      <c r="H550" s="154"/>
      <c r="I550" s="253" t="s">
        <v>1115</v>
      </c>
      <c r="J550" s="254" t="s">
        <v>863</v>
      </c>
      <c r="K550" s="253" t="s">
        <v>1116</v>
      </c>
      <c r="L550" s="261"/>
      <c r="M550" s="256" t="s">
        <v>1074</v>
      </c>
      <c r="N550" s="259"/>
      <c r="O550" s="191">
        <v>568</v>
      </c>
      <c r="P550" s="190"/>
      <c r="Q550" s="155"/>
      <c r="R550" s="155"/>
      <c r="S550" s="155"/>
      <c r="T550" s="155"/>
      <c r="U550" s="155"/>
      <c r="V550" s="155"/>
      <c r="W550" s="155"/>
      <c r="X550" s="155"/>
      <c r="Y550" s="155"/>
      <c r="Z550" s="155"/>
      <c r="AA550" s="155"/>
      <c r="AB550" s="155"/>
      <c r="AC550" s="155"/>
      <c r="AD550" s="155"/>
      <c r="AE550" s="155"/>
      <c r="AF550" s="155"/>
      <c r="AG550" s="155"/>
      <c r="AH550" s="155"/>
      <c r="AI550" s="155"/>
      <c r="AJ550" s="155"/>
      <c r="AK550" s="155"/>
      <c r="AL550" s="155"/>
      <c r="AM550" s="155"/>
      <c r="AN550" s="155"/>
      <c r="AO550" s="234">
        <v>568</v>
      </c>
      <c r="AP550" s="193">
        <v>0</v>
      </c>
      <c r="AQ550" s="193">
        <v>0</v>
      </c>
      <c r="AR550" s="193">
        <v>0</v>
      </c>
      <c r="AS550" s="193">
        <v>0</v>
      </c>
      <c r="AT550" s="193">
        <v>0</v>
      </c>
      <c r="AU550" s="162">
        <v>0</v>
      </c>
      <c r="AV550" s="162">
        <v>0</v>
      </c>
      <c r="AW550" s="162">
        <v>0</v>
      </c>
      <c r="AX550" s="162">
        <v>0</v>
      </c>
      <c r="AY550" s="162">
        <v>0</v>
      </c>
      <c r="AZ550" s="162">
        <v>0</v>
      </c>
      <c r="BA550" s="162"/>
      <c r="BB550" s="162"/>
      <c r="BC550" s="162">
        <v>0</v>
      </c>
      <c r="BD550" s="162">
        <v>0</v>
      </c>
      <c r="BE550" s="162">
        <v>0</v>
      </c>
      <c r="BF550" s="162">
        <v>0</v>
      </c>
      <c r="BG550" s="162">
        <v>0</v>
      </c>
      <c r="BH550" s="162">
        <v>0</v>
      </c>
      <c r="BI550" s="162">
        <v>0</v>
      </c>
      <c r="BJ550" s="162">
        <v>0</v>
      </c>
      <c r="BK550" s="162">
        <v>0</v>
      </c>
      <c r="BL550" s="162">
        <v>0</v>
      </c>
      <c r="BM550" s="162">
        <v>0</v>
      </c>
      <c r="BN550" s="162">
        <v>0</v>
      </c>
      <c r="BO550" s="162"/>
      <c r="BP550" s="162"/>
      <c r="BQ550" s="162">
        <v>0</v>
      </c>
      <c r="BR550" s="162">
        <v>0</v>
      </c>
      <c r="BS550" s="162">
        <v>0</v>
      </c>
      <c r="BT550" s="162">
        <v>0</v>
      </c>
      <c r="BU550" s="162">
        <v>0</v>
      </c>
      <c r="BV550" s="162">
        <v>0</v>
      </c>
      <c r="BW550" s="162"/>
      <c r="BX550" s="162"/>
      <c r="BY550" s="162">
        <v>0</v>
      </c>
      <c r="BZ550" s="162">
        <v>0</v>
      </c>
      <c r="CA550" s="162">
        <v>0</v>
      </c>
      <c r="CB550" s="162">
        <v>0</v>
      </c>
      <c r="CC550" s="162">
        <v>0</v>
      </c>
      <c r="CD550" s="162">
        <v>0</v>
      </c>
      <c r="CE550" s="162">
        <f>VLOOKUP(I550,[120]REV33!$A:$O,11,0)</f>
        <v>0</v>
      </c>
      <c r="CF550" s="162">
        <f>VLOOKUP(I550,[120]REV33!$A:$O,12,0)</f>
        <v>0</v>
      </c>
      <c r="CG550" s="162"/>
      <c r="CH550" s="162"/>
      <c r="CI550" s="162"/>
      <c r="CJ550" s="162"/>
      <c r="CK550" s="162"/>
      <c r="CL550" s="162"/>
      <c r="CM550" s="162"/>
      <c r="CN550" s="162"/>
      <c r="CO550" s="162">
        <v>0</v>
      </c>
      <c r="CP550" s="162">
        <v>0</v>
      </c>
      <c r="CQ550" s="162">
        <v>0</v>
      </c>
      <c r="CR550" s="162">
        <v>0</v>
      </c>
      <c r="CS550" s="209">
        <f>Q550+S550+U550+W550+Y550+AA550+AC550+AE550+AG550+AI550+AK550+AM550+AO550+AQ550+AS550+AU550+AW550+AY550+BA550+BC550+BE550+BG550+BI550+BK550+BM550+BO550+BQ550+BS550+BU550+BW550+BY550+CA550+CC550+CE550+CG550+CI550+CK550+CM550+CO550+CQ550</f>
        <v>568</v>
      </c>
      <c r="CT550" s="209">
        <f>R550+T550+V550+X550+Z550+AB550+AD550+AF550+AH550+AJ550+AL550+AN550+AP550+AR550+AT550+AV550+AX550+AZ550+BB550+BD550+BF550+BH550+BJ550+BL550+BN550+BP550+BR550+BT550+BV550+BX550+BZ550+CB550+CD550+CF550+CH550+CJ550+CL550+CN550+CP550+CR550</f>
        <v>0</v>
      </c>
      <c r="CU550" s="257" t="s">
        <v>1157</v>
      </c>
      <c r="CV550" s="156"/>
      <c r="CW550" s="155">
        <v>568</v>
      </c>
      <c r="CX550" s="155"/>
      <c r="CY550" s="155"/>
      <c r="CZ550" s="155"/>
      <c r="DA550" s="152" t="str">
        <f t="shared" ref="DA550:DA551" si="551">IF(CS550&gt;CW550,CS550-CW550,"0")</f>
        <v>0</v>
      </c>
      <c r="DB550" s="152" t="str">
        <f t="shared" ref="DB550:DB551" si="552">IF(CT550&gt;CX550,CT550-CX550,"0")</f>
        <v>0</v>
      </c>
      <c r="DC550" s="158"/>
      <c r="DD550" s="158"/>
      <c r="DE550" s="156"/>
      <c r="DF550" s="260"/>
      <c r="DG550" s="186"/>
      <c r="DH550" s="156"/>
      <c r="DI550" s="195"/>
      <c r="DJ550" s="242"/>
      <c r="DK550" s="242"/>
      <c r="DL550" s="195"/>
      <c r="DM550" s="195"/>
      <c r="DN550" s="195"/>
      <c r="DO550" s="195"/>
      <c r="DP550" s="160"/>
      <c r="DQ550" s="152">
        <f>SUMIF($I:$I,I550,$DJ:$DJ)</f>
        <v>0</v>
      </c>
      <c r="DR550" s="152">
        <f>SUMIF($I:$I,I550,$DK:$DK)</f>
        <v>0</v>
      </c>
      <c r="DS550" s="155"/>
      <c r="DT550" s="155"/>
      <c r="DU550" s="155"/>
      <c r="DV550" s="155"/>
      <c r="DW550" s="155"/>
      <c r="DX550" s="155"/>
      <c r="DY550" s="155"/>
      <c r="DZ550" s="155"/>
      <c r="EA550" s="155"/>
      <c r="EB550" s="155"/>
      <c r="EC550" s="155"/>
      <c r="ED550" s="155"/>
      <c r="EE550" s="155"/>
      <c r="EF550" s="155"/>
      <c r="EG550" s="155"/>
      <c r="EH550" s="155"/>
      <c r="EI550" s="155"/>
      <c r="EJ550" s="155"/>
      <c r="EK550" s="155"/>
      <c r="EL550" s="155"/>
      <c r="EM550" s="155"/>
      <c r="EN550" s="155"/>
      <c r="EO550" s="152">
        <f>SUMIF($I:$I,I550,$EC:$EC)</f>
        <v>0</v>
      </c>
      <c r="EP550" s="151">
        <f>SUMIF($I:$I,I550,$ED:$ED)</f>
        <v>0</v>
      </c>
      <c r="EQ550" s="153"/>
      <c r="ER550" s="153"/>
      <c r="ES550" s="153"/>
      <c r="ET550" s="153"/>
      <c r="EU550" s="152">
        <f t="shared" ref="EU550:EU551" si="553">DQ550+EO550</f>
        <v>0</v>
      </c>
      <c r="EV550" s="152">
        <f t="shared" ref="EV550:EV551" si="554">DR550+EP550</f>
        <v>0</v>
      </c>
      <c r="EW550" s="152">
        <f t="shared" ref="EW550:EW551" si="555">DA550-EU550</f>
        <v>0</v>
      </c>
      <c r="EX550" s="152">
        <f t="shared" ref="EX550:EX551" si="556">DB550-EV550</f>
        <v>0</v>
      </c>
      <c r="EY550" s="151" t="str">
        <f t="shared" ref="EY550:EY551" si="557">IF(EW550&lt;0,"Thừa",IF(EW550=0,"Đủ","Thiếu"))</f>
        <v>Đủ</v>
      </c>
      <c r="EZ550" s="155"/>
      <c r="FA550" s="155"/>
      <c r="FB550" s="155"/>
    </row>
    <row r="551" spans="1:164" s="155" customFormat="1" ht="14" hidden="1" customHeight="1">
      <c r="A551" s="208" t="str">
        <f t="shared" si="550"/>
        <v>Hiện</v>
      </c>
      <c r="B551" s="154" t="str">
        <f t="shared" si="511"/>
        <v>Đủ</v>
      </c>
      <c r="C551" s="154">
        <f t="shared" si="405"/>
        <v>0</v>
      </c>
      <c r="D551" s="154"/>
      <c r="E551" s="154"/>
      <c r="F551" s="344" t="s">
        <v>1728</v>
      </c>
      <c r="G551" s="154"/>
      <c r="H551" s="154"/>
      <c r="I551" s="253" t="s">
        <v>1117</v>
      </c>
      <c r="J551" s="254" t="s">
        <v>863</v>
      </c>
      <c r="K551" s="253" t="s">
        <v>1118</v>
      </c>
      <c r="L551" s="261"/>
      <c r="M551" s="256" t="s">
        <v>1074</v>
      </c>
      <c r="N551" s="259"/>
      <c r="O551" s="191">
        <v>432</v>
      </c>
      <c r="P551" s="190"/>
      <c r="AO551" s="234">
        <v>432</v>
      </c>
      <c r="AP551" s="193">
        <v>0</v>
      </c>
      <c r="AQ551" s="193">
        <v>0</v>
      </c>
      <c r="AR551" s="193">
        <v>0</v>
      </c>
      <c r="AS551" s="193">
        <v>0</v>
      </c>
      <c r="AT551" s="193">
        <v>0</v>
      </c>
      <c r="AU551" s="162">
        <v>0</v>
      </c>
      <c r="AV551" s="162">
        <v>0</v>
      </c>
      <c r="AW551" s="162">
        <v>512</v>
      </c>
      <c r="AX551" s="162">
        <v>0</v>
      </c>
      <c r="AY551" s="162">
        <v>0</v>
      </c>
      <c r="AZ551" s="162">
        <v>0</v>
      </c>
      <c r="BA551" s="162"/>
      <c r="BB551" s="162"/>
      <c r="BC551" s="162">
        <v>0</v>
      </c>
      <c r="BD551" s="162">
        <v>0</v>
      </c>
      <c r="BE551" s="162">
        <v>0</v>
      </c>
      <c r="BF551" s="162">
        <v>0</v>
      </c>
      <c r="BG551" s="162">
        <v>0</v>
      </c>
      <c r="BH551" s="162">
        <v>0</v>
      </c>
      <c r="BI551" s="162">
        <v>0</v>
      </c>
      <c r="BJ551" s="162">
        <v>0</v>
      </c>
      <c r="BK551" s="162">
        <v>0</v>
      </c>
      <c r="BL551" s="162">
        <v>0</v>
      </c>
      <c r="BM551" s="162">
        <v>0</v>
      </c>
      <c r="BN551" s="162">
        <v>0</v>
      </c>
      <c r="BO551" s="162"/>
      <c r="BP551" s="162"/>
      <c r="BQ551" s="162">
        <v>773</v>
      </c>
      <c r="BR551" s="162">
        <v>0</v>
      </c>
      <c r="BS551" s="162">
        <v>0</v>
      </c>
      <c r="BT551" s="162">
        <v>0</v>
      </c>
      <c r="BU551" s="162">
        <v>0</v>
      </c>
      <c r="BV551" s="162">
        <v>0</v>
      </c>
      <c r="BW551" s="162"/>
      <c r="BX551" s="162"/>
      <c r="BY551" s="162">
        <v>0</v>
      </c>
      <c r="BZ551" s="162">
        <v>0</v>
      </c>
      <c r="CA551" s="162">
        <v>0</v>
      </c>
      <c r="CB551" s="162">
        <v>0</v>
      </c>
      <c r="CC551" s="162">
        <v>0</v>
      </c>
      <c r="CD551" s="162">
        <v>0</v>
      </c>
      <c r="CE551" s="162">
        <f>VLOOKUP(I551,[120]REV33!$A:$O,11,0)</f>
        <v>0</v>
      </c>
      <c r="CF551" s="162">
        <f>VLOOKUP(I551,[120]REV33!$A:$O,12,0)</f>
        <v>0</v>
      </c>
      <c r="CG551" s="162"/>
      <c r="CH551" s="162"/>
      <c r="CI551" s="162"/>
      <c r="CJ551" s="162"/>
      <c r="CK551" s="162"/>
      <c r="CL551" s="162"/>
      <c r="CM551" s="162"/>
      <c r="CN551" s="162"/>
      <c r="CO551" s="162">
        <v>0</v>
      </c>
      <c r="CP551" s="162">
        <v>0</v>
      </c>
      <c r="CQ551" s="162">
        <v>0</v>
      </c>
      <c r="CR551" s="162">
        <v>0</v>
      </c>
      <c r="CS551" s="209">
        <f>Q551+S551+U551+W551+Y551+AA551+AC551+AE551+AG551+AI551+AK551+AM551+AO551+AQ551+AS551+AU551+AW551+AY551+BA551+BC551+BE551+BG551+BI551+BK551+BM551+BO551+BQ551+BS551+BU551+BW551+BY551+CA551+CC551+CE551+CG551+CI551+CK551+CM551+CO551+CQ551</f>
        <v>1717</v>
      </c>
      <c r="CT551" s="209">
        <f>R551+T551+V551+X551+Z551+AB551+AD551+AF551+AH551+AJ551+AL551+AN551+AP551+AR551+AT551+AV551+AX551+AZ551+BB551+BD551+BF551+BH551+BJ551+BL551+BN551+BP551+BR551+BT551+BV551+BX551+BZ551+CB551+CD551+CF551+CH551+CJ551+CL551+CN551+CP551+CR551</f>
        <v>0</v>
      </c>
      <c r="CU551" s="257" t="s">
        <v>1894</v>
      </c>
      <c r="CV551" s="156"/>
      <c r="CW551" s="155">
        <v>336</v>
      </c>
      <c r="DA551" s="152">
        <f t="shared" si="551"/>
        <v>1381</v>
      </c>
      <c r="DB551" s="152" t="str">
        <f t="shared" si="552"/>
        <v>0</v>
      </c>
      <c r="DC551" s="158"/>
      <c r="DD551" s="158" t="s">
        <v>1584</v>
      </c>
      <c r="DE551" s="156" t="s">
        <v>435</v>
      </c>
      <c r="DF551" s="260" t="s">
        <v>1337</v>
      </c>
      <c r="DG551" s="186"/>
      <c r="DH551" s="156" t="s">
        <v>477</v>
      </c>
      <c r="DI551" s="187">
        <v>45911</v>
      </c>
      <c r="DJ551" s="242">
        <v>96</v>
      </c>
      <c r="DK551" s="242" t="s">
        <v>477</v>
      </c>
      <c r="DL551" s="195">
        <v>4190</v>
      </c>
      <c r="DM551" s="181">
        <f t="shared" ref="DM551:DM562" si="558">DL551*DJ551*1.1</f>
        <v>442464.00000000006</v>
      </c>
      <c r="DN551" s="446">
        <f t="shared" ref="DN551:DN562" si="559">(DM551-DO551)/DO551</f>
        <v>0.10000000000000014</v>
      </c>
      <c r="DO551" s="195">
        <f t="shared" ref="DO551:DO562" si="560">DL551*DJ551</f>
        <v>402240</v>
      </c>
      <c r="DP551" s="159">
        <v>45913</v>
      </c>
      <c r="DQ551" s="152">
        <f>SUMIF($I:$I,I551,$DJ:$DJ)</f>
        <v>1381</v>
      </c>
      <c r="DR551" s="152">
        <f>SUMIF($I:$I,I551,$DK:$DK)</f>
        <v>0</v>
      </c>
      <c r="EO551" s="152">
        <f>SUMIF($I:$I,I551,$EC:$EC)</f>
        <v>0</v>
      </c>
      <c r="EP551" s="151">
        <f>SUMIF($I:$I,I551,$ED:$ED)</f>
        <v>0</v>
      </c>
      <c r="EQ551" s="153"/>
      <c r="ER551" s="153"/>
      <c r="ES551" s="153"/>
      <c r="ET551" s="153"/>
      <c r="EU551" s="152">
        <f t="shared" si="553"/>
        <v>1381</v>
      </c>
      <c r="EV551" s="152">
        <f t="shared" si="554"/>
        <v>0</v>
      </c>
      <c r="EW551" s="152">
        <f t="shared" si="555"/>
        <v>0</v>
      </c>
      <c r="EX551" s="152">
        <f t="shared" si="556"/>
        <v>0</v>
      </c>
      <c r="EY551" s="151" t="str">
        <f t="shared" si="557"/>
        <v>Đủ</v>
      </c>
    </row>
    <row r="552" spans="1:164" s="263" customFormat="1" ht="14" hidden="1" customHeight="1">
      <c r="A552" s="208" t="str">
        <f t="shared" si="550"/>
        <v>ok</v>
      </c>
      <c r="B552" s="154"/>
      <c r="C552" s="154"/>
      <c r="D552" s="154"/>
      <c r="E552" s="154"/>
      <c r="F552" s="344"/>
      <c r="G552" s="154"/>
      <c r="H552" s="154"/>
      <c r="I552" s="253" t="s">
        <v>1117</v>
      </c>
      <c r="J552" s="254" t="s">
        <v>863</v>
      </c>
      <c r="K552" s="253" t="s">
        <v>1118</v>
      </c>
      <c r="L552" s="261"/>
      <c r="M552" s="256" t="s">
        <v>1074</v>
      </c>
      <c r="N552" s="259"/>
      <c r="O552" s="191"/>
      <c r="P552" s="190"/>
      <c r="Q552" s="155"/>
      <c r="R552" s="155"/>
      <c r="S552" s="155"/>
      <c r="T552" s="155"/>
      <c r="U552" s="155"/>
      <c r="V552" s="155"/>
      <c r="W552" s="155"/>
      <c r="X552" s="155"/>
      <c r="Y552" s="155"/>
      <c r="Z552" s="155"/>
      <c r="AA552" s="155"/>
      <c r="AB552" s="155"/>
      <c r="AC552" s="155"/>
      <c r="AD552" s="155"/>
      <c r="AE552" s="155"/>
      <c r="AF552" s="155"/>
      <c r="AG552" s="155"/>
      <c r="AH552" s="155"/>
      <c r="AI552" s="155"/>
      <c r="AJ552" s="155"/>
      <c r="AK552" s="155"/>
      <c r="AL552" s="155"/>
      <c r="AM552" s="155"/>
      <c r="AN552" s="155"/>
      <c r="AO552" s="234"/>
      <c r="AP552" s="193"/>
      <c r="AQ552" s="193"/>
      <c r="AR552" s="193"/>
      <c r="AS552" s="193"/>
      <c r="AT552" s="193"/>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209"/>
      <c r="CT552" s="209"/>
      <c r="CU552" s="257"/>
      <c r="CV552" s="156"/>
      <c r="CW552" s="155"/>
      <c r="CX552" s="155"/>
      <c r="CY552" s="155"/>
      <c r="CZ552" s="155"/>
      <c r="DA552" s="152"/>
      <c r="DB552" s="152"/>
      <c r="DC552" s="158"/>
      <c r="DD552" s="158" t="s">
        <v>2243</v>
      </c>
      <c r="DE552" s="156" t="s">
        <v>2042</v>
      </c>
      <c r="DF552" s="253" t="s">
        <v>2367</v>
      </c>
      <c r="DG552" s="186" t="s">
        <v>2368</v>
      </c>
      <c r="DH552" s="156" t="s">
        <v>477</v>
      </c>
      <c r="DI552" s="187">
        <v>45982</v>
      </c>
      <c r="DJ552" s="717">
        <v>773</v>
      </c>
      <c r="DK552" s="240" t="s">
        <v>477</v>
      </c>
      <c r="DL552" s="189">
        <v>2900</v>
      </c>
      <c r="DM552" s="181">
        <f>DL552*DJ552*(1+DN552)</f>
        <v>2421036</v>
      </c>
      <c r="DN552" s="446">
        <v>0.08</v>
      </c>
      <c r="DO552" s="160">
        <f>DL552*DJ552</f>
        <v>2241700</v>
      </c>
      <c r="DP552" s="159">
        <v>45982</v>
      </c>
      <c r="DQ552" s="152"/>
      <c r="DR552" s="152"/>
      <c r="DS552" s="155"/>
      <c r="DT552" s="155"/>
      <c r="DU552" s="155"/>
      <c r="DV552" s="155"/>
      <c r="DW552" s="155"/>
      <c r="DX552" s="155"/>
      <c r="DY552" s="155"/>
      <c r="DZ552" s="155"/>
      <c r="EA552" s="155"/>
      <c r="EB552" s="155"/>
      <c r="EC552" s="155"/>
      <c r="ED552" s="155"/>
      <c r="EE552" s="155"/>
      <c r="EF552" s="155"/>
      <c r="EG552" s="155"/>
      <c r="EH552" s="155"/>
      <c r="EI552" s="155"/>
      <c r="EJ552" s="155"/>
      <c r="EK552" s="155"/>
      <c r="EL552" s="155"/>
      <c r="EM552" s="155"/>
      <c r="EN552" s="155"/>
      <c r="EO552" s="152"/>
      <c r="EP552" s="151"/>
      <c r="EQ552" s="153"/>
      <c r="ER552" s="153"/>
      <c r="ES552" s="153"/>
      <c r="ET552" s="153"/>
      <c r="EU552" s="152"/>
      <c r="EV552" s="152"/>
      <c r="EW552" s="152"/>
      <c r="EX552" s="152"/>
      <c r="EY552" s="151"/>
      <c r="EZ552" s="155"/>
      <c r="FA552" s="155"/>
      <c r="FB552" s="155"/>
    </row>
    <row r="553" spans="1:164" s="263" customFormat="1" ht="14" hidden="1" customHeight="1">
      <c r="A553" s="208" t="str">
        <f t="shared" si="550"/>
        <v>ok</v>
      </c>
      <c r="B553" s="154"/>
      <c r="C553" s="154"/>
      <c r="D553" s="154"/>
      <c r="E553" s="154"/>
      <c r="F553" s="344" t="s">
        <v>1728</v>
      </c>
      <c r="G553" s="154"/>
      <c r="H553" s="154"/>
      <c r="I553" s="253" t="s">
        <v>1117</v>
      </c>
      <c r="J553" s="254" t="s">
        <v>863</v>
      </c>
      <c r="K553" s="253" t="s">
        <v>1118</v>
      </c>
      <c r="L553" s="261"/>
      <c r="M553" s="256" t="s">
        <v>1074</v>
      </c>
      <c r="N553" s="259"/>
      <c r="O553" s="191"/>
      <c r="P553" s="190"/>
      <c r="Q553" s="155"/>
      <c r="R553" s="155"/>
      <c r="S553" s="155"/>
      <c r="T553" s="155"/>
      <c r="U553" s="155"/>
      <c r="V553" s="155"/>
      <c r="W553" s="155"/>
      <c r="X553" s="155"/>
      <c r="Y553" s="155"/>
      <c r="Z553" s="155"/>
      <c r="AA553" s="155"/>
      <c r="AB553" s="155"/>
      <c r="AC553" s="155"/>
      <c r="AD553" s="155"/>
      <c r="AE553" s="155"/>
      <c r="AF553" s="155"/>
      <c r="AG553" s="155"/>
      <c r="AH553" s="155"/>
      <c r="AI553" s="155"/>
      <c r="AJ553" s="155"/>
      <c r="AK553" s="155"/>
      <c r="AL553" s="155"/>
      <c r="AM553" s="155"/>
      <c r="AN553" s="155"/>
      <c r="AO553" s="234"/>
      <c r="AP553" s="193"/>
      <c r="AQ553" s="193"/>
      <c r="AR553" s="193"/>
      <c r="AS553" s="193"/>
      <c r="AT553" s="193"/>
      <c r="AU553" s="162"/>
      <c r="AV553" s="162"/>
      <c r="AW553" s="162"/>
      <c r="AX553" s="162"/>
      <c r="AY553" s="162"/>
      <c r="AZ553" s="162"/>
      <c r="BA553" s="162"/>
      <c r="BB553" s="162"/>
      <c r="BC553" s="162"/>
      <c r="BD553" s="162"/>
      <c r="BE553" s="162"/>
      <c r="BF553" s="162"/>
      <c r="BG553" s="162"/>
      <c r="BH553" s="162"/>
      <c r="BI553" s="162"/>
      <c r="BJ553" s="162"/>
      <c r="BK553" s="162"/>
      <c r="BL553" s="162"/>
      <c r="BM553" s="162"/>
      <c r="BN553" s="162"/>
      <c r="BO553" s="162"/>
      <c r="BP553" s="162"/>
      <c r="BQ553" s="162"/>
      <c r="BR553" s="162"/>
      <c r="BS553" s="162"/>
      <c r="BT553" s="162"/>
      <c r="BU553" s="162"/>
      <c r="BV553" s="162"/>
      <c r="BW553" s="162"/>
      <c r="BX553" s="162"/>
      <c r="BY553" s="162"/>
      <c r="BZ553" s="162"/>
      <c r="CA553" s="162"/>
      <c r="CB553" s="162"/>
      <c r="CC553" s="162"/>
      <c r="CD553" s="162"/>
      <c r="CE553" s="162"/>
      <c r="CF553" s="162"/>
      <c r="CG553" s="162"/>
      <c r="CH553" s="162"/>
      <c r="CI553" s="162"/>
      <c r="CJ553" s="162"/>
      <c r="CK553" s="162"/>
      <c r="CL553" s="162"/>
      <c r="CM553" s="162"/>
      <c r="CN553" s="162"/>
      <c r="CO553" s="162"/>
      <c r="CP553" s="162"/>
      <c r="CQ553" s="162"/>
      <c r="CR553" s="162"/>
      <c r="CS553" s="209"/>
      <c r="CT553" s="209"/>
      <c r="CU553" s="257"/>
      <c r="CV553" s="156"/>
      <c r="CW553" s="155"/>
      <c r="CX553" s="155"/>
      <c r="CY553" s="155"/>
      <c r="CZ553" s="155"/>
      <c r="DA553" s="152"/>
      <c r="DB553" s="152"/>
      <c r="DC553" s="158"/>
      <c r="DD553" s="158" t="s">
        <v>1583</v>
      </c>
      <c r="DE553" s="156" t="s">
        <v>435</v>
      </c>
      <c r="DF553" s="253" t="s">
        <v>1118</v>
      </c>
      <c r="DG553" s="186"/>
      <c r="DH553" s="156" t="s">
        <v>477</v>
      </c>
      <c r="DI553" s="187">
        <v>45916</v>
      </c>
      <c r="DJ553" s="242">
        <v>512</v>
      </c>
      <c r="DK553" s="240" t="s">
        <v>477</v>
      </c>
      <c r="DL553" s="195">
        <v>4190</v>
      </c>
      <c r="DM553" s="181">
        <f t="shared" si="558"/>
        <v>2359808</v>
      </c>
      <c r="DN553" s="446">
        <f t="shared" si="559"/>
        <v>0.1</v>
      </c>
      <c r="DO553" s="160">
        <f t="shared" si="560"/>
        <v>2145280</v>
      </c>
      <c r="DP553" s="159">
        <v>45922</v>
      </c>
      <c r="DQ553" s="152"/>
      <c r="DR553" s="152"/>
      <c r="DS553" s="155"/>
      <c r="DT553" s="155"/>
      <c r="DU553" s="155"/>
      <c r="DV553" s="155"/>
      <c r="DW553" s="155"/>
      <c r="DX553" s="155"/>
      <c r="DY553" s="155"/>
      <c r="DZ553" s="155"/>
      <c r="EA553" s="155"/>
      <c r="EB553" s="155"/>
      <c r="EC553" s="155"/>
      <c r="ED553" s="155"/>
      <c r="EE553" s="155"/>
      <c r="EF553" s="155"/>
      <c r="EG553" s="155"/>
      <c r="EH553" s="155"/>
      <c r="EI553" s="155"/>
      <c r="EJ553" s="155"/>
      <c r="EK553" s="155"/>
      <c r="EL553" s="155"/>
      <c r="EM553" s="155"/>
      <c r="EN553" s="155"/>
      <c r="EO553" s="152"/>
      <c r="EP553" s="151"/>
      <c r="EQ553" s="153"/>
      <c r="ER553" s="153"/>
      <c r="ES553" s="153"/>
      <c r="ET553" s="153"/>
      <c r="EU553" s="152"/>
      <c r="EV553" s="152"/>
      <c r="EW553" s="152"/>
      <c r="EX553" s="152"/>
      <c r="EY553" s="151"/>
      <c r="EZ553" s="155"/>
      <c r="FA553" s="155"/>
      <c r="FB553" s="155"/>
    </row>
    <row r="554" spans="1:164" s="263" customFormat="1" ht="13" hidden="1" customHeight="1">
      <c r="A554" s="208" t="str">
        <f t="shared" si="550"/>
        <v>Hiện</v>
      </c>
      <c r="B554" s="154" t="str">
        <f>EY554</f>
        <v>Đủ</v>
      </c>
      <c r="C554" s="154">
        <f t="shared" si="405"/>
        <v>0</v>
      </c>
      <c r="D554" s="154"/>
      <c r="E554" s="154"/>
      <c r="F554" s="344" t="s">
        <v>1728</v>
      </c>
      <c r="G554" s="154"/>
      <c r="H554" s="154"/>
      <c r="I554" s="253" t="s">
        <v>1119</v>
      </c>
      <c r="J554" s="254" t="s">
        <v>863</v>
      </c>
      <c r="K554" s="253" t="s">
        <v>1120</v>
      </c>
      <c r="L554" s="261"/>
      <c r="M554" s="256" t="s">
        <v>1074</v>
      </c>
      <c r="N554" s="259"/>
      <c r="O554" s="191">
        <v>792</v>
      </c>
      <c r="P554" s="190"/>
      <c r="Q554" s="155"/>
      <c r="R554" s="155"/>
      <c r="S554" s="155"/>
      <c r="T554" s="155"/>
      <c r="U554" s="155"/>
      <c r="V554" s="155"/>
      <c r="W554" s="155"/>
      <c r="X554" s="155"/>
      <c r="Y554" s="155"/>
      <c r="Z554" s="155"/>
      <c r="AA554" s="155"/>
      <c r="AB554" s="155"/>
      <c r="AC554" s="155"/>
      <c r="AD554" s="155"/>
      <c r="AE554" s="155"/>
      <c r="AF554" s="155"/>
      <c r="AG554" s="155"/>
      <c r="AH554" s="155"/>
      <c r="AI554" s="155"/>
      <c r="AJ554" s="155"/>
      <c r="AK554" s="155"/>
      <c r="AL554" s="155"/>
      <c r="AM554" s="155"/>
      <c r="AN554" s="155"/>
      <c r="AO554" s="234">
        <v>792</v>
      </c>
      <c r="AP554" s="193">
        <v>0</v>
      </c>
      <c r="AQ554" s="193">
        <v>0</v>
      </c>
      <c r="AR554" s="193">
        <v>0</v>
      </c>
      <c r="AS554" s="193">
        <v>0</v>
      </c>
      <c r="AT554" s="193">
        <v>0</v>
      </c>
      <c r="AU554" s="162">
        <v>0</v>
      </c>
      <c r="AV554" s="162">
        <v>0</v>
      </c>
      <c r="AW554" s="162">
        <v>0</v>
      </c>
      <c r="AX554" s="162">
        <v>0</v>
      </c>
      <c r="AY554" s="162">
        <v>0</v>
      </c>
      <c r="AZ554" s="162">
        <v>0</v>
      </c>
      <c r="BA554" s="162"/>
      <c r="BB554" s="162"/>
      <c r="BC554" s="162">
        <v>0</v>
      </c>
      <c r="BD554" s="162">
        <v>0</v>
      </c>
      <c r="BE554" s="162">
        <v>0</v>
      </c>
      <c r="BF554" s="162">
        <v>0</v>
      </c>
      <c r="BG554" s="162">
        <v>0</v>
      </c>
      <c r="BH554" s="162">
        <v>0</v>
      </c>
      <c r="BI554" s="162">
        <v>0</v>
      </c>
      <c r="BJ554" s="162">
        <v>0</v>
      </c>
      <c r="BK554" s="162">
        <v>0</v>
      </c>
      <c r="BL554" s="162">
        <v>0</v>
      </c>
      <c r="BM554" s="162">
        <v>0</v>
      </c>
      <c r="BN554" s="162">
        <v>0</v>
      </c>
      <c r="BO554" s="162"/>
      <c r="BP554" s="162"/>
      <c r="BQ554" s="162">
        <v>0</v>
      </c>
      <c r="BR554" s="162">
        <v>0</v>
      </c>
      <c r="BS554" s="162">
        <v>0</v>
      </c>
      <c r="BT554" s="162">
        <v>0</v>
      </c>
      <c r="BU554" s="162">
        <v>0</v>
      </c>
      <c r="BV554" s="162">
        <v>0</v>
      </c>
      <c r="BW554" s="162"/>
      <c r="BX554" s="162"/>
      <c r="BY554" s="162">
        <v>0</v>
      </c>
      <c r="BZ554" s="162">
        <v>0</v>
      </c>
      <c r="CA554" s="162">
        <v>0</v>
      </c>
      <c r="CB554" s="162">
        <v>0</v>
      </c>
      <c r="CC554" s="162">
        <v>0</v>
      </c>
      <c r="CD554" s="162">
        <v>0</v>
      </c>
      <c r="CE554" s="162">
        <f>VLOOKUP(I554,[120]REV33!$A:$O,11,0)</f>
        <v>0</v>
      </c>
      <c r="CF554" s="162">
        <f>VLOOKUP(I554,[120]REV33!$A:$O,12,0)</f>
        <v>0</v>
      </c>
      <c r="CG554" s="162"/>
      <c r="CH554" s="162"/>
      <c r="CI554" s="162"/>
      <c r="CJ554" s="162"/>
      <c r="CK554" s="162"/>
      <c r="CL554" s="162"/>
      <c r="CM554" s="162"/>
      <c r="CN554" s="162"/>
      <c r="CO554" s="162">
        <v>0</v>
      </c>
      <c r="CP554" s="162">
        <v>0</v>
      </c>
      <c r="CQ554" s="162">
        <v>0</v>
      </c>
      <c r="CR554" s="162">
        <v>0</v>
      </c>
      <c r="CS554" s="209">
        <f>Q554+S554+U554+W554+Y554+AA554+AC554+AE554+AG554+AI554+AK554+AM554+AO554+AQ554+AS554+AU554+AW554+AY554+BA554+BC554+BE554+BG554+BI554+BK554+BM554+BO554+BQ554+BS554+BU554+BW554+BY554+CA554+CC554+CE554+CG554+CI554+CK554+CM554+CO554+CQ554</f>
        <v>792</v>
      </c>
      <c r="CT554" s="209">
        <f>R554+T554+V554+X554+Z554+AB554+AD554+AF554+AH554+AJ554+AL554+AN554+AP554+AR554+AT554+AV554+AX554+AZ554+BB554+BD554+BF554+BH554+BJ554+BL554+BN554+BP554+BR554+BT554+BV554+BX554+BZ554+CB554+CD554+CF554+CH554+CJ554+CL554+CN554+CP554+CR554</f>
        <v>0</v>
      </c>
      <c r="CU554" s="257" t="s">
        <v>1157</v>
      </c>
      <c r="CV554" s="156"/>
      <c r="CW554" s="155"/>
      <c r="CX554" s="155"/>
      <c r="CY554" s="155"/>
      <c r="CZ554" s="155"/>
      <c r="DA554" s="152">
        <f>IF(CS554&gt;CW554,CS554-CW554,"0")</f>
        <v>792</v>
      </c>
      <c r="DB554" s="152" t="str">
        <f>IF(CT554&gt;CX554,CT554-CX554,"0")</f>
        <v>0</v>
      </c>
      <c r="DC554" s="158"/>
      <c r="DD554" s="158" t="s">
        <v>1584</v>
      </c>
      <c r="DE554" s="156" t="s">
        <v>435</v>
      </c>
      <c r="DF554" s="260" t="s">
        <v>1338</v>
      </c>
      <c r="DG554" s="186"/>
      <c r="DH554" s="156" t="s">
        <v>477</v>
      </c>
      <c r="DI554" s="187">
        <v>45911</v>
      </c>
      <c r="DJ554" s="242">
        <v>104</v>
      </c>
      <c r="DK554" s="242" t="s">
        <v>477</v>
      </c>
      <c r="DL554" s="195">
        <v>4510</v>
      </c>
      <c r="DM554" s="181">
        <f t="shared" si="558"/>
        <v>515944.00000000006</v>
      </c>
      <c r="DN554" s="446">
        <f t="shared" si="559"/>
        <v>0.10000000000000013</v>
      </c>
      <c r="DO554" s="195">
        <f t="shared" si="560"/>
        <v>469040</v>
      </c>
      <c r="DP554" s="159">
        <v>45913</v>
      </c>
      <c r="DQ554" s="152">
        <f>SUMIF($I:$I,I554,$DJ:$DJ)</f>
        <v>792</v>
      </c>
      <c r="DR554" s="152">
        <f>SUMIF($I:$I,I554,$DK:$DK)</f>
        <v>0</v>
      </c>
      <c r="DS554" s="155"/>
      <c r="DT554" s="155"/>
      <c r="DU554" s="155"/>
      <c r="DV554" s="155"/>
      <c r="DW554" s="155"/>
      <c r="DX554" s="155"/>
      <c r="DY554" s="155"/>
      <c r="DZ554" s="155"/>
      <c r="EA554" s="155"/>
      <c r="EB554" s="155"/>
      <c r="EC554" s="155"/>
      <c r="ED554" s="155"/>
      <c r="EE554" s="155"/>
      <c r="EF554" s="155"/>
      <c r="EG554" s="155"/>
      <c r="EH554" s="155"/>
      <c r="EI554" s="155"/>
      <c r="EJ554" s="155"/>
      <c r="EK554" s="155"/>
      <c r="EL554" s="155"/>
      <c r="EM554" s="155"/>
      <c r="EN554" s="155"/>
      <c r="EO554" s="152">
        <f>SUMIF($I:$I,I554,$EC:$EC)</f>
        <v>0</v>
      </c>
      <c r="EP554" s="151">
        <f>SUMIF($I:$I,I554,$ED:$ED)</f>
        <v>0</v>
      </c>
      <c r="EQ554" s="153"/>
      <c r="ER554" s="153"/>
      <c r="ES554" s="153"/>
      <c r="ET554" s="153"/>
      <c r="EU554" s="152">
        <f>DQ554+EO554</f>
        <v>792</v>
      </c>
      <c r="EV554" s="152">
        <f>DR554+EP554</f>
        <v>0</v>
      </c>
      <c r="EW554" s="152">
        <f t="shared" ref="EW554" si="561">DA554-EU554</f>
        <v>0</v>
      </c>
      <c r="EX554" s="152">
        <f t="shared" ref="EX554" si="562">DB554-EV554</f>
        <v>0</v>
      </c>
      <c r="EY554" s="151" t="str">
        <f>IF(EW554&lt;0,"Thừa",IF(EW554=0,"Đủ","Thiếu"))</f>
        <v>Đủ</v>
      </c>
      <c r="EZ554" s="155"/>
      <c r="FA554" s="155"/>
      <c r="FB554" s="155"/>
    </row>
    <row r="555" spans="1:164" s="202" customFormat="1" ht="14" hidden="1" customHeight="1">
      <c r="A555" s="208" t="str">
        <f t="shared" si="550"/>
        <v>ok</v>
      </c>
      <c r="B555" s="154"/>
      <c r="C555" s="154"/>
      <c r="D555" s="154"/>
      <c r="E555" s="154"/>
      <c r="F555" s="344" t="s">
        <v>1728</v>
      </c>
      <c r="G555" s="154"/>
      <c r="H555" s="154"/>
      <c r="I555" s="253" t="s">
        <v>1119</v>
      </c>
      <c r="J555" s="254" t="s">
        <v>863</v>
      </c>
      <c r="K555" s="253" t="s">
        <v>1120</v>
      </c>
      <c r="L555" s="261"/>
      <c r="M555" s="256" t="s">
        <v>1074</v>
      </c>
      <c r="N555" s="259"/>
      <c r="O555" s="191"/>
      <c r="P555" s="190"/>
      <c r="Q555" s="155"/>
      <c r="R555" s="155"/>
      <c r="S555" s="155"/>
      <c r="T555" s="155"/>
      <c r="U555" s="155"/>
      <c r="V555" s="155"/>
      <c r="W555" s="155"/>
      <c r="X555" s="155"/>
      <c r="Y555" s="155"/>
      <c r="Z555" s="155"/>
      <c r="AA555" s="155"/>
      <c r="AB555" s="155"/>
      <c r="AC555" s="155"/>
      <c r="AD555" s="155"/>
      <c r="AE555" s="155"/>
      <c r="AF555" s="155"/>
      <c r="AG555" s="155"/>
      <c r="AH555" s="155"/>
      <c r="AI555" s="155"/>
      <c r="AJ555" s="155"/>
      <c r="AK555" s="155"/>
      <c r="AL555" s="155"/>
      <c r="AM555" s="155"/>
      <c r="AN555" s="155"/>
      <c r="AO555" s="234"/>
      <c r="AP555" s="193"/>
      <c r="AQ555" s="193"/>
      <c r="AR555" s="193"/>
      <c r="AS555" s="193"/>
      <c r="AT555" s="193"/>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209"/>
      <c r="CT555" s="209"/>
      <c r="CU555" s="257" t="s">
        <v>1157</v>
      </c>
      <c r="CV555" s="156"/>
      <c r="CW555" s="155"/>
      <c r="CX555" s="155"/>
      <c r="CY555" s="155"/>
      <c r="CZ555" s="155"/>
      <c r="DA555" s="262"/>
      <c r="DB555" s="262"/>
      <c r="DC555" s="158"/>
      <c r="DD555" s="158" t="s">
        <v>1584</v>
      </c>
      <c r="DE555" s="156" t="s">
        <v>435</v>
      </c>
      <c r="DF555" s="260" t="s">
        <v>1339</v>
      </c>
      <c r="DG555" s="186"/>
      <c r="DH555" s="156" t="s">
        <v>477</v>
      </c>
      <c r="DI555" s="187">
        <v>45911</v>
      </c>
      <c r="DJ555" s="242">
        <v>688</v>
      </c>
      <c r="DK555" s="242" t="s">
        <v>477</v>
      </c>
      <c r="DL555" s="195">
        <v>4190</v>
      </c>
      <c r="DM555" s="181">
        <f t="shared" si="558"/>
        <v>3170992.0000000005</v>
      </c>
      <c r="DN555" s="446">
        <f t="shared" si="559"/>
        <v>0.10000000000000016</v>
      </c>
      <c r="DO555" s="195">
        <f t="shared" si="560"/>
        <v>2882720</v>
      </c>
      <c r="DP555" s="159">
        <v>45913</v>
      </c>
      <c r="DQ555" s="262">
        <f>SUMIF($I:$I,I555,$DJ:$DJ)</f>
        <v>792</v>
      </c>
      <c r="DR555" s="262"/>
      <c r="DS555" s="155"/>
      <c r="DT555" s="155"/>
      <c r="DU555" s="155"/>
      <c r="DV555" s="155"/>
      <c r="DW555" s="155"/>
      <c r="DX555" s="155"/>
      <c r="DY555" s="155"/>
      <c r="DZ555" s="155"/>
      <c r="EA555" s="155"/>
      <c r="EB555" s="155"/>
      <c r="EC555" s="155"/>
      <c r="ED555" s="155"/>
      <c r="EE555" s="155"/>
      <c r="EF555" s="155"/>
      <c r="EG555" s="155"/>
      <c r="EH555" s="155"/>
      <c r="EI555" s="155"/>
      <c r="EJ555" s="155"/>
      <c r="EK555" s="155"/>
      <c r="EL555" s="155"/>
      <c r="EM555" s="155"/>
      <c r="EN555" s="155"/>
      <c r="EO555" s="262"/>
      <c r="EP555" s="154"/>
      <c r="EQ555" s="158"/>
      <c r="ER555" s="158"/>
      <c r="ES555" s="158"/>
      <c r="ET555" s="158"/>
      <c r="EU555" s="262"/>
      <c r="EV555" s="262"/>
      <c r="EW555" s="262"/>
      <c r="EX555" s="262"/>
      <c r="EY555" s="154"/>
      <c r="EZ555" s="155"/>
      <c r="FA555" s="155"/>
      <c r="FB555" s="155"/>
      <c r="FC555" s="204"/>
      <c r="FD555" s="204"/>
      <c r="FE555" s="204"/>
      <c r="FF555" s="204"/>
      <c r="FG555" s="204"/>
      <c r="FH555" s="204"/>
    </row>
    <row r="556" spans="1:164" s="155" customFormat="1" ht="14" hidden="1" customHeight="1">
      <c r="A556" s="208" t="str">
        <f t="shared" si="550"/>
        <v>Hiện</v>
      </c>
      <c r="B556" s="154" t="str">
        <f>EY556</f>
        <v>Đủ</v>
      </c>
      <c r="C556" s="154">
        <f t="shared" si="405"/>
        <v>0</v>
      </c>
      <c r="D556" s="154"/>
      <c r="E556" s="154"/>
      <c r="F556" s="344"/>
      <c r="G556" s="154" t="s">
        <v>2561</v>
      </c>
      <c r="H556" s="154"/>
      <c r="I556" s="253" t="s">
        <v>1121</v>
      </c>
      <c r="J556" s="254" t="s">
        <v>863</v>
      </c>
      <c r="K556" s="253" t="s">
        <v>1122</v>
      </c>
      <c r="L556" s="261"/>
      <c r="M556" s="256" t="s">
        <v>1074</v>
      </c>
      <c r="N556" s="259"/>
      <c r="O556" s="191">
        <v>288</v>
      </c>
      <c r="P556" s="190"/>
      <c r="AO556" s="234">
        <v>288</v>
      </c>
      <c r="AP556" s="193">
        <v>0</v>
      </c>
      <c r="AQ556" s="193">
        <v>0</v>
      </c>
      <c r="AR556" s="193">
        <v>0</v>
      </c>
      <c r="AS556" s="193">
        <v>0</v>
      </c>
      <c r="AT556" s="193">
        <v>0</v>
      </c>
      <c r="AU556" s="162">
        <v>0</v>
      </c>
      <c r="AV556" s="162">
        <v>0</v>
      </c>
      <c r="AW556" s="162">
        <v>0</v>
      </c>
      <c r="AX556" s="162">
        <v>0</v>
      </c>
      <c r="AY556" s="162">
        <v>0</v>
      </c>
      <c r="AZ556" s="162">
        <v>0</v>
      </c>
      <c r="BA556" s="162"/>
      <c r="BB556" s="162"/>
      <c r="BC556" s="162">
        <v>0</v>
      </c>
      <c r="BD556" s="162">
        <v>0</v>
      </c>
      <c r="BE556" s="162">
        <v>0</v>
      </c>
      <c r="BF556" s="162">
        <v>0</v>
      </c>
      <c r="BG556" s="162">
        <v>0</v>
      </c>
      <c r="BH556" s="162">
        <v>0</v>
      </c>
      <c r="BI556" s="162">
        <v>0</v>
      </c>
      <c r="BJ556" s="162">
        <v>0</v>
      </c>
      <c r="BK556" s="162">
        <v>0</v>
      </c>
      <c r="BL556" s="162">
        <v>0</v>
      </c>
      <c r="BM556" s="162">
        <v>0</v>
      </c>
      <c r="BN556" s="162">
        <v>0</v>
      </c>
      <c r="BO556" s="162"/>
      <c r="BP556" s="162"/>
      <c r="BQ556" s="162">
        <v>288</v>
      </c>
      <c r="BR556" s="162">
        <v>0</v>
      </c>
      <c r="BS556" s="162">
        <v>0</v>
      </c>
      <c r="BT556" s="162">
        <v>0</v>
      </c>
      <c r="BU556" s="162">
        <v>0</v>
      </c>
      <c r="BV556" s="162">
        <v>0</v>
      </c>
      <c r="BW556" s="162"/>
      <c r="BX556" s="162"/>
      <c r="BY556" s="162">
        <v>0</v>
      </c>
      <c r="BZ556" s="162">
        <v>0</v>
      </c>
      <c r="CA556" s="162">
        <v>24</v>
      </c>
      <c r="CB556" s="162">
        <v>0</v>
      </c>
      <c r="CC556" s="162">
        <v>0</v>
      </c>
      <c r="CD556" s="162">
        <v>0</v>
      </c>
      <c r="CE556" s="162">
        <f>VLOOKUP(I556,[120]REV33!$A:$O,11,0)</f>
        <v>0</v>
      </c>
      <c r="CF556" s="162">
        <f>VLOOKUP(I556,[120]REV33!$A:$O,12,0)</f>
        <v>0</v>
      </c>
      <c r="CG556" s="162"/>
      <c r="CH556" s="162"/>
      <c r="CI556" s="162"/>
      <c r="CJ556" s="162"/>
      <c r="CK556" s="162"/>
      <c r="CL556" s="162"/>
      <c r="CM556" s="162"/>
      <c r="CN556" s="162"/>
      <c r="CO556" s="162">
        <v>0</v>
      </c>
      <c r="CP556" s="162">
        <v>0</v>
      </c>
      <c r="CQ556" s="162">
        <v>0</v>
      </c>
      <c r="CR556" s="162">
        <v>0</v>
      </c>
      <c r="CS556" s="209">
        <f>Q556+S556+U556+W556+Y556+AA556+AC556+AE556+AG556+AI556+AK556+AM556+AO556+AQ556+AS556+AU556+AW556+AY556+BA556+BC556+BE556+BG556+BI556+BK556+BM556+BO556+BQ556+BS556+BU556+BW556+BY556+CA556+CC556+CE556+CG556+CI556+CK556+CM556+CO556+CQ556</f>
        <v>600</v>
      </c>
      <c r="CT556" s="209">
        <f>R556+T556+V556+X556+Z556+AB556+AD556+AF556+AH556+AJ556+AL556+AN556+AP556+AR556+AT556+AV556+AX556+AZ556+BB556+BD556+BF556+BH556+BJ556+BL556+BN556+BP556+BR556+BT556+BV556+BX556+BZ556+CB556+CD556+CF556+CH556+CJ556+CL556+CN556+CP556+CR556</f>
        <v>0</v>
      </c>
      <c r="CU556" s="763" t="s">
        <v>2326</v>
      </c>
      <c r="CV556" s="156"/>
      <c r="DA556" s="152">
        <f>IF(CS556&gt;CW556,CS556-CW556,"0")</f>
        <v>600</v>
      </c>
      <c r="DB556" s="152" t="str">
        <f>IF(CT556&gt;CX556,CT556-CX556,"0")</f>
        <v>0</v>
      </c>
      <c r="DC556" s="158"/>
      <c r="DD556" s="158" t="s">
        <v>1584</v>
      </c>
      <c r="DE556" s="156" t="s">
        <v>435</v>
      </c>
      <c r="DF556" s="260" t="s">
        <v>1340</v>
      </c>
      <c r="DG556" s="186"/>
      <c r="DH556" s="156" t="s">
        <v>477</v>
      </c>
      <c r="DI556" s="187">
        <v>45911</v>
      </c>
      <c r="DJ556" s="242">
        <v>126</v>
      </c>
      <c r="DK556" s="242" t="s">
        <v>477</v>
      </c>
      <c r="DL556" s="987">
        <v>7700</v>
      </c>
      <c r="DM556" s="181">
        <f t="shared" si="558"/>
        <v>1067220</v>
      </c>
      <c r="DN556" s="446">
        <f t="shared" si="559"/>
        <v>0.1</v>
      </c>
      <c r="DO556" s="195">
        <f t="shared" si="560"/>
        <v>970200</v>
      </c>
      <c r="DP556" s="988">
        <v>45913</v>
      </c>
      <c r="DQ556" s="152">
        <f>SUMIF($I:$I,I556,$DJ:$DJ)</f>
        <v>600</v>
      </c>
      <c r="DR556" s="152">
        <f>SUMIF($I:$I,I556,$DK:$DK)</f>
        <v>0</v>
      </c>
      <c r="EO556" s="152">
        <f>SUMIF($I:$I,I556,$EC:$EC)</f>
        <v>0</v>
      </c>
      <c r="EP556" s="151">
        <f>SUMIF($I:$I,I556,$ED:$ED)</f>
        <v>0</v>
      </c>
      <c r="EQ556" s="153"/>
      <c r="ER556" s="153"/>
      <c r="ES556" s="153"/>
      <c r="ET556" s="153"/>
      <c r="EU556" s="152">
        <f>DQ556+EO556</f>
        <v>600</v>
      </c>
      <c r="EV556" s="152">
        <f>DR556+EP556</f>
        <v>0</v>
      </c>
      <c r="EW556" s="152">
        <f t="shared" ref="EW556" si="563">DA556-EU556</f>
        <v>0</v>
      </c>
      <c r="EX556" s="152">
        <f t="shared" ref="EX556" si="564">DB556-EV556</f>
        <v>0</v>
      </c>
      <c r="EY556" s="151" t="str">
        <f>IF(EW556&lt;0,"Thừa",IF(EW556=0,"Đủ","Thiếu"))</f>
        <v>Đủ</v>
      </c>
    </row>
    <row r="557" spans="1:164" s="202" customFormat="1" ht="14" hidden="1" customHeight="1">
      <c r="A557" s="208" t="str">
        <f t="shared" si="550"/>
        <v>ok</v>
      </c>
      <c r="B557" s="154"/>
      <c r="C557" s="154"/>
      <c r="D557" s="154"/>
      <c r="E557" s="154"/>
      <c r="F557" s="344"/>
      <c r="G557" s="154"/>
      <c r="H557" s="154"/>
      <c r="I557" s="253" t="s">
        <v>1121</v>
      </c>
      <c r="J557" s="254" t="s">
        <v>863</v>
      </c>
      <c r="K557" s="253" t="s">
        <v>1122</v>
      </c>
      <c r="L557" s="261"/>
      <c r="M557" s="256" t="s">
        <v>1074</v>
      </c>
      <c r="N557" s="259"/>
      <c r="O557" s="191"/>
      <c r="P557" s="190"/>
      <c r="Q557" s="155"/>
      <c r="R557" s="155"/>
      <c r="S557" s="155"/>
      <c r="T557" s="155"/>
      <c r="U557" s="155"/>
      <c r="V557" s="155"/>
      <c r="W557" s="155"/>
      <c r="X557" s="155"/>
      <c r="Y557" s="155"/>
      <c r="Z557" s="155"/>
      <c r="AA557" s="155"/>
      <c r="AB557" s="155"/>
      <c r="AC557" s="155"/>
      <c r="AD557" s="155"/>
      <c r="AE557" s="155"/>
      <c r="AF557" s="155"/>
      <c r="AG557" s="155"/>
      <c r="AH557" s="155"/>
      <c r="AI557" s="155"/>
      <c r="AJ557" s="155"/>
      <c r="AK557" s="155"/>
      <c r="AL557" s="155"/>
      <c r="AM557" s="155"/>
      <c r="AN557" s="155"/>
      <c r="AO557" s="234"/>
      <c r="AP557" s="193"/>
      <c r="AQ557" s="193"/>
      <c r="AR557" s="193"/>
      <c r="AS557" s="193"/>
      <c r="AT557" s="193"/>
      <c r="AU557" s="162"/>
      <c r="AV557" s="162"/>
      <c r="AW557" s="162"/>
      <c r="AX557" s="162"/>
      <c r="AY557" s="162"/>
      <c r="AZ557" s="162"/>
      <c r="BA557" s="162"/>
      <c r="BB557" s="162"/>
      <c r="BC557" s="162"/>
      <c r="BD557" s="162"/>
      <c r="BE557" s="162"/>
      <c r="BF557" s="162"/>
      <c r="BG557" s="162"/>
      <c r="BH557" s="162"/>
      <c r="BI557" s="162"/>
      <c r="BJ557" s="162"/>
      <c r="BK557" s="162"/>
      <c r="BL557" s="162"/>
      <c r="BM557" s="162"/>
      <c r="BN557" s="162"/>
      <c r="BO557" s="162"/>
      <c r="BP557" s="162"/>
      <c r="BQ557" s="162"/>
      <c r="BR557" s="162"/>
      <c r="BS557" s="162"/>
      <c r="BT557" s="162"/>
      <c r="BU557" s="162"/>
      <c r="BV557" s="162"/>
      <c r="BW557" s="162"/>
      <c r="BX557" s="162"/>
      <c r="BY557" s="162"/>
      <c r="BZ557" s="162"/>
      <c r="CA557" s="162"/>
      <c r="CB557" s="162"/>
      <c r="CC557" s="162"/>
      <c r="CD557" s="162"/>
      <c r="CE557" s="162"/>
      <c r="CF557" s="162"/>
      <c r="CG557" s="162"/>
      <c r="CH557" s="162"/>
      <c r="CI557" s="162"/>
      <c r="CJ557" s="162"/>
      <c r="CK557" s="162"/>
      <c r="CL557" s="162"/>
      <c r="CM557" s="162"/>
      <c r="CN557" s="162"/>
      <c r="CO557" s="162"/>
      <c r="CP557" s="162"/>
      <c r="CQ557" s="162"/>
      <c r="CR557" s="162"/>
      <c r="CS557" s="209"/>
      <c r="CT557" s="209"/>
      <c r="CU557" s="763"/>
      <c r="CV557" s="156"/>
      <c r="CW557" s="155"/>
      <c r="CX557" s="155"/>
      <c r="CY557" s="155"/>
      <c r="CZ557" s="155"/>
      <c r="DA557" s="152"/>
      <c r="DB557" s="152"/>
      <c r="DC557" s="158"/>
      <c r="DD557" s="158" t="s">
        <v>2579</v>
      </c>
      <c r="DE557" s="156" t="s">
        <v>2042</v>
      </c>
      <c r="DF557" s="983" t="s">
        <v>2006</v>
      </c>
      <c r="DG557" s="186"/>
      <c r="DH557" s="156" t="s">
        <v>477</v>
      </c>
      <c r="DI557" s="187" t="s">
        <v>374</v>
      </c>
      <c r="DJ557" s="242">
        <v>24</v>
      </c>
      <c r="DK557" s="242" t="s">
        <v>477</v>
      </c>
      <c r="DL557" s="987">
        <v>4800</v>
      </c>
      <c r="DM557" s="181">
        <f t="shared" si="558"/>
        <v>126720.00000000001</v>
      </c>
      <c r="DN557" s="446">
        <v>0.08</v>
      </c>
      <c r="DO557" s="195">
        <f t="shared" si="560"/>
        <v>115200</v>
      </c>
      <c r="DP557" s="988">
        <v>46006</v>
      </c>
      <c r="DQ557" s="152"/>
      <c r="DR557" s="152"/>
      <c r="DS557" s="155"/>
      <c r="DT557" s="155"/>
      <c r="DU557" s="155"/>
      <c r="DV557" s="155"/>
      <c r="DW557" s="155"/>
      <c r="DX557" s="155"/>
      <c r="DY557" s="155"/>
      <c r="DZ557" s="155"/>
      <c r="EA557" s="155"/>
      <c r="EB557" s="155"/>
      <c r="EC557" s="155"/>
      <c r="ED557" s="155"/>
      <c r="EE557" s="155"/>
      <c r="EF557" s="155"/>
      <c r="EG557" s="155"/>
      <c r="EH557" s="155"/>
      <c r="EI557" s="155"/>
      <c r="EJ557" s="155"/>
      <c r="EK557" s="155"/>
      <c r="EL557" s="155"/>
      <c r="EM557" s="155"/>
      <c r="EN557" s="155"/>
      <c r="EO557" s="152"/>
      <c r="EP557" s="151"/>
      <c r="EQ557" s="153"/>
      <c r="ER557" s="153"/>
      <c r="ES557" s="153"/>
      <c r="ET557" s="153"/>
      <c r="EU557" s="152"/>
      <c r="EV557" s="152"/>
      <c r="EW557" s="152"/>
      <c r="EX557" s="152"/>
      <c r="EY557" s="151"/>
      <c r="EZ557" s="155"/>
      <c r="FA557" s="155"/>
      <c r="FB557" s="155"/>
      <c r="FC557" s="204"/>
      <c r="FD557" s="204"/>
      <c r="FE557" s="204"/>
      <c r="FF557" s="204"/>
      <c r="FG557" s="204"/>
      <c r="FH557" s="204"/>
    </row>
    <row r="558" spans="1:164" s="202" customFormat="1" ht="14" hidden="1" customHeight="1">
      <c r="A558" s="208" t="str">
        <f t="shared" si="550"/>
        <v>ok</v>
      </c>
      <c r="B558" s="154"/>
      <c r="C558" s="154"/>
      <c r="D558" s="154"/>
      <c r="E558" s="154"/>
      <c r="F558" s="344"/>
      <c r="G558" s="154"/>
      <c r="H558" s="154"/>
      <c r="I558" s="253" t="s">
        <v>1121</v>
      </c>
      <c r="J558" s="254" t="s">
        <v>863</v>
      </c>
      <c r="K558" s="253" t="s">
        <v>1122</v>
      </c>
      <c r="L558" s="261"/>
      <c r="M558" s="256" t="s">
        <v>1074</v>
      </c>
      <c r="N558" s="259"/>
      <c r="O558" s="191"/>
      <c r="P558" s="190"/>
      <c r="Q558" s="155"/>
      <c r="R558" s="155"/>
      <c r="S558" s="155"/>
      <c r="T558" s="155"/>
      <c r="U558" s="155"/>
      <c r="V558" s="155"/>
      <c r="W558" s="155"/>
      <c r="X558" s="155"/>
      <c r="Y558" s="155"/>
      <c r="Z558" s="155"/>
      <c r="AA558" s="155"/>
      <c r="AB558" s="155"/>
      <c r="AC558" s="155"/>
      <c r="AD558" s="155"/>
      <c r="AE558" s="155"/>
      <c r="AF558" s="155"/>
      <c r="AG558" s="155"/>
      <c r="AH558" s="155"/>
      <c r="AI558" s="155"/>
      <c r="AJ558" s="155"/>
      <c r="AK558" s="155"/>
      <c r="AL558" s="155"/>
      <c r="AM558" s="155"/>
      <c r="AN558" s="155"/>
      <c r="AO558" s="234"/>
      <c r="AP558" s="193"/>
      <c r="AQ558" s="193"/>
      <c r="AR558" s="193"/>
      <c r="AS558" s="193"/>
      <c r="AT558" s="193"/>
      <c r="AU558" s="162"/>
      <c r="AV558" s="162"/>
      <c r="AW558" s="162"/>
      <c r="AX558" s="162"/>
      <c r="AY558" s="162"/>
      <c r="AZ558" s="162"/>
      <c r="BA558" s="162"/>
      <c r="BB558" s="162"/>
      <c r="BC558" s="162"/>
      <c r="BD558" s="162"/>
      <c r="BE558" s="162"/>
      <c r="BF558" s="162"/>
      <c r="BG558" s="162"/>
      <c r="BH558" s="162"/>
      <c r="BI558" s="162"/>
      <c r="BJ558" s="162"/>
      <c r="BK558" s="162"/>
      <c r="BL558" s="162"/>
      <c r="BM558" s="162"/>
      <c r="BN558" s="162"/>
      <c r="BO558" s="162"/>
      <c r="BP558" s="162"/>
      <c r="BQ558" s="162"/>
      <c r="BR558" s="162"/>
      <c r="BS558" s="162"/>
      <c r="BT558" s="162"/>
      <c r="BU558" s="162"/>
      <c r="BV558" s="162"/>
      <c r="BW558" s="162"/>
      <c r="BX558" s="162"/>
      <c r="BY558" s="162"/>
      <c r="BZ558" s="162"/>
      <c r="CA558" s="162"/>
      <c r="CB558" s="162"/>
      <c r="CC558" s="162"/>
      <c r="CD558" s="162"/>
      <c r="CE558" s="162"/>
      <c r="CF558" s="162"/>
      <c r="CG558" s="162"/>
      <c r="CH558" s="162"/>
      <c r="CI558" s="162"/>
      <c r="CJ558" s="162"/>
      <c r="CK558" s="162"/>
      <c r="CL558" s="162"/>
      <c r="CM558" s="162"/>
      <c r="CN558" s="162"/>
      <c r="CO558" s="162"/>
      <c r="CP558" s="162"/>
      <c r="CQ558" s="162"/>
      <c r="CR558" s="162"/>
      <c r="CS558" s="209"/>
      <c r="CT558" s="209"/>
      <c r="CU558" s="257"/>
      <c r="CV558" s="156"/>
      <c r="CW558" s="155"/>
      <c r="CX558" s="155"/>
      <c r="CY558" s="155"/>
      <c r="CZ558" s="155"/>
      <c r="DA558" s="152"/>
      <c r="DB558" s="152"/>
      <c r="DC558" s="158"/>
      <c r="DD558" s="158" t="s">
        <v>2243</v>
      </c>
      <c r="DE558" s="156" t="s">
        <v>2042</v>
      </c>
      <c r="DF558" s="253" t="s">
        <v>2369</v>
      </c>
      <c r="DG558" s="186" t="s">
        <v>2370</v>
      </c>
      <c r="DH558" s="156" t="s">
        <v>477</v>
      </c>
      <c r="DI558" s="187">
        <v>45982</v>
      </c>
      <c r="DJ558" s="717">
        <v>288</v>
      </c>
      <c r="DK558" s="240" t="s">
        <v>477</v>
      </c>
      <c r="DL558" s="987">
        <v>4800</v>
      </c>
      <c r="DM558" s="181">
        <f>DL558*DJ558*(1+DN558)</f>
        <v>1492992</v>
      </c>
      <c r="DN558" s="446">
        <v>0.08</v>
      </c>
      <c r="DO558" s="160">
        <f>DL558*DJ558</f>
        <v>1382400</v>
      </c>
      <c r="DP558" s="988">
        <v>45982</v>
      </c>
      <c r="DQ558" s="152"/>
      <c r="DR558" s="152"/>
      <c r="DS558" s="155"/>
      <c r="DT558" s="155"/>
      <c r="DU558" s="155"/>
      <c r="DV558" s="155"/>
      <c r="DW558" s="155"/>
      <c r="DX558" s="155"/>
      <c r="DY558" s="155"/>
      <c r="DZ558" s="155"/>
      <c r="EA558" s="155"/>
      <c r="EB558" s="155"/>
      <c r="EC558" s="155"/>
      <c r="ED558" s="155"/>
      <c r="EE558" s="155"/>
      <c r="EF558" s="155"/>
      <c r="EG558" s="155"/>
      <c r="EH558" s="155"/>
      <c r="EI558" s="155"/>
      <c r="EJ558" s="155"/>
      <c r="EK558" s="155"/>
      <c r="EL558" s="155"/>
      <c r="EM558" s="155"/>
      <c r="EN558" s="155"/>
      <c r="EO558" s="152"/>
      <c r="EP558" s="151"/>
      <c r="EQ558" s="153"/>
      <c r="ER558" s="153"/>
      <c r="ES558" s="153"/>
      <c r="ET558" s="153"/>
      <c r="EU558" s="152"/>
      <c r="EV558" s="152"/>
      <c r="EW558" s="152"/>
      <c r="EX558" s="152"/>
      <c r="EY558" s="151"/>
      <c r="EZ558" s="155"/>
      <c r="FA558" s="155"/>
      <c r="FB558" s="155"/>
      <c r="FC558" s="204"/>
      <c r="FD558" s="204"/>
      <c r="FE558" s="204"/>
      <c r="FF558" s="204"/>
      <c r="FG558" s="204"/>
      <c r="FH558" s="204"/>
    </row>
    <row r="559" spans="1:164" s="202" customFormat="1" ht="14" hidden="1" customHeight="1">
      <c r="A559" s="208" t="str">
        <f t="shared" si="550"/>
        <v>ok</v>
      </c>
      <c r="B559" s="154"/>
      <c r="C559" s="154"/>
      <c r="D559" s="154"/>
      <c r="E559" s="154"/>
      <c r="F559" s="344" t="s">
        <v>1728</v>
      </c>
      <c r="G559" s="154"/>
      <c r="H559" s="154"/>
      <c r="I559" s="253" t="s">
        <v>1121</v>
      </c>
      <c r="J559" s="254" t="s">
        <v>863</v>
      </c>
      <c r="K559" s="253" t="s">
        <v>1122</v>
      </c>
      <c r="L559" s="261"/>
      <c r="M559" s="256" t="s">
        <v>1074</v>
      </c>
      <c r="N559" s="259"/>
      <c r="O559" s="191"/>
      <c r="P559" s="190"/>
      <c r="Q559" s="155"/>
      <c r="R559" s="155"/>
      <c r="S559" s="155"/>
      <c r="T559" s="155"/>
      <c r="U559" s="155"/>
      <c r="V559" s="155"/>
      <c r="W559" s="155"/>
      <c r="X559" s="155"/>
      <c r="Y559" s="155"/>
      <c r="Z559" s="155"/>
      <c r="AA559" s="155"/>
      <c r="AB559" s="155"/>
      <c r="AC559" s="155"/>
      <c r="AD559" s="155"/>
      <c r="AE559" s="155"/>
      <c r="AF559" s="155"/>
      <c r="AG559" s="155"/>
      <c r="AH559" s="155"/>
      <c r="AI559" s="155"/>
      <c r="AJ559" s="155"/>
      <c r="AK559" s="155"/>
      <c r="AL559" s="155"/>
      <c r="AM559" s="155"/>
      <c r="AN559" s="155"/>
      <c r="AO559" s="234"/>
      <c r="AP559" s="193"/>
      <c r="AQ559" s="193"/>
      <c r="AR559" s="193"/>
      <c r="AS559" s="193"/>
      <c r="AT559" s="193"/>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209"/>
      <c r="CT559" s="209"/>
      <c r="CU559" s="257" t="s">
        <v>1157</v>
      </c>
      <c r="CV559" s="156"/>
      <c r="CW559" s="155"/>
      <c r="CX559" s="155"/>
      <c r="CY559" s="155"/>
      <c r="CZ559" s="155"/>
      <c r="DA559" s="262"/>
      <c r="DB559" s="262"/>
      <c r="DC559" s="158"/>
      <c r="DD559" s="158" t="s">
        <v>1584</v>
      </c>
      <c r="DE559" s="156" t="s">
        <v>435</v>
      </c>
      <c r="DF559" s="260" t="s">
        <v>1341</v>
      </c>
      <c r="DG559" s="186"/>
      <c r="DH559" s="156" t="s">
        <v>477</v>
      </c>
      <c r="DI559" s="187">
        <v>45911</v>
      </c>
      <c r="DJ559" s="242">
        <v>162</v>
      </c>
      <c r="DK559" s="242" t="s">
        <v>477</v>
      </c>
      <c r="DL559" s="195">
        <v>7150</v>
      </c>
      <c r="DM559" s="181">
        <f t="shared" si="558"/>
        <v>1274130</v>
      </c>
      <c r="DN559" s="446">
        <f t="shared" si="559"/>
        <v>0.1</v>
      </c>
      <c r="DO559" s="195">
        <f t="shared" si="560"/>
        <v>1158300</v>
      </c>
      <c r="DP559" s="988">
        <v>45913</v>
      </c>
      <c r="DQ559" s="262">
        <f>SUMIF($I:$I,I559,$DJ:$DJ)</f>
        <v>600</v>
      </c>
      <c r="DR559" s="262"/>
      <c r="DS559" s="155"/>
      <c r="DT559" s="155"/>
      <c r="DU559" s="155"/>
      <c r="DV559" s="155"/>
      <c r="DW559" s="155"/>
      <c r="DX559" s="155"/>
      <c r="DY559" s="155"/>
      <c r="DZ559" s="155"/>
      <c r="EA559" s="155"/>
      <c r="EB559" s="155"/>
      <c r="EC559" s="155"/>
      <c r="ED559" s="155"/>
      <c r="EE559" s="155"/>
      <c r="EF559" s="155"/>
      <c r="EG559" s="155"/>
      <c r="EH559" s="155"/>
      <c r="EI559" s="155"/>
      <c r="EJ559" s="155"/>
      <c r="EK559" s="155"/>
      <c r="EL559" s="155"/>
      <c r="EM559" s="155"/>
      <c r="EN559" s="155"/>
      <c r="EO559" s="262"/>
      <c r="EP559" s="154"/>
      <c r="EQ559" s="158"/>
      <c r="ER559" s="158"/>
      <c r="ES559" s="158"/>
      <c r="ET559" s="158"/>
      <c r="EU559" s="262"/>
      <c r="EV559" s="262"/>
      <c r="EW559" s="262"/>
      <c r="EX559" s="262"/>
      <c r="EY559" s="154"/>
      <c r="EZ559" s="155"/>
      <c r="FA559" s="155"/>
      <c r="FB559" s="155"/>
      <c r="FC559" s="204"/>
      <c r="FD559" s="204"/>
      <c r="FE559" s="204"/>
      <c r="FF559" s="204"/>
      <c r="FG559" s="204"/>
      <c r="FH559" s="204"/>
    </row>
    <row r="560" spans="1:164" s="155" customFormat="1" ht="14" hidden="1" customHeight="1">
      <c r="A560" s="208" t="str">
        <f t="shared" si="550"/>
        <v>Hiện</v>
      </c>
      <c r="B560" s="154" t="str">
        <f t="shared" ref="B560:B565" si="565">EY560</f>
        <v>Đủ</v>
      </c>
      <c r="C560" s="154">
        <f t="shared" si="405"/>
        <v>0</v>
      </c>
      <c r="D560" s="154"/>
      <c r="E560" s="154"/>
      <c r="F560" s="344" t="s">
        <v>1728</v>
      </c>
      <c r="G560" s="154"/>
      <c r="H560" s="154"/>
      <c r="I560" s="253" t="s">
        <v>1123</v>
      </c>
      <c r="J560" s="254" t="s">
        <v>863</v>
      </c>
      <c r="K560" s="253" t="s">
        <v>1124</v>
      </c>
      <c r="L560" s="261"/>
      <c r="M560" s="256" t="s">
        <v>1074</v>
      </c>
      <c r="N560" s="259"/>
      <c r="O560" s="191">
        <v>664</v>
      </c>
      <c r="P560" s="190"/>
      <c r="AO560" s="234">
        <v>664</v>
      </c>
      <c r="AP560" s="193">
        <v>0</v>
      </c>
      <c r="AQ560" s="193">
        <v>0</v>
      </c>
      <c r="AR560" s="193">
        <v>0</v>
      </c>
      <c r="AS560" s="193">
        <v>0</v>
      </c>
      <c r="AT560" s="193">
        <v>0</v>
      </c>
      <c r="AU560" s="162">
        <v>0</v>
      </c>
      <c r="AV560" s="162">
        <v>0</v>
      </c>
      <c r="AW560" s="162">
        <v>0</v>
      </c>
      <c r="AX560" s="162">
        <v>0</v>
      </c>
      <c r="AY560" s="162">
        <v>0</v>
      </c>
      <c r="AZ560" s="162">
        <v>0</v>
      </c>
      <c r="BA560" s="162"/>
      <c r="BB560" s="162"/>
      <c r="BC560" s="162">
        <v>0</v>
      </c>
      <c r="BD560" s="162">
        <v>0</v>
      </c>
      <c r="BE560" s="162">
        <v>0</v>
      </c>
      <c r="BF560" s="162">
        <v>0</v>
      </c>
      <c r="BG560" s="162">
        <v>0</v>
      </c>
      <c r="BH560" s="162">
        <v>0</v>
      </c>
      <c r="BI560" s="162">
        <v>0</v>
      </c>
      <c r="BJ560" s="162">
        <v>0</v>
      </c>
      <c r="BK560" s="162">
        <v>0</v>
      </c>
      <c r="BL560" s="162">
        <v>0</v>
      </c>
      <c r="BM560" s="162">
        <v>0</v>
      </c>
      <c r="BN560" s="162">
        <v>0</v>
      </c>
      <c r="BO560" s="162"/>
      <c r="BP560" s="162"/>
      <c r="BQ560" s="162">
        <v>0</v>
      </c>
      <c r="BR560" s="162">
        <v>0</v>
      </c>
      <c r="BS560" s="162">
        <v>0</v>
      </c>
      <c r="BT560" s="162">
        <v>0</v>
      </c>
      <c r="BU560" s="162">
        <v>0</v>
      </c>
      <c r="BV560" s="162">
        <v>0</v>
      </c>
      <c r="BW560" s="162"/>
      <c r="BX560" s="162"/>
      <c r="BY560" s="162">
        <v>0</v>
      </c>
      <c r="BZ560" s="162">
        <v>0</v>
      </c>
      <c r="CA560" s="162">
        <v>0</v>
      </c>
      <c r="CB560" s="162">
        <v>0</v>
      </c>
      <c r="CC560" s="162">
        <v>0</v>
      </c>
      <c r="CD560" s="162">
        <v>0</v>
      </c>
      <c r="CE560" s="162">
        <f>VLOOKUP(I560,[120]REV33!$A:$O,11,0)</f>
        <v>0</v>
      </c>
      <c r="CF560" s="162">
        <f>VLOOKUP(I560,[120]REV33!$A:$O,12,0)</f>
        <v>0</v>
      </c>
      <c r="CG560" s="162"/>
      <c r="CH560" s="162"/>
      <c r="CI560" s="162"/>
      <c r="CJ560" s="162"/>
      <c r="CK560" s="162"/>
      <c r="CL560" s="162"/>
      <c r="CM560" s="162"/>
      <c r="CN560" s="162"/>
      <c r="CO560" s="162">
        <v>0</v>
      </c>
      <c r="CP560" s="162">
        <v>0</v>
      </c>
      <c r="CQ560" s="162">
        <v>0</v>
      </c>
      <c r="CR560" s="162">
        <v>0</v>
      </c>
      <c r="CS560" s="209">
        <f>Q560+S560+U560+W560+Y560+AA560+AC560+AE560+AG560+AI560+AK560+AM560+AO560+AQ560+AS560+AU560+AW560+AY560+BA560+BC560+BE560+BG560+BI560+BK560+BM560+BO560+BQ560+BS560+BU560+BW560+BY560+CA560+CC560+CE560+CG560+CI560+CK560+CM560+CO560+CQ560</f>
        <v>664</v>
      </c>
      <c r="CT560" s="209">
        <f>R560+T560+V560+X560+Z560+AB560+AD560+AF560+AH560+AJ560+AL560+AN560+AP560+AR560+AT560+AV560+AX560+AZ560+BB560+BD560+BF560+BH560+BJ560+BL560+BN560+BP560+BR560+BT560+BV560+BX560+BZ560+CB560+CD560+CF560+CH560+CJ560+CL560+CN560+CP560+CR560</f>
        <v>0</v>
      </c>
      <c r="CU560" s="257" t="s">
        <v>1157</v>
      </c>
      <c r="CV560" s="156"/>
      <c r="DA560" s="152">
        <f t="shared" ref="DA560:DA567" si="566">IF(CS560&gt;CW560,CS560-CW560,"0")</f>
        <v>664</v>
      </c>
      <c r="DB560" s="152" t="str">
        <f t="shared" ref="DB560:DB567" si="567">IF(CT560&gt;CX560,CT560-CX560,"0")</f>
        <v>0</v>
      </c>
      <c r="DC560" s="158"/>
      <c r="DD560" s="158" t="s">
        <v>1584</v>
      </c>
      <c r="DE560" s="156" t="s">
        <v>435</v>
      </c>
      <c r="DF560" s="260" t="s">
        <v>1342</v>
      </c>
      <c r="DG560" s="186"/>
      <c r="DH560" s="156" t="s">
        <v>477</v>
      </c>
      <c r="DI560" s="187">
        <v>45911</v>
      </c>
      <c r="DJ560" s="242">
        <v>664</v>
      </c>
      <c r="DK560" s="242" t="s">
        <v>477</v>
      </c>
      <c r="DL560" s="195">
        <v>7150</v>
      </c>
      <c r="DM560" s="181">
        <f t="shared" si="558"/>
        <v>5222360</v>
      </c>
      <c r="DN560" s="446">
        <f t="shared" si="559"/>
        <v>0.1</v>
      </c>
      <c r="DO560" s="195">
        <f t="shared" si="560"/>
        <v>4747600</v>
      </c>
      <c r="DP560" s="159">
        <v>45913</v>
      </c>
      <c r="DQ560" s="152">
        <f>SUMIF($I:$I,I560,$DJ:$DJ)</f>
        <v>664</v>
      </c>
      <c r="DR560" s="152">
        <f>SUMIF($I:$I,I560,$DK:$DK)</f>
        <v>0</v>
      </c>
      <c r="EO560" s="152">
        <f>SUMIF($I:$I,I560,$EC:$EC)</f>
        <v>0</v>
      </c>
      <c r="EP560" s="151">
        <f>SUMIF($I:$I,I560,$ED:$ED)</f>
        <v>0</v>
      </c>
      <c r="EQ560" s="153"/>
      <c r="ER560" s="153"/>
      <c r="ES560" s="153"/>
      <c r="ET560" s="153"/>
      <c r="EU560" s="152">
        <f t="shared" ref="EU560:EU567" si="568">DQ560+EO560</f>
        <v>664</v>
      </c>
      <c r="EV560" s="152">
        <f t="shared" ref="EV560:EV567" si="569">DR560+EP560</f>
        <v>0</v>
      </c>
      <c r="EW560" s="152">
        <f t="shared" ref="EW560:EW567" si="570">DA560-EU560</f>
        <v>0</v>
      </c>
      <c r="EX560" s="152">
        <f t="shared" ref="EX560:EX567" si="571">DB560-EV560</f>
        <v>0</v>
      </c>
      <c r="EY560" s="151" t="str">
        <f t="shared" ref="EY560:EY567" si="572">IF(EW560&lt;0,"Thừa",IF(EW560=0,"Đủ","Thiếu"))</f>
        <v>Đủ</v>
      </c>
    </row>
    <row r="561" spans="1:158" s="155" customFormat="1" ht="14" hidden="1" customHeight="1">
      <c r="A561" s="208" t="str">
        <f t="shared" ref="A561:A632" si="573">IF(I561=I560,"ok","Hiện")</f>
        <v>Hiện</v>
      </c>
      <c r="B561" s="154" t="str">
        <f t="shared" si="565"/>
        <v>Đủ</v>
      </c>
      <c r="C561" s="154">
        <f t="shared" si="405"/>
        <v>0</v>
      </c>
      <c r="D561" s="154"/>
      <c r="E561" s="154"/>
      <c r="F561" s="344" t="s">
        <v>1728</v>
      </c>
      <c r="G561" s="154"/>
      <c r="H561" s="154"/>
      <c r="I561" s="253" t="s">
        <v>1125</v>
      </c>
      <c r="J561" s="254" t="s">
        <v>863</v>
      </c>
      <c r="K561" s="253" t="s">
        <v>1126</v>
      </c>
      <c r="L561" s="261"/>
      <c r="M561" s="256" t="s">
        <v>1074</v>
      </c>
      <c r="N561" s="259"/>
      <c r="O561" s="191">
        <v>352</v>
      </c>
      <c r="P561" s="190"/>
      <c r="AO561" s="234">
        <v>352</v>
      </c>
      <c r="AP561" s="193">
        <v>0</v>
      </c>
      <c r="AQ561" s="193">
        <v>0</v>
      </c>
      <c r="AR561" s="193">
        <v>0</v>
      </c>
      <c r="AS561" s="193">
        <v>0</v>
      </c>
      <c r="AT561" s="193">
        <v>0</v>
      </c>
      <c r="AU561" s="162">
        <v>0</v>
      </c>
      <c r="AV561" s="162">
        <v>0</v>
      </c>
      <c r="AW561" s="162">
        <v>0</v>
      </c>
      <c r="AX561" s="162">
        <v>0</v>
      </c>
      <c r="AY561" s="162">
        <v>0</v>
      </c>
      <c r="AZ561" s="162">
        <v>0</v>
      </c>
      <c r="BA561" s="162"/>
      <c r="BB561" s="162"/>
      <c r="BC561" s="162">
        <v>0</v>
      </c>
      <c r="BD561" s="162">
        <v>0</v>
      </c>
      <c r="BE561" s="162">
        <v>0</v>
      </c>
      <c r="BF561" s="162">
        <v>0</v>
      </c>
      <c r="BG561" s="162">
        <v>0</v>
      </c>
      <c r="BH561" s="162">
        <v>0</v>
      </c>
      <c r="BI561" s="162">
        <v>0</v>
      </c>
      <c r="BJ561" s="162">
        <v>0</v>
      </c>
      <c r="BK561" s="162">
        <v>0</v>
      </c>
      <c r="BL561" s="162">
        <v>0</v>
      </c>
      <c r="BM561" s="162">
        <v>0</v>
      </c>
      <c r="BN561" s="162">
        <v>0</v>
      </c>
      <c r="BO561" s="162"/>
      <c r="BP561" s="162"/>
      <c r="BQ561" s="162">
        <v>0</v>
      </c>
      <c r="BR561" s="162">
        <v>0</v>
      </c>
      <c r="BS561" s="162">
        <v>0</v>
      </c>
      <c r="BT561" s="162">
        <v>0</v>
      </c>
      <c r="BU561" s="162">
        <v>0</v>
      </c>
      <c r="BV561" s="162">
        <v>0</v>
      </c>
      <c r="BW561" s="162"/>
      <c r="BX561" s="162"/>
      <c r="BY561" s="162">
        <v>0</v>
      </c>
      <c r="BZ561" s="162">
        <v>0</v>
      </c>
      <c r="CA561" s="162">
        <v>0</v>
      </c>
      <c r="CB561" s="162">
        <v>0</v>
      </c>
      <c r="CC561" s="162">
        <v>0</v>
      </c>
      <c r="CD561" s="162">
        <v>0</v>
      </c>
      <c r="CE561" s="162">
        <f>VLOOKUP(I561,[120]REV33!$A:$O,11,0)</f>
        <v>0</v>
      </c>
      <c r="CF561" s="162">
        <f>VLOOKUP(I561,[120]REV33!$A:$O,12,0)</f>
        <v>0</v>
      </c>
      <c r="CG561" s="162"/>
      <c r="CH561" s="162"/>
      <c r="CI561" s="162"/>
      <c r="CJ561" s="162"/>
      <c r="CK561" s="162"/>
      <c r="CL561" s="162"/>
      <c r="CM561" s="162"/>
      <c r="CN561" s="162"/>
      <c r="CO561" s="162">
        <v>0</v>
      </c>
      <c r="CP561" s="162">
        <v>0</v>
      </c>
      <c r="CQ561" s="162">
        <v>0</v>
      </c>
      <c r="CR561" s="162">
        <v>0</v>
      </c>
      <c r="CS561" s="209">
        <f>Q561+S561+U561+W561+Y561+AA561+AC561+AE561+AG561+AI561+AK561+AM561+AO561+AQ561+AS561+AU561+AW561+AY561+BA561+BC561+BE561+BG561+BI561+BK561+BM561+BO561+BQ561+BS561+BU561+BW561+BY561+CA561+CC561+CE561+CG561+CI561+CK561+CM561+CO561+CQ561</f>
        <v>352</v>
      </c>
      <c r="CT561" s="209">
        <f>R561+T561+V561+X561+Z561+AB561+AD561+AF561+AH561+AJ561+AL561+AN561+AP561+AR561+AT561+AV561+AX561+AZ561+BB561+BD561+BF561+BH561+BJ561+BL561+BN561+BP561+BR561+BT561+BV561+BX561+BZ561+CB561+CD561+CF561+CH561+CJ561+CL561+CN561+CP561+CR561</f>
        <v>0</v>
      </c>
      <c r="CU561" s="257" t="s">
        <v>1157</v>
      </c>
      <c r="CV561" s="156"/>
      <c r="DA561" s="152">
        <f t="shared" si="566"/>
        <v>352</v>
      </c>
      <c r="DB561" s="152" t="str">
        <f t="shared" si="567"/>
        <v>0</v>
      </c>
      <c r="DC561" s="158"/>
      <c r="DD561" s="158" t="s">
        <v>1584</v>
      </c>
      <c r="DE561" s="156" t="s">
        <v>435</v>
      </c>
      <c r="DF561" s="260" t="s">
        <v>1343</v>
      </c>
      <c r="DG561" s="186"/>
      <c r="DH561" s="156" t="s">
        <v>477</v>
      </c>
      <c r="DI561" s="187">
        <v>45911</v>
      </c>
      <c r="DJ561" s="242">
        <v>352</v>
      </c>
      <c r="DK561" s="242" t="s">
        <v>477</v>
      </c>
      <c r="DL561" s="195">
        <v>15610</v>
      </c>
      <c r="DM561" s="181">
        <f t="shared" si="558"/>
        <v>6044192.0000000009</v>
      </c>
      <c r="DN561" s="446">
        <f t="shared" si="559"/>
        <v>0.10000000000000017</v>
      </c>
      <c r="DO561" s="195">
        <f t="shared" si="560"/>
        <v>5494720</v>
      </c>
      <c r="DP561" s="159">
        <v>45913</v>
      </c>
      <c r="DQ561" s="152">
        <f>SUMIF($I:$I,I561,$DJ:$DJ)</f>
        <v>352</v>
      </c>
      <c r="DR561" s="152">
        <f>SUMIF($I:$I,I561,$DK:$DK)</f>
        <v>0</v>
      </c>
      <c r="EO561" s="152">
        <f>SUMIF($I:$I,I561,$EC:$EC)</f>
        <v>0</v>
      </c>
      <c r="EP561" s="151">
        <f>SUMIF($I:$I,I561,$ED:$ED)</f>
        <v>0</v>
      </c>
      <c r="EQ561" s="153"/>
      <c r="ER561" s="153"/>
      <c r="ES561" s="153"/>
      <c r="ET561" s="153"/>
      <c r="EU561" s="152">
        <f t="shared" si="568"/>
        <v>352</v>
      </c>
      <c r="EV561" s="152">
        <f t="shared" si="569"/>
        <v>0</v>
      </c>
      <c r="EW561" s="152">
        <f t="shared" si="570"/>
        <v>0</v>
      </c>
      <c r="EX561" s="152">
        <f t="shared" si="571"/>
        <v>0</v>
      </c>
      <c r="EY561" s="151" t="str">
        <f t="shared" si="572"/>
        <v>Đủ</v>
      </c>
    </row>
    <row r="562" spans="1:158" s="155" customFormat="1" ht="14" hidden="1" customHeight="1">
      <c r="A562" s="208" t="str">
        <f t="shared" si="573"/>
        <v>Hiện</v>
      </c>
      <c r="B562" s="154" t="str">
        <f t="shared" si="565"/>
        <v>Đủ</v>
      </c>
      <c r="C562" s="154">
        <f t="shared" si="405"/>
        <v>0</v>
      </c>
      <c r="D562" s="154"/>
      <c r="E562" s="154"/>
      <c r="F562" s="344" t="s">
        <v>1728</v>
      </c>
      <c r="G562" s="154"/>
      <c r="H562" s="154"/>
      <c r="I562" s="253" t="s">
        <v>1127</v>
      </c>
      <c r="J562" s="254" t="s">
        <v>863</v>
      </c>
      <c r="K562" s="253" t="s">
        <v>1128</v>
      </c>
      <c r="L562" s="261"/>
      <c r="M562" s="256" t="s">
        <v>1074</v>
      </c>
      <c r="N562" s="259"/>
      <c r="O562" s="191">
        <v>64</v>
      </c>
      <c r="P562" s="190"/>
      <c r="AO562" s="234">
        <v>64</v>
      </c>
      <c r="AP562" s="193">
        <v>0</v>
      </c>
      <c r="AQ562" s="193">
        <v>0</v>
      </c>
      <c r="AR562" s="193">
        <v>0</v>
      </c>
      <c r="AS562" s="193">
        <v>0</v>
      </c>
      <c r="AT562" s="193">
        <v>0</v>
      </c>
      <c r="AU562" s="162">
        <v>0</v>
      </c>
      <c r="AV562" s="162">
        <v>0</v>
      </c>
      <c r="AW562" s="162">
        <v>0</v>
      </c>
      <c r="AX562" s="162">
        <v>0</v>
      </c>
      <c r="AY562" s="162">
        <v>0</v>
      </c>
      <c r="AZ562" s="162">
        <v>0</v>
      </c>
      <c r="BA562" s="162"/>
      <c r="BB562" s="162"/>
      <c r="BC562" s="162">
        <v>0</v>
      </c>
      <c r="BD562" s="162">
        <v>0</v>
      </c>
      <c r="BE562" s="162">
        <v>0</v>
      </c>
      <c r="BF562" s="162">
        <v>0</v>
      </c>
      <c r="BG562" s="162">
        <v>0</v>
      </c>
      <c r="BH562" s="162">
        <v>0</v>
      </c>
      <c r="BI562" s="162">
        <v>0</v>
      </c>
      <c r="BJ562" s="162">
        <v>0</v>
      </c>
      <c r="BK562" s="162">
        <v>0</v>
      </c>
      <c r="BL562" s="162">
        <v>0</v>
      </c>
      <c r="BM562" s="162">
        <v>0</v>
      </c>
      <c r="BN562" s="162">
        <v>0</v>
      </c>
      <c r="BO562" s="162"/>
      <c r="BP562" s="162"/>
      <c r="BQ562" s="162">
        <v>0</v>
      </c>
      <c r="BR562" s="162">
        <v>0</v>
      </c>
      <c r="BS562" s="162">
        <v>0</v>
      </c>
      <c r="BT562" s="162">
        <v>0</v>
      </c>
      <c r="BU562" s="162">
        <v>0</v>
      </c>
      <c r="BV562" s="162">
        <v>0</v>
      </c>
      <c r="BW562" s="162"/>
      <c r="BX562" s="162"/>
      <c r="BY562" s="162">
        <v>0</v>
      </c>
      <c r="BZ562" s="162">
        <v>0</v>
      </c>
      <c r="CA562" s="162">
        <v>0</v>
      </c>
      <c r="CB562" s="162">
        <v>0</v>
      </c>
      <c r="CC562" s="162">
        <v>0</v>
      </c>
      <c r="CD562" s="162">
        <v>0</v>
      </c>
      <c r="CE562" s="162">
        <f>VLOOKUP(I562,[120]REV33!$A:$O,11,0)</f>
        <v>0</v>
      </c>
      <c r="CF562" s="162">
        <f>VLOOKUP(I562,[120]REV33!$A:$O,12,0)</f>
        <v>0</v>
      </c>
      <c r="CG562" s="162"/>
      <c r="CH562" s="162"/>
      <c r="CI562" s="162"/>
      <c r="CJ562" s="162"/>
      <c r="CK562" s="162"/>
      <c r="CL562" s="162"/>
      <c r="CM562" s="162"/>
      <c r="CN562" s="162"/>
      <c r="CO562" s="162">
        <v>0</v>
      </c>
      <c r="CP562" s="162">
        <v>0</v>
      </c>
      <c r="CQ562" s="162">
        <v>0</v>
      </c>
      <c r="CR562" s="162">
        <v>0</v>
      </c>
      <c r="CS562" s="209">
        <f>Q562+S562+U562+W562+Y562+AA562+AC562+AE562+AG562+AI562+AK562+AM562+AO562+AQ562+AS562+AU562+AW562+AY562+BA562+BC562+BE562+BG562+BI562+BK562+BM562+BO562+BQ562+BS562+BU562+BW562+BY562+CA562+CC562+CE562+CG562+CI562+CK562+CM562+CO562+CQ562</f>
        <v>64</v>
      </c>
      <c r="CT562" s="209">
        <f>R562+T562+V562+X562+Z562+AB562+AD562+AF562+AH562+AJ562+AL562+AN562+AP562+AR562+AT562+AV562+AX562+AZ562+BB562+BD562+BF562+BH562+BJ562+BL562+BN562+BP562+BR562+BT562+BV562+BX562+BZ562+CB562+CD562+CF562+CH562+CJ562+CL562+CN562+CP562+CR562</f>
        <v>0</v>
      </c>
      <c r="CU562" s="257" t="s">
        <v>1157</v>
      </c>
      <c r="CV562" s="156"/>
      <c r="DA562" s="152">
        <f t="shared" si="566"/>
        <v>64</v>
      </c>
      <c r="DB562" s="152" t="str">
        <f t="shared" si="567"/>
        <v>0</v>
      </c>
      <c r="DC562" s="158"/>
      <c r="DD562" s="158" t="s">
        <v>1584</v>
      </c>
      <c r="DE562" s="156" t="s">
        <v>435</v>
      </c>
      <c r="DF562" s="260" t="s">
        <v>1344</v>
      </c>
      <c r="DG562" s="186"/>
      <c r="DH562" s="156" t="s">
        <v>477</v>
      </c>
      <c r="DI562" s="187">
        <v>45911</v>
      </c>
      <c r="DJ562" s="242">
        <v>64</v>
      </c>
      <c r="DK562" s="242" t="s">
        <v>477</v>
      </c>
      <c r="DL562" s="195">
        <v>15610</v>
      </c>
      <c r="DM562" s="181">
        <f t="shared" si="558"/>
        <v>1098944</v>
      </c>
      <c r="DN562" s="446">
        <f t="shared" si="559"/>
        <v>0.1</v>
      </c>
      <c r="DO562" s="195">
        <f t="shared" si="560"/>
        <v>999040</v>
      </c>
      <c r="DP562" s="159">
        <v>45913</v>
      </c>
      <c r="DQ562" s="152">
        <f>SUMIF($I:$I,I562,$DJ:$DJ)</f>
        <v>64</v>
      </c>
      <c r="DR562" s="152">
        <f>SUMIF($I:$I,I562,$DK:$DK)</f>
        <v>0</v>
      </c>
      <c r="EO562" s="152">
        <f>SUMIF($I:$I,I562,$EC:$EC)</f>
        <v>0</v>
      </c>
      <c r="EP562" s="151">
        <f>SUMIF($I:$I,I562,$ED:$ED)</f>
        <v>0</v>
      </c>
      <c r="EQ562" s="153"/>
      <c r="ER562" s="153"/>
      <c r="ES562" s="153"/>
      <c r="ET562" s="153"/>
      <c r="EU562" s="152">
        <f t="shared" si="568"/>
        <v>64</v>
      </c>
      <c r="EV562" s="152">
        <f t="shared" si="569"/>
        <v>0</v>
      </c>
      <c r="EW562" s="152">
        <f t="shared" si="570"/>
        <v>0</v>
      </c>
      <c r="EX562" s="152">
        <f t="shared" si="571"/>
        <v>0</v>
      </c>
      <c r="EY562" s="151" t="str">
        <f t="shared" si="572"/>
        <v>Đủ</v>
      </c>
    </row>
    <row r="563" spans="1:158" s="155" customFormat="1" ht="14" hidden="1" customHeight="1">
      <c r="A563" s="208" t="str">
        <f t="shared" si="573"/>
        <v>Hiện</v>
      </c>
      <c r="B563" s="154" t="str">
        <f t="shared" si="565"/>
        <v>Đủ</v>
      </c>
      <c r="C563" s="154">
        <f t="shared" si="405"/>
        <v>0</v>
      </c>
      <c r="D563" s="154"/>
      <c r="E563" s="154"/>
      <c r="F563" s="344" t="s">
        <v>1728</v>
      </c>
      <c r="G563" s="154"/>
      <c r="H563" s="154"/>
      <c r="I563" s="253" t="s">
        <v>1129</v>
      </c>
      <c r="J563" s="254" t="s">
        <v>922</v>
      </c>
      <c r="K563" s="253" t="s">
        <v>1130</v>
      </c>
      <c r="L563" s="261"/>
      <c r="M563" s="256" t="s">
        <v>1074</v>
      </c>
      <c r="N563" s="259"/>
      <c r="O563" s="191">
        <v>192</v>
      </c>
      <c r="P563" s="190"/>
      <c r="AO563" s="234">
        <v>192</v>
      </c>
      <c r="AP563" s="193">
        <v>0</v>
      </c>
      <c r="AQ563" s="193">
        <v>0</v>
      </c>
      <c r="AR563" s="193">
        <v>0</v>
      </c>
      <c r="AS563" s="193">
        <v>0</v>
      </c>
      <c r="AT563" s="193">
        <v>0</v>
      </c>
      <c r="AU563" s="162">
        <v>0</v>
      </c>
      <c r="AV563" s="162">
        <v>0</v>
      </c>
      <c r="AW563" s="162">
        <v>0</v>
      </c>
      <c r="AX563" s="162">
        <v>0</v>
      </c>
      <c r="AY563" s="162">
        <v>0</v>
      </c>
      <c r="AZ563" s="162">
        <v>0</v>
      </c>
      <c r="BA563" s="162"/>
      <c r="BB563" s="162"/>
      <c r="BC563" s="162">
        <v>0</v>
      </c>
      <c r="BD563" s="162">
        <v>0</v>
      </c>
      <c r="BE563" s="162">
        <v>0</v>
      </c>
      <c r="BF563" s="162">
        <v>0</v>
      </c>
      <c r="BG563" s="162">
        <v>0</v>
      </c>
      <c r="BH563" s="162">
        <v>0</v>
      </c>
      <c r="BI563" s="162">
        <v>0</v>
      </c>
      <c r="BJ563" s="162">
        <v>0</v>
      </c>
      <c r="BK563" s="162">
        <v>0</v>
      </c>
      <c r="BL563" s="162">
        <v>0</v>
      </c>
      <c r="BM563" s="162">
        <v>0</v>
      </c>
      <c r="BN563" s="162">
        <v>0</v>
      </c>
      <c r="BO563" s="162"/>
      <c r="BP563" s="162"/>
      <c r="BQ563" s="162">
        <v>0</v>
      </c>
      <c r="BR563" s="162">
        <v>0</v>
      </c>
      <c r="BS563" s="162">
        <v>0</v>
      </c>
      <c r="BT563" s="162">
        <v>0</v>
      </c>
      <c r="BU563" s="162">
        <v>0</v>
      </c>
      <c r="BV563" s="162">
        <v>0</v>
      </c>
      <c r="BW563" s="162"/>
      <c r="BX563" s="162"/>
      <c r="BY563" s="162">
        <v>0</v>
      </c>
      <c r="BZ563" s="162">
        <v>0</v>
      </c>
      <c r="CA563" s="162">
        <v>0</v>
      </c>
      <c r="CB563" s="162">
        <v>0</v>
      </c>
      <c r="CC563" s="162">
        <v>0</v>
      </c>
      <c r="CD563" s="162">
        <v>0</v>
      </c>
      <c r="CE563" s="162">
        <f>VLOOKUP(I563,[120]REV33!$A:$O,11,0)</f>
        <v>0</v>
      </c>
      <c r="CF563" s="162">
        <f>VLOOKUP(I563,[120]REV33!$A:$O,12,0)</f>
        <v>0</v>
      </c>
      <c r="CG563" s="162"/>
      <c r="CH563" s="162"/>
      <c r="CI563" s="162"/>
      <c r="CJ563" s="162"/>
      <c r="CK563" s="162"/>
      <c r="CL563" s="162"/>
      <c r="CM563" s="162"/>
      <c r="CN563" s="162"/>
      <c r="CO563" s="162">
        <v>0</v>
      </c>
      <c r="CP563" s="162">
        <v>0</v>
      </c>
      <c r="CQ563" s="162">
        <v>0</v>
      </c>
      <c r="CR563" s="162">
        <v>0</v>
      </c>
      <c r="CS563" s="209">
        <f>Q563+S563+U563+W563+Y563+AA563+AC563+AE563+AG563+AI563+AK563+AM563+AO563+AQ563+AS563+AU563+AW563+AY563+BA563+BC563+BE563+BG563+BI563+BK563+BM563+BO563+BQ563+BS563+BU563+BW563+BY563+CA563+CC563+CE563+CG563+CI563+CK563+CM563+CO563+CQ563</f>
        <v>192</v>
      </c>
      <c r="CT563" s="209">
        <f>R563+T563+V563+X563+Z563+AB563+AD563+AF563+AH563+AJ563+AL563+AN563+AP563+AR563+AT563+AV563+AX563+AZ563+BB563+BD563+BF563+BH563+BJ563+BL563+BN563+BP563+BR563+BT563+BV563+BX563+BZ563+CB563+CD563+CF563+CH563+CJ563+CL563+CN563+CP563+CR563</f>
        <v>0</v>
      </c>
      <c r="CU563" s="257" t="s">
        <v>1157</v>
      </c>
      <c r="CV563" s="156"/>
      <c r="CW563" s="155">
        <v>192</v>
      </c>
      <c r="DA563" s="152" t="str">
        <f t="shared" si="566"/>
        <v>0</v>
      </c>
      <c r="DB563" s="152" t="str">
        <f t="shared" si="567"/>
        <v>0</v>
      </c>
      <c r="DC563" s="158"/>
      <c r="DD563" s="158"/>
      <c r="DE563" s="156"/>
      <c r="DF563" s="260"/>
      <c r="DG563" s="186"/>
      <c r="DH563" s="156"/>
      <c r="DI563" s="195"/>
      <c r="DJ563" s="242"/>
      <c r="DK563" s="242"/>
      <c r="DL563" s="195"/>
      <c r="DM563" s="195"/>
      <c r="DN563" s="195"/>
      <c r="DO563" s="195"/>
      <c r="DP563" s="160"/>
      <c r="DQ563" s="152">
        <f>SUMIF($I:$I,I563,$DJ:$DJ)</f>
        <v>0</v>
      </c>
      <c r="DR563" s="152">
        <f>SUMIF($I:$I,I563,$DK:$DK)</f>
        <v>0</v>
      </c>
      <c r="EO563" s="152">
        <f>SUMIF($I:$I,I563,$EC:$EC)</f>
        <v>0</v>
      </c>
      <c r="EP563" s="151">
        <f>SUMIF($I:$I,I563,$ED:$ED)</f>
        <v>0</v>
      </c>
      <c r="EQ563" s="153"/>
      <c r="ER563" s="153"/>
      <c r="ES563" s="153"/>
      <c r="ET563" s="153"/>
      <c r="EU563" s="152">
        <f t="shared" si="568"/>
        <v>0</v>
      </c>
      <c r="EV563" s="152">
        <f t="shared" si="569"/>
        <v>0</v>
      </c>
      <c r="EW563" s="152">
        <f t="shared" si="570"/>
        <v>0</v>
      </c>
      <c r="EX563" s="152">
        <f t="shared" si="571"/>
        <v>0</v>
      </c>
      <c r="EY563" s="151" t="str">
        <f t="shared" si="572"/>
        <v>Đủ</v>
      </c>
    </row>
    <row r="564" spans="1:158" s="155" customFormat="1" ht="13.5" hidden="1" customHeight="1">
      <c r="A564" s="208" t="str">
        <f t="shared" si="573"/>
        <v>Hiện</v>
      </c>
      <c r="B564" s="154" t="str">
        <f t="shared" si="565"/>
        <v>Đủ</v>
      </c>
      <c r="C564" s="154">
        <f t="shared" si="405"/>
        <v>0</v>
      </c>
      <c r="D564" s="154"/>
      <c r="E564" s="154"/>
      <c r="F564" s="344" t="s">
        <v>1728</v>
      </c>
      <c r="G564" s="154"/>
      <c r="H564" s="154"/>
      <c r="I564" s="253" t="s">
        <v>1131</v>
      </c>
      <c r="J564" s="254" t="s">
        <v>922</v>
      </c>
      <c r="K564" s="253" t="s">
        <v>1132</v>
      </c>
      <c r="L564" s="261"/>
      <c r="M564" s="256" t="s">
        <v>1074</v>
      </c>
      <c r="N564" s="259"/>
      <c r="O564" s="191">
        <v>576</v>
      </c>
      <c r="P564" s="190"/>
      <c r="AO564" s="234">
        <v>576</v>
      </c>
      <c r="AP564" s="193">
        <v>0</v>
      </c>
      <c r="AQ564" s="193">
        <v>0</v>
      </c>
      <c r="AR564" s="193">
        <v>0</v>
      </c>
      <c r="AS564" s="193">
        <v>0</v>
      </c>
      <c r="AT564" s="193">
        <v>0</v>
      </c>
      <c r="AU564" s="162">
        <v>0</v>
      </c>
      <c r="AV564" s="162">
        <v>0</v>
      </c>
      <c r="AW564" s="162">
        <v>0</v>
      </c>
      <c r="AX564" s="162">
        <v>0</v>
      </c>
      <c r="AY564" s="162">
        <v>0</v>
      </c>
      <c r="AZ564" s="162">
        <v>0</v>
      </c>
      <c r="BA564" s="162"/>
      <c r="BB564" s="162"/>
      <c r="BC564" s="162">
        <v>0</v>
      </c>
      <c r="BD564" s="162">
        <v>0</v>
      </c>
      <c r="BE564" s="162">
        <v>0</v>
      </c>
      <c r="BF564" s="162">
        <v>0</v>
      </c>
      <c r="BG564" s="162">
        <v>0</v>
      </c>
      <c r="BH564" s="162">
        <v>0</v>
      </c>
      <c r="BI564" s="162">
        <v>0</v>
      </c>
      <c r="BJ564" s="162">
        <v>0</v>
      </c>
      <c r="BK564" s="162">
        <v>0</v>
      </c>
      <c r="BL564" s="162">
        <v>0</v>
      </c>
      <c r="BM564" s="162">
        <v>0</v>
      </c>
      <c r="BN564" s="162">
        <v>0</v>
      </c>
      <c r="BO564" s="162"/>
      <c r="BP564" s="162"/>
      <c r="BQ564" s="162">
        <v>128</v>
      </c>
      <c r="BR564" s="162">
        <v>0</v>
      </c>
      <c r="BS564" s="162">
        <v>0</v>
      </c>
      <c r="BT564" s="162">
        <v>0</v>
      </c>
      <c r="BU564" s="162">
        <v>0</v>
      </c>
      <c r="BV564" s="162">
        <v>0</v>
      </c>
      <c r="BW564" s="162"/>
      <c r="BX564" s="162"/>
      <c r="BY564" s="162">
        <v>0</v>
      </c>
      <c r="BZ564" s="162">
        <v>0</v>
      </c>
      <c r="CA564" s="162">
        <v>0</v>
      </c>
      <c r="CB564" s="162">
        <v>0</v>
      </c>
      <c r="CC564" s="162">
        <v>0</v>
      </c>
      <c r="CD564" s="162">
        <v>0</v>
      </c>
      <c r="CE564" s="162">
        <f>VLOOKUP(I564,[120]REV33!$A:$O,11,0)</f>
        <v>0</v>
      </c>
      <c r="CF564" s="162">
        <f>VLOOKUP(I564,[120]REV33!$A:$O,12,0)</f>
        <v>0</v>
      </c>
      <c r="CG564" s="162"/>
      <c r="CH564" s="162"/>
      <c r="CI564" s="162"/>
      <c r="CJ564" s="162"/>
      <c r="CK564" s="162"/>
      <c r="CL564" s="162"/>
      <c r="CM564" s="162"/>
      <c r="CN564" s="162"/>
      <c r="CO564" s="162">
        <v>0</v>
      </c>
      <c r="CP564" s="162">
        <v>0</v>
      </c>
      <c r="CQ564" s="162">
        <v>0</v>
      </c>
      <c r="CR564" s="162">
        <v>0</v>
      </c>
      <c r="CS564" s="209">
        <f>Q564+S564+U564+W564+Y564+AA564+AC564+AE564+AG564+AI564+AK564+AM564+AO564+AQ564+AS564+AU564+AW564+AY564+BA564+BC564+BE564+BG564+BI564+BK564+BM564+BO564+BQ564+BS564+BU564+BW564+BY564+CA564+CC564+CE564+CG564+CI564+CK564+CM564+CO564+CQ564</f>
        <v>704</v>
      </c>
      <c r="CT564" s="209">
        <f>R564+T564+V564+X564+Z564+AB564+AD564+AF564+AH564+AJ564+AL564+AN564+AP564+AR564+AT564+AV564+AX564+AZ564+BB564+BD564+BF564+BH564+BJ564+BL564+BN564+BP564+BR564+BT564+BV564+BX564+BZ564+CB564+CD564+CF564+CH564+CJ564+CL564+CN564+CP564+CR564</f>
        <v>0</v>
      </c>
      <c r="CU564" s="257" t="s">
        <v>1894</v>
      </c>
      <c r="CV564" s="156"/>
      <c r="CW564" s="155">
        <v>576</v>
      </c>
      <c r="DA564" s="152">
        <f t="shared" si="566"/>
        <v>128</v>
      </c>
      <c r="DB564" s="152" t="str">
        <f t="shared" si="567"/>
        <v>0</v>
      </c>
      <c r="DC564" s="158"/>
      <c r="DD564" s="158" t="s">
        <v>2243</v>
      </c>
      <c r="DE564" s="156" t="s">
        <v>2042</v>
      </c>
      <c r="DF564" s="253" t="s">
        <v>2371</v>
      </c>
      <c r="DG564" s="186" t="s">
        <v>2372</v>
      </c>
      <c r="DH564" s="156" t="s">
        <v>477</v>
      </c>
      <c r="DI564" s="187">
        <v>45982</v>
      </c>
      <c r="DJ564" s="717">
        <v>128</v>
      </c>
      <c r="DK564" s="240" t="s">
        <v>477</v>
      </c>
      <c r="DL564" s="189">
        <v>710</v>
      </c>
      <c r="DM564" s="181">
        <f>DL564*DJ564*(1+DN564)</f>
        <v>98150.400000000009</v>
      </c>
      <c r="DN564" s="446">
        <v>0.08</v>
      </c>
      <c r="DO564" s="160">
        <f>DL564*DJ564</f>
        <v>90880</v>
      </c>
      <c r="DP564" s="159">
        <v>45982</v>
      </c>
      <c r="DQ564" s="152">
        <f>SUMIF($I:$I,I564,$DJ:$DJ)</f>
        <v>128</v>
      </c>
      <c r="DR564" s="152">
        <f>SUMIF($I:$I,I564,$DK:$DK)</f>
        <v>0</v>
      </c>
      <c r="EO564" s="152">
        <f>SUMIF($I:$I,I564,$EC:$EC)</f>
        <v>0</v>
      </c>
      <c r="EP564" s="151">
        <f>SUMIF($I:$I,I564,$ED:$ED)</f>
        <v>0</v>
      </c>
      <c r="EQ564" s="153"/>
      <c r="ER564" s="153"/>
      <c r="ES564" s="153"/>
      <c r="ET564" s="153"/>
      <c r="EU564" s="152">
        <f t="shared" si="568"/>
        <v>128</v>
      </c>
      <c r="EV564" s="152">
        <f t="shared" si="569"/>
        <v>0</v>
      </c>
      <c r="EW564" s="152">
        <f t="shared" si="570"/>
        <v>0</v>
      </c>
      <c r="EX564" s="152">
        <f t="shared" si="571"/>
        <v>0</v>
      </c>
      <c r="EY564" s="151" t="str">
        <f t="shared" si="572"/>
        <v>Đủ</v>
      </c>
    </row>
    <row r="565" spans="1:158" s="155" customFormat="1" ht="14" hidden="1" customHeight="1">
      <c r="A565" s="208" t="str">
        <f t="shared" si="573"/>
        <v>Hiện</v>
      </c>
      <c r="B565" s="154" t="str">
        <f t="shared" si="565"/>
        <v>Đủ</v>
      </c>
      <c r="C565" s="154">
        <f t="shared" si="405"/>
        <v>0</v>
      </c>
      <c r="D565" s="154"/>
      <c r="E565" s="154"/>
      <c r="F565" s="344" t="s">
        <v>1728</v>
      </c>
      <c r="G565" s="154"/>
      <c r="H565" s="154"/>
      <c r="I565" s="253" t="s">
        <v>1133</v>
      </c>
      <c r="J565" s="254" t="s">
        <v>922</v>
      </c>
      <c r="K565" s="253" t="s">
        <v>1134</v>
      </c>
      <c r="L565" s="261"/>
      <c r="M565" s="256" t="s">
        <v>1074</v>
      </c>
      <c r="N565" s="259"/>
      <c r="O565" s="191">
        <v>1128</v>
      </c>
      <c r="P565" s="190"/>
      <c r="AO565" s="234">
        <v>1128</v>
      </c>
      <c r="AP565" s="193">
        <v>0</v>
      </c>
      <c r="AQ565" s="193">
        <v>0</v>
      </c>
      <c r="AR565" s="193">
        <v>0</v>
      </c>
      <c r="AS565" s="193">
        <v>0</v>
      </c>
      <c r="AT565" s="193">
        <v>0</v>
      </c>
      <c r="AU565" s="162">
        <v>0</v>
      </c>
      <c r="AV565" s="162">
        <v>0</v>
      </c>
      <c r="AW565" s="162">
        <v>0</v>
      </c>
      <c r="AX565" s="162">
        <v>0</v>
      </c>
      <c r="AY565" s="162">
        <v>0</v>
      </c>
      <c r="AZ565" s="162">
        <v>0</v>
      </c>
      <c r="BA565" s="162"/>
      <c r="BB565" s="162"/>
      <c r="BC565" s="162">
        <v>0</v>
      </c>
      <c r="BD565" s="162">
        <v>0</v>
      </c>
      <c r="BE565" s="162">
        <v>0</v>
      </c>
      <c r="BF565" s="162">
        <v>0</v>
      </c>
      <c r="BG565" s="162">
        <v>0</v>
      </c>
      <c r="BH565" s="162">
        <v>0</v>
      </c>
      <c r="BI565" s="162">
        <v>0</v>
      </c>
      <c r="BJ565" s="162">
        <v>0</v>
      </c>
      <c r="BK565" s="162">
        <v>0</v>
      </c>
      <c r="BL565" s="162">
        <v>0</v>
      </c>
      <c r="BM565" s="162">
        <v>0</v>
      </c>
      <c r="BN565" s="162">
        <v>0</v>
      </c>
      <c r="BO565" s="162"/>
      <c r="BP565" s="162"/>
      <c r="BQ565" s="162">
        <v>0</v>
      </c>
      <c r="BR565" s="162">
        <v>0</v>
      </c>
      <c r="BS565" s="162">
        <v>0</v>
      </c>
      <c r="BT565" s="162">
        <v>0</v>
      </c>
      <c r="BU565" s="162">
        <v>0</v>
      </c>
      <c r="BV565" s="162">
        <v>0</v>
      </c>
      <c r="BW565" s="162"/>
      <c r="BX565" s="162"/>
      <c r="BY565" s="162">
        <v>0</v>
      </c>
      <c r="BZ565" s="162">
        <v>0</v>
      </c>
      <c r="CA565" s="162">
        <v>0</v>
      </c>
      <c r="CB565" s="162">
        <v>0</v>
      </c>
      <c r="CC565" s="162">
        <v>0</v>
      </c>
      <c r="CD565" s="162">
        <v>0</v>
      </c>
      <c r="CE565" s="162">
        <f>VLOOKUP(I565,[120]REV33!$A:$O,11,0)</f>
        <v>0</v>
      </c>
      <c r="CF565" s="162">
        <f>VLOOKUP(I565,[120]REV33!$A:$O,12,0)</f>
        <v>0</v>
      </c>
      <c r="CG565" s="162"/>
      <c r="CH565" s="162"/>
      <c r="CI565" s="162"/>
      <c r="CJ565" s="162"/>
      <c r="CK565" s="162"/>
      <c r="CL565" s="162"/>
      <c r="CM565" s="162"/>
      <c r="CN565" s="162"/>
      <c r="CO565" s="162">
        <v>0</v>
      </c>
      <c r="CP565" s="162">
        <v>0</v>
      </c>
      <c r="CQ565" s="162">
        <v>0</v>
      </c>
      <c r="CR565" s="162">
        <v>0</v>
      </c>
      <c r="CS565" s="209">
        <f>Q565+S565+U565+W565+Y565+AA565+AC565+AE565+AG565+AI565+AK565+AM565+AO565+AQ565+AS565+AU565+AW565+AY565+BA565+BC565+BE565+BG565+BI565+BK565+BM565+BO565+BQ565+BS565+BU565+BW565+BY565+CA565+CC565+CE565+CG565+CI565+CK565+CM565+CO565+CQ565</f>
        <v>1128</v>
      </c>
      <c r="CT565" s="209">
        <f>R565+T565+V565+X565+Z565+AB565+AD565+AF565+AH565+AJ565+AL565+AN565+AP565+AR565+AT565+AV565+AX565+AZ565+BB565+BD565+BF565+BH565+BJ565+BL565+BN565+BP565+BR565+BT565+BV565+BX565+BZ565+CB565+CD565+CF565+CH565+CJ565+CL565+CN565+CP565+CR565</f>
        <v>0</v>
      </c>
      <c r="CU565" s="257" t="s">
        <v>1157</v>
      </c>
      <c r="CV565" s="156"/>
      <c r="CW565" s="155">
        <v>1128</v>
      </c>
      <c r="DA565" s="152" t="str">
        <f t="shared" si="566"/>
        <v>0</v>
      </c>
      <c r="DB565" s="152" t="str">
        <f t="shared" si="567"/>
        <v>0</v>
      </c>
      <c r="DC565" s="158"/>
      <c r="DD565" s="158"/>
      <c r="DE565" s="156"/>
      <c r="DF565" s="260"/>
      <c r="DG565" s="186"/>
      <c r="DH565" s="156"/>
      <c r="DI565" s="195"/>
      <c r="DJ565" s="242"/>
      <c r="DK565" s="242"/>
      <c r="DL565" s="195"/>
      <c r="DM565" s="195"/>
      <c r="DN565" s="195"/>
      <c r="DO565" s="195"/>
      <c r="DP565" s="160"/>
      <c r="DQ565" s="152">
        <f>SUMIF($I:$I,I565,$DJ:$DJ)</f>
        <v>0</v>
      </c>
      <c r="DR565" s="152">
        <f>SUMIF($I:$I,I565,$DK:$DK)</f>
        <v>0</v>
      </c>
      <c r="EO565" s="152">
        <f>SUMIF($I:$I,I565,$EC:$EC)</f>
        <v>0</v>
      </c>
      <c r="EP565" s="151">
        <f>SUMIF($I:$I,I565,$ED:$ED)</f>
        <v>0</v>
      </c>
      <c r="EQ565" s="153"/>
      <c r="ER565" s="153"/>
      <c r="ES565" s="153"/>
      <c r="ET565" s="153"/>
      <c r="EU565" s="152">
        <f t="shared" si="568"/>
        <v>0</v>
      </c>
      <c r="EV565" s="152">
        <f t="shared" si="569"/>
        <v>0</v>
      </c>
      <c r="EW565" s="152">
        <f t="shared" si="570"/>
        <v>0</v>
      </c>
      <c r="EX565" s="152">
        <f t="shared" si="571"/>
        <v>0</v>
      </c>
      <c r="EY565" s="151" t="str">
        <f t="shared" si="572"/>
        <v>Đủ</v>
      </c>
    </row>
    <row r="566" spans="1:158" s="155" customFormat="1" ht="14" hidden="1" customHeight="1">
      <c r="A566" s="208" t="str">
        <f t="shared" si="573"/>
        <v>Hiện</v>
      </c>
      <c r="B566" s="154" t="str">
        <f t="shared" ref="B566:B577" si="574">EY566</f>
        <v>Đủ</v>
      </c>
      <c r="C566" s="154">
        <f t="shared" ref="C566:C577" si="575">EW566</f>
        <v>0</v>
      </c>
      <c r="D566" s="154"/>
      <c r="E566" s="154"/>
      <c r="F566" s="344" t="s">
        <v>1728</v>
      </c>
      <c r="G566" s="154"/>
      <c r="H566" s="154"/>
      <c r="I566" s="253" t="s">
        <v>1135</v>
      </c>
      <c r="J566" s="254" t="s">
        <v>922</v>
      </c>
      <c r="K566" s="253" t="s">
        <v>1136</v>
      </c>
      <c r="L566" s="261"/>
      <c r="M566" s="256" t="s">
        <v>1074</v>
      </c>
      <c r="N566" s="259"/>
      <c r="O566" s="191">
        <v>32</v>
      </c>
      <c r="P566" s="190"/>
      <c r="AO566" s="234">
        <v>32</v>
      </c>
      <c r="AP566" s="193">
        <v>0</v>
      </c>
      <c r="AQ566" s="193">
        <v>0</v>
      </c>
      <c r="AR566" s="193">
        <v>0</v>
      </c>
      <c r="AS566" s="193">
        <v>0</v>
      </c>
      <c r="AT566" s="193">
        <v>0</v>
      </c>
      <c r="AU566" s="162">
        <v>0</v>
      </c>
      <c r="AV566" s="162">
        <v>0</v>
      </c>
      <c r="AW566" s="162">
        <v>64</v>
      </c>
      <c r="AX566" s="162">
        <v>0</v>
      </c>
      <c r="AY566" s="162">
        <v>0</v>
      </c>
      <c r="AZ566" s="162">
        <v>0</v>
      </c>
      <c r="BA566" s="162"/>
      <c r="BB566" s="162"/>
      <c r="BC566" s="162">
        <v>0</v>
      </c>
      <c r="BD566" s="162">
        <v>0</v>
      </c>
      <c r="BE566" s="162">
        <v>0</v>
      </c>
      <c r="BF566" s="162">
        <v>0</v>
      </c>
      <c r="BG566" s="162">
        <v>0</v>
      </c>
      <c r="BH566" s="162">
        <v>0</v>
      </c>
      <c r="BI566" s="162">
        <v>0</v>
      </c>
      <c r="BJ566" s="162">
        <v>0</v>
      </c>
      <c r="BK566" s="162">
        <v>0</v>
      </c>
      <c r="BL566" s="162">
        <v>0</v>
      </c>
      <c r="BM566" s="162">
        <v>0</v>
      </c>
      <c r="BN566" s="162">
        <v>0</v>
      </c>
      <c r="BO566" s="162"/>
      <c r="BP566" s="162"/>
      <c r="BQ566" s="162">
        <v>0</v>
      </c>
      <c r="BR566" s="162">
        <v>0</v>
      </c>
      <c r="BS566" s="162">
        <v>0</v>
      </c>
      <c r="BT566" s="162">
        <v>0</v>
      </c>
      <c r="BU566" s="162">
        <v>0</v>
      </c>
      <c r="BV566" s="162">
        <v>0</v>
      </c>
      <c r="BW566" s="162"/>
      <c r="BX566" s="162"/>
      <c r="BY566" s="162">
        <v>0</v>
      </c>
      <c r="BZ566" s="162">
        <v>0</v>
      </c>
      <c r="CA566" s="162">
        <v>0</v>
      </c>
      <c r="CB566" s="162">
        <v>0</v>
      </c>
      <c r="CC566" s="162">
        <v>0</v>
      </c>
      <c r="CD566" s="162">
        <v>0</v>
      </c>
      <c r="CE566" s="162">
        <f>VLOOKUP(I566,[120]REV33!$A:$O,11,0)</f>
        <v>0</v>
      </c>
      <c r="CF566" s="162">
        <f>VLOOKUP(I566,[120]REV33!$A:$O,12,0)</f>
        <v>0</v>
      </c>
      <c r="CG566" s="162"/>
      <c r="CH566" s="162"/>
      <c r="CI566" s="162"/>
      <c r="CJ566" s="162"/>
      <c r="CK566" s="162"/>
      <c r="CL566" s="162"/>
      <c r="CM566" s="162"/>
      <c r="CN566" s="162"/>
      <c r="CO566" s="162">
        <v>0</v>
      </c>
      <c r="CP566" s="162">
        <v>0</v>
      </c>
      <c r="CQ566" s="162">
        <v>0</v>
      </c>
      <c r="CR566" s="162">
        <v>0</v>
      </c>
      <c r="CS566" s="209">
        <f>Q566+S566+U566+W566+Y566+AA566+AC566+AE566+AG566+AI566+AK566+AM566+AO566+AQ566+AS566+AU566+AW566+AY566+BA566+BC566+BE566+BG566+BI566+BK566+BM566+BO566+BQ566+BS566+BU566+BW566+BY566+CA566+CC566+CE566+CG566+CI566+CK566+CM566+CO566+CQ566</f>
        <v>96</v>
      </c>
      <c r="CT566" s="209">
        <f>R566+T566+V566+X566+Z566+AB566+AD566+AF566+AH566+AJ566+AL566+AN566+AP566+AR566+AT566+AV566+AX566+AZ566+BB566+BD566+BF566+BH566+BJ566+BL566+BN566+BP566+BR566+BT566+BV566+BX566+BZ566+CB566+CD566+CF566+CH566+CJ566+CL566+CN566+CP566+CR566</f>
        <v>0</v>
      </c>
      <c r="CU566" s="257" t="s">
        <v>1895</v>
      </c>
      <c r="CV566" s="156"/>
      <c r="CW566" s="155">
        <v>32</v>
      </c>
      <c r="DA566" s="152">
        <f t="shared" si="566"/>
        <v>64</v>
      </c>
      <c r="DB566" s="152" t="str">
        <f t="shared" si="567"/>
        <v>0</v>
      </c>
      <c r="DC566" s="158"/>
      <c r="DD566" s="158" t="s">
        <v>1583</v>
      </c>
      <c r="DE566" s="156" t="s">
        <v>435</v>
      </c>
      <c r="DF566" s="253" t="s">
        <v>1136</v>
      </c>
      <c r="DG566" s="186"/>
      <c r="DH566" s="156" t="s">
        <v>477</v>
      </c>
      <c r="DI566" s="187">
        <v>45916</v>
      </c>
      <c r="DJ566" s="242">
        <v>64</v>
      </c>
      <c r="DK566" s="240" t="s">
        <v>477</v>
      </c>
      <c r="DL566" s="195">
        <v>10020</v>
      </c>
      <c r="DM566" s="181">
        <f t="shared" ref="DM566:DM580" si="576">DL566*DJ566*1.1</f>
        <v>705408</v>
      </c>
      <c r="DN566" s="446">
        <f t="shared" ref="DN566:DN600" si="577">(DM566-DO566)/DO566</f>
        <v>0.1</v>
      </c>
      <c r="DO566" s="160">
        <f t="shared" ref="DO566:DO592" si="578">DL566*DJ566</f>
        <v>641280</v>
      </c>
      <c r="DP566" s="159">
        <v>45922</v>
      </c>
      <c r="DQ566" s="152">
        <f>SUMIF($I:$I,I566,$DJ:$DJ)</f>
        <v>64</v>
      </c>
      <c r="DR566" s="152">
        <f>SUMIF($I:$I,I566,$DK:$DK)</f>
        <v>0</v>
      </c>
      <c r="EO566" s="152">
        <f>SUMIF($I:$I,I566,$EC:$EC)</f>
        <v>0</v>
      </c>
      <c r="EP566" s="151">
        <f>SUMIF($I:$I,I566,$ED:$ED)</f>
        <v>0</v>
      </c>
      <c r="EQ566" s="153"/>
      <c r="ER566" s="153"/>
      <c r="ES566" s="153"/>
      <c r="ET566" s="153"/>
      <c r="EU566" s="152">
        <f t="shared" si="568"/>
        <v>64</v>
      </c>
      <c r="EV566" s="152">
        <f t="shared" si="569"/>
        <v>0</v>
      </c>
      <c r="EW566" s="152">
        <f t="shared" si="570"/>
        <v>0</v>
      </c>
      <c r="EX566" s="152">
        <f t="shared" si="571"/>
        <v>0</v>
      </c>
      <c r="EY566" s="151" t="str">
        <f t="shared" si="572"/>
        <v>Đủ</v>
      </c>
    </row>
    <row r="567" spans="1:158" s="155" customFormat="1" ht="13" hidden="1" customHeight="1">
      <c r="A567" s="208" t="str">
        <f t="shared" si="573"/>
        <v>Hiện</v>
      </c>
      <c r="B567" s="154" t="str">
        <f t="shared" si="574"/>
        <v>Đủ</v>
      </c>
      <c r="C567" s="154">
        <f t="shared" si="575"/>
        <v>0</v>
      </c>
      <c r="D567" s="154"/>
      <c r="E567" s="154"/>
      <c r="F567" s="344" t="s">
        <v>1728</v>
      </c>
      <c r="G567" s="154"/>
      <c r="H567" s="154"/>
      <c r="I567" s="253" t="s">
        <v>1137</v>
      </c>
      <c r="J567" s="254" t="s">
        <v>922</v>
      </c>
      <c r="K567" s="253" t="s">
        <v>1138</v>
      </c>
      <c r="L567" s="261"/>
      <c r="M567" s="256" t="s">
        <v>1074</v>
      </c>
      <c r="N567" s="259"/>
      <c r="O567" s="191">
        <v>736</v>
      </c>
      <c r="P567" s="190"/>
      <c r="AO567" s="234">
        <v>736</v>
      </c>
      <c r="AP567" s="193">
        <v>0</v>
      </c>
      <c r="AQ567" s="193">
        <v>0</v>
      </c>
      <c r="AR567" s="193">
        <v>0</v>
      </c>
      <c r="AS567" s="193">
        <v>0</v>
      </c>
      <c r="AT567" s="193">
        <v>0</v>
      </c>
      <c r="AU567" s="162">
        <v>0</v>
      </c>
      <c r="AV567" s="162">
        <v>0</v>
      </c>
      <c r="AW567" s="162">
        <v>1024</v>
      </c>
      <c r="AX567" s="162">
        <v>0</v>
      </c>
      <c r="AY567" s="162">
        <v>0</v>
      </c>
      <c r="AZ567" s="162">
        <v>0</v>
      </c>
      <c r="BA567" s="162"/>
      <c r="BB567" s="162"/>
      <c r="BC567" s="162">
        <v>0</v>
      </c>
      <c r="BD567" s="162">
        <v>0</v>
      </c>
      <c r="BE567" s="162">
        <v>0</v>
      </c>
      <c r="BF567" s="162">
        <v>0</v>
      </c>
      <c r="BG567" s="162">
        <v>0</v>
      </c>
      <c r="BH567" s="162">
        <v>0</v>
      </c>
      <c r="BI567" s="162">
        <v>0</v>
      </c>
      <c r="BJ567" s="162">
        <v>0</v>
      </c>
      <c r="BK567" s="162">
        <v>0</v>
      </c>
      <c r="BL567" s="162">
        <v>0</v>
      </c>
      <c r="BM567" s="162">
        <v>0</v>
      </c>
      <c r="BN567" s="162">
        <v>0</v>
      </c>
      <c r="BO567" s="162"/>
      <c r="BP567" s="162"/>
      <c r="BQ567" s="162">
        <v>0</v>
      </c>
      <c r="BR567" s="162">
        <v>0</v>
      </c>
      <c r="BS567" s="162">
        <v>0</v>
      </c>
      <c r="BT567" s="162">
        <v>0</v>
      </c>
      <c r="BU567" s="162">
        <v>0</v>
      </c>
      <c r="BV567" s="162">
        <v>0</v>
      </c>
      <c r="BW567" s="162"/>
      <c r="BX567" s="162"/>
      <c r="BY567" s="162">
        <v>0</v>
      </c>
      <c r="BZ567" s="162">
        <v>0</v>
      </c>
      <c r="CA567" s="162">
        <v>0</v>
      </c>
      <c r="CB567" s="162">
        <v>0</v>
      </c>
      <c r="CC567" s="162">
        <v>0</v>
      </c>
      <c r="CD567" s="162">
        <v>0</v>
      </c>
      <c r="CE567" s="162">
        <f>VLOOKUP(I567,[120]REV33!$A:$O,11,0)</f>
        <v>0</v>
      </c>
      <c r="CF567" s="162">
        <f>VLOOKUP(I567,[120]REV33!$A:$O,12,0)</f>
        <v>0</v>
      </c>
      <c r="CG567" s="162"/>
      <c r="CH567" s="162"/>
      <c r="CI567" s="162"/>
      <c r="CJ567" s="162"/>
      <c r="CK567" s="162"/>
      <c r="CL567" s="162"/>
      <c r="CM567" s="162"/>
      <c r="CN567" s="162"/>
      <c r="CO567" s="162">
        <v>0</v>
      </c>
      <c r="CP567" s="162">
        <v>0</v>
      </c>
      <c r="CQ567" s="162">
        <v>0</v>
      </c>
      <c r="CR567" s="162">
        <v>0</v>
      </c>
      <c r="CS567" s="209">
        <f>Q567+S567+U567+W567+Y567+AA567+AC567+AE567+AG567+AI567+AK567+AM567+AO567+AQ567+AS567+AU567+AW567+AY567+BA567+BC567+BE567+BG567+BI567+BK567+BM567+BO567+BQ567+BS567+BU567+BW567+BY567+CA567+CC567+CE567+CG567+CI567+CK567+CM567+CO567+CQ567</f>
        <v>1760</v>
      </c>
      <c r="CT567" s="209">
        <f>R567+T567+V567+X567+Z567+AB567+AD567+AF567+AH567+AJ567+AL567+AN567+AP567+AR567+AT567+AV567+AX567+AZ567+BB567+BD567+BF567+BH567+BJ567+BL567+BN567+BP567+BR567+BT567+BV567+BX567+BZ567+CB567+CD567+CF567+CH567+CJ567+CL567+CN567+CP567+CR567</f>
        <v>0</v>
      </c>
      <c r="CU567" s="257" t="s">
        <v>1895</v>
      </c>
      <c r="CV567" s="156"/>
      <c r="CW567" s="155">
        <v>734</v>
      </c>
      <c r="DA567" s="152">
        <f t="shared" si="566"/>
        <v>1026</v>
      </c>
      <c r="DB567" s="152" t="str">
        <f t="shared" si="567"/>
        <v>0</v>
      </c>
      <c r="DC567" s="158"/>
      <c r="DD567" s="158" t="s">
        <v>1584</v>
      </c>
      <c r="DE567" s="156" t="s">
        <v>435</v>
      </c>
      <c r="DF567" s="260" t="s">
        <v>1345</v>
      </c>
      <c r="DG567" s="186"/>
      <c r="DH567" s="156" t="s">
        <v>477</v>
      </c>
      <c r="DI567" s="187">
        <v>45911</v>
      </c>
      <c r="DJ567" s="242">
        <v>2</v>
      </c>
      <c r="DK567" s="242" t="s">
        <v>477</v>
      </c>
      <c r="DL567" s="195">
        <v>2060</v>
      </c>
      <c r="DM567" s="181">
        <f t="shared" si="576"/>
        <v>4532</v>
      </c>
      <c r="DN567" s="446">
        <f t="shared" si="577"/>
        <v>0.1</v>
      </c>
      <c r="DO567" s="195">
        <f t="shared" si="578"/>
        <v>4120</v>
      </c>
      <c r="DP567" s="159">
        <v>45913</v>
      </c>
      <c r="DQ567" s="152">
        <f>SUMIF($I:$I,I567,$DJ:$DJ)</f>
        <v>1026</v>
      </c>
      <c r="DR567" s="152">
        <f>SUMIF($I:$I,I567,$DK:$DK)</f>
        <v>0</v>
      </c>
      <c r="EO567" s="152">
        <f>SUMIF($I:$I,I567,$EC:$EC)</f>
        <v>0</v>
      </c>
      <c r="EP567" s="151">
        <f>SUMIF($I:$I,I567,$ED:$ED)</f>
        <v>0</v>
      </c>
      <c r="EQ567" s="153"/>
      <c r="ER567" s="153"/>
      <c r="ES567" s="153"/>
      <c r="ET567" s="153"/>
      <c r="EU567" s="152">
        <f t="shared" si="568"/>
        <v>1026</v>
      </c>
      <c r="EV567" s="152">
        <f t="shared" si="569"/>
        <v>0</v>
      </c>
      <c r="EW567" s="152">
        <f t="shared" si="570"/>
        <v>0</v>
      </c>
      <c r="EX567" s="152">
        <f t="shared" si="571"/>
        <v>0</v>
      </c>
      <c r="EY567" s="151" t="str">
        <f t="shared" si="572"/>
        <v>Đủ</v>
      </c>
    </row>
    <row r="568" spans="1:158" s="263" customFormat="1" ht="14" hidden="1" customHeight="1">
      <c r="A568" s="208" t="str">
        <f t="shared" si="573"/>
        <v>ok</v>
      </c>
      <c r="B568" s="154"/>
      <c r="C568" s="154"/>
      <c r="D568" s="154"/>
      <c r="E568" s="154"/>
      <c r="F568" s="344" t="s">
        <v>1728</v>
      </c>
      <c r="G568" s="154"/>
      <c r="H568" s="154"/>
      <c r="I568" s="253" t="s">
        <v>1137</v>
      </c>
      <c r="J568" s="254" t="s">
        <v>922</v>
      </c>
      <c r="K568" s="253" t="s">
        <v>1138</v>
      </c>
      <c r="L568" s="261"/>
      <c r="M568" s="256" t="s">
        <v>1074</v>
      </c>
      <c r="N568" s="259"/>
      <c r="O568" s="191"/>
      <c r="P568" s="190"/>
      <c r="Q568" s="155"/>
      <c r="R568" s="155"/>
      <c r="S568" s="155"/>
      <c r="T568" s="155"/>
      <c r="U568" s="155"/>
      <c r="V568" s="155"/>
      <c r="W568" s="155"/>
      <c r="X568" s="155"/>
      <c r="Y568" s="155"/>
      <c r="Z568" s="155"/>
      <c r="AA568" s="155"/>
      <c r="AB568" s="155"/>
      <c r="AC568" s="155"/>
      <c r="AD568" s="155"/>
      <c r="AE568" s="155"/>
      <c r="AF568" s="155"/>
      <c r="AG568" s="155"/>
      <c r="AH568" s="155"/>
      <c r="AI568" s="155"/>
      <c r="AJ568" s="155"/>
      <c r="AK568" s="155"/>
      <c r="AL568" s="155"/>
      <c r="AM568" s="155"/>
      <c r="AN568" s="155"/>
      <c r="AO568" s="234"/>
      <c r="AP568" s="193"/>
      <c r="AQ568" s="193"/>
      <c r="AR568" s="193"/>
      <c r="AS568" s="193"/>
      <c r="AT568" s="193"/>
      <c r="AU568" s="162"/>
      <c r="AV568" s="162"/>
      <c r="AW568" s="162"/>
      <c r="AX568" s="162"/>
      <c r="AY568" s="162"/>
      <c r="AZ568" s="162"/>
      <c r="BA568" s="162"/>
      <c r="BB568" s="162"/>
      <c r="BC568" s="162"/>
      <c r="BD568" s="162"/>
      <c r="BE568" s="162"/>
      <c r="BF568" s="162"/>
      <c r="BG568" s="162"/>
      <c r="BH568" s="162"/>
      <c r="BI568" s="162"/>
      <c r="BJ568" s="162"/>
      <c r="BK568" s="162"/>
      <c r="BL568" s="162"/>
      <c r="BM568" s="162"/>
      <c r="BN568" s="162"/>
      <c r="BO568" s="162"/>
      <c r="BP568" s="162"/>
      <c r="BQ568" s="162"/>
      <c r="BR568" s="162"/>
      <c r="BS568" s="162"/>
      <c r="BT568" s="162"/>
      <c r="BU568" s="162"/>
      <c r="BV568" s="162"/>
      <c r="BW568" s="162"/>
      <c r="BX568" s="162"/>
      <c r="BY568" s="162"/>
      <c r="BZ568" s="162"/>
      <c r="CA568" s="162"/>
      <c r="CB568" s="162"/>
      <c r="CC568" s="162"/>
      <c r="CD568" s="162"/>
      <c r="CE568" s="162"/>
      <c r="CF568" s="162"/>
      <c r="CG568" s="162"/>
      <c r="CH568" s="162"/>
      <c r="CI568" s="162"/>
      <c r="CJ568" s="162"/>
      <c r="CK568" s="162"/>
      <c r="CL568" s="162"/>
      <c r="CM568" s="162"/>
      <c r="CN568" s="162"/>
      <c r="CO568" s="162"/>
      <c r="CP568" s="162"/>
      <c r="CQ568" s="162"/>
      <c r="CR568" s="162"/>
      <c r="CS568" s="209"/>
      <c r="CT568" s="209"/>
      <c r="CU568" s="257"/>
      <c r="CV568" s="156"/>
      <c r="CW568" s="155"/>
      <c r="CX568" s="155"/>
      <c r="CY568" s="155"/>
      <c r="CZ568" s="155"/>
      <c r="DA568" s="152"/>
      <c r="DB568" s="152"/>
      <c r="DC568" s="158"/>
      <c r="DD568" s="158" t="s">
        <v>1583</v>
      </c>
      <c r="DE568" s="156" t="s">
        <v>435</v>
      </c>
      <c r="DF568" s="253" t="s">
        <v>1138</v>
      </c>
      <c r="DG568" s="186"/>
      <c r="DH568" s="156" t="s">
        <v>477</v>
      </c>
      <c r="DI568" s="187">
        <v>45916</v>
      </c>
      <c r="DJ568" s="242">
        <v>1024</v>
      </c>
      <c r="DK568" s="240" t="s">
        <v>477</v>
      </c>
      <c r="DL568" s="195">
        <v>2060</v>
      </c>
      <c r="DM568" s="181">
        <f t="shared" si="576"/>
        <v>2320384</v>
      </c>
      <c r="DN568" s="446">
        <f t="shared" si="577"/>
        <v>0.1</v>
      </c>
      <c r="DO568" s="160">
        <f t="shared" si="578"/>
        <v>2109440</v>
      </c>
      <c r="DP568" s="159">
        <v>45922</v>
      </c>
      <c r="DQ568" s="152"/>
      <c r="DR568" s="152"/>
      <c r="DS568" s="155"/>
      <c r="DT568" s="155"/>
      <c r="DU568" s="155"/>
      <c r="DV568" s="155"/>
      <c r="DW568" s="155"/>
      <c r="DX568" s="155"/>
      <c r="DY568" s="155"/>
      <c r="DZ568" s="155"/>
      <c r="EA568" s="155"/>
      <c r="EB568" s="155"/>
      <c r="EC568" s="155"/>
      <c r="ED568" s="155"/>
      <c r="EE568" s="155"/>
      <c r="EF568" s="155"/>
      <c r="EG568" s="155"/>
      <c r="EH568" s="155"/>
      <c r="EI568" s="155"/>
      <c r="EJ568" s="155"/>
      <c r="EK568" s="155"/>
      <c r="EL568" s="155"/>
      <c r="EM568" s="155"/>
      <c r="EN568" s="155"/>
      <c r="EO568" s="152"/>
      <c r="EP568" s="151"/>
      <c r="EQ568" s="153"/>
      <c r="ER568" s="153"/>
      <c r="ES568" s="153"/>
      <c r="ET568" s="153"/>
      <c r="EU568" s="152"/>
      <c r="EV568" s="152"/>
      <c r="EW568" s="152"/>
      <c r="EX568" s="152"/>
      <c r="EY568" s="151"/>
      <c r="EZ568" s="155"/>
      <c r="FA568" s="155"/>
      <c r="FB568" s="155"/>
    </row>
    <row r="569" spans="1:158" s="263" customFormat="1" ht="14" hidden="1" customHeight="1">
      <c r="A569" s="208" t="str">
        <f t="shared" si="573"/>
        <v>Hiện</v>
      </c>
      <c r="B569" s="154" t="str">
        <f t="shared" si="574"/>
        <v>Đủ</v>
      </c>
      <c r="C569" s="154">
        <f t="shared" si="575"/>
        <v>0</v>
      </c>
      <c r="D569" s="154"/>
      <c r="E569" s="154"/>
      <c r="F569" s="344" t="s">
        <v>1728</v>
      </c>
      <c r="G569" s="154"/>
      <c r="H569" s="154"/>
      <c r="I569" s="253" t="s">
        <v>1139</v>
      </c>
      <c r="J569" s="254" t="s">
        <v>922</v>
      </c>
      <c r="K569" s="253" t="s">
        <v>1140</v>
      </c>
      <c r="L569" s="261"/>
      <c r="M569" s="256" t="s">
        <v>1074</v>
      </c>
      <c r="N569" s="259"/>
      <c r="O569" s="191">
        <v>1580</v>
      </c>
      <c r="P569" s="190"/>
      <c r="Q569" s="155"/>
      <c r="R569" s="155"/>
      <c r="S569" s="155"/>
      <c r="T569" s="155"/>
      <c r="U569" s="155"/>
      <c r="V569" s="155"/>
      <c r="W569" s="155"/>
      <c r="X569" s="155"/>
      <c r="Y569" s="155"/>
      <c r="Z569" s="155"/>
      <c r="AA569" s="155"/>
      <c r="AB569" s="155"/>
      <c r="AC569" s="155"/>
      <c r="AD569" s="155"/>
      <c r="AE569" s="155"/>
      <c r="AF569" s="155"/>
      <c r="AG569" s="155"/>
      <c r="AH569" s="155"/>
      <c r="AI569" s="155"/>
      <c r="AJ569" s="155"/>
      <c r="AK569" s="155"/>
      <c r="AL569" s="155"/>
      <c r="AM569" s="155"/>
      <c r="AN569" s="155"/>
      <c r="AO569" s="234">
        <v>1580</v>
      </c>
      <c r="AP569" s="193">
        <v>0</v>
      </c>
      <c r="AQ569" s="193">
        <v>0</v>
      </c>
      <c r="AR569" s="193">
        <v>0</v>
      </c>
      <c r="AS569" s="193">
        <v>0</v>
      </c>
      <c r="AT569" s="193">
        <v>0</v>
      </c>
      <c r="AU569" s="162">
        <v>0</v>
      </c>
      <c r="AV569" s="162">
        <v>0</v>
      </c>
      <c r="AW569" s="162">
        <v>0</v>
      </c>
      <c r="AX569" s="162">
        <v>0</v>
      </c>
      <c r="AY569" s="162">
        <v>0</v>
      </c>
      <c r="AZ569" s="162">
        <v>0</v>
      </c>
      <c r="BA569" s="162"/>
      <c r="BB569" s="162"/>
      <c r="BC569" s="162">
        <v>0</v>
      </c>
      <c r="BD569" s="162">
        <v>0</v>
      </c>
      <c r="BE569" s="162">
        <v>0</v>
      </c>
      <c r="BF569" s="162">
        <v>0</v>
      </c>
      <c r="BG569" s="162">
        <v>0</v>
      </c>
      <c r="BH569" s="162">
        <v>0</v>
      </c>
      <c r="BI569" s="162">
        <v>0</v>
      </c>
      <c r="BJ569" s="162">
        <v>0</v>
      </c>
      <c r="BK569" s="162">
        <v>0</v>
      </c>
      <c r="BL569" s="162">
        <v>0</v>
      </c>
      <c r="BM569" s="162">
        <v>0</v>
      </c>
      <c r="BN569" s="162">
        <v>0</v>
      </c>
      <c r="BO569" s="162"/>
      <c r="BP569" s="162"/>
      <c r="BQ569" s="162">
        <v>0</v>
      </c>
      <c r="BR569" s="162">
        <v>0</v>
      </c>
      <c r="BS569" s="162">
        <v>0</v>
      </c>
      <c r="BT569" s="162">
        <v>0</v>
      </c>
      <c r="BU569" s="162">
        <v>0</v>
      </c>
      <c r="BV569" s="162">
        <v>0</v>
      </c>
      <c r="BW569" s="162"/>
      <c r="BX569" s="162"/>
      <c r="BY569" s="162">
        <v>0</v>
      </c>
      <c r="BZ569" s="162">
        <v>0</v>
      </c>
      <c r="CA569" s="162">
        <v>0</v>
      </c>
      <c r="CB569" s="162">
        <v>0</v>
      </c>
      <c r="CC569" s="162">
        <v>0</v>
      </c>
      <c r="CD569" s="162">
        <v>0</v>
      </c>
      <c r="CE569" s="162">
        <f>VLOOKUP(I569,[120]REV33!$A:$O,11,0)</f>
        <v>0</v>
      </c>
      <c r="CF569" s="162">
        <f>VLOOKUP(I569,[120]REV33!$A:$O,12,0)</f>
        <v>0</v>
      </c>
      <c r="CG569" s="162"/>
      <c r="CH569" s="162"/>
      <c r="CI569" s="162"/>
      <c r="CJ569" s="162"/>
      <c r="CK569" s="162"/>
      <c r="CL569" s="162"/>
      <c r="CM569" s="162"/>
      <c r="CN569" s="162"/>
      <c r="CO569" s="162">
        <v>0</v>
      </c>
      <c r="CP569" s="162">
        <v>0</v>
      </c>
      <c r="CQ569" s="162">
        <v>0</v>
      </c>
      <c r="CR569" s="162">
        <v>0</v>
      </c>
      <c r="CS569" s="209">
        <f>Q569+S569+U569+W569+Y569+AA569+AC569+AE569+AG569+AI569+AK569+AM569+AO569+AQ569+AS569+AU569+AW569+AY569+BA569+BC569+BE569+BG569+BI569+BK569+BM569+BO569+BQ569+BS569+BU569+BW569+BY569+CA569+CC569+CE569+CG569+CI569+CK569+CM569+CO569+CQ569</f>
        <v>1580</v>
      </c>
      <c r="CT569" s="209">
        <f>R569+T569+V569+X569+Z569+AB569+AD569+AF569+AH569+AJ569+AL569+AN569+AP569+AR569+AT569+AV569+AX569+AZ569+BB569+BD569+BF569+BH569+BJ569+BL569+BN569+BP569+BR569+BT569+BV569+BX569+BZ569+CB569+CD569+CF569+CH569+CJ569+CL569+CN569+CP569+CR569</f>
        <v>0</v>
      </c>
      <c r="CU569" s="257" t="s">
        <v>1157</v>
      </c>
      <c r="CV569" s="156"/>
      <c r="CW569" s="155"/>
      <c r="CX569" s="155"/>
      <c r="CY569" s="155"/>
      <c r="CZ569" s="155"/>
      <c r="DA569" s="152">
        <f t="shared" ref="DA569:DA572" si="579">IF(CS569&gt;CW569,CS569-CW569,"0")</f>
        <v>1580</v>
      </c>
      <c r="DB569" s="152" t="str">
        <f t="shared" ref="DB569:DB572" si="580">IF(CT569&gt;CX569,CT569-CX569,"0")</f>
        <v>0</v>
      </c>
      <c r="DC569" s="158"/>
      <c r="DD569" s="158" t="s">
        <v>1584</v>
      </c>
      <c r="DE569" s="156" t="s">
        <v>435</v>
      </c>
      <c r="DF569" s="260" t="s">
        <v>1346</v>
      </c>
      <c r="DG569" s="186"/>
      <c r="DH569" s="156" t="s">
        <v>477</v>
      </c>
      <c r="DI569" s="187">
        <v>45911</v>
      </c>
      <c r="DJ569" s="242">
        <v>1580</v>
      </c>
      <c r="DK569" s="242" t="s">
        <v>477</v>
      </c>
      <c r="DL569" s="195">
        <v>2060</v>
      </c>
      <c r="DM569" s="181">
        <f t="shared" si="576"/>
        <v>3580280.0000000005</v>
      </c>
      <c r="DN569" s="446">
        <f t="shared" si="577"/>
        <v>0.10000000000000014</v>
      </c>
      <c r="DO569" s="195">
        <f t="shared" si="578"/>
        <v>3254800</v>
      </c>
      <c r="DP569" s="159">
        <v>45913</v>
      </c>
      <c r="DQ569" s="152">
        <f>SUMIF($I:$I,I569,$DJ:$DJ)</f>
        <v>1580</v>
      </c>
      <c r="DR569" s="152">
        <f>SUMIF($I:$I,I569,$DK:$DK)</f>
        <v>0</v>
      </c>
      <c r="DS569" s="155"/>
      <c r="DT569" s="155"/>
      <c r="DU569" s="155"/>
      <c r="DV569" s="155"/>
      <c r="DW569" s="155"/>
      <c r="DX569" s="155"/>
      <c r="DY569" s="155"/>
      <c r="DZ569" s="155"/>
      <c r="EA569" s="155"/>
      <c r="EB569" s="155"/>
      <c r="EC569" s="155"/>
      <c r="ED569" s="155"/>
      <c r="EE569" s="155"/>
      <c r="EF569" s="155"/>
      <c r="EG569" s="155"/>
      <c r="EH569" s="155"/>
      <c r="EI569" s="155"/>
      <c r="EJ569" s="155"/>
      <c r="EK569" s="155"/>
      <c r="EL569" s="155"/>
      <c r="EM569" s="155"/>
      <c r="EN569" s="155"/>
      <c r="EO569" s="152">
        <f>SUMIF($I:$I,I569,$EC:$EC)</f>
        <v>0</v>
      </c>
      <c r="EP569" s="151">
        <f>SUMIF($I:$I,I569,$ED:$ED)</f>
        <v>0</v>
      </c>
      <c r="EQ569" s="153"/>
      <c r="ER569" s="153"/>
      <c r="ES569" s="153"/>
      <c r="ET569" s="153"/>
      <c r="EU569" s="152">
        <f t="shared" ref="EU569:EU572" si="581">DQ569+EO569</f>
        <v>1580</v>
      </c>
      <c r="EV569" s="152">
        <f t="shared" ref="EV569:EV572" si="582">DR569+EP569</f>
        <v>0</v>
      </c>
      <c r="EW569" s="152">
        <f t="shared" ref="EW569:EW572" si="583">DA569-EU569</f>
        <v>0</v>
      </c>
      <c r="EX569" s="152">
        <f t="shared" ref="EX569:EX572" si="584">DB569-EV569</f>
        <v>0</v>
      </c>
      <c r="EY569" s="151" t="str">
        <f t="shared" ref="EY569:EY572" si="585">IF(EW569&lt;0,"Thừa",IF(EW569=0,"Đủ","Thiếu"))</f>
        <v>Đủ</v>
      </c>
      <c r="EZ569" s="155"/>
      <c r="FA569" s="155"/>
      <c r="FB569" s="155"/>
    </row>
    <row r="570" spans="1:158" s="155" customFormat="1" ht="14" hidden="1" customHeight="1">
      <c r="A570" s="208" t="str">
        <f t="shared" si="573"/>
        <v>Hiện</v>
      </c>
      <c r="B570" s="154" t="str">
        <f t="shared" si="574"/>
        <v>Đủ</v>
      </c>
      <c r="C570" s="154">
        <f t="shared" si="575"/>
        <v>0</v>
      </c>
      <c r="D570" s="154"/>
      <c r="E570" s="154"/>
      <c r="F570" s="344" t="s">
        <v>1728</v>
      </c>
      <c r="G570" s="154"/>
      <c r="H570" s="154"/>
      <c r="I570" s="253" t="s">
        <v>1141</v>
      </c>
      <c r="J570" s="254" t="s">
        <v>922</v>
      </c>
      <c r="K570" s="253" t="s">
        <v>964</v>
      </c>
      <c r="L570" s="261"/>
      <c r="M570" s="256" t="s">
        <v>1074</v>
      </c>
      <c r="N570" s="259"/>
      <c r="O570" s="191">
        <v>32</v>
      </c>
      <c r="P570" s="190"/>
      <c r="AO570" s="234">
        <v>32</v>
      </c>
      <c r="AP570" s="193">
        <v>0</v>
      </c>
      <c r="AQ570" s="193">
        <v>0</v>
      </c>
      <c r="AR570" s="193">
        <v>0</v>
      </c>
      <c r="AS570" s="193">
        <v>0</v>
      </c>
      <c r="AT570" s="193">
        <v>0</v>
      </c>
      <c r="AU570" s="162">
        <v>0</v>
      </c>
      <c r="AV570" s="162">
        <v>0</v>
      </c>
      <c r="AW570" s="162">
        <v>0</v>
      </c>
      <c r="AX570" s="162">
        <v>0</v>
      </c>
      <c r="AY570" s="162">
        <v>0</v>
      </c>
      <c r="AZ570" s="162">
        <v>0</v>
      </c>
      <c r="BA570" s="162"/>
      <c r="BB570" s="162"/>
      <c r="BC570" s="162">
        <v>0</v>
      </c>
      <c r="BD570" s="162">
        <v>0</v>
      </c>
      <c r="BE570" s="162">
        <v>0</v>
      </c>
      <c r="BF570" s="162">
        <v>0</v>
      </c>
      <c r="BG570" s="162">
        <v>0</v>
      </c>
      <c r="BH570" s="162">
        <v>0</v>
      </c>
      <c r="BI570" s="162">
        <v>0</v>
      </c>
      <c r="BJ570" s="162">
        <v>0</v>
      </c>
      <c r="BK570" s="162">
        <v>0</v>
      </c>
      <c r="BL570" s="162">
        <v>0</v>
      </c>
      <c r="BM570" s="162">
        <v>0</v>
      </c>
      <c r="BN570" s="162">
        <v>0</v>
      </c>
      <c r="BO570" s="162"/>
      <c r="BP570" s="162"/>
      <c r="BQ570" s="162">
        <v>0</v>
      </c>
      <c r="BR570" s="162">
        <v>0</v>
      </c>
      <c r="BS570" s="162">
        <v>0</v>
      </c>
      <c r="BT570" s="162">
        <v>0</v>
      </c>
      <c r="BU570" s="162">
        <v>0</v>
      </c>
      <c r="BV570" s="162">
        <v>0</v>
      </c>
      <c r="BW570" s="162"/>
      <c r="BX570" s="162"/>
      <c r="BY570" s="162">
        <v>0</v>
      </c>
      <c r="BZ570" s="162">
        <v>0</v>
      </c>
      <c r="CA570" s="162">
        <v>0</v>
      </c>
      <c r="CB570" s="162">
        <v>0</v>
      </c>
      <c r="CC570" s="162">
        <v>0</v>
      </c>
      <c r="CD570" s="162">
        <v>0</v>
      </c>
      <c r="CE570" s="162">
        <f>VLOOKUP(I570,[120]REV33!$A:$O,11,0)</f>
        <v>0</v>
      </c>
      <c r="CF570" s="162">
        <f>VLOOKUP(I570,[120]REV33!$A:$O,12,0)</f>
        <v>0</v>
      </c>
      <c r="CG570" s="162"/>
      <c r="CH570" s="162"/>
      <c r="CI570" s="162"/>
      <c r="CJ570" s="162"/>
      <c r="CK570" s="162"/>
      <c r="CL570" s="162"/>
      <c r="CM570" s="162"/>
      <c r="CN570" s="162"/>
      <c r="CO570" s="162">
        <v>0</v>
      </c>
      <c r="CP570" s="162">
        <v>0</v>
      </c>
      <c r="CQ570" s="162">
        <v>0</v>
      </c>
      <c r="CR570" s="162">
        <v>0</v>
      </c>
      <c r="CS570" s="209">
        <f>Q570+S570+U570+W570+Y570+AA570+AC570+AE570+AG570+AI570+AK570+AM570+AO570+AQ570+AS570+AU570+AW570+AY570+BA570+BC570+BE570+BG570+BI570+BK570+BM570+BO570+BQ570+BS570+BU570+BW570+BY570+CA570+CC570+CE570+CG570+CI570+CK570+CM570+CO570+CQ570</f>
        <v>32</v>
      </c>
      <c r="CT570" s="209">
        <f>R570+T570+V570+X570+Z570+AB570+AD570+AF570+AH570+AJ570+AL570+AN570+AP570+AR570+AT570+AV570+AX570+AZ570+BB570+BD570+BF570+BH570+BJ570+BL570+BN570+BP570+BR570+BT570+BV570+BX570+BZ570+CB570+CD570+CF570+CH570+CJ570+CL570+CN570+CP570+CR570</f>
        <v>0</v>
      </c>
      <c r="CU570" s="257" t="s">
        <v>1157</v>
      </c>
      <c r="CV570" s="156"/>
      <c r="DA570" s="152">
        <f t="shared" si="579"/>
        <v>32</v>
      </c>
      <c r="DB570" s="152" t="str">
        <f t="shared" si="580"/>
        <v>0</v>
      </c>
      <c r="DC570" s="158"/>
      <c r="DD570" s="158" t="s">
        <v>1584</v>
      </c>
      <c r="DE570" s="156" t="s">
        <v>435</v>
      </c>
      <c r="DF570" s="260" t="s">
        <v>1347</v>
      </c>
      <c r="DG570" s="186"/>
      <c r="DH570" s="156" t="s">
        <v>477</v>
      </c>
      <c r="DI570" s="187">
        <v>45911</v>
      </c>
      <c r="DJ570" s="242">
        <v>32</v>
      </c>
      <c r="DK570" s="242" t="s">
        <v>477</v>
      </c>
      <c r="DL570" s="195">
        <v>2060</v>
      </c>
      <c r="DM570" s="181">
        <f t="shared" si="576"/>
        <v>72512</v>
      </c>
      <c r="DN570" s="446">
        <f t="shared" si="577"/>
        <v>0.1</v>
      </c>
      <c r="DO570" s="195">
        <f t="shared" si="578"/>
        <v>65920</v>
      </c>
      <c r="DP570" s="159">
        <v>45913</v>
      </c>
      <c r="DQ570" s="152">
        <f>SUMIF($I:$I,I570,$DJ:$DJ)</f>
        <v>32</v>
      </c>
      <c r="DR570" s="152">
        <f>SUMIF($I:$I,I570,$DK:$DK)</f>
        <v>0</v>
      </c>
      <c r="EO570" s="152">
        <f>SUMIF($I:$I,I570,$EC:$EC)</f>
        <v>0</v>
      </c>
      <c r="EP570" s="151">
        <f>SUMIF($I:$I,I570,$ED:$ED)</f>
        <v>0</v>
      </c>
      <c r="EQ570" s="153"/>
      <c r="ER570" s="153"/>
      <c r="ES570" s="153"/>
      <c r="ET570" s="153"/>
      <c r="EU570" s="152">
        <f t="shared" si="581"/>
        <v>32</v>
      </c>
      <c r="EV570" s="152">
        <f t="shared" si="582"/>
        <v>0</v>
      </c>
      <c r="EW570" s="152">
        <f t="shared" si="583"/>
        <v>0</v>
      </c>
      <c r="EX570" s="152">
        <f t="shared" si="584"/>
        <v>0</v>
      </c>
      <c r="EY570" s="151" t="str">
        <f t="shared" si="585"/>
        <v>Đủ</v>
      </c>
    </row>
    <row r="571" spans="1:158" s="155" customFormat="1" ht="14" hidden="1" customHeight="1">
      <c r="A571" s="208" t="str">
        <f t="shared" si="573"/>
        <v>Hiện</v>
      </c>
      <c r="B571" s="154" t="str">
        <f t="shared" si="574"/>
        <v>Đủ</v>
      </c>
      <c r="C571" s="154">
        <f t="shared" si="575"/>
        <v>0</v>
      </c>
      <c r="D571" s="154"/>
      <c r="E571" s="154"/>
      <c r="F571" s="344" t="s">
        <v>1728</v>
      </c>
      <c r="G571" s="154"/>
      <c r="H571" s="154"/>
      <c r="I571" s="253" t="s">
        <v>1142</v>
      </c>
      <c r="J571" s="254" t="s">
        <v>922</v>
      </c>
      <c r="K571" s="253" t="s">
        <v>1143</v>
      </c>
      <c r="L571" s="261"/>
      <c r="M571" s="256" t="s">
        <v>1074</v>
      </c>
      <c r="N571" s="259"/>
      <c r="O571" s="191">
        <v>4</v>
      </c>
      <c r="P571" s="190"/>
      <c r="AO571" s="234">
        <v>4</v>
      </c>
      <c r="AP571" s="193">
        <v>0</v>
      </c>
      <c r="AQ571" s="193">
        <v>0</v>
      </c>
      <c r="AR571" s="193">
        <v>0</v>
      </c>
      <c r="AS571" s="193">
        <v>0</v>
      </c>
      <c r="AT571" s="193">
        <v>0</v>
      </c>
      <c r="AU571" s="162">
        <v>0</v>
      </c>
      <c r="AV571" s="162">
        <v>0</v>
      </c>
      <c r="AW571" s="162">
        <v>0</v>
      </c>
      <c r="AX571" s="162">
        <v>0</v>
      </c>
      <c r="AY571" s="162">
        <v>0</v>
      </c>
      <c r="AZ571" s="162">
        <v>0</v>
      </c>
      <c r="BA571" s="162"/>
      <c r="BB571" s="162"/>
      <c r="BC571" s="162">
        <v>0</v>
      </c>
      <c r="BD571" s="162">
        <v>0</v>
      </c>
      <c r="BE571" s="162">
        <v>0</v>
      </c>
      <c r="BF571" s="162">
        <v>0</v>
      </c>
      <c r="BG571" s="162">
        <v>0</v>
      </c>
      <c r="BH571" s="162">
        <v>0</v>
      </c>
      <c r="BI571" s="162">
        <v>0</v>
      </c>
      <c r="BJ571" s="162">
        <v>0</v>
      </c>
      <c r="BK571" s="162">
        <v>0</v>
      </c>
      <c r="BL571" s="162">
        <v>0</v>
      </c>
      <c r="BM571" s="162">
        <v>0</v>
      </c>
      <c r="BN571" s="162">
        <v>0</v>
      </c>
      <c r="BO571" s="162"/>
      <c r="BP571" s="162"/>
      <c r="BQ571" s="162">
        <v>0</v>
      </c>
      <c r="BR571" s="162">
        <v>0</v>
      </c>
      <c r="BS571" s="162">
        <v>0</v>
      </c>
      <c r="BT571" s="162">
        <v>0</v>
      </c>
      <c r="BU571" s="162">
        <v>0</v>
      </c>
      <c r="BV571" s="162">
        <v>0</v>
      </c>
      <c r="BW571" s="162"/>
      <c r="BX571" s="162"/>
      <c r="BY571" s="162">
        <v>0</v>
      </c>
      <c r="BZ571" s="162">
        <v>0</v>
      </c>
      <c r="CA571" s="162">
        <v>0</v>
      </c>
      <c r="CB571" s="162">
        <v>0</v>
      </c>
      <c r="CC571" s="162">
        <v>0</v>
      </c>
      <c r="CD571" s="162">
        <v>0</v>
      </c>
      <c r="CE571" s="162">
        <f>VLOOKUP(I571,[120]REV33!$A:$O,11,0)</f>
        <v>0</v>
      </c>
      <c r="CF571" s="162">
        <f>VLOOKUP(I571,[120]REV33!$A:$O,12,0)</f>
        <v>0</v>
      </c>
      <c r="CG571" s="162"/>
      <c r="CH571" s="162"/>
      <c r="CI571" s="162"/>
      <c r="CJ571" s="162"/>
      <c r="CK571" s="162"/>
      <c r="CL571" s="162"/>
      <c r="CM571" s="162"/>
      <c r="CN571" s="162"/>
      <c r="CO571" s="162">
        <v>0</v>
      </c>
      <c r="CP571" s="162">
        <v>0</v>
      </c>
      <c r="CQ571" s="162">
        <v>0</v>
      </c>
      <c r="CR571" s="162">
        <v>0</v>
      </c>
      <c r="CS571" s="209">
        <f>Q571+S571+U571+W571+Y571+AA571+AC571+AE571+AG571+AI571+AK571+AM571+AO571+AQ571+AS571+AU571+AW571+AY571+BA571+BC571+BE571+BG571+BI571+BK571+BM571+BO571+BQ571+BS571+BU571+BW571+BY571+CA571+CC571+CE571+CG571+CI571+CK571+CM571+CO571+CQ571</f>
        <v>4</v>
      </c>
      <c r="CT571" s="209">
        <f>R571+T571+V571+X571+Z571+AB571+AD571+AF571+AH571+AJ571+AL571+AN571+AP571+AR571+AT571+AV571+AX571+AZ571+BB571+BD571+BF571+BH571+BJ571+BL571+BN571+BP571+BR571+BT571+BV571+BX571+BZ571+CB571+CD571+CF571+CH571+CJ571+CL571+CN571+CP571+CR571</f>
        <v>0</v>
      </c>
      <c r="CU571" s="257" t="s">
        <v>1157</v>
      </c>
      <c r="CV571" s="156"/>
      <c r="DA571" s="152">
        <f t="shared" si="579"/>
        <v>4</v>
      </c>
      <c r="DB571" s="152" t="str">
        <f t="shared" si="580"/>
        <v>0</v>
      </c>
      <c r="DC571" s="158"/>
      <c r="DD571" s="158" t="s">
        <v>1584</v>
      </c>
      <c r="DE571" s="156" t="s">
        <v>435</v>
      </c>
      <c r="DF571" s="260" t="s">
        <v>1348</v>
      </c>
      <c r="DG571" s="186"/>
      <c r="DH571" s="156" t="s">
        <v>477</v>
      </c>
      <c r="DI571" s="187">
        <v>45911</v>
      </c>
      <c r="DJ571" s="242">
        <v>4</v>
      </c>
      <c r="DK571" s="242" t="s">
        <v>477</v>
      </c>
      <c r="DL571" s="195">
        <v>15360</v>
      </c>
      <c r="DM571" s="181">
        <f t="shared" si="576"/>
        <v>67584</v>
      </c>
      <c r="DN571" s="446">
        <f t="shared" si="577"/>
        <v>0.1</v>
      </c>
      <c r="DO571" s="195">
        <f t="shared" si="578"/>
        <v>61440</v>
      </c>
      <c r="DP571" s="159">
        <v>45913</v>
      </c>
      <c r="DQ571" s="152">
        <f>SUMIF($I:$I,I571,$DJ:$DJ)</f>
        <v>4</v>
      </c>
      <c r="DR571" s="152">
        <f>SUMIF($I:$I,I571,$DK:$DK)</f>
        <v>0</v>
      </c>
      <c r="EO571" s="152">
        <f>SUMIF($I:$I,I571,$EC:$EC)</f>
        <v>0</v>
      </c>
      <c r="EP571" s="151">
        <f>SUMIF($I:$I,I571,$ED:$ED)</f>
        <v>0</v>
      </c>
      <c r="EQ571" s="153"/>
      <c r="ER571" s="153"/>
      <c r="ES571" s="153"/>
      <c r="ET571" s="153"/>
      <c r="EU571" s="152">
        <f t="shared" si="581"/>
        <v>4</v>
      </c>
      <c r="EV571" s="152">
        <f t="shared" si="582"/>
        <v>0</v>
      </c>
      <c r="EW571" s="152">
        <f t="shared" si="583"/>
        <v>0</v>
      </c>
      <c r="EX571" s="152">
        <f t="shared" si="584"/>
        <v>0</v>
      </c>
      <c r="EY571" s="151" t="str">
        <f t="shared" si="585"/>
        <v>Đủ</v>
      </c>
    </row>
    <row r="572" spans="1:158" s="155" customFormat="1" ht="14" hidden="1" customHeight="1">
      <c r="A572" s="208" t="str">
        <f t="shared" si="573"/>
        <v>Hiện</v>
      </c>
      <c r="B572" s="154" t="str">
        <f t="shared" si="574"/>
        <v>Đủ</v>
      </c>
      <c r="C572" s="154">
        <f t="shared" si="575"/>
        <v>0</v>
      </c>
      <c r="D572" s="154"/>
      <c r="E572" s="154"/>
      <c r="F572" s="344"/>
      <c r="G572" s="154" t="s">
        <v>2561</v>
      </c>
      <c r="H572" s="154"/>
      <c r="I572" s="253" t="s">
        <v>1144</v>
      </c>
      <c r="J572" s="254" t="s">
        <v>922</v>
      </c>
      <c r="K572" s="253" t="s">
        <v>1145</v>
      </c>
      <c r="L572" s="261"/>
      <c r="M572" s="256" t="s">
        <v>1074</v>
      </c>
      <c r="N572" s="259"/>
      <c r="O572" s="191">
        <v>576</v>
      </c>
      <c r="P572" s="190"/>
      <c r="AO572" s="234">
        <v>576</v>
      </c>
      <c r="AP572" s="193">
        <v>0</v>
      </c>
      <c r="AQ572" s="193">
        <v>0</v>
      </c>
      <c r="AR572" s="193">
        <v>0</v>
      </c>
      <c r="AS572" s="193">
        <v>0</v>
      </c>
      <c r="AT572" s="193">
        <v>0</v>
      </c>
      <c r="AU572" s="162">
        <v>0</v>
      </c>
      <c r="AV572" s="162">
        <v>0</v>
      </c>
      <c r="AW572" s="162">
        <v>0</v>
      </c>
      <c r="AX572" s="162">
        <v>0</v>
      </c>
      <c r="AY572" s="162">
        <v>0</v>
      </c>
      <c r="AZ572" s="162">
        <v>0</v>
      </c>
      <c r="BA572" s="162"/>
      <c r="BB572" s="162"/>
      <c r="BC572" s="162">
        <v>0</v>
      </c>
      <c r="BD572" s="162">
        <v>0</v>
      </c>
      <c r="BE572" s="162">
        <v>0</v>
      </c>
      <c r="BF572" s="162">
        <v>0</v>
      </c>
      <c r="BG572" s="162">
        <v>0</v>
      </c>
      <c r="BH572" s="162">
        <v>0</v>
      </c>
      <c r="BI572" s="162">
        <v>0</v>
      </c>
      <c r="BJ572" s="162">
        <v>0</v>
      </c>
      <c r="BK572" s="162">
        <v>0</v>
      </c>
      <c r="BL572" s="162">
        <v>0</v>
      </c>
      <c r="BM572" s="162">
        <v>0</v>
      </c>
      <c r="BN572" s="162">
        <v>0</v>
      </c>
      <c r="BO572" s="162"/>
      <c r="BP572" s="162"/>
      <c r="BQ572" s="162">
        <v>0</v>
      </c>
      <c r="BR572" s="162">
        <v>0</v>
      </c>
      <c r="BS572" s="162">
        <v>0</v>
      </c>
      <c r="BT572" s="162">
        <v>0</v>
      </c>
      <c r="BU572" s="162">
        <v>0</v>
      </c>
      <c r="BV572" s="162">
        <v>0</v>
      </c>
      <c r="BW572" s="162"/>
      <c r="BX572" s="162"/>
      <c r="BY572" s="162">
        <v>0</v>
      </c>
      <c r="BZ572" s="162">
        <v>0</v>
      </c>
      <c r="CA572" s="162">
        <v>48</v>
      </c>
      <c r="CB572" s="162">
        <v>0</v>
      </c>
      <c r="CC572" s="162">
        <v>0</v>
      </c>
      <c r="CD572" s="162">
        <v>0</v>
      </c>
      <c r="CE572" s="162">
        <f>VLOOKUP(I572,[120]REV33!$A:$O,11,0)</f>
        <v>0</v>
      </c>
      <c r="CF572" s="162">
        <f>VLOOKUP(I572,[120]REV33!$A:$O,12,0)</f>
        <v>0</v>
      </c>
      <c r="CG572" s="162"/>
      <c r="CH572" s="162"/>
      <c r="CI572" s="162"/>
      <c r="CJ572" s="162"/>
      <c r="CK572" s="162"/>
      <c r="CL572" s="162"/>
      <c r="CM572" s="162"/>
      <c r="CN572" s="162"/>
      <c r="CO572" s="162">
        <v>0</v>
      </c>
      <c r="CP572" s="162">
        <v>0</v>
      </c>
      <c r="CQ572" s="162">
        <v>0</v>
      </c>
      <c r="CR572" s="162">
        <v>0</v>
      </c>
      <c r="CS572" s="209">
        <f>Q572+S572+U572+W572+Y572+AA572+AC572+AE572+AG572+AI572+AK572+AM572+AO572+AQ572+AS572+AU572+AW572+AY572+BA572+BC572+BE572+BG572+BI572+BK572+BM572+BO572+BQ572+BS572+BU572+BW572+BY572+CA572+CC572+CE572+CG572+CI572+CK572+CM572+CO572+CQ572</f>
        <v>624</v>
      </c>
      <c r="CT572" s="209">
        <f>R572+T572+V572+X572+Z572+AB572+AD572+AF572+AH572+AJ572+AL572+AN572+AP572+AR572+AT572+AV572+AX572+AZ572+BB572+BD572+BF572+BH572+BJ572+BL572+BN572+BP572+BR572+BT572+BV572+BX572+BZ572+CB572+CD572+CF572+CH572+CJ572+CL572+CN572+CP572+CR572</f>
        <v>0</v>
      </c>
      <c r="CU572" s="763" t="s">
        <v>2326</v>
      </c>
      <c r="CV572" s="156"/>
      <c r="CW572" s="155">
        <v>115</v>
      </c>
      <c r="DA572" s="152">
        <f t="shared" si="579"/>
        <v>509</v>
      </c>
      <c r="DB572" s="152" t="str">
        <f t="shared" si="580"/>
        <v>0</v>
      </c>
      <c r="DC572" s="158"/>
      <c r="DD572" s="158" t="s">
        <v>1584</v>
      </c>
      <c r="DE572" s="156" t="s">
        <v>435</v>
      </c>
      <c r="DF572" s="260" t="s">
        <v>1349</v>
      </c>
      <c r="DG572" s="186"/>
      <c r="DH572" s="156" t="s">
        <v>477</v>
      </c>
      <c r="DI572" s="187">
        <v>45911</v>
      </c>
      <c r="DJ572" s="242">
        <v>461</v>
      </c>
      <c r="DK572" s="242" t="s">
        <v>477</v>
      </c>
      <c r="DL572" s="987">
        <v>3880</v>
      </c>
      <c r="DM572" s="181">
        <f t="shared" si="576"/>
        <v>1967548.0000000002</v>
      </c>
      <c r="DN572" s="446">
        <f t="shared" si="577"/>
        <v>0.10000000000000013</v>
      </c>
      <c r="DO572" s="195">
        <f t="shared" si="578"/>
        <v>1788680</v>
      </c>
      <c r="DP572" s="988">
        <v>45913</v>
      </c>
      <c r="DQ572" s="152">
        <f>SUMIF($I:$I,I572,$DJ:$DJ)</f>
        <v>509</v>
      </c>
      <c r="DR572" s="152">
        <f>SUMIF($I:$I,I572,$DK:$DK)</f>
        <v>0</v>
      </c>
      <c r="EO572" s="152">
        <f>SUMIF($I:$I,I572,$EC:$EC)</f>
        <v>0</v>
      </c>
      <c r="EP572" s="151">
        <f>SUMIF($I:$I,I572,$ED:$ED)</f>
        <v>0</v>
      </c>
      <c r="EQ572" s="153"/>
      <c r="ER572" s="153"/>
      <c r="ES572" s="153"/>
      <c r="ET572" s="153"/>
      <c r="EU572" s="152">
        <f t="shared" si="581"/>
        <v>509</v>
      </c>
      <c r="EV572" s="152">
        <f t="shared" si="582"/>
        <v>0</v>
      </c>
      <c r="EW572" s="152">
        <f t="shared" si="583"/>
        <v>0</v>
      </c>
      <c r="EX572" s="152">
        <f t="shared" si="584"/>
        <v>0</v>
      </c>
      <c r="EY572" s="151" t="str">
        <f t="shared" si="585"/>
        <v>Đủ</v>
      </c>
    </row>
    <row r="573" spans="1:158" s="155" customFormat="1" ht="14" hidden="1" customHeight="1">
      <c r="A573" s="208" t="str">
        <f t="shared" si="573"/>
        <v>ok</v>
      </c>
      <c r="B573" s="154"/>
      <c r="C573" s="154"/>
      <c r="D573" s="154"/>
      <c r="E573" s="154"/>
      <c r="F573" s="344"/>
      <c r="G573" s="154"/>
      <c r="H573" s="154"/>
      <c r="I573" s="253" t="s">
        <v>1144</v>
      </c>
      <c r="J573" s="254" t="s">
        <v>922</v>
      </c>
      <c r="K573" s="253" t="s">
        <v>1145</v>
      </c>
      <c r="L573" s="261"/>
      <c r="M573" s="256" t="s">
        <v>1074</v>
      </c>
      <c r="N573" s="259"/>
      <c r="O573" s="191"/>
      <c r="P573" s="190"/>
      <c r="AO573" s="234"/>
      <c r="AP573" s="193"/>
      <c r="AQ573" s="193"/>
      <c r="AR573" s="193"/>
      <c r="AS573" s="193"/>
      <c r="AT573" s="193"/>
      <c r="AU573" s="162"/>
      <c r="AV573" s="162"/>
      <c r="AW573" s="162"/>
      <c r="AX573" s="162"/>
      <c r="AY573" s="162"/>
      <c r="AZ573" s="162"/>
      <c r="BA573" s="162"/>
      <c r="BB573" s="162"/>
      <c r="BC573" s="162"/>
      <c r="BD573" s="162"/>
      <c r="BE573" s="162"/>
      <c r="BF573" s="162"/>
      <c r="BG573" s="162"/>
      <c r="BH573" s="162"/>
      <c r="BI573" s="162"/>
      <c r="BJ573" s="162"/>
      <c r="BK573" s="162"/>
      <c r="BL573" s="162"/>
      <c r="BM573" s="162"/>
      <c r="BN573" s="162"/>
      <c r="BO573" s="162"/>
      <c r="BP573" s="162"/>
      <c r="BQ573" s="162"/>
      <c r="BR573" s="162"/>
      <c r="BS573" s="162"/>
      <c r="BT573" s="162"/>
      <c r="BU573" s="162"/>
      <c r="BV573" s="162"/>
      <c r="BW573" s="162"/>
      <c r="BX573" s="162"/>
      <c r="BY573" s="162"/>
      <c r="BZ573" s="162"/>
      <c r="CA573" s="162"/>
      <c r="CB573" s="162"/>
      <c r="CC573" s="162"/>
      <c r="CD573" s="162"/>
      <c r="CE573" s="162"/>
      <c r="CF573" s="162"/>
      <c r="CG573" s="162"/>
      <c r="CH573" s="162"/>
      <c r="CI573" s="162"/>
      <c r="CJ573" s="162"/>
      <c r="CK573" s="162"/>
      <c r="CL573" s="162"/>
      <c r="CM573" s="162"/>
      <c r="CN573" s="162"/>
      <c r="CO573" s="162"/>
      <c r="CP573" s="162"/>
      <c r="CQ573" s="162"/>
      <c r="CR573" s="162"/>
      <c r="CS573" s="209"/>
      <c r="CT573" s="209"/>
      <c r="CU573" s="763"/>
      <c r="CV573" s="156"/>
      <c r="DA573" s="152"/>
      <c r="DB573" s="152"/>
      <c r="DC573" s="158"/>
      <c r="DD573" s="158" t="s">
        <v>2579</v>
      </c>
      <c r="DE573" s="156" t="s">
        <v>2042</v>
      </c>
      <c r="DF573" s="983" t="s">
        <v>2006</v>
      </c>
      <c r="DG573" s="186"/>
      <c r="DH573" s="156" t="s">
        <v>477</v>
      </c>
      <c r="DI573" s="187" t="s">
        <v>374</v>
      </c>
      <c r="DJ573" s="242">
        <v>48</v>
      </c>
      <c r="DK573" s="242" t="s">
        <v>477</v>
      </c>
      <c r="DL573" s="987">
        <v>1150</v>
      </c>
      <c r="DM573" s="181">
        <f t="shared" si="576"/>
        <v>60720.000000000007</v>
      </c>
      <c r="DN573" s="446">
        <v>0.08</v>
      </c>
      <c r="DO573" s="195">
        <f t="shared" si="578"/>
        <v>55200</v>
      </c>
      <c r="DP573" s="988">
        <v>46006</v>
      </c>
      <c r="DQ573" s="152"/>
      <c r="DR573" s="152"/>
      <c r="EO573" s="152"/>
      <c r="EP573" s="151"/>
      <c r="EQ573" s="153"/>
      <c r="ER573" s="153"/>
      <c r="ES573" s="153"/>
      <c r="ET573" s="153"/>
      <c r="EU573" s="152"/>
      <c r="EV573" s="152"/>
      <c r="EW573" s="152"/>
      <c r="EX573" s="152"/>
      <c r="EY573" s="151"/>
    </row>
    <row r="574" spans="1:158" s="155" customFormat="1" ht="14" hidden="1" customHeight="1">
      <c r="A574" s="208" t="str">
        <f t="shared" si="573"/>
        <v>Hiện</v>
      </c>
      <c r="B574" s="154" t="str">
        <f t="shared" si="574"/>
        <v>Đủ</v>
      </c>
      <c r="C574" s="154">
        <f t="shared" si="575"/>
        <v>0</v>
      </c>
      <c r="D574" s="154"/>
      <c r="E574" s="154"/>
      <c r="F574" s="344" t="s">
        <v>1728</v>
      </c>
      <c r="G574" s="154"/>
      <c r="H574" s="154"/>
      <c r="I574" s="253" t="s">
        <v>1146</v>
      </c>
      <c r="J574" s="254" t="s">
        <v>922</v>
      </c>
      <c r="K574" s="253" t="s">
        <v>1147</v>
      </c>
      <c r="L574" s="261"/>
      <c r="M574" s="256" t="s">
        <v>1074</v>
      </c>
      <c r="N574" s="259"/>
      <c r="O574" s="191">
        <v>1328</v>
      </c>
      <c r="P574" s="190"/>
      <c r="AO574" s="234">
        <v>1328</v>
      </c>
      <c r="AP574" s="193">
        <v>0</v>
      </c>
      <c r="AQ574" s="193">
        <v>0</v>
      </c>
      <c r="AR574" s="193">
        <v>0</v>
      </c>
      <c r="AS574" s="193">
        <v>0</v>
      </c>
      <c r="AT574" s="193">
        <v>0</v>
      </c>
      <c r="AU574" s="162">
        <v>0</v>
      </c>
      <c r="AV574" s="162">
        <v>0</v>
      </c>
      <c r="AW574" s="162">
        <v>0</v>
      </c>
      <c r="AX574" s="162">
        <v>0</v>
      </c>
      <c r="AY574" s="162">
        <v>0</v>
      </c>
      <c r="AZ574" s="162">
        <v>0</v>
      </c>
      <c r="BA574" s="162"/>
      <c r="BB574" s="162"/>
      <c r="BC574" s="162">
        <v>0</v>
      </c>
      <c r="BD574" s="162">
        <v>0</v>
      </c>
      <c r="BE574" s="162">
        <v>0</v>
      </c>
      <c r="BF574" s="162">
        <v>0</v>
      </c>
      <c r="BG574" s="162">
        <v>0</v>
      </c>
      <c r="BH574" s="162">
        <v>0</v>
      </c>
      <c r="BI574" s="162">
        <v>0</v>
      </c>
      <c r="BJ574" s="162">
        <v>0</v>
      </c>
      <c r="BK574" s="162">
        <v>0</v>
      </c>
      <c r="BL574" s="162">
        <v>0</v>
      </c>
      <c r="BM574" s="162">
        <v>0</v>
      </c>
      <c r="BN574" s="162">
        <v>0</v>
      </c>
      <c r="BO574" s="162"/>
      <c r="BP574" s="162"/>
      <c r="BQ574" s="162">
        <v>0</v>
      </c>
      <c r="BR574" s="162">
        <v>0</v>
      </c>
      <c r="BS574" s="162">
        <v>0</v>
      </c>
      <c r="BT574" s="162">
        <v>0</v>
      </c>
      <c r="BU574" s="162">
        <v>0</v>
      </c>
      <c r="BV574" s="162">
        <v>0</v>
      </c>
      <c r="BW574" s="162"/>
      <c r="BX574" s="162"/>
      <c r="BY574" s="162">
        <v>0</v>
      </c>
      <c r="BZ574" s="162">
        <v>0</v>
      </c>
      <c r="CA574" s="162">
        <v>0</v>
      </c>
      <c r="CB574" s="162">
        <v>0</v>
      </c>
      <c r="CC574" s="162">
        <v>0</v>
      </c>
      <c r="CD574" s="162">
        <v>0</v>
      </c>
      <c r="CE574" s="162">
        <f>VLOOKUP(I574,[120]REV33!$A:$O,11,0)</f>
        <v>0</v>
      </c>
      <c r="CF574" s="162">
        <f>VLOOKUP(I574,[120]REV33!$A:$O,12,0)</f>
        <v>0</v>
      </c>
      <c r="CG574" s="162"/>
      <c r="CH574" s="162"/>
      <c r="CI574" s="162"/>
      <c r="CJ574" s="162"/>
      <c r="CK574" s="162"/>
      <c r="CL574" s="162"/>
      <c r="CM574" s="162"/>
      <c r="CN574" s="162"/>
      <c r="CO574" s="162">
        <v>0</v>
      </c>
      <c r="CP574" s="162">
        <v>0</v>
      </c>
      <c r="CQ574" s="162">
        <v>0</v>
      </c>
      <c r="CR574" s="162">
        <v>0</v>
      </c>
      <c r="CS574" s="209">
        <f>Q574+S574+U574+W574+Y574+AA574+AC574+AE574+AG574+AI574+AK574+AM574+AO574+AQ574+AS574+AU574+AW574+AY574+BA574+BC574+BE574+BG574+BI574+BK574+BM574+BO574+BQ574+BS574+BU574+BW574+BY574+CA574+CC574+CE574+CG574+CI574+CK574+CM574+CO574+CQ574</f>
        <v>1328</v>
      </c>
      <c r="CT574" s="209">
        <f>R574+T574+V574+X574+Z574+AB574+AD574+AF574+AH574+AJ574+AL574+AN574+AP574+AR574+AT574+AV574+AX574+AZ574+BB574+BD574+BF574+BH574+BJ574+BL574+BN574+BP574+BR574+BT574+BV574+BX574+BZ574+CB574+CD574+CF574+CH574+CJ574+CL574+CN574+CP574+CR574</f>
        <v>0</v>
      </c>
      <c r="CU574" s="257" t="s">
        <v>1157</v>
      </c>
      <c r="CV574" s="156"/>
      <c r="CW574" s="155">
        <v>900</v>
      </c>
      <c r="DA574" s="152">
        <f t="shared" ref="DA574:DA578" si="586">IF(CS574&gt;CW574,CS574-CW574,"0")</f>
        <v>428</v>
      </c>
      <c r="DB574" s="152" t="str">
        <f t="shared" ref="DB574:DB578" si="587">IF(CT574&gt;CX574,CT574-CX574,"0")</f>
        <v>0</v>
      </c>
      <c r="DC574" s="158"/>
      <c r="DD574" s="158" t="s">
        <v>1584</v>
      </c>
      <c r="DE574" s="156" t="s">
        <v>435</v>
      </c>
      <c r="DF574" s="260" t="s">
        <v>1350</v>
      </c>
      <c r="DG574" s="186"/>
      <c r="DH574" s="156" t="s">
        <v>477</v>
      </c>
      <c r="DI574" s="187">
        <v>45911</v>
      </c>
      <c r="DJ574" s="242">
        <v>428</v>
      </c>
      <c r="DK574" s="242" t="s">
        <v>477</v>
      </c>
      <c r="DL574" s="195">
        <v>3880</v>
      </c>
      <c r="DM574" s="181">
        <f t="shared" si="576"/>
        <v>1826704.0000000002</v>
      </c>
      <c r="DN574" s="446">
        <f t="shared" si="577"/>
        <v>0.10000000000000014</v>
      </c>
      <c r="DO574" s="195">
        <f t="shared" si="578"/>
        <v>1660640</v>
      </c>
      <c r="DP574" s="159">
        <v>45913</v>
      </c>
      <c r="DQ574" s="152">
        <f>SUMIF($I:$I,I574,$DJ:$DJ)</f>
        <v>428</v>
      </c>
      <c r="DR574" s="152">
        <f>SUMIF($I:$I,I574,$DK:$DK)</f>
        <v>0</v>
      </c>
      <c r="EO574" s="152">
        <f>SUMIF($I:$I,I574,$EC:$EC)</f>
        <v>0</v>
      </c>
      <c r="EP574" s="151">
        <f>SUMIF($I:$I,I574,$ED:$ED)</f>
        <v>0</v>
      </c>
      <c r="EQ574" s="153"/>
      <c r="ER574" s="153"/>
      <c r="ES574" s="153"/>
      <c r="ET574" s="153"/>
      <c r="EU574" s="152">
        <f t="shared" ref="EU574:EU578" si="588">DQ574+EO574</f>
        <v>428</v>
      </c>
      <c r="EV574" s="152">
        <f t="shared" ref="EV574:EV578" si="589">DR574+EP574</f>
        <v>0</v>
      </c>
      <c r="EW574" s="152">
        <f t="shared" ref="EW574:EW578" si="590">DA574-EU574</f>
        <v>0</v>
      </c>
      <c r="EX574" s="152">
        <f t="shared" ref="EX574:EX578" si="591">DB574-EV574</f>
        <v>0</v>
      </c>
      <c r="EY574" s="151" t="str">
        <f t="shared" ref="EY574:EY578" si="592">IF(EW574&lt;0,"Thừa",IF(EW574=0,"Đủ","Thiếu"))</f>
        <v>Đủ</v>
      </c>
    </row>
    <row r="575" spans="1:158" s="155" customFormat="1" ht="14" hidden="1" customHeight="1">
      <c r="A575" s="208" t="str">
        <f t="shared" si="573"/>
        <v>Hiện</v>
      </c>
      <c r="B575" s="154" t="str">
        <f t="shared" si="574"/>
        <v>Đủ</v>
      </c>
      <c r="C575" s="154">
        <f t="shared" si="575"/>
        <v>0</v>
      </c>
      <c r="D575" s="154"/>
      <c r="E575" s="154"/>
      <c r="F575" s="344" t="s">
        <v>1728</v>
      </c>
      <c r="G575" s="154"/>
      <c r="H575" s="154"/>
      <c r="I575" s="253" t="s">
        <v>1148</v>
      </c>
      <c r="J575" s="254" t="s">
        <v>922</v>
      </c>
      <c r="K575" s="253" t="s">
        <v>1149</v>
      </c>
      <c r="L575" s="261"/>
      <c r="M575" s="256" t="s">
        <v>1074</v>
      </c>
      <c r="N575" s="259"/>
      <c r="O575" s="191">
        <v>704</v>
      </c>
      <c r="P575" s="190"/>
      <c r="AO575" s="234">
        <v>704</v>
      </c>
      <c r="AP575" s="193">
        <v>0</v>
      </c>
      <c r="AQ575" s="193">
        <v>0</v>
      </c>
      <c r="AR575" s="193">
        <v>0</v>
      </c>
      <c r="AS575" s="193">
        <v>0</v>
      </c>
      <c r="AT575" s="193">
        <v>0</v>
      </c>
      <c r="AU575" s="162">
        <v>0</v>
      </c>
      <c r="AV575" s="162">
        <v>0</v>
      </c>
      <c r="AW575" s="162">
        <v>0</v>
      </c>
      <c r="AX575" s="162">
        <v>0</v>
      </c>
      <c r="AY575" s="162">
        <v>0</v>
      </c>
      <c r="AZ575" s="162">
        <v>0</v>
      </c>
      <c r="BA575" s="162"/>
      <c r="BB575" s="162"/>
      <c r="BC575" s="162">
        <v>0</v>
      </c>
      <c r="BD575" s="162">
        <v>0</v>
      </c>
      <c r="BE575" s="162">
        <v>0</v>
      </c>
      <c r="BF575" s="162">
        <v>0</v>
      </c>
      <c r="BG575" s="162">
        <v>0</v>
      </c>
      <c r="BH575" s="162">
        <v>0</v>
      </c>
      <c r="BI575" s="162">
        <v>0</v>
      </c>
      <c r="BJ575" s="162">
        <v>0</v>
      </c>
      <c r="BK575" s="162">
        <v>0</v>
      </c>
      <c r="BL575" s="162">
        <v>0</v>
      </c>
      <c r="BM575" s="162">
        <v>0</v>
      </c>
      <c r="BN575" s="162">
        <v>0</v>
      </c>
      <c r="BO575" s="162"/>
      <c r="BP575" s="162"/>
      <c r="BQ575" s="162">
        <v>0</v>
      </c>
      <c r="BR575" s="162">
        <v>0</v>
      </c>
      <c r="BS575" s="162">
        <v>0</v>
      </c>
      <c r="BT575" s="162">
        <v>0</v>
      </c>
      <c r="BU575" s="162">
        <v>0</v>
      </c>
      <c r="BV575" s="162">
        <v>0</v>
      </c>
      <c r="BW575" s="162"/>
      <c r="BX575" s="162"/>
      <c r="BY575" s="162">
        <v>0</v>
      </c>
      <c r="BZ575" s="162">
        <v>0</v>
      </c>
      <c r="CA575" s="162">
        <v>0</v>
      </c>
      <c r="CB575" s="162">
        <v>0</v>
      </c>
      <c r="CC575" s="162">
        <v>0</v>
      </c>
      <c r="CD575" s="162">
        <v>0</v>
      </c>
      <c r="CE575" s="162">
        <f>VLOOKUP(I575,[120]REV33!$A:$O,11,0)</f>
        <v>0</v>
      </c>
      <c r="CF575" s="162">
        <f>VLOOKUP(I575,[120]REV33!$A:$O,12,0)</f>
        <v>0</v>
      </c>
      <c r="CG575" s="162"/>
      <c r="CH575" s="162"/>
      <c r="CI575" s="162"/>
      <c r="CJ575" s="162"/>
      <c r="CK575" s="162"/>
      <c r="CL575" s="162"/>
      <c r="CM575" s="162"/>
      <c r="CN575" s="162"/>
      <c r="CO575" s="162">
        <v>0</v>
      </c>
      <c r="CP575" s="162">
        <v>0</v>
      </c>
      <c r="CQ575" s="162">
        <v>0</v>
      </c>
      <c r="CR575" s="162">
        <v>0</v>
      </c>
      <c r="CS575" s="209">
        <f>Q575+S575+U575+W575+Y575+AA575+AC575+AE575+AG575+AI575+AK575+AM575+AO575+AQ575+AS575+AU575+AW575+AY575+BA575+BC575+BE575+BG575+BI575+BK575+BM575+BO575+BQ575+BS575+BU575+BW575+BY575+CA575+CC575+CE575+CG575+CI575+CK575+CM575+CO575+CQ575</f>
        <v>704</v>
      </c>
      <c r="CT575" s="209">
        <f>R575+T575+V575+X575+Z575+AB575+AD575+AF575+AH575+AJ575+AL575+AN575+AP575+AR575+AT575+AV575+AX575+AZ575+BB575+BD575+BF575+BH575+BJ575+BL575+BN575+BP575+BR575+BT575+BV575+BX575+BZ575+CB575+CD575+CF575+CH575+CJ575+CL575+CN575+CP575+CR575</f>
        <v>0</v>
      </c>
      <c r="CU575" s="257" t="s">
        <v>1157</v>
      </c>
      <c r="CV575" s="156"/>
      <c r="DA575" s="152">
        <f t="shared" si="586"/>
        <v>704</v>
      </c>
      <c r="DB575" s="152" t="str">
        <f t="shared" si="587"/>
        <v>0</v>
      </c>
      <c r="DC575" s="158"/>
      <c r="DD575" s="158" t="s">
        <v>1584</v>
      </c>
      <c r="DE575" s="156" t="s">
        <v>435</v>
      </c>
      <c r="DF575" s="260" t="s">
        <v>1351</v>
      </c>
      <c r="DG575" s="186"/>
      <c r="DH575" s="156" t="s">
        <v>477</v>
      </c>
      <c r="DI575" s="187">
        <v>45911</v>
      </c>
      <c r="DJ575" s="242">
        <v>704</v>
      </c>
      <c r="DK575" s="242" t="s">
        <v>477</v>
      </c>
      <c r="DL575" s="195">
        <v>26760</v>
      </c>
      <c r="DM575" s="181">
        <f t="shared" si="576"/>
        <v>20722944</v>
      </c>
      <c r="DN575" s="446">
        <f t="shared" si="577"/>
        <v>0.1</v>
      </c>
      <c r="DO575" s="195">
        <f t="shared" si="578"/>
        <v>18839040</v>
      </c>
      <c r="DP575" s="159">
        <v>45913</v>
      </c>
      <c r="DQ575" s="152">
        <f>SUMIF($I:$I,I575,$DJ:$DJ)</f>
        <v>704</v>
      </c>
      <c r="DR575" s="152">
        <f>SUMIF($I:$I,I575,$DK:$DK)</f>
        <v>0</v>
      </c>
      <c r="EO575" s="152">
        <f>SUMIF($I:$I,I575,$EC:$EC)</f>
        <v>0</v>
      </c>
      <c r="EP575" s="151">
        <f>SUMIF($I:$I,I575,$ED:$ED)</f>
        <v>0</v>
      </c>
      <c r="EQ575" s="153"/>
      <c r="ER575" s="153"/>
      <c r="ES575" s="153"/>
      <c r="ET575" s="153"/>
      <c r="EU575" s="152">
        <f t="shared" si="588"/>
        <v>704</v>
      </c>
      <c r="EV575" s="152">
        <f t="shared" si="589"/>
        <v>0</v>
      </c>
      <c r="EW575" s="152">
        <f t="shared" si="590"/>
        <v>0</v>
      </c>
      <c r="EX575" s="152">
        <f t="shared" si="591"/>
        <v>0</v>
      </c>
      <c r="EY575" s="151" t="str">
        <f t="shared" si="592"/>
        <v>Đủ</v>
      </c>
    </row>
    <row r="576" spans="1:158" s="155" customFormat="1" ht="14" hidden="1" customHeight="1">
      <c r="A576" s="208" t="str">
        <f t="shared" si="573"/>
        <v>Hiện</v>
      </c>
      <c r="B576" s="154" t="str">
        <f t="shared" si="574"/>
        <v>Đủ</v>
      </c>
      <c r="C576" s="154">
        <f t="shared" si="575"/>
        <v>0</v>
      </c>
      <c r="D576" s="154"/>
      <c r="E576" s="154"/>
      <c r="F576" s="344" t="s">
        <v>1728</v>
      </c>
      <c r="G576" s="154"/>
      <c r="H576" s="154"/>
      <c r="I576" s="253" t="s">
        <v>1150</v>
      </c>
      <c r="J576" s="254" t="s">
        <v>922</v>
      </c>
      <c r="K576" s="253" t="s">
        <v>1151</v>
      </c>
      <c r="L576" s="261"/>
      <c r="M576" s="256" t="s">
        <v>1074</v>
      </c>
      <c r="N576" s="259"/>
      <c r="O576" s="191">
        <v>128</v>
      </c>
      <c r="P576" s="190"/>
      <c r="AO576" s="234">
        <v>128</v>
      </c>
      <c r="AP576" s="193">
        <v>0</v>
      </c>
      <c r="AQ576" s="193">
        <v>0</v>
      </c>
      <c r="AR576" s="193">
        <v>0</v>
      </c>
      <c r="AS576" s="193">
        <v>0</v>
      </c>
      <c r="AT576" s="193">
        <v>0</v>
      </c>
      <c r="AU576" s="162">
        <v>0</v>
      </c>
      <c r="AV576" s="162">
        <v>0</v>
      </c>
      <c r="AW576" s="162">
        <v>0</v>
      </c>
      <c r="AX576" s="162">
        <v>0</v>
      </c>
      <c r="AY576" s="162">
        <v>0</v>
      </c>
      <c r="AZ576" s="162">
        <v>0</v>
      </c>
      <c r="BA576" s="162"/>
      <c r="BB576" s="162"/>
      <c r="BC576" s="162">
        <v>0</v>
      </c>
      <c r="BD576" s="162">
        <v>0</v>
      </c>
      <c r="BE576" s="162">
        <v>0</v>
      </c>
      <c r="BF576" s="162">
        <v>0</v>
      </c>
      <c r="BG576" s="162">
        <v>0</v>
      </c>
      <c r="BH576" s="162">
        <v>0</v>
      </c>
      <c r="BI576" s="162">
        <v>0</v>
      </c>
      <c r="BJ576" s="162">
        <v>0</v>
      </c>
      <c r="BK576" s="162">
        <v>0</v>
      </c>
      <c r="BL576" s="162">
        <v>0</v>
      </c>
      <c r="BM576" s="162">
        <v>0</v>
      </c>
      <c r="BN576" s="162">
        <v>0</v>
      </c>
      <c r="BO576" s="162"/>
      <c r="BP576" s="162"/>
      <c r="BQ576" s="162">
        <v>0</v>
      </c>
      <c r="BR576" s="162">
        <v>0</v>
      </c>
      <c r="BS576" s="162">
        <v>0</v>
      </c>
      <c r="BT576" s="162">
        <v>0</v>
      </c>
      <c r="BU576" s="162">
        <v>0</v>
      </c>
      <c r="BV576" s="162">
        <v>0</v>
      </c>
      <c r="BW576" s="162"/>
      <c r="BX576" s="162"/>
      <c r="BY576" s="162">
        <v>0</v>
      </c>
      <c r="BZ576" s="162">
        <v>0</v>
      </c>
      <c r="CA576" s="162">
        <v>0</v>
      </c>
      <c r="CB576" s="162">
        <v>0</v>
      </c>
      <c r="CC576" s="162">
        <v>0</v>
      </c>
      <c r="CD576" s="162">
        <v>0</v>
      </c>
      <c r="CE576" s="162">
        <f>VLOOKUP(I576,[120]REV33!$A:$O,11,0)</f>
        <v>0</v>
      </c>
      <c r="CF576" s="162">
        <f>VLOOKUP(I576,[120]REV33!$A:$O,12,0)</f>
        <v>0</v>
      </c>
      <c r="CG576" s="162"/>
      <c r="CH576" s="162"/>
      <c r="CI576" s="162"/>
      <c r="CJ576" s="162"/>
      <c r="CK576" s="162"/>
      <c r="CL576" s="162"/>
      <c r="CM576" s="162"/>
      <c r="CN576" s="162"/>
      <c r="CO576" s="162">
        <v>0</v>
      </c>
      <c r="CP576" s="162">
        <v>0</v>
      </c>
      <c r="CQ576" s="162">
        <v>0</v>
      </c>
      <c r="CR576" s="162">
        <v>0</v>
      </c>
      <c r="CS576" s="209">
        <f>Q576+S576+U576+W576+Y576+AA576+AC576+AE576+AG576+AI576+AK576+AM576+AO576+AQ576+AS576+AU576+AW576+AY576+BA576+BC576+BE576+BG576+BI576+BK576+BM576+BO576+BQ576+BS576+BU576+BW576+BY576+CA576+CC576+CE576+CG576+CI576+CK576+CM576+CO576+CQ576</f>
        <v>128</v>
      </c>
      <c r="CT576" s="209">
        <f>R576+T576+V576+X576+Z576+AB576+AD576+AF576+AH576+AJ576+AL576+AN576+AP576+AR576+AT576+AV576+AX576+AZ576+BB576+BD576+BF576+BH576+BJ576+BL576+BN576+BP576+BR576+BT576+BV576+BX576+BZ576+CB576+CD576+CF576+CH576+CJ576+CL576+CN576+CP576+CR576</f>
        <v>0</v>
      </c>
      <c r="CU576" s="257" t="s">
        <v>1157</v>
      </c>
      <c r="CV576" s="156"/>
      <c r="DA576" s="152">
        <f t="shared" si="586"/>
        <v>128</v>
      </c>
      <c r="DB576" s="152" t="str">
        <f t="shared" si="587"/>
        <v>0</v>
      </c>
      <c r="DC576" s="158"/>
      <c r="DD576" s="158" t="s">
        <v>1584</v>
      </c>
      <c r="DE576" s="156" t="s">
        <v>435</v>
      </c>
      <c r="DF576" s="260" t="s">
        <v>1352</v>
      </c>
      <c r="DG576" s="186"/>
      <c r="DH576" s="156" t="s">
        <v>477</v>
      </c>
      <c r="DI576" s="187">
        <v>45911</v>
      </c>
      <c r="DJ576" s="242">
        <v>128</v>
      </c>
      <c r="DK576" s="242" t="s">
        <v>477</v>
      </c>
      <c r="DL576" s="195">
        <v>47160</v>
      </c>
      <c r="DM576" s="181">
        <f t="shared" si="576"/>
        <v>6640128.0000000009</v>
      </c>
      <c r="DN576" s="446">
        <f t="shared" si="577"/>
        <v>0.10000000000000016</v>
      </c>
      <c r="DO576" s="195">
        <f t="shared" si="578"/>
        <v>6036480</v>
      </c>
      <c r="DP576" s="159">
        <v>45913</v>
      </c>
      <c r="DQ576" s="152">
        <f>SUMIF($I:$I,I576,$DJ:$DJ)</f>
        <v>128</v>
      </c>
      <c r="DR576" s="152">
        <f>SUMIF($I:$I,I576,$DK:$DK)</f>
        <v>0</v>
      </c>
      <c r="EO576" s="152">
        <f>SUMIF($I:$I,I576,$EC:$EC)</f>
        <v>0</v>
      </c>
      <c r="EP576" s="151">
        <f>SUMIF($I:$I,I576,$ED:$ED)</f>
        <v>0</v>
      </c>
      <c r="EQ576" s="153"/>
      <c r="ER576" s="153"/>
      <c r="ES576" s="153"/>
      <c r="ET576" s="153"/>
      <c r="EU576" s="152">
        <f t="shared" si="588"/>
        <v>128</v>
      </c>
      <c r="EV576" s="152">
        <f t="shared" si="589"/>
        <v>0</v>
      </c>
      <c r="EW576" s="152">
        <f t="shared" si="590"/>
        <v>0</v>
      </c>
      <c r="EX576" s="152">
        <f t="shared" si="591"/>
        <v>0</v>
      </c>
      <c r="EY576" s="151" t="str">
        <f t="shared" si="592"/>
        <v>Đủ</v>
      </c>
    </row>
    <row r="577" spans="1:158" s="155" customFormat="1" ht="14" hidden="1" customHeight="1">
      <c r="A577" s="208" t="str">
        <f t="shared" si="573"/>
        <v>Hiện</v>
      </c>
      <c r="B577" s="154" t="str">
        <f t="shared" si="574"/>
        <v>Đủ</v>
      </c>
      <c r="C577" s="154">
        <f t="shared" si="575"/>
        <v>0</v>
      </c>
      <c r="D577" s="154"/>
      <c r="E577" s="154"/>
      <c r="F577" s="344" t="s">
        <v>1728</v>
      </c>
      <c r="G577" s="154"/>
      <c r="H577" s="154"/>
      <c r="I577" s="253" t="s">
        <v>1152</v>
      </c>
      <c r="J577" s="254" t="s">
        <v>1153</v>
      </c>
      <c r="K577" s="253" t="s">
        <v>1154</v>
      </c>
      <c r="L577" s="261"/>
      <c r="M577" s="256" t="s">
        <v>1074</v>
      </c>
      <c r="N577" s="259"/>
      <c r="O577" s="191">
        <v>16</v>
      </c>
      <c r="P577" s="190"/>
      <c r="AO577" s="234">
        <v>16</v>
      </c>
      <c r="AP577" s="193">
        <v>0</v>
      </c>
      <c r="AQ577" s="193">
        <v>0</v>
      </c>
      <c r="AR577" s="193">
        <v>0</v>
      </c>
      <c r="AS577" s="193">
        <v>0</v>
      </c>
      <c r="AT577" s="193">
        <v>0</v>
      </c>
      <c r="AU577" s="162">
        <v>0</v>
      </c>
      <c r="AV577" s="162">
        <v>0</v>
      </c>
      <c r="AW577" s="162">
        <v>0</v>
      </c>
      <c r="AX577" s="162">
        <v>0</v>
      </c>
      <c r="AY577" s="162">
        <v>0</v>
      </c>
      <c r="AZ577" s="162">
        <v>0</v>
      </c>
      <c r="BA577" s="162"/>
      <c r="BB577" s="162"/>
      <c r="BC577" s="162">
        <v>0</v>
      </c>
      <c r="BD577" s="162">
        <v>0</v>
      </c>
      <c r="BE577" s="162">
        <v>0</v>
      </c>
      <c r="BF577" s="162">
        <v>0</v>
      </c>
      <c r="BG577" s="162">
        <v>0</v>
      </c>
      <c r="BH577" s="162">
        <v>0</v>
      </c>
      <c r="BI577" s="162">
        <v>0</v>
      </c>
      <c r="BJ577" s="162">
        <v>0</v>
      </c>
      <c r="BK577" s="162">
        <v>0</v>
      </c>
      <c r="BL577" s="162">
        <v>0</v>
      </c>
      <c r="BM577" s="162">
        <v>0</v>
      </c>
      <c r="BN577" s="162">
        <v>0</v>
      </c>
      <c r="BO577" s="162"/>
      <c r="BP577" s="162"/>
      <c r="BQ577" s="162">
        <v>0</v>
      </c>
      <c r="BR577" s="162">
        <v>0</v>
      </c>
      <c r="BS577" s="162">
        <v>0</v>
      </c>
      <c r="BT577" s="162">
        <v>0</v>
      </c>
      <c r="BU577" s="162">
        <v>0</v>
      </c>
      <c r="BV577" s="162">
        <v>0</v>
      </c>
      <c r="BW577" s="162"/>
      <c r="BX577" s="162"/>
      <c r="BY577" s="162">
        <v>0</v>
      </c>
      <c r="BZ577" s="162">
        <v>0</v>
      </c>
      <c r="CA577" s="162">
        <v>0</v>
      </c>
      <c r="CB577" s="162">
        <v>0</v>
      </c>
      <c r="CC577" s="162">
        <v>0</v>
      </c>
      <c r="CD577" s="162">
        <v>0</v>
      </c>
      <c r="CE577" s="162">
        <f>VLOOKUP(I577,[120]REV33!$A:$O,11,0)</f>
        <v>0</v>
      </c>
      <c r="CF577" s="162">
        <f>VLOOKUP(I577,[120]REV33!$A:$O,12,0)</f>
        <v>0</v>
      </c>
      <c r="CG577" s="162"/>
      <c r="CH577" s="162"/>
      <c r="CI577" s="162"/>
      <c r="CJ577" s="162"/>
      <c r="CK577" s="162"/>
      <c r="CL577" s="162"/>
      <c r="CM577" s="162"/>
      <c r="CN577" s="162"/>
      <c r="CO577" s="162">
        <v>0</v>
      </c>
      <c r="CP577" s="162">
        <v>0</v>
      </c>
      <c r="CQ577" s="162">
        <v>0</v>
      </c>
      <c r="CR577" s="162">
        <v>0</v>
      </c>
      <c r="CS577" s="209">
        <f>Q577+S577+U577+W577+Y577+AA577+AC577+AE577+AG577+AI577+AK577+AM577+AO577+AQ577+AS577+AU577+AW577+AY577+BA577+BC577+BE577+BG577+BI577+BK577+BM577+BO577+BQ577+BS577+BU577+BW577+BY577+CA577+CC577+CE577+CG577+CI577+CK577+CM577+CO577+CQ577</f>
        <v>16</v>
      </c>
      <c r="CT577" s="209">
        <f>R577+T577+V577+X577+Z577+AB577+AD577+AF577+AH577+AJ577+AL577+AN577+AP577+AR577+AT577+AV577+AX577+AZ577+BB577+BD577+BF577+BH577+BJ577+BL577+BN577+BP577+BR577+BT577+BV577+BX577+BZ577+CB577+CD577+CF577+CH577+CJ577+CL577+CN577+CP577+CR577</f>
        <v>0</v>
      </c>
      <c r="CU577" s="257" t="s">
        <v>1479</v>
      </c>
      <c r="CV577" s="156"/>
      <c r="DA577" s="152">
        <f t="shared" si="586"/>
        <v>16</v>
      </c>
      <c r="DB577" s="152" t="str">
        <f t="shared" si="587"/>
        <v>0</v>
      </c>
      <c r="DC577" s="158"/>
      <c r="DD577" s="158" t="s">
        <v>1584</v>
      </c>
      <c r="DE577" s="156" t="s">
        <v>435</v>
      </c>
      <c r="DF577" s="260" t="s">
        <v>1353</v>
      </c>
      <c r="DG577" s="186"/>
      <c r="DH577" s="156" t="s">
        <v>477</v>
      </c>
      <c r="DI577" s="187">
        <v>45911</v>
      </c>
      <c r="DJ577" s="242">
        <v>16</v>
      </c>
      <c r="DK577" s="242" t="s">
        <v>477</v>
      </c>
      <c r="DL577" s="195">
        <v>197290</v>
      </c>
      <c r="DM577" s="181">
        <f t="shared" si="576"/>
        <v>3472304.0000000005</v>
      </c>
      <c r="DN577" s="446">
        <f t="shared" si="577"/>
        <v>0.10000000000000014</v>
      </c>
      <c r="DO577" s="195">
        <f t="shared" si="578"/>
        <v>3156640</v>
      </c>
      <c r="DP577" s="158">
        <v>45916</v>
      </c>
      <c r="DQ577" s="152">
        <f>SUMIF($I:$I,I577,$DJ:$DJ)</f>
        <v>16</v>
      </c>
      <c r="DR577" s="152">
        <f>SUMIF($I:$I,I577,$DK:$DK)</f>
        <v>0</v>
      </c>
      <c r="EO577" s="152">
        <f>SUMIF($I:$I,I577,$EC:$EC)</f>
        <v>0</v>
      </c>
      <c r="EP577" s="151">
        <f>SUMIF($I:$I,I577,$ED:$ED)</f>
        <v>0</v>
      </c>
      <c r="EQ577" s="153"/>
      <c r="ER577" s="153"/>
      <c r="ES577" s="153"/>
      <c r="ET577" s="153"/>
      <c r="EU577" s="152">
        <f t="shared" si="588"/>
        <v>16</v>
      </c>
      <c r="EV577" s="152">
        <f t="shared" si="589"/>
        <v>0</v>
      </c>
      <c r="EW577" s="152">
        <f t="shared" si="590"/>
        <v>0</v>
      </c>
      <c r="EX577" s="152">
        <f t="shared" si="591"/>
        <v>0</v>
      </c>
      <c r="EY577" s="151" t="str">
        <f t="shared" si="592"/>
        <v>Đủ</v>
      </c>
    </row>
    <row r="578" spans="1:158" s="155" customFormat="1" ht="14" hidden="1" customHeight="1">
      <c r="A578" s="208" t="str">
        <f t="shared" si="573"/>
        <v>Hiện</v>
      </c>
      <c r="B578" s="154" t="str">
        <f t="shared" ref="B578:B580" si="593">EY578</f>
        <v>Đủ</v>
      </c>
      <c r="C578" s="154">
        <f t="shared" ref="C578:C580" si="594">EW578</f>
        <v>0</v>
      </c>
      <c r="D578" s="154"/>
      <c r="E578" s="154"/>
      <c r="F578" s="344" t="s">
        <v>1728</v>
      </c>
      <c r="G578" s="154"/>
      <c r="H578" s="154"/>
      <c r="I578" s="253" t="s">
        <v>1292</v>
      </c>
      <c r="J578" s="254" t="s">
        <v>1293</v>
      </c>
      <c r="K578" s="258" t="s">
        <v>1294</v>
      </c>
      <c r="L578" s="255" t="s">
        <v>1295</v>
      </c>
      <c r="M578" s="256" t="s">
        <v>77</v>
      </c>
      <c r="N578" s="259"/>
      <c r="O578" s="256">
        <f>280+40</f>
        <v>320</v>
      </c>
      <c r="P578" s="190"/>
      <c r="AO578" s="234"/>
      <c r="AP578" s="193">
        <v>0</v>
      </c>
      <c r="AQ578" s="193">
        <v>0</v>
      </c>
      <c r="AR578" s="193">
        <v>0</v>
      </c>
      <c r="AS578" s="193">
        <v>320</v>
      </c>
      <c r="AT578" s="193">
        <v>0</v>
      </c>
      <c r="AU578" s="162">
        <v>0</v>
      </c>
      <c r="AV578" s="162">
        <v>0</v>
      </c>
      <c r="AW578" s="162">
        <v>32</v>
      </c>
      <c r="AX578" s="162">
        <v>0</v>
      </c>
      <c r="AY578" s="162">
        <v>0</v>
      </c>
      <c r="AZ578" s="162">
        <v>0</v>
      </c>
      <c r="BA578" s="162"/>
      <c r="BB578" s="162"/>
      <c r="BC578" s="162">
        <v>0</v>
      </c>
      <c r="BD578" s="162">
        <v>0</v>
      </c>
      <c r="BE578" s="162">
        <v>0</v>
      </c>
      <c r="BF578" s="162">
        <v>0</v>
      </c>
      <c r="BG578" s="162">
        <v>0</v>
      </c>
      <c r="BH578" s="162">
        <v>0</v>
      </c>
      <c r="BI578" s="162">
        <v>0</v>
      </c>
      <c r="BJ578" s="162">
        <v>0</v>
      </c>
      <c r="BK578" s="162">
        <v>0</v>
      </c>
      <c r="BL578" s="162">
        <v>0</v>
      </c>
      <c r="BM578" s="162">
        <v>0</v>
      </c>
      <c r="BN578" s="162">
        <v>0</v>
      </c>
      <c r="BO578" s="162"/>
      <c r="BP578" s="162"/>
      <c r="BQ578" s="162">
        <v>0</v>
      </c>
      <c r="BR578" s="162">
        <v>0</v>
      </c>
      <c r="BS578" s="162">
        <v>0</v>
      </c>
      <c r="BT578" s="162">
        <v>0</v>
      </c>
      <c r="BU578" s="162">
        <v>0</v>
      </c>
      <c r="BV578" s="162">
        <v>0</v>
      </c>
      <c r="BW578" s="162"/>
      <c r="BX578" s="162"/>
      <c r="BY578" s="162">
        <v>0</v>
      </c>
      <c r="BZ578" s="162">
        <v>0</v>
      </c>
      <c r="CA578" s="162">
        <v>0</v>
      </c>
      <c r="CB578" s="162">
        <v>0</v>
      </c>
      <c r="CC578" s="162">
        <v>0</v>
      </c>
      <c r="CD578" s="162">
        <v>0</v>
      </c>
      <c r="CE578" s="162">
        <f>VLOOKUP(I578,[120]REV33!$A:$O,11,0)</f>
        <v>0</v>
      </c>
      <c r="CF578" s="162">
        <f>VLOOKUP(I578,[120]REV33!$A:$O,12,0)</f>
        <v>0</v>
      </c>
      <c r="CG578" s="162"/>
      <c r="CH578" s="162"/>
      <c r="CI578" s="162"/>
      <c r="CJ578" s="162"/>
      <c r="CK578" s="162"/>
      <c r="CL578" s="162"/>
      <c r="CM578" s="162"/>
      <c r="CN578" s="162"/>
      <c r="CO578" s="162">
        <v>0</v>
      </c>
      <c r="CP578" s="162">
        <v>0</v>
      </c>
      <c r="CQ578" s="162">
        <v>0</v>
      </c>
      <c r="CR578" s="162">
        <v>0</v>
      </c>
      <c r="CS578" s="209">
        <f>Q578+S578+U578+W578+Y578+AA578+AC578+AE578+AG578+AI578+AK578+AM578+AO578+AQ578+AS578+AU578+AW578+AY578+BA578+BC578+BE578+BG578+BI578+BK578+BM578+BO578+BQ578+BS578+BU578+BW578+BY578+CA578+CC578+CE578+CG578+CI578+CK578+CM578+CO578+CQ578</f>
        <v>352</v>
      </c>
      <c r="CT578" s="209">
        <f>R578+T578+V578+X578+Z578+AB578+AD578+AF578+AH578+AJ578+AL578+AN578+AP578+AR578+AT578+AV578+AX578+AZ578+BB578+BD578+BF578+BH578+BJ578+BL578+BN578+BP578+BR578+BT578+BV578+BX578+BZ578+CB578+CD578+CF578+CH578+CJ578+CL578+CN578+CP578+CR578</f>
        <v>0</v>
      </c>
      <c r="CU578" s="257" t="s">
        <v>1437</v>
      </c>
      <c r="CV578" s="156"/>
      <c r="DA578" s="152">
        <f t="shared" si="586"/>
        <v>352</v>
      </c>
      <c r="DB578" s="152" t="str">
        <f t="shared" si="587"/>
        <v>0</v>
      </c>
      <c r="DC578" s="158"/>
      <c r="DD578" s="158" t="s">
        <v>1585</v>
      </c>
      <c r="DE578" s="156" t="s">
        <v>435</v>
      </c>
      <c r="DF578" s="258" t="s">
        <v>1488</v>
      </c>
      <c r="DG578" s="186"/>
      <c r="DH578" s="156" t="s">
        <v>477</v>
      </c>
      <c r="DI578" s="187">
        <v>45912</v>
      </c>
      <c r="DJ578" s="717">
        <v>320</v>
      </c>
      <c r="DK578" s="242" t="s">
        <v>477</v>
      </c>
      <c r="DL578" s="189">
        <v>547600</v>
      </c>
      <c r="DM578" s="181">
        <f t="shared" si="576"/>
        <v>192755200.00000003</v>
      </c>
      <c r="DN578" s="446">
        <f t="shared" si="577"/>
        <v>0.10000000000000017</v>
      </c>
      <c r="DO578" s="160">
        <f t="shared" si="578"/>
        <v>175232000</v>
      </c>
      <c r="DP578" s="159">
        <v>45913</v>
      </c>
      <c r="DQ578" s="152">
        <f>SUMIF($I:$I,I578,$DJ:$DJ)</f>
        <v>352</v>
      </c>
      <c r="DR578" s="152">
        <f>SUMIF($I:$I,I578,$DK:$DK)</f>
        <v>0</v>
      </c>
      <c r="EO578" s="152">
        <f>SUMIF($I:$I,I578,$EC:$EC)</f>
        <v>0</v>
      </c>
      <c r="EP578" s="151">
        <f>SUMIF($I:$I,I578,$ED:$ED)</f>
        <v>0</v>
      </c>
      <c r="EQ578" s="153"/>
      <c r="ER578" s="153"/>
      <c r="ES578" s="153"/>
      <c r="ET578" s="153"/>
      <c r="EU578" s="152">
        <f t="shared" si="588"/>
        <v>352</v>
      </c>
      <c r="EV578" s="152">
        <f t="shared" si="589"/>
        <v>0</v>
      </c>
      <c r="EW578" s="152">
        <f t="shared" si="590"/>
        <v>0</v>
      </c>
      <c r="EX578" s="152">
        <f t="shared" si="591"/>
        <v>0</v>
      </c>
      <c r="EY578" s="151" t="str">
        <f t="shared" si="592"/>
        <v>Đủ</v>
      </c>
    </row>
    <row r="579" spans="1:158" s="263" customFormat="1" ht="14" hidden="1" customHeight="1">
      <c r="A579" s="208" t="str">
        <f t="shared" si="573"/>
        <v>ok</v>
      </c>
      <c r="B579" s="154"/>
      <c r="C579" s="154"/>
      <c r="D579" s="154"/>
      <c r="E579" s="154"/>
      <c r="F579" s="344" t="s">
        <v>1728</v>
      </c>
      <c r="G579" s="154"/>
      <c r="H579" s="154"/>
      <c r="I579" s="253" t="s">
        <v>1292</v>
      </c>
      <c r="J579" s="254" t="s">
        <v>1293</v>
      </c>
      <c r="K579" s="258" t="s">
        <v>1294</v>
      </c>
      <c r="L579" s="255" t="s">
        <v>1295</v>
      </c>
      <c r="M579" s="256" t="s">
        <v>77</v>
      </c>
      <c r="N579" s="259"/>
      <c r="O579" s="256"/>
      <c r="P579" s="190"/>
      <c r="Q579" s="155"/>
      <c r="R579" s="155"/>
      <c r="S579" s="155"/>
      <c r="T579" s="155"/>
      <c r="U579" s="155"/>
      <c r="V579" s="155"/>
      <c r="W579" s="155"/>
      <c r="X579" s="155"/>
      <c r="Y579" s="155"/>
      <c r="Z579" s="155"/>
      <c r="AA579" s="155"/>
      <c r="AB579" s="155"/>
      <c r="AC579" s="155"/>
      <c r="AD579" s="155"/>
      <c r="AE579" s="155"/>
      <c r="AF579" s="155"/>
      <c r="AG579" s="155"/>
      <c r="AH579" s="155"/>
      <c r="AI579" s="155"/>
      <c r="AJ579" s="155"/>
      <c r="AK579" s="155"/>
      <c r="AL579" s="155"/>
      <c r="AM579" s="155"/>
      <c r="AN579" s="155"/>
      <c r="AO579" s="234"/>
      <c r="AP579" s="193"/>
      <c r="AQ579" s="193"/>
      <c r="AR579" s="193"/>
      <c r="AS579" s="193"/>
      <c r="AT579" s="193"/>
      <c r="AU579" s="162"/>
      <c r="AV579" s="162"/>
      <c r="AW579" s="162"/>
      <c r="AX579" s="162"/>
      <c r="AY579" s="162"/>
      <c r="AZ579" s="162"/>
      <c r="BA579" s="162"/>
      <c r="BB579" s="162"/>
      <c r="BC579" s="162"/>
      <c r="BD579" s="162"/>
      <c r="BE579" s="162"/>
      <c r="BF579" s="162"/>
      <c r="BG579" s="162"/>
      <c r="BH579" s="162"/>
      <c r="BI579" s="162"/>
      <c r="BJ579" s="162"/>
      <c r="BK579" s="162"/>
      <c r="BL579" s="162"/>
      <c r="BM579" s="162"/>
      <c r="BN579" s="162"/>
      <c r="BO579" s="162"/>
      <c r="BP579" s="162"/>
      <c r="BQ579" s="162"/>
      <c r="BR579" s="162"/>
      <c r="BS579" s="162"/>
      <c r="BT579" s="162"/>
      <c r="BU579" s="162"/>
      <c r="BV579" s="162"/>
      <c r="BW579" s="162"/>
      <c r="BX579" s="162"/>
      <c r="BY579" s="162"/>
      <c r="BZ579" s="162"/>
      <c r="CA579" s="162"/>
      <c r="CB579" s="162"/>
      <c r="CC579" s="162"/>
      <c r="CD579" s="162"/>
      <c r="CE579" s="162"/>
      <c r="CF579" s="162"/>
      <c r="CG579" s="162"/>
      <c r="CH579" s="162"/>
      <c r="CI579" s="162"/>
      <c r="CJ579" s="162"/>
      <c r="CK579" s="162"/>
      <c r="CL579" s="162"/>
      <c r="CM579" s="162"/>
      <c r="CN579" s="162"/>
      <c r="CO579" s="162"/>
      <c r="CP579" s="162"/>
      <c r="CQ579" s="162"/>
      <c r="CR579" s="162"/>
      <c r="CS579" s="209"/>
      <c r="CT579" s="209"/>
      <c r="CU579" s="257"/>
      <c r="CV579" s="156"/>
      <c r="CW579" s="155"/>
      <c r="CX579" s="155"/>
      <c r="CY579" s="155"/>
      <c r="CZ579" s="155"/>
      <c r="DA579" s="152"/>
      <c r="DB579" s="152"/>
      <c r="DC579" s="158"/>
      <c r="DD579" s="158" t="s">
        <v>1586</v>
      </c>
      <c r="DE579" s="156" t="s">
        <v>435</v>
      </c>
      <c r="DF579" s="258" t="s">
        <v>1587</v>
      </c>
      <c r="DG579" s="186"/>
      <c r="DH579" s="156" t="s">
        <v>477</v>
      </c>
      <c r="DI579" s="187">
        <v>45913</v>
      </c>
      <c r="DJ579" s="717">
        <v>32</v>
      </c>
      <c r="DK579" s="242" t="s">
        <v>477</v>
      </c>
      <c r="DL579" s="189">
        <v>547600</v>
      </c>
      <c r="DM579" s="181">
        <f t="shared" si="576"/>
        <v>19275520</v>
      </c>
      <c r="DN579" s="446">
        <f t="shared" si="577"/>
        <v>0.1</v>
      </c>
      <c r="DO579" s="160">
        <f t="shared" si="578"/>
        <v>17523200</v>
      </c>
      <c r="DP579" s="159">
        <v>45916</v>
      </c>
      <c r="DQ579" s="152">
        <f>SUMIF($I:$I,I579,$DJ:$DJ)</f>
        <v>352</v>
      </c>
      <c r="DR579" s="152"/>
      <c r="DS579" s="155"/>
      <c r="DT579" s="155"/>
      <c r="DU579" s="155"/>
      <c r="DV579" s="155"/>
      <c r="DW579" s="155"/>
      <c r="DX579" s="155"/>
      <c r="DY579" s="155"/>
      <c r="DZ579" s="155"/>
      <c r="EA579" s="155"/>
      <c r="EB579" s="155"/>
      <c r="EC579" s="155"/>
      <c r="ED579" s="155"/>
      <c r="EE579" s="155"/>
      <c r="EF579" s="155"/>
      <c r="EG579" s="155"/>
      <c r="EH579" s="155"/>
      <c r="EI579" s="155"/>
      <c r="EJ579" s="155"/>
      <c r="EK579" s="155"/>
      <c r="EL579" s="155"/>
      <c r="EM579" s="155"/>
      <c r="EN579" s="155"/>
      <c r="EO579" s="152"/>
      <c r="EP579" s="151"/>
      <c r="EQ579" s="153"/>
      <c r="ER579" s="153"/>
      <c r="ES579" s="153"/>
      <c r="ET579" s="153"/>
      <c r="EU579" s="152"/>
      <c r="EV579" s="152"/>
      <c r="EW579" s="152"/>
      <c r="EX579" s="152"/>
      <c r="EY579" s="151"/>
      <c r="EZ579" s="155"/>
      <c r="FA579" s="155"/>
      <c r="FB579" s="155"/>
    </row>
    <row r="580" spans="1:158" s="263" customFormat="1" ht="14" hidden="1" customHeight="1">
      <c r="A580" s="208" t="str">
        <f t="shared" si="573"/>
        <v>Hiện</v>
      </c>
      <c r="B580" s="154" t="str">
        <f t="shared" si="593"/>
        <v>Đủ</v>
      </c>
      <c r="C580" s="154">
        <f t="shared" si="594"/>
        <v>0</v>
      </c>
      <c r="D580" s="154"/>
      <c r="E580" s="154"/>
      <c r="F580" s="344" t="s">
        <v>1728</v>
      </c>
      <c r="G580" s="154"/>
      <c r="H580" s="154"/>
      <c r="I580" s="253" t="s">
        <v>1296</v>
      </c>
      <c r="J580" s="254" t="s">
        <v>1293</v>
      </c>
      <c r="K580" s="258" t="s">
        <v>1297</v>
      </c>
      <c r="L580" s="255" t="s">
        <v>1298</v>
      </c>
      <c r="M580" s="256" t="s">
        <v>77</v>
      </c>
      <c r="N580" s="259"/>
      <c r="O580" s="256">
        <v>200</v>
      </c>
      <c r="P580" s="190"/>
      <c r="Q580" s="155"/>
      <c r="R580" s="155"/>
      <c r="S580" s="155"/>
      <c r="T580" s="155"/>
      <c r="U580" s="155"/>
      <c r="V580" s="155"/>
      <c r="W580" s="155"/>
      <c r="X580" s="155"/>
      <c r="Y580" s="155"/>
      <c r="Z580" s="155"/>
      <c r="AA580" s="155"/>
      <c r="AB580" s="155"/>
      <c r="AC580" s="155"/>
      <c r="AD580" s="155"/>
      <c r="AE580" s="155"/>
      <c r="AF580" s="155"/>
      <c r="AG580" s="155"/>
      <c r="AH580" s="155"/>
      <c r="AI580" s="155"/>
      <c r="AJ580" s="155"/>
      <c r="AK580" s="155"/>
      <c r="AL580" s="155"/>
      <c r="AM580" s="155"/>
      <c r="AN580" s="155"/>
      <c r="AO580" s="234"/>
      <c r="AP580" s="193">
        <v>0</v>
      </c>
      <c r="AQ580" s="193">
        <v>0</v>
      </c>
      <c r="AR580" s="193">
        <v>0</v>
      </c>
      <c r="AS580" s="193">
        <v>200</v>
      </c>
      <c r="AT580" s="193">
        <v>0</v>
      </c>
      <c r="AU580" s="162">
        <v>0</v>
      </c>
      <c r="AV580" s="162">
        <v>0</v>
      </c>
      <c r="AW580" s="162">
        <v>0</v>
      </c>
      <c r="AX580" s="162">
        <v>0</v>
      </c>
      <c r="AY580" s="162">
        <v>0</v>
      </c>
      <c r="AZ580" s="162">
        <v>0</v>
      </c>
      <c r="BA580" s="162"/>
      <c r="BB580" s="162"/>
      <c r="BC580" s="162">
        <v>0</v>
      </c>
      <c r="BD580" s="162">
        <v>0</v>
      </c>
      <c r="BE580" s="162">
        <v>0</v>
      </c>
      <c r="BF580" s="162">
        <v>0</v>
      </c>
      <c r="BG580" s="162">
        <v>0</v>
      </c>
      <c r="BH580" s="162">
        <v>0</v>
      </c>
      <c r="BI580" s="162">
        <v>0</v>
      </c>
      <c r="BJ580" s="162">
        <v>0</v>
      </c>
      <c r="BK580" s="162">
        <v>0</v>
      </c>
      <c r="BL580" s="162">
        <v>0</v>
      </c>
      <c r="BM580" s="162">
        <v>0</v>
      </c>
      <c r="BN580" s="162">
        <v>0</v>
      </c>
      <c r="BO580" s="162"/>
      <c r="BP580" s="162"/>
      <c r="BQ580" s="162">
        <v>0</v>
      </c>
      <c r="BR580" s="162">
        <v>0</v>
      </c>
      <c r="BS580" s="162">
        <v>0</v>
      </c>
      <c r="BT580" s="162">
        <v>0</v>
      </c>
      <c r="BU580" s="162">
        <v>0</v>
      </c>
      <c r="BV580" s="162">
        <v>0</v>
      </c>
      <c r="BW580" s="162"/>
      <c r="BX580" s="162"/>
      <c r="BY580" s="162">
        <v>0</v>
      </c>
      <c r="BZ580" s="162">
        <v>0</v>
      </c>
      <c r="CA580" s="162">
        <v>0</v>
      </c>
      <c r="CB580" s="162">
        <v>0</v>
      </c>
      <c r="CC580" s="162">
        <v>0</v>
      </c>
      <c r="CD580" s="162">
        <v>0</v>
      </c>
      <c r="CE580" s="162">
        <f>VLOOKUP(I580,[120]REV33!$A:$O,11,0)</f>
        <v>0</v>
      </c>
      <c r="CF580" s="162">
        <f>VLOOKUP(I580,[120]REV33!$A:$O,12,0)</f>
        <v>0</v>
      </c>
      <c r="CG580" s="162"/>
      <c r="CH580" s="162"/>
      <c r="CI580" s="162"/>
      <c r="CJ580" s="162"/>
      <c r="CK580" s="162"/>
      <c r="CL580" s="162"/>
      <c r="CM580" s="162"/>
      <c r="CN580" s="162"/>
      <c r="CO580" s="162">
        <v>0</v>
      </c>
      <c r="CP580" s="162">
        <v>0</v>
      </c>
      <c r="CQ580" s="162">
        <v>0</v>
      </c>
      <c r="CR580" s="162">
        <v>0</v>
      </c>
      <c r="CS580" s="209">
        <f>Q580+S580+U580+W580+Y580+AA580+AC580+AE580+AG580+AI580+AK580+AM580+AO580+AQ580+AS580+AU580+AW580+AY580+BA580+BC580+BE580+BG580+BI580+BK580+BM580+BO580+BQ580+BS580+BU580+BW580+BY580+CA580+CC580+CE580+CG580+CI580+CK580+CM580+CO580+CQ580</f>
        <v>200</v>
      </c>
      <c r="CT580" s="209">
        <f>R580+T580+V580+X580+Z580+AB580+AD580+AF580+AH580+AJ580+AL580+AN580+AP580+AR580+AT580+AV580+AX580+AZ580+BB580+BD580+BF580+BH580+BJ580+BL580+BN580+BP580+BR580+BT580+BV580+BX580+BZ580+CB580+CD580+CF580+CH580+CJ580+CL580+CN580+CP580+CR580</f>
        <v>0</v>
      </c>
      <c r="CU580" s="257" t="s">
        <v>1480</v>
      </c>
      <c r="CV580" s="156"/>
      <c r="CW580" s="155"/>
      <c r="CX580" s="155"/>
      <c r="CY580" s="155"/>
      <c r="CZ580" s="155"/>
      <c r="DA580" s="152">
        <f t="shared" ref="DA580:DA595" si="595">IF(CS580&gt;CW580,CS580-CW580,"0")</f>
        <v>200</v>
      </c>
      <c r="DB580" s="152" t="str">
        <f t="shared" ref="DB580:DB595" si="596">IF(CT580&gt;CX580,CT580-CX580,"0")</f>
        <v>0</v>
      </c>
      <c r="DC580" s="158"/>
      <c r="DD580" s="158" t="s">
        <v>1585</v>
      </c>
      <c r="DE580" s="156" t="s">
        <v>435</v>
      </c>
      <c r="DF580" s="258" t="s">
        <v>1489</v>
      </c>
      <c r="DG580" s="186"/>
      <c r="DH580" s="156" t="s">
        <v>477</v>
      </c>
      <c r="DI580" s="187">
        <v>45912</v>
      </c>
      <c r="DJ580" s="717">
        <v>200</v>
      </c>
      <c r="DK580" s="242" t="s">
        <v>477</v>
      </c>
      <c r="DL580" s="189">
        <v>1154400</v>
      </c>
      <c r="DM580" s="181">
        <f t="shared" si="576"/>
        <v>253968000.00000003</v>
      </c>
      <c r="DN580" s="446">
        <f t="shared" si="577"/>
        <v>0.10000000000000013</v>
      </c>
      <c r="DO580" s="160">
        <f t="shared" si="578"/>
        <v>230880000</v>
      </c>
      <c r="DP580" s="159">
        <v>45913</v>
      </c>
      <c r="DQ580" s="152">
        <f>SUMIF($I:$I,I580,$DJ:$DJ)</f>
        <v>200</v>
      </c>
      <c r="DR580" s="152">
        <f>SUMIF($I:$I,I580,$DK:$DK)</f>
        <v>0</v>
      </c>
      <c r="DS580" s="155"/>
      <c r="DT580" s="155"/>
      <c r="DU580" s="155"/>
      <c r="DV580" s="155"/>
      <c r="DW580" s="155"/>
      <c r="DX580" s="155"/>
      <c r="DY580" s="155"/>
      <c r="DZ580" s="155"/>
      <c r="EA580" s="155"/>
      <c r="EB580" s="155"/>
      <c r="EC580" s="155"/>
      <c r="ED580" s="155"/>
      <c r="EE580" s="155"/>
      <c r="EF580" s="155"/>
      <c r="EG580" s="155"/>
      <c r="EH580" s="155"/>
      <c r="EI580" s="155"/>
      <c r="EJ580" s="155"/>
      <c r="EK580" s="155"/>
      <c r="EL580" s="155"/>
      <c r="EM580" s="155"/>
      <c r="EN580" s="155"/>
      <c r="EO580" s="152">
        <f>SUMIF($I:$I,I580,$EC:$EC)</f>
        <v>0</v>
      </c>
      <c r="EP580" s="151">
        <f>SUMIF($I:$I,I580,$ED:$ED)</f>
        <v>0</v>
      </c>
      <c r="EQ580" s="153"/>
      <c r="ER580" s="153"/>
      <c r="ES580" s="153"/>
      <c r="ET580" s="153"/>
      <c r="EU580" s="152">
        <f t="shared" ref="EU580:EU595" si="597">DQ580+EO580</f>
        <v>200</v>
      </c>
      <c r="EV580" s="152">
        <f t="shared" ref="EV580:EV595" si="598">DR580+EP580</f>
        <v>0</v>
      </c>
      <c r="EW580" s="152">
        <f t="shared" ref="EW580:EW595" si="599">DA580-EU580</f>
        <v>0</v>
      </c>
      <c r="EX580" s="152">
        <f t="shared" ref="EX580:EX595" si="600">DB580-EV580</f>
        <v>0</v>
      </c>
      <c r="EY580" s="151" t="str">
        <f t="shared" ref="EY580:EY595" si="601">IF(EW580&lt;0,"Thừa",IF(EW580=0,"Đủ","Thiếu"))</f>
        <v>Đủ</v>
      </c>
      <c r="EZ580" s="155"/>
      <c r="FA580" s="155"/>
      <c r="FB580" s="155"/>
    </row>
    <row r="581" spans="1:158" s="264" customFormat="1" ht="14" hidden="1" customHeight="1">
      <c r="A581" s="208" t="str">
        <f t="shared" si="573"/>
        <v>Hiện</v>
      </c>
      <c r="B581" s="154" t="str">
        <f>CONCATENATE(EY581," Đủ")</f>
        <v>Thừa Đủ</v>
      </c>
      <c r="C581" s="154">
        <f t="shared" ref="C581" si="602">EW581</f>
        <v>-186</v>
      </c>
      <c r="E581" s="265"/>
      <c r="F581" s="344" t="s">
        <v>1744</v>
      </c>
      <c r="I581" s="171" t="s">
        <v>1364</v>
      </c>
      <c r="J581" s="164" t="s">
        <v>1365</v>
      </c>
      <c r="K581" s="164" t="s">
        <v>1366</v>
      </c>
      <c r="L581" s="1396" t="s">
        <v>1367</v>
      </c>
      <c r="M581" s="163" t="s">
        <v>1074</v>
      </c>
      <c r="N581" s="990"/>
      <c r="O581" s="991">
        <v>4</v>
      </c>
      <c r="Q581" s="266"/>
      <c r="AU581" s="162">
        <v>4</v>
      </c>
      <c r="AV581" s="162">
        <v>0</v>
      </c>
      <c r="AW581" s="162">
        <v>0</v>
      </c>
      <c r="AX581" s="162">
        <v>0</v>
      </c>
      <c r="AY581" s="162">
        <v>0</v>
      </c>
      <c r="AZ581" s="162">
        <v>0</v>
      </c>
      <c r="BA581" s="162"/>
      <c r="BB581" s="162"/>
      <c r="BC581" s="162">
        <v>-2</v>
      </c>
      <c r="BD581" s="162">
        <v>0</v>
      </c>
      <c r="BE581" s="162">
        <v>0</v>
      </c>
      <c r="BF581" s="162">
        <v>0</v>
      </c>
      <c r="BG581" s="162">
        <v>0</v>
      </c>
      <c r="BH581" s="162">
        <v>0</v>
      </c>
      <c r="BI581" s="162">
        <v>0</v>
      </c>
      <c r="BJ581" s="162">
        <v>0</v>
      </c>
      <c r="BK581" s="162">
        <v>0</v>
      </c>
      <c r="BL581" s="162">
        <v>0</v>
      </c>
      <c r="BM581" s="162">
        <v>0</v>
      </c>
      <c r="BN581" s="162">
        <v>0</v>
      </c>
      <c r="BO581" s="162"/>
      <c r="BP581" s="162"/>
      <c r="BQ581" s="162">
        <v>0</v>
      </c>
      <c r="BR581" s="162">
        <v>0</v>
      </c>
      <c r="BS581" s="162">
        <v>2</v>
      </c>
      <c r="BT581" s="162">
        <v>0</v>
      </c>
      <c r="BU581" s="162">
        <v>0</v>
      </c>
      <c r="BV581" s="162">
        <v>0</v>
      </c>
      <c r="BW581" s="162"/>
      <c r="BX581" s="162"/>
      <c r="BY581" s="162">
        <v>0</v>
      </c>
      <c r="BZ581" s="162">
        <v>0</v>
      </c>
      <c r="CA581" s="162">
        <v>0</v>
      </c>
      <c r="CB581" s="162">
        <v>0</v>
      </c>
      <c r="CC581" s="162">
        <v>0</v>
      </c>
      <c r="CD581" s="162">
        <v>0</v>
      </c>
      <c r="CE581" s="162">
        <f>VLOOKUP(I581,[120]REV33!$A:$O,11,0)</f>
        <v>0</v>
      </c>
      <c r="CF581" s="162">
        <f>VLOOKUP(I581,[120]REV33!$A:$O,12,0)</f>
        <v>0</v>
      </c>
      <c r="CG581" s="162"/>
      <c r="CH581" s="162"/>
      <c r="CI581" s="162"/>
      <c r="CJ581" s="162"/>
      <c r="CK581" s="162"/>
      <c r="CL581" s="162"/>
      <c r="CM581" s="162"/>
      <c r="CN581" s="162"/>
      <c r="CO581" s="162">
        <v>0</v>
      </c>
      <c r="CP581" s="162">
        <v>0</v>
      </c>
      <c r="CQ581" s="162">
        <v>0</v>
      </c>
      <c r="CR581" s="162">
        <v>0</v>
      </c>
      <c r="CS581" s="209">
        <f>Q581+S581+U581+W581+Y581+AA581+AC581+AE581+AG581+AI581+AK581+AM581+AO581+AQ581+AS581+AU581+AW581+AY581+BA581+BC581+BE581+BG581+BI581+BK581+BM581+BO581+BQ581+BS581+BU581+BW581+BY581+CA581+CC581+CE581+CG581+CI581+CK581+CM581+CO581+CQ581</f>
        <v>4</v>
      </c>
      <c r="CT581" s="209">
        <f>R581+T581+V581+X581+Z581+AB581+AD581+AF581+AH581+AJ581+AL581+AN581+AP581+AR581+AT581+AV581+AX581+AZ581+BB581+BD581+BF581+BH581+BJ581+BL581+BN581+BP581+BR581+BT581+BV581+BX581+BZ581+CB581+CD581+CF581+CH581+CJ581+CL581+CN581+CP581+CR581</f>
        <v>0</v>
      </c>
      <c r="CU581" s="264" t="s">
        <v>2056</v>
      </c>
      <c r="DA581" s="152">
        <f t="shared" si="595"/>
        <v>4</v>
      </c>
      <c r="DB581" s="152" t="str">
        <f t="shared" si="596"/>
        <v>0</v>
      </c>
      <c r="DD581" s="992" t="s">
        <v>1510</v>
      </c>
      <c r="DE581" s="267" t="s">
        <v>1395</v>
      </c>
      <c r="DF581" s="268" t="s">
        <v>1386</v>
      </c>
      <c r="DH581" s="156" t="s">
        <v>477</v>
      </c>
      <c r="DI581" s="159">
        <v>45906</v>
      </c>
      <c r="DJ581" s="281">
        <v>190</v>
      </c>
      <c r="DK581" s="242" t="s">
        <v>477</v>
      </c>
      <c r="DL581" s="269">
        <v>55000</v>
      </c>
      <c r="DM581" s="181">
        <f t="shared" ref="DM581:DM590" si="603">DL581*DJ581*1.08</f>
        <v>11286000</v>
      </c>
      <c r="DN581" s="446">
        <f t="shared" si="577"/>
        <v>0.08</v>
      </c>
      <c r="DO581" s="265">
        <f t="shared" si="578"/>
        <v>10450000</v>
      </c>
      <c r="DP581" s="159">
        <v>45923</v>
      </c>
      <c r="DQ581" s="152">
        <f>SUMIF($I:$I,I581,$DJ:$DJ)</f>
        <v>190</v>
      </c>
      <c r="DR581" s="152">
        <f>SUMIF($I:$I,I581,$DK:$DK)</f>
        <v>0</v>
      </c>
      <c r="EO581" s="152">
        <f>SUMIF($I:$I,I581,$EC:$EC)</f>
        <v>0</v>
      </c>
      <c r="EP581" s="151">
        <f>SUMIF($I:$I,I581,$ED:$ED)</f>
        <v>0</v>
      </c>
      <c r="EQ581" s="153"/>
      <c r="ER581" s="153"/>
      <c r="ES581" s="153"/>
      <c r="ET581" s="153"/>
      <c r="EU581" s="152">
        <f t="shared" si="597"/>
        <v>190</v>
      </c>
      <c r="EV581" s="152">
        <f t="shared" si="598"/>
        <v>0</v>
      </c>
      <c r="EW581" s="152">
        <f t="shared" si="599"/>
        <v>-186</v>
      </c>
      <c r="EX581" s="152">
        <f t="shared" si="600"/>
        <v>0</v>
      </c>
      <c r="EY581" s="151" t="str">
        <f t="shared" si="601"/>
        <v>Thừa</v>
      </c>
    </row>
    <row r="582" spans="1:158" s="264" customFormat="1" ht="14" hidden="1" customHeight="1">
      <c r="A582" s="208" t="str">
        <f t="shared" si="573"/>
        <v>Hiện</v>
      </c>
      <c r="B582" s="154" t="str">
        <f t="shared" ref="B582:B590" si="604">CONCATENATE(EY582," Đủ")</f>
        <v>Thừa Đủ</v>
      </c>
      <c r="C582" s="154">
        <f t="shared" ref="C582:C590" si="605">EW582</f>
        <v>-161</v>
      </c>
      <c r="E582" s="265"/>
      <c r="F582" s="344" t="s">
        <v>1744</v>
      </c>
      <c r="I582" s="171" t="s">
        <v>1368</v>
      </c>
      <c r="J582" s="164" t="s">
        <v>1365</v>
      </c>
      <c r="K582" s="164" t="s">
        <v>1369</v>
      </c>
      <c r="L582" s="1396"/>
      <c r="M582" s="163" t="s">
        <v>1074</v>
      </c>
      <c r="N582" s="990"/>
      <c r="O582" s="991">
        <v>4</v>
      </c>
      <c r="Q582" s="266"/>
      <c r="AU582" s="162">
        <v>4</v>
      </c>
      <c r="AV582" s="162">
        <v>0</v>
      </c>
      <c r="AW582" s="162">
        <v>0</v>
      </c>
      <c r="AX582" s="162">
        <v>0</v>
      </c>
      <c r="AY582" s="162">
        <v>0</v>
      </c>
      <c r="AZ582" s="162">
        <v>0</v>
      </c>
      <c r="BA582" s="162"/>
      <c r="BB582" s="162"/>
      <c r="BC582" s="162">
        <v>-2</v>
      </c>
      <c r="BD582" s="162">
        <v>0</v>
      </c>
      <c r="BE582" s="162">
        <v>0</v>
      </c>
      <c r="BF582" s="162">
        <v>0</v>
      </c>
      <c r="BG582" s="162">
        <v>0</v>
      </c>
      <c r="BH582" s="162">
        <v>0</v>
      </c>
      <c r="BI582" s="162">
        <v>0</v>
      </c>
      <c r="BJ582" s="162">
        <v>0</v>
      </c>
      <c r="BK582" s="162">
        <v>0</v>
      </c>
      <c r="BL582" s="162">
        <v>0</v>
      </c>
      <c r="BM582" s="162">
        <v>0</v>
      </c>
      <c r="BN582" s="162">
        <v>0</v>
      </c>
      <c r="BO582" s="162"/>
      <c r="BP582" s="162"/>
      <c r="BQ582" s="162">
        <v>0</v>
      </c>
      <c r="BR582" s="162">
        <v>0</v>
      </c>
      <c r="BS582" s="162">
        <v>2</v>
      </c>
      <c r="BT582" s="162">
        <v>0</v>
      </c>
      <c r="BU582" s="162">
        <v>0</v>
      </c>
      <c r="BV582" s="162">
        <v>0</v>
      </c>
      <c r="BW582" s="162"/>
      <c r="BX582" s="162"/>
      <c r="BY582" s="162">
        <v>0</v>
      </c>
      <c r="BZ582" s="162">
        <v>0</v>
      </c>
      <c r="CA582" s="162">
        <v>0</v>
      </c>
      <c r="CB582" s="162">
        <v>0</v>
      </c>
      <c r="CC582" s="162">
        <v>0</v>
      </c>
      <c r="CD582" s="162">
        <v>0</v>
      </c>
      <c r="CE582" s="162">
        <f>VLOOKUP(I582,[120]REV33!$A:$O,11,0)</f>
        <v>0</v>
      </c>
      <c r="CF582" s="162">
        <f>VLOOKUP(I582,[120]REV33!$A:$O,12,0)</f>
        <v>0</v>
      </c>
      <c r="CG582" s="162"/>
      <c r="CH582" s="162"/>
      <c r="CI582" s="162"/>
      <c r="CJ582" s="162"/>
      <c r="CK582" s="162"/>
      <c r="CL582" s="162"/>
      <c r="CM582" s="162"/>
      <c r="CN582" s="162"/>
      <c r="CO582" s="162">
        <v>0</v>
      </c>
      <c r="CP582" s="162">
        <v>0</v>
      </c>
      <c r="CQ582" s="162">
        <v>0</v>
      </c>
      <c r="CR582" s="162">
        <v>0</v>
      </c>
      <c r="CS582" s="209">
        <f>Q582+S582+U582+W582+Y582+AA582+AC582+AE582+AG582+AI582+AK582+AM582+AO582+AQ582+AS582+AU582+AW582+AY582+BA582+BC582+BE582+BG582+BI582+BK582+BM582+BO582+BQ582+BS582+BU582+BW582+BY582+CA582+CC582+CE582+CG582+CI582+CK582+CM582+CO582+CQ582</f>
        <v>4</v>
      </c>
      <c r="CT582" s="209">
        <f>R582+T582+V582+X582+Z582+AB582+AD582+AF582+AH582+AJ582+AL582+AN582+AP582+AR582+AT582+AV582+AX582+AZ582+BB582+BD582+BF582+BH582+BJ582+BL582+BN582+BP582+BR582+BT582+BV582+BX582+BZ582+CB582+CD582+CF582+CH582+CJ582+CL582+CN582+CP582+CR582</f>
        <v>0</v>
      </c>
      <c r="CU582" s="264" t="s">
        <v>2056</v>
      </c>
      <c r="DA582" s="152">
        <f t="shared" si="595"/>
        <v>4</v>
      </c>
      <c r="DB582" s="152" t="str">
        <f t="shared" si="596"/>
        <v>0</v>
      </c>
      <c r="DD582" s="992" t="s">
        <v>1510</v>
      </c>
      <c r="DE582" s="267" t="s">
        <v>1395</v>
      </c>
      <c r="DF582" s="268" t="s">
        <v>1387</v>
      </c>
      <c r="DH582" s="156" t="s">
        <v>477</v>
      </c>
      <c r="DI582" s="159">
        <v>45906</v>
      </c>
      <c r="DJ582" s="281">
        <v>165</v>
      </c>
      <c r="DK582" s="242" t="s">
        <v>477</v>
      </c>
      <c r="DL582" s="269">
        <v>55000</v>
      </c>
      <c r="DM582" s="181">
        <f t="shared" si="603"/>
        <v>9801000</v>
      </c>
      <c r="DN582" s="446">
        <f t="shared" si="577"/>
        <v>0.08</v>
      </c>
      <c r="DO582" s="265">
        <f t="shared" si="578"/>
        <v>9075000</v>
      </c>
      <c r="DP582" s="159">
        <v>45923</v>
      </c>
      <c r="DQ582" s="152">
        <f>SUMIF($I:$I,I582,$DJ:$DJ)</f>
        <v>165</v>
      </c>
      <c r="DR582" s="152">
        <f>SUMIF($I:$I,I582,$DK:$DK)</f>
        <v>0</v>
      </c>
      <c r="EO582" s="152">
        <f>SUMIF($I:$I,I582,$EC:$EC)</f>
        <v>0</v>
      </c>
      <c r="EP582" s="151">
        <f>SUMIF($I:$I,I582,$ED:$ED)</f>
        <v>0</v>
      </c>
      <c r="EQ582" s="153"/>
      <c r="ER582" s="153"/>
      <c r="ES582" s="153"/>
      <c r="ET582" s="153"/>
      <c r="EU582" s="152">
        <f t="shared" si="597"/>
        <v>165</v>
      </c>
      <c r="EV582" s="152">
        <f t="shared" si="598"/>
        <v>0</v>
      </c>
      <c r="EW582" s="152">
        <f t="shared" si="599"/>
        <v>-161</v>
      </c>
      <c r="EX582" s="152">
        <f t="shared" si="600"/>
        <v>0</v>
      </c>
      <c r="EY582" s="151" t="str">
        <f t="shared" si="601"/>
        <v>Thừa</v>
      </c>
    </row>
    <row r="583" spans="1:158" s="264" customFormat="1" ht="14" hidden="1" customHeight="1">
      <c r="A583" s="208" t="str">
        <f t="shared" si="573"/>
        <v>Hiện</v>
      </c>
      <c r="B583" s="154" t="str">
        <f t="shared" si="604"/>
        <v>Thừa Đủ</v>
      </c>
      <c r="C583" s="154">
        <f t="shared" si="605"/>
        <v>-158</v>
      </c>
      <c r="E583" s="265"/>
      <c r="F583" s="344" t="s">
        <v>1744</v>
      </c>
      <c r="I583" s="171" t="s">
        <v>1370</v>
      </c>
      <c r="J583" s="164" t="s">
        <v>1365</v>
      </c>
      <c r="K583" s="164" t="s">
        <v>1371</v>
      </c>
      <c r="L583" s="1396"/>
      <c r="M583" s="163" t="s">
        <v>1074</v>
      </c>
      <c r="N583" s="990"/>
      <c r="O583" s="991">
        <v>4</v>
      </c>
      <c r="Q583" s="266"/>
      <c r="AU583" s="162">
        <v>4</v>
      </c>
      <c r="AV583" s="162">
        <v>0</v>
      </c>
      <c r="AW583" s="162">
        <v>0</v>
      </c>
      <c r="AX583" s="162">
        <v>0</v>
      </c>
      <c r="AY583" s="162">
        <v>0</v>
      </c>
      <c r="AZ583" s="162">
        <v>0</v>
      </c>
      <c r="BA583" s="162"/>
      <c r="BB583" s="162"/>
      <c r="BC583" s="162">
        <v>-2</v>
      </c>
      <c r="BD583" s="162">
        <v>0</v>
      </c>
      <c r="BE583" s="162">
        <v>0</v>
      </c>
      <c r="BF583" s="162">
        <v>0</v>
      </c>
      <c r="BG583" s="162">
        <v>0</v>
      </c>
      <c r="BH583" s="162">
        <v>0</v>
      </c>
      <c r="BI583" s="162">
        <v>0</v>
      </c>
      <c r="BJ583" s="162">
        <v>0</v>
      </c>
      <c r="BK583" s="162">
        <v>0</v>
      </c>
      <c r="BL583" s="162">
        <v>0</v>
      </c>
      <c r="BM583" s="162">
        <v>0</v>
      </c>
      <c r="BN583" s="162">
        <v>0</v>
      </c>
      <c r="BO583" s="162"/>
      <c r="BP583" s="162"/>
      <c r="BQ583" s="162">
        <v>0</v>
      </c>
      <c r="BR583" s="162">
        <v>0</v>
      </c>
      <c r="BS583" s="162">
        <v>2</v>
      </c>
      <c r="BT583" s="162">
        <v>0</v>
      </c>
      <c r="BU583" s="162">
        <v>0</v>
      </c>
      <c r="BV583" s="162">
        <v>0</v>
      </c>
      <c r="BW583" s="162"/>
      <c r="BX583" s="162"/>
      <c r="BY583" s="162">
        <v>0</v>
      </c>
      <c r="BZ583" s="162">
        <v>0</v>
      </c>
      <c r="CA583" s="162">
        <v>0</v>
      </c>
      <c r="CB583" s="162">
        <v>0</v>
      </c>
      <c r="CC583" s="162">
        <v>0</v>
      </c>
      <c r="CD583" s="162">
        <v>0</v>
      </c>
      <c r="CE583" s="162">
        <f>VLOOKUP(I583,[120]REV33!$A:$O,11,0)</f>
        <v>0</v>
      </c>
      <c r="CF583" s="162">
        <f>VLOOKUP(I583,[120]REV33!$A:$O,12,0)</f>
        <v>0</v>
      </c>
      <c r="CG583" s="162"/>
      <c r="CH583" s="162"/>
      <c r="CI583" s="162"/>
      <c r="CJ583" s="162"/>
      <c r="CK583" s="162"/>
      <c r="CL583" s="162"/>
      <c r="CM583" s="162"/>
      <c r="CN583" s="162"/>
      <c r="CO583" s="162">
        <v>0</v>
      </c>
      <c r="CP583" s="162">
        <v>0</v>
      </c>
      <c r="CQ583" s="162">
        <v>0</v>
      </c>
      <c r="CR583" s="162">
        <v>0</v>
      </c>
      <c r="CS583" s="209">
        <f>Q583+S583+U583+W583+Y583+AA583+AC583+AE583+AG583+AI583+AK583+AM583+AO583+AQ583+AS583+AU583+AW583+AY583+BA583+BC583+BE583+BG583+BI583+BK583+BM583+BO583+BQ583+BS583+BU583+BW583+BY583+CA583+CC583+CE583+CG583+CI583+CK583+CM583+CO583+CQ583</f>
        <v>4</v>
      </c>
      <c r="CT583" s="209">
        <f>R583+T583+V583+X583+Z583+AB583+AD583+AF583+AH583+AJ583+AL583+AN583+AP583+AR583+AT583+AV583+AX583+AZ583+BB583+BD583+BF583+BH583+BJ583+BL583+BN583+BP583+BR583+BT583+BV583+BX583+BZ583+CB583+CD583+CF583+CH583+CJ583+CL583+CN583+CP583+CR583</f>
        <v>0</v>
      </c>
      <c r="CU583" s="264" t="s">
        <v>2056</v>
      </c>
      <c r="DA583" s="152">
        <f t="shared" si="595"/>
        <v>4</v>
      </c>
      <c r="DB583" s="152" t="str">
        <f t="shared" si="596"/>
        <v>0</v>
      </c>
      <c r="DD583" s="992" t="s">
        <v>1510</v>
      </c>
      <c r="DE583" s="267" t="s">
        <v>1395</v>
      </c>
      <c r="DF583" s="268" t="s">
        <v>1388</v>
      </c>
      <c r="DH583" s="156" t="s">
        <v>477</v>
      </c>
      <c r="DI583" s="159">
        <v>45906</v>
      </c>
      <c r="DJ583" s="281">
        <v>162</v>
      </c>
      <c r="DK583" s="242" t="s">
        <v>477</v>
      </c>
      <c r="DL583" s="269">
        <v>55000</v>
      </c>
      <c r="DM583" s="181">
        <f t="shared" si="603"/>
        <v>9622800</v>
      </c>
      <c r="DN583" s="446">
        <f t="shared" si="577"/>
        <v>0.08</v>
      </c>
      <c r="DO583" s="265">
        <f t="shared" si="578"/>
        <v>8910000</v>
      </c>
      <c r="DP583" s="159">
        <v>45923</v>
      </c>
      <c r="DQ583" s="152">
        <f>SUMIF($I:$I,I583,$DJ:$DJ)</f>
        <v>162</v>
      </c>
      <c r="DR583" s="152">
        <f>SUMIF($I:$I,I583,$DK:$DK)</f>
        <v>0</v>
      </c>
      <c r="EO583" s="152">
        <f>SUMIF($I:$I,I583,$EC:$EC)</f>
        <v>0</v>
      </c>
      <c r="EP583" s="151">
        <f>SUMIF($I:$I,I583,$ED:$ED)</f>
        <v>0</v>
      </c>
      <c r="EQ583" s="153"/>
      <c r="ER583" s="153"/>
      <c r="ES583" s="153"/>
      <c r="ET583" s="153"/>
      <c r="EU583" s="152">
        <f t="shared" si="597"/>
        <v>162</v>
      </c>
      <c r="EV583" s="152">
        <f t="shared" si="598"/>
        <v>0</v>
      </c>
      <c r="EW583" s="152">
        <f t="shared" si="599"/>
        <v>-158</v>
      </c>
      <c r="EX583" s="152">
        <f t="shared" si="600"/>
        <v>0</v>
      </c>
      <c r="EY583" s="151" t="str">
        <f t="shared" si="601"/>
        <v>Thừa</v>
      </c>
    </row>
    <row r="584" spans="1:158" s="264" customFormat="1" ht="14" hidden="1" customHeight="1">
      <c r="A584" s="208" t="str">
        <f t="shared" si="573"/>
        <v>Hiện</v>
      </c>
      <c r="B584" s="154" t="str">
        <f t="shared" si="604"/>
        <v>Thừa Đủ</v>
      </c>
      <c r="C584" s="154">
        <f t="shared" si="605"/>
        <v>-252.5</v>
      </c>
      <c r="E584" s="265"/>
      <c r="F584" s="344" t="s">
        <v>1744</v>
      </c>
      <c r="I584" s="171" t="s">
        <v>1372</v>
      </c>
      <c r="J584" s="164" t="s">
        <v>1365</v>
      </c>
      <c r="K584" s="164" t="s">
        <v>1373</v>
      </c>
      <c r="L584" s="1396"/>
      <c r="M584" s="163" t="s">
        <v>1074</v>
      </c>
      <c r="N584" s="990"/>
      <c r="O584" s="991">
        <v>4</v>
      </c>
      <c r="Q584" s="266"/>
      <c r="AU584" s="162">
        <v>4</v>
      </c>
      <c r="AV584" s="162">
        <v>0</v>
      </c>
      <c r="AW584" s="162">
        <v>0</v>
      </c>
      <c r="AX584" s="162">
        <v>0</v>
      </c>
      <c r="AY584" s="162">
        <v>0</v>
      </c>
      <c r="AZ584" s="162">
        <v>0</v>
      </c>
      <c r="BA584" s="162"/>
      <c r="BB584" s="162"/>
      <c r="BC584" s="162">
        <v>-2</v>
      </c>
      <c r="BD584" s="162">
        <v>0</v>
      </c>
      <c r="BE584" s="162">
        <v>0</v>
      </c>
      <c r="BF584" s="162">
        <v>0</v>
      </c>
      <c r="BG584" s="162">
        <v>0</v>
      </c>
      <c r="BH584" s="162">
        <v>0</v>
      </c>
      <c r="BI584" s="162">
        <v>0</v>
      </c>
      <c r="BJ584" s="162">
        <v>0</v>
      </c>
      <c r="BK584" s="162">
        <v>0</v>
      </c>
      <c r="BL584" s="162">
        <v>0</v>
      </c>
      <c r="BM584" s="162">
        <v>0</v>
      </c>
      <c r="BN584" s="162">
        <v>0</v>
      </c>
      <c r="BO584" s="162"/>
      <c r="BP584" s="162"/>
      <c r="BQ584" s="162">
        <v>0</v>
      </c>
      <c r="BR584" s="162">
        <v>0</v>
      </c>
      <c r="BS584" s="162">
        <v>2</v>
      </c>
      <c r="BT584" s="162">
        <v>0</v>
      </c>
      <c r="BU584" s="162">
        <v>0</v>
      </c>
      <c r="BV584" s="162">
        <v>0</v>
      </c>
      <c r="BW584" s="162"/>
      <c r="BX584" s="162"/>
      <c r="BY584" s="162">
        <v>0</v>
      </c>
      <c r="BZ584" s="162">
        <v>0</v>
      </c>
      <c r="CA584" s="162">
        <v>0</v>
      </c>
      <c r="CB584" s="162">
        <v>0</v>
      </c>
      <c r="CC584" s="162">
        <v>0</v>
      </c>
      <c r="CD584" s="162">
        <v>0</v>
      </c>
      <c r="CE584" s="162">
        <f>VLOOKUP(I584,[120]REV33!$A:$O,11,0)</f>
        <v>0</v>
      </c>
      <c r="CF584" s="162">
        <f>VLOOKUP(I584,[120]REV33!$A:$O,12,0)</f>
        <v>0</v>
      </c>
      <c r="CG584" s="162"/>
      <c r="CH584" s="162"/>
      <c r="CI584" s="162"/>
      <c r="CJ584" s="162"/>
      <c r="CK584" s="162"/>
      <c r="CL584" s="162"/>
      <c r="CM584" s="162"/>
      <c r="CN584" s="162"/>
      <c r="CO584" s="162">
        <v>0</v>
      </c>
      <c r="CP584" s="162">
        <v>0</v>
      </c>
      <c r="CQ584" s="162">
        <v>0</v>
      </c>
      <c r="CR584" s="162">
        <v>0</v>
      </c>
      <c r="CS584" s="209">
        <f>Q584+S584+U584+W584+Y584+AA584+AC584+AE584+AG584+AI584+AK584+AM584+AO584+AQ584+AS584+AU584+AW584+AY584+BA584+BC584+BE584+BG584+BI584+BK584+BM584+BO584+BQ584+BS584+BU584+BW584+BY584+CA584+CC584+CE584+CG584+CI584+CK584+CM584+CO584+CQ584</f>
        <v>4</v>
      </c>
      <c r="CT584" s="209">
        <f>R584+T584+V584+X584+Z584+AB584+AD584+AF584+AH584+AJ584+AL584+AN584+AP584+AR584+AT584+AV584+AX584+AZ584+BB584+BD584+BF584+BH584+BJ584+BL584+BN584+BP584+BR584+BT584+BV584+BX584+BZ584+CB584+CD584+CF584+CH584+CJ584+CL584+CN584+CP584+CR584</f>
        <v>0</v>
      </c>
      <c r="CU584" s="264" t="s">
        <v>2056</v>
      </c>
      <c r="DA584" s="152">
        <f t="shared" si="595"/>
        <v>4</v>
      </c>
      <c r="DB584" s="152" t="str">
        <f t="shared" si="596"/>
        <v>0</v>
      </c>
      <c r="DD584" s="992" t="s">
        <v>1510</v>
      </c>
      <c r="DE584" s="267" t="s">
        <v>1395</v>
      </c>
      <c r="DF584" s="268" t="s">
        <v>1389</v>
      </c>
      <c r="DH584" s="156" t="s">
        <v>477</v>
      </c>
      <c r="DI584" s="159">
        <v>45906</v>
      </c>
      <c r="DJ584" s="281">
        <v>256.5</v>
      </c>
      <c r="DK584" s="242" t="s">
        <v>477</v>
      </c>
      <c r="DL584" s="269">
        <v>55000</v>
      </c>
      <c r="DM584" s="181">
        <f t="shared" si="603"/>
        <v>15236100.000000002</v>
      </c>
      <c r="DN584" s="446">
        <f t="shared" si="577"/>
        <v>8.0000000000000127E-2</v>
      </c>
      <c r="DO584" s="265">
        <f t="shared" si="578"/>
        <v>14107500</v>
      </c>
      <c r="DP584" s="159">
        <v>45923</v>
      </c>
      <c r="DQ584" s="152">
        <f>SUMIF($I:$I,I584,$DJ:$DJ)</f>
        <v>256.5</v>
      </c>
      <c r="DR584" s="152">
        <f>SUMIF($I:$I,I584,$DK:$DK)</f>
        <v>0</v>
      </c>
      <c r="EO584" s="152">
        <f>SUMIF($I:$I,I584,$EC:$EC)</f>
        <v>0</v>
      </c>
      <c r="EP584" s="151">
        <f>SUMIF($I:$I,I584,$ED:$ED)</f>
        <v>0</v>
      </c>
      <c r="EQ584" s="153"/>
      <c r="ER584" s="153"/>
      <c r="ES584" s="153"/>
      <c r="ET584" s="153"/>
      <c r="EU584" s="152">
        <f t="shared" si="597"/>
        <v>256.5</v>
      </c>
      <c r="EV584" s="152">
        <f t="shared" si="598"/>
        <v>0</v>
      </c>
      <c r="EW584" s="152">
        <f t="shared" si="599"/>
        <v>-252.5</v>
      </c>
      <c r="EX584" s="152">
        <f t="shared" si="600"/>
        <v>0</v>
      </c>
      <c r="EY584" s="151" t="str">
        <f t="shared" si="601"/>
        <v>Thừa</v>
      </c>
    </row>
    <row r="585" spans="1:158" s="264" customFormat="1" ht="14" hidden="1" customHeight="1">
      <c r="A585" s="208" t="str">
        <f t="shared" si="573"/>
        <v>Hiện</v>
      </c>
      <c r="B585" s="154" t="str">
        <f t="shared" si="604"/>
        <v>Thừa Đủ</v>
      </c>
      <c r="C585" s="154">
        <f t="shared" si="605"/>
        <v>-240.8</v>
      </c>
      <c r="E585" s="265"/>
      <c r="F585" s="344" t="s">
        <v>1744</v>
      </c>
      <c r="I585" s="171" t="s">
        <v>1374</v>
      </c>
      <c r="J585" s="164" t="s">
        <v>1365</v>
      </c>
      <c r="K585" s="164" t="s">
        <v>1375</v>
      </c>
      <c r="L585" s="1396"/>
      <c r="M585" s="163" t="s">
        <v>1074</v>
      </c>
      <c r="N585" s="990"/>
      <c r="O585" s="991">
        <v>4</v>
      </c>
      <c r="Q585" s="266"/>
      <c r="AU585" s="162">
        <v>4</v>
      </c>
      <c r="AV585" s="162">
        <v>0</v>
      </c>
      <c r="AW585" s="162">
        <v>0</v>
      </c>
      <c r="AX585" s="162">
        <v>0</v>
      </c>
      <c r="AY585" s="162">
        <v>0</v>
      </c>
      <c r="AZ585" s="162">
        <v>0</v>
      </c>
      <c r="BA585" s="162"/>
      <c r="BB585" s="162"/>
      <c r="BC585" s="162">
        <v>-2</v>
      </c>
      <c r="BD585" s="162">
        <v>0</v>
      </c>
      <c r="BE585" s="162">
        <v>0</v>
      </c>
      <c r="BF585" s="162">
        <v>0</v>
      </c>
      <c r="BG585" s="162">
        <v>0</v>
      </c>
      <c r="BH585" s="162">
        <v>0</v>
      </c>
      <c r="BI585" s="162">
        <v>0</v>
      </c>
      <c r="BJ585" s="162">
        <v>0</v>
      </c>
      <c r="BK585" s="162">
        <v>0</v>
      </c>
      <c r="BL585" s="162">
        <v>0</v>
      </c>
      <c r="BM585" s="162">
        <v>0</v>
      </c>
      <c r="BN585" s="162">
        <v>0</v>
      </c>
      <c r="BO585" s="162"/>
      <c r="BP585" s="162"/>
      <c r="BQ585" s="162">
        <v>0</v>
      </c>
      <c r="BR585" s="162">
        <v>0</v>
      </c>
      <c r="BS585" s="162">
        <v>2</v>
      </c>
      <c r="BT585" s="162">
        <v>0</v>
      </c>
      <c r="BU585" s="162">
        <v>0</v>
      </c>
      <c r="BV585" s="162">
        <v>0</v>
      </c>
      <c r="BW585" s="162"/>
      <c r="BX585" s="162"/>
      <c r="BY585" s="162">
        <v>0</v>
      </c>
      <c r="BZ585" s="162">
        <v>0</v>
      </c>
      <c r="CA585" s="162">
        <v>0</v>
      </c>
      <c r="CB585" s="162">
        <v>0</v>
      </c>
      <c r="CC585" s="162">
        <v>0</v>
      </c>
      <c r="CD585" s="162">
        <v>0</v>
      </c>
      <c r="CE585" s="162">
        <f>VLOOKUP(I585,[120]REV33!$A:$O,11,0)</f>
        <v>0</v>
      </c>
      <c r="CF585" s="162">
        <f>VLOOKUP(I585,[120]REV33!$A:$O,12,0)</f>
        <v>0</v>
      </c>
      <c r="CG585" s="162"/>
      <c r="CH585" s="162"/>
      <c r="CI585" s="162"/>
      <c r="CJ585" s="162"/>
      <c r="CK585" s="162"/>
      <c r="CL585" s="162"/>
      <c r="CM585" s="162"/>
      <c r="CN585" s="162"/>
      <c r="CO585" s="162">
        <v>0</v>
      </c>
      <c r="CP585" s="162">
        <v>0</v>
      </c>
      <c r="CQ585" s="162">
        <v>0</v>
      </c>
      <c r="CR585" s="162">
        <v>0</v>
      </c>
      <c r="CS585" s="209">
        <f>Q585+S585+U585+W585+Y585+AA585+AC585+AE585+AG585+AI585+AK585+AM585+AO585+AQ585+AS585+AU585+AW585+AY585+BA585+BC585+BE585+BG585+BI585+BK585+BM585+BO585+BQ585+BS585+BU585+BW585+BY585+CA585+CC585+CE585+CG585+CI585+CK585+CM585+CO585+CQ585</f>
        <v>4</v>
      </c>
      <c r="CT585" s="209">
        <f>R585+T585+V585+X585+Z585+AB585+AD585+AF585+AH585+AJ585+AL585+AN585+AP585+AR585+AT585+AV585+AX585+AZ585+BB585+BD585+BF585+BH585+BJ585+BL585+BN585+BP585+BR585+BT585+BV585+BX585+BZ585+CB585+CD585+CF585+CH585+CJ585+CL585+CN585+CP585+CR585</f>
        <v>0</v>
      </c>
      <c r="CU585" s="264" t="s">
        <v>2056</v>
      </c>
      <c r="DA585" s="152">
        <f t="shared" si="595"/>
        <v>4</v>
      </c>
      <c r="DB585" s="152" t="str">
        <f t="shared" si="596"/>
        <v>0</v>
      </c>
      <c r="DD585" s="992" t="s">
        <v>1510</v>
      </c>
      <c r="DE585" s="267" t="s">
        <v>1395</v>
      </c>
      <c r="DF585" s="268" t="s">
        <v>1390</v>
      </c>
      <c r="DH585" s="156" t="s">
        <v>477</v>
      </c>
      <c r="DI585" s="159">
        <v>45906</v>
      </c>
      <c r="DJ585" s="281">
        <v>244.8</v>
      </c>
      <c r="DK585" s="242" t="s">
        <v>477</v>
      </c>
      <c r="DL585" s="269">
        <v>55000</v>
      </c>
      <c r="DM585" s="181">
        <f t="shared" si="603"/>
        <v>14541120.000000002</v>
      </c>
      <c r="DN585" s="446">
        <f t="shared" si="577"/>
        <v>8.000000000000014E-2</v>
      </c>
      <c r="DO585" s="265">
        <f t="shared" si="578"/>
        <v>13464000</v>
      </c>
      <c r="DP585" s="159">
        <v>45923</v>
      </c>
      <c r="DQ585" s="152">
        <f>SUMIF($I:$I,I585,$DJ:$DJ)</f>
        <v>244.8</v>
      </c>
      <c r="DR585" s="152">
        <f>SUMIF($I:$I,I585,$DK:$DK)</f>
        <v>0</v>
      </c>
      <c r="EO585" s="152">
        <f>SUMIF($I:$I,I585,$EC:$EC)</f>
        <v>0</v>
      </c>
      <c r="EP585" s="151">
        <f>SUMIF($I:$I,I585,$ED:$ED)</f>
        <v>0</v>
      </c>
      <c r="EQ585" s="153"/>
      <c r="ER585" s="153"/>
      <c r="ES585" s="153"/>
      <c r="ET585" s="153"/>
      <c r="EU585" s="152">
        <f t="shared" si="597"/>
        <v>244.8</v>
      </c>
      <c r="EV585" s="152">
        <f t="shared" si="598"/>
        <v>0</v>
      </c>
      <c r="EW585" s="152">
        <f t="shared" si="599"/>
        <v>-240.8</v>
      </c>
      <c r="EX585" s="152">
        <f t="shared" si="600"/>
        <v>0</v>
      </c>
      <c r="EY585" s="151" t="str">
        <f t="shared" si="601"/>
        <v>Thừa</v>
      </c>
    </row>
    <row r="586" spans="1:158" s="264" customFormat="1" ht="14" hidden="1" customHeight="1">
      <c r="A586" s="208" t="str">
        <f t="shared" si="573"/>
        <v>Hiện</v>
      </c>
      <c r="B586" s="154" t="str">
        <f t="shared" si="604"/>
        <v>Thừa Đủ</v>
      </c>
      <c r="C586" s="154">
        <f t="shared" si="605"/>
        <v>-705</v>
      </c>
      <c r="E586" s="265"/>
      <c r="F586" s="344" t="s">
        <v>1744</v>
      </c>
      <c r="I586" s="171" t="s">
        <v>1376</v>
      </c>
      <c r="J586" s="164" t="s">
        <v>1365</v>
      </c>
      <c r="K586" s="164" t="s">
        <v>1377</v>
      </c>
      <c r="L586" s="1396"/>
      <c r="M586" s="163" t="s">
        <v>1074</v>
      </c>
      <c r="N586" s="990"/>
      <c r="O586" s="991">
        <v>8</v>
      </c>
      <c r="Q586" s="266"/>
      <c r="AU586" s="162">
        <v>8</v>
      </c>
      <c r="AV586" s="162">
        <v>0</v>
      </c>
      <c r="AW586" s="162">
        <v>0</v>
      </c>
      <c r="AX586" s="162">
        <v>0</v>
      </c>
      <c r="AY586" s="162">
        <v>0</v>
      </c>
      <c r="AZ586" s="162">
        <v>0</v>
      </c>
      <c r="BA586" s="162"/>
      <c r="BB586" s="162"/>
      <c r="BC586" s="162">
        <v>-2</v>
      </c>
      <c r="BD586" s="162">
        <v>0</v>
      </c>
      <c r="BE586" s="162">
        <v>0</v>
      </c>
      <c r="BF586" s="162">
        <v>0</v>
      </c>
      <c r="BG586" s="162">
        <v>0</v>
      </c>
      <c r="BH586" s="162">
        <v>0</v>
      </c>
      <c r="BI586" s="162">
        <v>0</v>
      </c>
      <c r="BJ586" s="162">
        <v>0</v>
      </c>
      <c r="BK586" s="162">
        <v>0</v>
      </c>
      <c r="BL586" s="162">
        <v>0</v>
      </c>
      <c r="BM586" s="162">
        <v>0</v>
      </c>
      <c r="BN586" s="162">
        <v>0</v>
      </c>
      <c r="BO586" s="162"/>
      <c r="BP586" s="162"/>
      <c r="BQ586" s="162">
        <v>0</v>
      </c>
      <c r="BR586" s="162">
        <v>0</v>
      </c>
      <c r="BS586" s="162">
        <v>2</v>
      </c>
      <c r="BT586" s="162">
        <v>0</v>
      </c>
      <c r="BU586" s="162">
        <v>0</v>
      </c>
      <c r="BV586" s="162">
        <v>0</v>
      </c>
      <c r="BW586" s="162"/>
      <c r="BX586" s="162"/>
      <c r="BY586" s="162">
        <v>0</v>
      </c>
      <c r="BZ586" s="162">
        <v>0</v>
      </c>
      <c r="CA586" s="162">
        <v>0</v>
      </c>
      <c r="CB586" s="162">
        <v>0</v>
      </c>
      <c r="CC586" s="162">
        <v>0</v>
      </c>
      <c r="CD586" s="162">
        <v>0</v>
      </c>
      <c r="CE586" s="162">
        <f>VLOOKUP(I586,[120]REV33!$A:$O,11,0)</f>
        <v>0</v>
      </c>
      <c r="CF586" s="162">
        <f>VLOOKUP(I586,[120]REV33!$A:$O,12,0)</f>
        <v>0</v>
      </c>
      <c r="CG586" s="162"/>
      <c r="CH586" s="162"/>
      <c r="CI586" s="162"/>
      <c r="CJ586" s="162"/>
      <c r="CK586" s="162"/>
      <c r="CL586" s="162"/>
      <c r="CM586" s="162"/>
      <c r="CN586" s="162"/>
      <c r="CO586" s="162">
        <v>0</v>
      </c>
      <c r="CP586" s="162">
        <v>0</v>
      </c>
      <c r="CQ586" s="162">
        <v>0</v>
      </c>
      <c r="CR586" s="162">
        <v>0</v>
      </c>
      <c r="CS586" s="209">
        <f>Q586+S586+U586+W586+Y586+AA586+AC586+AE586+AG586+AI586+AK586+AM586+AO586+AQ586+AS586+AU586+AW586+AY586+BA586+BC586+BE586+BG586+BI586+BK586+BM586+BO586+BQ586+BS586+BU586+BW586+BY586+CA586+CC586+CE586+CG586+CI586+CK586+CM586+CO586+CQ586</f>
        <v>8</v>
      </c>
      <c r="CT586" s="209">
        <f>R586+T586+V586+X586+Z586+AB586+AD586+AF586+AH586+AJ586+AL586+AN586+AP586+AR586+AT586+AV586+AX586+AZ586+BB586+BD586+BF586+BH586+BJ586+BL586+BN586+BP586+BR586+BT586+BV586+BX586+BZ586+CB586+CD586+CF586+CH586+CJ586+CL586+CN586+CP586+CR586</f>
        <v>0</v>
      </c>
      <c r="CU586" s="264" t="s">
        <v>2056</v>
      </c>
      <c r="DA586" s="152">
        <f t="shared" si="595"/>
        <v>8</v>
      </c>
      <c r="DB586" s="152" t="str">
        <f t="shared" si="596"/>
        <v>0</v>
      </c>
      <c r="DD586" s="992" t="s">
        <v>1510</v>
      </c>
      <c r="DE586" s="267" t="s">
        <v>1395</v>
      </c>
      <c r="DF586" s="268" t="s">
        <v>1391</v>
      </c>
      <c r="DH586" s="156" t="s">
        <v>477</v>
      </c>
      <c r="DI586" s="159">
        <v>45906</v>
      </c>
      <c r="DJ586" s="281">
        <v>713</v>
      </c>
      <c r="DK586" s="242" t="s">
        <v>477</v>
      </c>
      <c r="DL586" s="269">
        <v>55000</v>
      </c>
      <c r="DM586" s="181">
        <f t="shared" si="603"/>
        <v>42352200</v>
      </c>
      <c r="DN586" s="446">
        <f t="shared" si="577"/>
        <v>0.08</v>
      </c>
      <c r="DO586" s="265">
        <f t="shared" si="578"/>
        <v>39215000</v>
      </c>
      <c r="DP586" s="159">
        <v>45923</v>
      </c>
      <c r="DQ586" s="152">
        <f>SUMIF($I:$I,I586,$DJ:$DJ)</f>
        <v>713</v>
      </c>
      <c r="DR586" s="152">
        <f>SUMIF($I:$I,I586,$DK:$DK)</f>
        <v>0</v>
      </c>
      <c r="EO586" s="152">
        <f>SUMIF($I:$I,I586,$EC:$EC)</f>
        <v>0</v>
      </c>
      <c r="EP586" s="151">
        <f>SUMIF($I:$I,I586,$ED:$ED)</f>
        <v>0</v>
      </c>
      <c r="EQ586" s="153"/>
      <c r="ER586" s="153"/>
      <c r="ES586" s="153"/>
      <c r="ET586" s="153"/>
      <c r="EU586" s="152">
        <f t="shared" si="597"/>
        <v>713</v>
      </c>
      <c r="EV586" s="152">
        <f t="shared" si="598"/>
        <v>0</v>
      </c>
      <c r="EW586" s="152">
        <f t="shared" si="599"/>
        <v>-705</v>
      </c>
      <c r="EX586" s="152">
        <f t="shared" si="600"/>
        <v>0</v>
      </c>
      <c r="EY586" s="151" t="str">
        <f t="shared" si="601"/>
        <v>Thừa</v>
      </c>
    </row>
    <row r="587" spans="1:158" s="264" customFormat="1" ht="14" hidden="1" customHeight="1">
      <c r="A587" s="208" t="str">
        <f t="shared" si="573"/>
        <v>Hiện</v>
      </c>
      <c r="B587" s="154" t="str">
        <f t="shared" si="604"/>
        <v>Thừa Đủ</v>
      </c>
      <c r="C587" s="154">
        <f t="shared" si="605"/>
        <v>-342.5</v>
      </c>
      <c r="E587" s="265"/>
      <c r="F587" s="344" t="s">
        <v>1744</v>
      </c>
      <c r="I587" s="171" t="s">
        <v>1378</v>
      </c>
      <c r="J587" s="164" t="s">
        <v>1365</v>
      </c>
      <c r="K587" s="164" t="s">
        <v>1379</v>
      </c>
      <c r="L587" s="1396"/>
      <c r="M587" s="163" t="s">
        <v>1074</v>
      </c>
      <c r="N587" s="990"/>
      <c r="O587" s="991">
        <v>4</v>
      </c>
      <c r="Q587" s="266"/>
      <c r="AU587" s="162">
        <v>4</v>
      </c>
      <c r="AV587" s="162">
        <v>0</v>
      </c>
      <c r="AW587" s="162">
        <v>0</v>
      </c>
      <c r="AX587" s="162">
        <v>0</v>
      </c>
      <c r="AY587" s="162">
        <v>0</v>
      </c>
      <c r="AZ587" s="162">
        <v>0</v>
      </c>
      <c r="BA587" s="162"/>
      <c r="BB587" s="162"/>
      <c r="BC587" s="162">
        <v>-2</v>
      </c>
      <c r="BD587" s="162">
        <v>0</v>
      </c>
      <c r="BE587" s="162">
        <v>0</v>
      </c>
      <c r="BF587" s="162">
        <v>0</v>
      </c>
      <c r="BG587" s="162">
        <v>0</v>
      </c>
      <c r="BH587" s="162">
        <v>0</v>
      </c>
      <c r="BI587" s="162">
        <v>0</v>
      </c>
      <c r="BJ587" s="162">
        <v>0</v>
      </c>
      <c r="BK587" s="162">
        <v>0</v>
      </c>
      <c r="BL587" s="162">
        <v>0</v>
      </c>
      <c r="BM587" s="162">
        <v>0</v>
      </c>
      <c r="BN587" s="162">
        <v>0</v>
      </c>
      <c r="BO587" s="162"/>
      <c r="BP587" s="162"/>
      <c r="BQ587" s="162">
        <v>0</v>
      </c>
      <c r="BR587" s="162">
        <v>0</v>
      </c>
      <c r="BS587" s="162">
        <v>2</v>
      </c>
      <c r="BT587" s="162">
        <v>0</v>
      </c>
      <c r="BU587" s="162">
        <v>0</v>
      </c>
      <c r="BV587" s="162">
        <v>0</v>
      </c>
      <c r="BW587" s="162"/>
      <c r="BX587" s="162"/>
      <c r="BY587" s="162">
        <v>0</v>
      </c>
      <c r="BZ587" s="162">
        <v>0</v>
      </c>
      <c r="CA587" s="162">
        <v>0</v>
      </c>
      <c r="CB587" s="162">
        <v>0</v>
      </c>
      <c r="CC587" s="162">
        <v>0</v>
      </c>
      <c r="CD587" s="162">
        <v>0</v>
      </c>
      <c r="CE587" s="162">
        <f>VLOOKUP(I587,[120]REV33!$A:$O,11,0)</f>
        <v>0</v>
      </c>
      <c r="CF587" s="162">
        <f>VLOOKUP(I587,[120]REV33!$A:$O,12,0)</f>
        <v>0</v>
      </c>
      <c r="CG587" s="162"/>
      <c r="CH587" s="162"/>
      <c r="CI587" s="162"/>
      <c r="CJ587" s="162"/>
      <c r="CK587" s="162"/>
      <c r="CL587" s="162"/>
      <c r="CM587" s="162"/>
      <c r="CN587" s="162"/>
      <c r="CO587" s="162">
        <v>0</v>
      </c>
      <c r="CP587" s="162">
        <v>0</v>
      </c>
      <c r="CQ587" s="162">
        <v>0</v>
      </c>
      <c r="CR587" s="162">
        <v>0</v>
      </c>
      <c r="CS587" s="209">
        <f>Q587+S587+U587+W587+Y587+AA587+AC587+AE587+AG587+AI587+AK587+AM587+AO587+AQ587+AS587+AU587+AW587+AY587+BA587+BC587+BE587+BG587+BI587+BK587+BM587+BO587+BQ587+BS587+BU587+BW587+BY587+CA587+CC587+CE587+CG587+CI587+CK587+CM587+CO587+CQ587</f>
        <v>4</v>
      </c>
      <c r="CT587" s="209">
        <f>R587+T587+V587+X587+Z587+AB587+AD587+AF587+AH587+AJ587+AL587+AN587+AP587+AR587+AT587+AV587+AX587+AZ587+BB587+BD587+BF587+BH587+BJ587+BL587+BN587+BP587+BR587+BT587+BV587+BX587+BZ587+CB587+CD587+CF587+CH587+CJ587+CL587+CN587+CP587+CR587</f>
        <v>0</v>
      </c>
      <c r="CU587" s="264" t="s">
        <v>2056</v>
      </c>
      <c r="DA587" s="152">
        <f t="shared" si="595"/>
        <v>4</v>
      </c>
      <c r="DB587" s="152" t="str">
        <f t="shared" si="596"/>
        <v>0</v>
      </c>
      <c r="DD587" s="992" t="s">
        <v>1510</v>
      </c>
      <c r="DE587" s="267" t="s">
        <v>1395</v>
      </c>
      <c r="DF587" s="268" t="s">
        <v>1392</v>
      </c>
      <c r="DH587" s="156" t="s">
        <v>477</v>
      </c>
      <c r="DI587" s="159">
        <v>45906</v>
      </c>
      <c r="DJ587" s="281">
        <v>346.5</v>
      </c>
      <c r="DK587" s="242" t="s">
        <v>477</v>
      </c>
      <c r="DL587" s="269">
        <v>55000</v>
      </c>
      <c r="DM587" s="181">
        <f t="shared" si="603"/>
        <v>20582100</v>
      </c>
      <c r="DN587" s="446">
        <f t="shared" si="577"/>
        <v>0.08</v>
      </c>
      <c r="DO587" s="265">
        <f t="shared" si="578"/>
        <v>19057500</v>
      </c>
      <c r="DP587" s="159">
        <v>45923</v>
      </c>
      <c r="DQ587" s="152">
        <f>SUMIF($I:$I,I587,$DJ:$DJ)</f>
        <v>346.5</v>
      </c>
      <c r="DR587" s="152">
        <f>SUMIF($I:$I,I587,$DK:$DK)</f>
        <v>0</v>
      </c>
      <c r="EO587" s="152">
        <f>SUMIF($I:$I,I587,$EC:$EC)</f>
        <v>0</v>
      </c>
      <c r="EP587" s="151">
        <f>SUMIF($I:$I,I587,$ED:$ED)</f>
        <v>0</v>
      </c>
      <c r="EQ587" s="153"/>
      <c r="ER587" s="153"/>
      <c r="ES587" s="153"/>
      <c r="ET587" s="153"/>
      <c r="EU587" s="152">
        <f t="shared" si="597"/>
        <v>346.5</v>
      </c>
      <c r="EV587" s="152">
        <f t="shared" si="598"/>
        <v>0</v>
      </c>
      <c r="EW587" s="152">
        <f t="shared" si="599"/>
        <v>-342.5</v>
      </c>
      <c r="EX587" s="152">
        <f t="shared" si="600"/>
        <v>0</v>
      </c>
      <c r="EY587" s="151" t="str">
        <f t="shared" si="601"/>
        <v>Thừa</v>
      </c>
    </row>
    <row r="588" spans="1:158" s="264" customFormat="1" ht="14" hidden="1" customHeight="1">
      <c r="A588" s="208" t="str">
        <f t="shared" si="573"/>
        <v>Hiện</v>
      </c>
      <c r="B588" s="154" t="str">
        <f t="shared" si="604"/>
        <v>Thừa Đủ</v>
      </c>
      <c r="C588" s="154">
        <f t="shared" si="605"/>
        <v>-404</v>
      </c>
      <c r="E588" s="265"/>
      <c r="F588" s="344" t="s">
        <v>1744</v>
      </c>
      <c r="I588" s="171" t="s">
        <v>1380</v>
      </c>
      <c r="J588" s="164" t="s">
        <v>1365</v>
      </c>
      <c r="K588" s="164" t="s">
        <v>1381</v>
      </c>
      <c r="L588" s="1396"/>
      <c r="M588" s="163" t="s">
        <v>1074</v>
      </c>
      <c r="N588" s="990"/>
      <c r="O588" s="991">
        <v>4</v>
      </c>
      <c r="Q588" s="266"/>
      <c r="AU588" s="162">
        <v>4</v>
      </c>
      <c r="AV588" s="162">
        <v>0</v>
      </c>
      <c r="AW588" s="162">
        <v>0</v>
      </c>
      <c r="AX588" s="162">
        <v>0</v>
      </c>
      <c r="AY588" s="162">
        <v>0</v>
      </c>
      <c r="AZ588" s="162">
        <v>0</v>
      </c>
      <c r="BA588" s="162"/>
      <c r="BB588" s="162"/>
      <c r="BC588" s="162">
        <v>-2</v>
      </c>
      <c r="BD588" s="162">
        <v>0</v>
      </c>
      <c r="BE588" s="162">
        <v>0</v>
      </c>
      <c r="BF588" s="162">
        <v>0</v>
      </c>
      <c r="BG588" s="162">
        <v>0</v>
      </c>
      <c r="BH588" s="162">
        <v>0</v>
      </c>
      <c r="BI588" s="162">
        <v>0</v>
      </c>
      <c r="BJ588" s="162">
        <v>0</v>
      </c>
      <c r="BK588" s="162">
        <v>0</v>
      </c>
      <c r="BL588" s="162">
        <v>0</v>
      </c>
      <c r="BM588" s="162">
        <v>0</v>
      </c>
      <c r="BN588" s="162">
        <v>0</v>
      </c>
      <c r="BO588" s="162"/>
      <c r="BP588" s="162"/>
      <c r="BQ588" s="162">
        <v>0</v>
      </c>
      <c r="BR588" s="162">
        <v>0</v>
      </c>
      <c r="BS588" s="162">
        <v>2</v>
      </c>
      <c r="BT588" s="162">
        <v>0</v>
      </c>
      <c r="BU588" s="162">
        <v>0</v>
      </c>
      <c r="BV588" s="162">
        <v>0</v>
      </c>
      <c r="BW588" s="162"/>
      <c r="BX588" s="162"/>
      <c r="BY588" s="162">
        <v>0</v>
      </c>
      <c r="BZ588" s="162">
        <v>0</v>
      </c>
      <c r="CA588" s="162">
        <v>0</v>
      </c>
      <c r="CB588" s="162">
        <v>0</v>
      </c>
      <c r="CC588" s="162">
        <v>0</v>
      </c>
      <c r="CD588" s="162">
        <v>0</v>
      </c>
      <c r="CE588" s="162">
        <f>VLOOKUP(I588,[120]REV33!$A:$O,11,0)</f>
        <v>0</v>
      </c>
      <c r="CF588" s="162">
        <f>VLOOKUP(I588,[120]REV33!$A:$O,12,0)</f>
        <v>0</v>
      </c>
      <c r="CG588" s="162"/>
      <c r="CH588" s="162"/>
      <c r="CI588" s="162"/>
      <c r="CJ588" s="162"/>
      <c r="CK588" s="162"/>
      <c r="CL588" s="162"/>
      <c r="CM588" s="162"/>
      <c r="CN588" s="162"/>
      <c r="CO588" s="162">
        <v>0</v>
      </c>
      <c r="CP588" s="162">
        <v>0</v>
      </c>
      <c r="CQ588" s="162">
        <v>0</v>
      </c>
      <c r="CR588" s="162">
        <v>0</v>
      </c>
      <c r="CS588" s="209">
        <f>Q588+S588+U588+W588+Y588+AA588+AC588+AE588+AG588+AI588+AK588+AM588+AO588+AQ588+AS588+AU588+AW588+AY588+BA588+BC588+BE588+BG588+BI588+BK588+BM588+BO588+BQ588+BS588+BU588+BW588+BY588+CA588+CC588+CE588+CG588+CI588+CK588+CM588+CO588+CQ588</f>
        <v>4</v>
      </c>
      <c r="CT588" s="209">
        <f>R588+T588+V588+X588+Z588+AB588+AD588+AF588+AH588+AJ588+AL588+AN588+AP588+AR588+AT588+AV588+AX588+AZ588+BB588+BD588+BF588+BH588+BJ588+BL588+BN588+BP588+BR588+BT588+BV588+BX588+BZ588+CB588+CD588+CF588+CH588+CJ588+CL588+CN588+CP588+CR588</f>
        <v>0</v>
      </c>
      <c r="CU588" s="264" t="s">
        <v>2056</v>
      </c>
      <c r="DA588" s="152">
        <f t="shared" si="595"/>
        <v>4</v>
      </c>
      <c r="DB588" s="152" t="str">
        <f t="shared" si="596"/>
        <v>0</v>
      </c>
      <c r="DD588" s="992" t="s">
        <v>1510</v>
      </c>
      <c r="DE588" s="267" t="s">
        <v>1395</v>
      </c>
      <c r="DF588" s="268" t="s">
        <v>1393</v>
      </c>
      <c r="DH588" s="156" t="s">
        <v>477</v>
      </c>
      <c r="DI588" s="159">
        <v>45906</v>
      </c>
      <c r="DJ588" s="281">
        <v>408</v>
      </c>
      <c r="DK588" s="242" t="s">
        <v>477</v>
      </c>
      <c r="DL588" s="269">
        <v>55000</v>
      </c>
      <c r="DM588" s="181">
        <f t="shared" si="603"/>
        <v>24235200</v>
      </c>
      <c r="DN588" s="446">
        <f t="shared" si="577"/>
        <v>0.08</v>
      </c>
      <c r="DO588" s="265">
        <f t="shared" si="578"/>
        <v>22440000</v>
      </c>
      <c r="DP588" s="159">
        <v>45923</v>
      </c>
      <c r="DQ588" s="152">
        <f>SUMIF($I:$I,I588,$DJ:$DJ)</f>
        <v>408</v>
      </c>
      <c r="DR588" s="152">
        <f>SUMIF($I:$I,I588,$DK:$DK)</f>
        <v>0</v>
      </c>
      <c r="EO588" s="152">
        <f>SUMIF($I:$I,I588,$EC:$EC)</f>
        <v>0</v>
      </c>
      <c r="EP588" s="151">
        <f>SUMIF($I:$I,I588,$ED:$ED)</f>
        <v>0</v>
      </c>
      <c r="EQ588" s="153"/>
      <c r="ER588" s="153"/>
      <c r="ES588" s="153"/>
      <c r="ET588" s="153"/>
      <c r="EU588" s="152">
        <f t="shared" si="597"/>
        <v>408</v>
      </c>
      <c r="EV588" s="152">
        <f t="shared" si="598"/>
        <v>0</v>
      </c>
      <c r="EW588" s="152">
        <f t="shared" si="599"/>
        <v>-404</v>
      </c>
      <c r="EX588" s="152">
        <f t="shared" si="600"/>
        <v>0</v>
      </c>
      <c r="EY588" s="151" t="str">
        <f t="shared" si="601"/>
        <v>Thừa</v>
      </c>
    </row>
    <row r="589" spans="1:158" s="264" customFormat="1" ht="14" hidden="1" customHeight="1">
      <c r="A589" s="208" t="str">
        <f t="shared" si="573"/>
        <v>Hiện</v>
      </c>
      <c r="B589" s="154" t="str">
        <f t="shared" si="604"/>
        <v>Thừa Đủ</v>
      </c>
      <c r="C589" s="154">
        <f t="shared" si="605"/>
        <v>-100</v>
      </c>
      <c r="E589" s="265"/>
      <c r="F589" s="344" t="s">
        <v>1744</v>
      </c>
      <c r="I589" s="171" t="s">
        <v>1382</v>
      </c>
      <c r="J589" s="164" t="s">
        <v>1365</v>
      </c>
      <c r="K589" s="164" t="s">
        <v>1383</v>
      </c>
      <c r="L589" s="1396"/>
      <c r="M589" s="163" t="s">
        <v>1074</v>
      </c>
      <c r="N589" s="990"/>
      <c r="O589" s="991">
        <v>4</v>
      </c>
      <c r="Q589" s="266"/>
      <c r="AU589" s="162">
        <v>4</v>
      </c>
      <c r="AV589" s="162">
        <v>0</v>
      </c>
      <c r="AW589" s="162">
        <v>0</v>
      </c>
      <c r="AX589" s="162">
        <v>0</v>
      </c>
      <c r="AY589" s="162">
        <v>0</v>
      </c>
      <c r="AZ589" s="162">
        <v>0</v>
      </c>
      <c r="BA589" s="162"/>
      <c r="BB589" s="162"/>
      <c r="BC589" s="162">
        <v>-2</v>
      </c>
      <c r="BD589" s="162">
        <v>0</v>
      </c>
      <c r="BE589" s="162">
        <v>0</v>
      </c>
      <c r="BF589" s="162">
        <v>0</v>
      </c>
      <c r="BG589" s="162">
        <v>0</v>
      </c>
      <c r="BH589" s="162">
        <v>0</v>
      </c>
      <c r="BI589" s="162">
        <v>0</v>
      </c>
      <c r="BJ589" s="162">
        <v>0</v>
      </c>
      <c r="BK589" s="162">
        <v>0</v>
      </c>
      <c r="BL589" s="162">
        <v>0</v>
      </c>
      <c r="BM589" s="162">
        <v>0</v>
      </c>
      <c r="BN589" s="162">
        <v>0</v>
      </c>
      <c r="BO589" s="162"/>
      <c r="BP589" s="162"/>
      <c r="BQ589" s="162">
        <v>0</v>
      </c>
      <c r="BR589" s="162">
        <v>0</v>
      </c>
      <c r="BS589" s="162">
        <v>2</v>
      </c>
      <c r="BT589" s="162">
        <v>0</v>
      </c>
      <c r="BU589" s="162">
        <v>0</v>
      </c>
      <c r="BV589" s="162">
        <v>0</v>
      </c>
      <c r="BW589" s="162"/>
      <c r="BX589" s="162"/>
      <c r="BY589" s="162">
        <v>0</v>
      </c>
      <c r="BZ589" s="162">
        <v>0</v>
      </c>
      <c r="CA589" s="162">
        <v>0</v>
      </c>
      <c r="CB589" s="162">
        <v>0</v>
      </c>
      <c r="CC589" s="162">
        <v>0</v>
      </c>
      <c r="CD589" s="162">
        <v>0</v>
      </c>
      <c r="CE589" s="162">
        <f>VLOOKUP(I589,[120]REV33!$A:$O,11,0)</f>
        <v>0</v>
      </c>
      <c r="CF589" s="162">
        <f>VLOOKUP(I589,[120]REV33!$A:$O,12,0)</f>
        <v>0</v>
      </c>
      <c r="CG589" s="162"/>
      <c r="CH589" s="162"/>
      <c r="CI589" s="162"/>
      <c r="CJ589" s="162"/>
      <c r="CK589" s="162"/>
      <c r="CL589" s="162"/>
      <c r="CM589" s="162"/>
      <c r="CN589" s="162"/>
      <c r="CO589" s="162">
        <v>0</v>
      </c>
      <c r="CP589" s="162">
        <v>0</v>
      </c>
      <c r="CQ589" s="162">
        <v>0</v>
      </c>
      <c r="CR589" s="162">
        <v>0</v>
      </c>
      <c r="CS589" s="209">
        <f>Q589+S589+U589+W589+Y589+AA589+AC589+AE589+AG589+AI589+AK589+AM589+AO589+AQ589+AS589+AU589+AW589+AY589+BA589+BC589+BE589+BG589+BI589+BK589+BM589+BO589+BQ589+BS589+BU589+BW589+BY589+CA589+CC589+CE589+CG589+CI589+CK589+CM589+CO589+CQ589</f>
        <v>4</v>
      </c>
      <c r="CT589" s="209">
        <f>R589+T589+V589+X589+Z589+AB589+AD589+AF589+AH589+AJ589+AL589+AN589+AP589+AR589+AT589+AV589+AX589+AZ589+BB589+BD589+BF589+BH589+BJ589+BL589+BN589+BP589+BR589+BT589+BV589+BX589+BZ589+CB589+CD589+CF589+CH589+CJ589+CL589+CN589+CP589+CR589</f>
        <v>0</v>
      </c>
      <c r="CU589" s="264" t="s">
        <v>2056</v>
      </c>
      <c r="DA589" s="152">
        <f t="shared" si="595"/>
        <v>4</v>
      </c>
      <c r="DB589" s="152" t="str">
        <f t="shared" si="596"/>
        <v>0</v>
      </c>
      <c r="DD589" s="992" t="s">
        <v>1510</v>
      </c>
      <c r="DE589" s="267" t="s">
        <v>1395</v>
      </c>
      <c r="DF589" s="268" t="s">
        <v>1394</v>
      </c>
      <c r="DH589" s="156" t="s">
        <v>477</v>
      </c>
      <c r="DI589" s="159">
        <v>45906</v>
      </c>
      <c r="DJ589" s="281">
        <v>104</v>
      </c>
      <c r="DK589" s="242" t="s">
        <v>477</v>
      </c>
      <c r="DL589" s="269">
        <v>55000</v>
      </c>
      <c r="DM589" s="181">
        <f t="shared" si="603"/>
        <v>6177600</v>
      </c>
      <c r="DN589" s="446">
        <f t="shared" si="577"/>
        <v>0.08</v>
      </c>
      <c r="DO589" s="265">
        <f t="shared" si="578"/>
        <v>5720000</v>
      </c>
      <c r="DP589" s="159">
        <v>45923</v>
      </c>
      <c r="DQ589" s="152">
        <f>SUMIF($I:$I,I589,$DJ:$DJ)</f>
        <v>104</v>
      </c>
      <c r="DR589" s="152">
        <f>SUMIF($I:$I,I589,$DK:$DK)</f>
        <v>0</v>
      </c>
      <c r="EO589" s="152">
        <f>SUMIF($I:$I,I589,$EC:$EC)</f>
        <v>0</v>
      </c>
      <c r="EP589" s="151">
        <f>SUMIF($I:$I,I589,$ED:$ED)</f>
        <v>0</v>
      </c>
      <c r="EQ589" s="153"/>
      <c r="ER589" s="153"/>
      <c r="ES589" s="153"/>
      <c r="ET589" s="153"/>
      <c r="EU589" s="152">
        <f t="shared" si="597"/>
        <v>104</v>
      </c>
      <c r="EV589" s="152">
        <f t="shared" si="598"/>
        <v>0</v>
      </c>
      <c r="EW589" s="152">
        <f t="shared" si="599"/>
        <v>-100</v>
      </c>
      <c r="EX589" s="152">
        <f t="shared" si="600"/>
        <v>0</v>
      </c>
      <c r="EY589" s="151" t="str">
        <f t="shared" si="601"/>
        <v>Thừa</v>
      </c>
    </row>
    <row r="590" spans="1:158" s="264" customFormat="1" ht="14" hidden="1" customHeight="1">
      <c r="A590" s="208" t="str">
        <f t="shared" si="573"/>
        <v>Hiện</v>
      </c>
      <c r="B590" s="154" t="str">
        <f t="shared" si="604"/>
        <v>Thừa Đủ</v>
      </c>
      <c r="C590" s="154">
        <f t="shared" si="605"/>
        <v>-204</v>
      </c>
      <c r="E590" s="265"/>
      <c r="F590" s="344" t="s">
        <v>1744</v>
      </c>
      <c r="I590" s="164" t="s">
        <v>1555</v>
      </c>
      <c r="J590" s="164" t="s">
        <v>1365</v>
      </c>
      <c r="K590" s="164" t="s">
        <v>1383</v>
      </c>
      <c r="L590" s="233"/>
      <c r="M590" s="163" t="s">
        <v>1074</v>
      </c>
      <c r="N590" s="990"/>
      <c r="O590" s="991">
        <v>4</v>
      </c>
      <c r="Q590" s="266"/>
      <c r="AU590" s="162"/>
      <c r="AV590" s="162"/>
      <c r="AW590" s="162"/>
      <c r="AX590" s="162"/>
      <c r="AY590" s="162"/>
      <c r="AZ590" s="162"/>
      <c r="BA590" s="162"/>
      <c r="BB590" s="162"/>
      <c r="BC590" s="162">
        <v>4</v>
      </c>
      <c r="BD590" s="162">
        <v>0</v>
      </c>
      <c r="BE590" s="162">
        <v>0</v>
      </c>
      <c r="BF590" s="162">
        <v>0</v>
      </c>
      <c r="BG590" s="162">
        <v>0</v>
      </c>
      <c r="BH590" s="162">
        <v>0</v>
      </c>
      <c r="BI590" s="162">
        <v>0</v>
      </c>
      <c r="BJ590" s="162">
        <v>0</v>
      </c>
      <c r="BK590" s="162">
        <v>0</v>
      </c>
      <c r="BL590" s="162">
        <v>0</v>
      </c>
      <c r="BM590" s="162">
        <v>0</v>
      </c>
      <c r="BN590" s="162">
        <v>0</v>
      </c>
      <c r="BO590" s="162"/>
      <c r="BP590" s="162"/>
      <c r="BQ590" s="162">
        <v>0</v>
      </c>
      <c r="BR590" s="162">
        <v>0</v>
      </c>
      <c r="BS590" s="162">
        <v>0</v>
      </c>
      <c r="BT590" s="162">
        <v>0</v>
      </c>
      <c r="BU590" s="162">
        <v>0</v>
      </c>
      <c r="BV590" s="162">
        <v>0</v>
      </c>
      <c r="BW590" s="162"/>
      <c r="BX590" s="162"/>
      <c r="BY590" s="162">
        <v>0</v>
      </c>
      <c r="BZ590" s="162">
        <v>0</v>
      </c>
      <c r="CA590" s="162">
        <v>0</v>
      </c>
      <c r="CB590" s="162">
        <v>0</v>
      </c>
      <c r="CC590" s="162">
        <v>0</v>
      </c>
      <c r="CD590" s="162">
        <v>0</v>
      </c>
      <c r="CE590" s="162">
        <f>VLOOKUP(I590,[120]REV33!$A:$O,11,0)</f>
        <v>0</v>
      </c>
      <c r="CF590" s="162">
        <f>VLOOKUP(I590,[120]REV33!$A:$O,12,0)</f>
        <v>0</v>
      </c>
      <c r="CG590" s="162"/>
      <c r="CH590" s="162"/>
      <c r="CI590" s="162"/>
      <c r="CJ590" s="162"/>
      <c r="CK590" s="162"/>
      <c r="CL590" s="162"/>
      <c r="CM590" s="162"/>
      <c r="CN590" s="162"/>
      <c r="CO590" s="162">
        <v>0</v>
      </c>
      <c r="CP590" s="162">
        <v>0</v>
      </c>
      <c r="CQ590" s="162">
        <v>0</v>
      </c>
      <c r="CR590" s="162">
        <v>0</v>
      </c>
      <c r="CS590" s="209">
        <f>Q590+S590+U590+W590+Y590+AA590+AC590+AE590+AG590+AI590+AK590+AM590+AO590+AQ590+AS590+AU590+AW590+AY590+BA590+BC590+BE590+BG590+BI590+BK590+BM590+BO590+BQ590+BS590+BU590+BW590+BY590+CA590+CC590+CE590+CG590+CI590+CK590+CM590+CO590+CQ590</f>
        <v>4</v>
      </c>
      <c r="CT590" s="209">
        <f>R590+T590+V590+X590+Z590+AB590+AD590+AF590+AH590+AJ590+AL590+AN590+AP590+AR590+AT590+AV590+AX590+AZ590+BB590+BD590+BF590+BH590+BJ590+BL590+BN590+BP590+BR590+BT590+BV590+BX590+BZ590+CB590+CD590+CF590+CH590+CJ590+CL590+CN590+CP590+CR590</f>
        <v>0</v>
      </c>
      <c r="CU590" s="264" t="s">
        <v>1559</v>
      </c>
      <c r="DA590" s="152">
        <f t="shared" si="595"/>
        <v>4</v>
      </c>
      <c r="DB590" s="152" t="str">
        <f t="shared" si="596"/>
        <v>0</v>
      </c>
      <c r="DD590" s="992" t="s">
        <v>374</v>
      </c>
      <c r="DE590" s="267" t="s">
        <v>1395</v>
      </c>
      <c r="DF590" s="993" t="s">
        <v>1561</v>
      </c>
      <c r="DH590" s="240" t="s">
        <v>477</v>
      </c>
      <c r="DI590" s="159" t="s">
        <v>374</v>
      </c>
      <c r="DJ590" s="281">
        <v>208</v>
      </c>
      <c r="DK590" s="242" t="s">
        <v>477</v>
      </c>
      <c r="DL590" s="269">
        <v>55000</v>
      </c>
      <c r="DM590" s="181">
        <f t="shared" si="603"/>
        <v>12355200</v>
      </c>
      <c r="DN590" s="446">
        <f t="shared" si="577"/>
        <v>0.08</v>
      </c>
      <c r="DO590" s="441">
        <f t="shared" si="578"/>
        <v>11440000</v>
      </c>
      <c r="DP590" s="159">
        <v>45936</v>
      </c>
      <c r="DQ590" s="152">
        <f>SUMIF($I:$I,I590,$DJ:$DJ)</f>
        <v>208</v>
      </c>
      <c r="DR590" s="152">
        <f>SUMIF($I:$I,I590,$DK:$DK)</f>
        <v>0</v>
      </c>
      <c r="EO590" s="152">
        <f>SUMIF($I:$I,I590,$EC:$EC)</f>
        <v>0</v>
      </c>
      <c r="EP590" s="151">
        <f>SUMIF($I:$I,I590,$ED:$ED)</f>
        <v>0</v>
      </c>
      <c r="EQ590" s="153"/>
      <c r="ER590" s="153"/>
      <c r="ES590" s="153"/>
      <c r="ET590" s="153"/>
      <c r="EU590" s="152">
        <f t="shared" si="597"/>
        <v>208</v>
      </c>
      <c r="EV590" s="152">
        <f t="shared" si="598"/>
        <v>0</v>
      </c>
      <c r="EW590" s="152">
        <f t="shared" si="599"/>
        <v>-204</v>
      </c>
      <c r="EX590" s="152">
        <f t="shared" si="600"/>
        <v>0</v>
      </c>
      <c r="EY590" s="151" t="str">
        <f t="shared" si="601"/>
        <v>Thừa</v>
      </c>
    </row>
    <row r="591" spans="1:158" s="264" customFormat="1" ht="14" hidden="1" customHeight="1">
      <c r="A591" s="208" t="str">
        <f t="shared" si="573"/>
        <v>Hiện</v>
      </c>
      <c r="B591" s="154" t="str">
        <f t="shared" ref="B591" si="606">EY591</f>
        <v>Đủ</v>
      </c>
      <c r="C591" s="154">
        <f t="shared" ref="C591" si="607">EW591</f>
        <v>0</v>
      </c>
      <c r="E591" s="265"/>
      <c r="F591" s="344" t="s">
        <v>1728</v>
      </c>
      <c r="I591" s="164" t="s">
        <v>1433</v>
      </c>
      <c r="J591" s="164" t="s">
        <v>922</v>
      </c>
      <c r="K591" s="171" t="s">
        <v>1434</v>
      </c>
      <c r="L591" s="233"/>
      <c r="M591" s="163" t="s">
        <v>1074</v>
      </c>
      <c r="N591" s="990"/>
      <c r="O591" s="991">
        <v>64</v>
      </c>
      <c r="Q591" s="266"/>
      <c r="AW591" s="162">
        <v>64</v>
      </c>
      <c r="AX591" s="162">
        <v>0</v>
      </c>
      <c r="AY591" s="162">
        <v>0</v>
      </c>
      <c r="AZ591" s="162">
        <v>0</v>
      </c>
      <c r="BA591" s="162"/>
      <c r="BB591" s="162"/>
      <c r="BC591" s="162">
        <v>0</v>
      </c>
      <c r="BD591" s="162">
        <v>0</v>
      </c>
      <c r="BE591" s="162">
        <v>0</v>
      </c>
      <c r="BF591" s="162">
        <v>0</v>
      </c>
      <c r="BG591" s="162">
        <v>0</v>
      </c>
      <c r="BH591" s="162">
        <v>0</v>
      </c>
      <c r="BI591" s="162">
        <v>0</v>
      </c>
      <c r="BJ591" s="162">
        <v>0</v>
      </c>
      <c r="BK591" s="162">
        <v>0</v>
      </c>
      <c r="BL591" s="162">
        <v>0</v>
      </c>
      <c r="BM591" s="162">
        <v>0</v>
      </c>
      <c r="BN591" s="162">
        <v>0</v>
      </c>
      <c r="BO591" s="162"/>
      <c r="BP591" s="162"/>
      <c r="BQ591" s="162">
        <v>0</v>
      </c>
      <c r="BR591" s="162">
        <v>0</v>
      </c>
      <c r="BS591" s="162">
        <v>0</v>
      </c>
      <c r="BT591" s="162">
        <v>0</v>
      </c>
      <c r="BU591" s="162">
        <v>0</v>
      </c>
      <c r="BV591" s="162">
        <v>0</v>
      </c>
      <c r="BW591" s="162"/>
      <c r="BX591" s="162"/>
      <c r="BY591" s="162">
        <v>0</v>
      </c>
      <c r="BZ591" s="162">
        <v>0</v>
      </c>
      <c r="CA591" s="162">
        <v>0</v>
      </c>
      <c r="CB591" s="162">
        <v>0</v>
      </c>
      <c r="CC591" s="162">
        <v>0</v>
      </c>
      <c r="CD591" s="162">
        <v>0</v>
      </c>
      <c r="CE591" s="162">
        <f>VLOOKUP(I591,[120]REV33!$A:$O,11,0)</f>
        <v>0</v>
      </c>
      <c r="CF591" s="162">
        <f>VLOOKUP(I591,[120]REV33!$A:$O,12,0)</f>
        <v>0</v>
      </c>
      <c r="CG591" s="162"/>
      <c r="CH591" s="162"/>
      <c r="CI591" s="162"/>
      <c r="CJ591" s="162"/>
      <c r="CK591" s="162"/>
      <c r="CL591" s="162"/>
      <c r="CM591" s="162"/>
      <c r="CN591" s="162"/>
      <c r="CO591" s="162">
        <v>0</v>
      </c>
      <c r="CP591" s="162">
        <v>0</v>
      </c>
      <c r="CQ591" s="162">
        <v>0</v>
      </c>
      <c r="CR591" s="162">
        <v>0</v>
      </c>
      <c r="CS591" s="209">
        <f>Q591+S591+U591+W591+Y591+AA591+AC591+AE591+AG591+AI591+AK591+AM591+AO591+AQ591+AS591+AU591+AW591+AY591+BA591+BC591+BE591+BG591+BI591+BK591+BM591+BO591+BQ591+BS591+BU591+BW591+BY591+CA591+CC591+CE591+CG591+CI591+CK591+CM591+CO591+CQ591</f>
        <v>64</v>
      </c>
      <c r="CT591" s="209">
        <f>R591+T591+V591+X591+Z591+AB591+AD591+AF591+AH591+AJ591+AL591+AN591+AP591+AR591+AT591+AV591+AX591+AZ591+BB591+BD591+BF591+BH591+BJ591+BL591+BN591+BP591+BR591+BT591+BV591+BX591+BZ591+CB591+CD591+CF591+CH591+CJ591+CL591+CN591+CP591+CR591</f>
        <v>0</v>
      </c>
      <c r="CU591" s="264" t="s">
        <v>1436</v>
      </c>
      <c r="DA591" s="152">
        <f t="shared" si="595"/>
        <v>64</v>
      </c>
      <c r="DB591" s="152" t="str">
        <f t="shared" si="596"/>
        <v>0</v>
      </c>
      <c r="DD591" s="158" t="s">
        <v>1583</v>
      </c>
      <c r="DE591" s="156" t="s">
        <v>435</v>
      </c>
      <c r="DF591" s="171" t="s">
        <v>1434</v>
      </c>
      <c r="DH591" s="156" t="s">
        <v>477</v>
      </c>
      <c r="DI591" s="187">
        <v>45916</v>
      </c>
      <c r="DJ591" s="979">
        <v>64</v>
      </c>
      <c r="DK591" s="240" t="s">
        <v>477</v>
      </c>
      <c r="DL591" s="182">
        <v>9110</v>
      </c>
      <c r="DM591" s="181">
        <f>DL591*DJ591*1.1</f>
        <v>641344</v>
      </c>
      <c r="DN591" s="446">
        <f t="shared" si="577"/>
        <v>0.1</v>
      </c>
      <c r="DO591" s="160">
        <f t="shared" si="578"/>
        <v>583040</v>
      </c>
      <c r="DP591" s="159">
        <v>45922</v>
      </c>
      <c r="DQ591" s="152">
        <f>SUMIF($I:$I,I591,$DJ:$DJ)</f>
        <v>64</v>
      </c>
      <c r="DR591" s="152">
        <f>SUMIF($I:$I,I591,$DK:$DK)</f>
        <v>0</v>
      </c>
      <c r="EO591" s="152">
        <f>SUMIF($I:$I,I591,$EC:$EC)</f>
        <v>0</v>
      </c>
      <c r="EP591" s="151">
        <f>SUMIF($I:$I,I591,$ED:$ED)</f>
        <v>0</v>
      </c>
      <c r="EQ591" s="153"/>
      <c r="ER591" s="153"/>
      <c r="ES591" s="153"/>
      <c r="ET591" s="153"/>
      <c r="EU591" s="152">
        <f t="shared" si="597"/>
        <v>64</v>
      </c>
      <c r="EV591" s="152">
        <f t="shared" si="598"/>
        <v>0</v>
      </c>
      <c r="EW591" s="152">
        <f t="shared" si="599"/>
        <v>0</v>
      </c>
      <c r="EX591" s="152">
        <f t="shared" si="600"/>
        <v>0</v>
      </c>
      <c r="EY591" s="151" t="str">
        <f t="shared" si="601"/>
        <v>Đủ</v>
      </c>
    </row>
    <row r="592" spans="1:158" s="264" customFormat="1" ht="14" hidden="1" customHeight="1">
      <c r="A592" s="208" t="str">
        <f t="shared" si="573"/>
        <v>Hiện</v>
      </c>
      <c r="B592" s="154" t="str">
        <f t="shared" ref="B592:B593" si="608">EY592</f>
        <v>Đủ</v>
      </c>
      <c r="C592" s="154">
        <f t="shared" ref="C592:C593" si="609">EW592</f>
        <v>0</v>
      </c>
      <c r="E592" s="265"/>
      <c r="F592" s="344" t="s">
        <v>1728</v>
      </c>
      <c r="I592" s="164" t="s">
        <v>1470</v>
      </c>
      <c r="J592" s="164" t="s">
        <v>922</v>
      </c>
      <c r="K592" s="171" t="s">
        <v>1471</v>
      </c>
      <c r="L592" s="233"/>
      <c r="M592" s="163" t="s">
        <v>1074</v>
      </c>
      <c r="N592" s="990"/>
      <c r="O592" s="991"/>
      <c r="Q592" s="266"/>
      <c r="AW592" s="162"/>
      <c r="AX592" s="162"/>
      <c r="AY592" s="162">
        <v>16</v>
      </c>
      <c r="AZ592" s="162">
        <v>0</v>
      </c>
      <c r="BA592" s="162"/>
      <c r="BB592" s="162"/>
      <c r="BC592" s="162">
        <v>0</v>
      </c>
      <c r="BD592" s="162">
        <v>0</v>
      </c>
      <c r="BE592" s="162">
        <v>0</v>
      </c>
      <c r="BF592" s="162">
        <v>0</v>
      </c>
      <c r="BG592" s="162">
        <v>0</v>
      </c>
      <c r="BH592" s="162">
        <v>0</v>
      </c>
      <c r="BI592" s="162">
        <v>0</v>
      </c>
      <c r="BJ592" s="162">
        <v>0</v>
      </c>
      <c r="BK592" s="162">
        <v>0</v>
      </c>
      <c r="BL592" s="162">
        <v>0</v>
      </c>
      <c r="BM592" s="162">
        <v>0</v>
      </c>
      <c r="BN592" s="162">
        <v>0</v>
      </c>
      <c r="BO592" s="162"/>
      <c r="BP592" s="162"/>
      <c r="BQ592" s="162">
        <v>0</v>
      </c>
      <c r="BR592" s="162">
        <v>0</v>
      </c>
      <c r="BS592" s="162">
        <v>0</v>
      </c>
      <c r="BT592" s="162">
        <v>0</v>
      </c>
      <c r="BU592" s="162">
        <v>0</v>
      </c>
      <c r="BV592" s="162">
        <v>0</v>
      </c>
      <c r="BW592" s="162"/>
      <c r="BX592" s="162"/>
      <c r="BY592" s="162">
        <v>0</v>
      </c>
      <c r="BZ592" s="162">
        <v>0</v>
      </c>
      <c r="CA592" s="162">
        <v>0</v>
      </c>
      <c r="CB592" s="162">
        <v>0</v>
      </c>
      <c r="CC592" s="162">
        <v>0</v>
      </c>
      <c r="CD592" s="162">
        <v>0</v>
      </c>
      <c r="CE592" s="162">
        <f>VLOOKUP(I592,[120]REV33!$A:$O,11,0)</f>
        <v>0</v>
      </c>
      <c r="CF592" s="162">
        <f>VLOOKUP(I592,[120]REV33!$A:$O,12,0)</f>
        <v>0</v>
      </c>
      <c r="CG592" s="162"/>
      <c r="CH592" s="162"/>
      <c r="CI592" s="162"/>
      <c r="CJ592" s="162"/>
      <c r="CK592" s="162"/>
      <c r="CL592" s="162"/>
      <c r="CM592" s="162"/>
      <c r="CN592" s="162"/>
      <c r="CO592" s="162">
        <v>0</v>
      </c>
      <c r="CP592" s="162">
        <v>0</v>
      </c>
      <c r="CQ592" s="162">
        <v>0</v>
      </c>
      <c r="CR592" s="162">
        <v>0</v>
      </c>
      <c r="CS592" s="209">
        <f>Q592+S592+U592+W592+Y592+AA592+AC592+AE592+AG592+AI592+AK592+AM592+AO592+AQ592+AS592+AU592+AW592+AY592+BA592+BC592+BE592+BG592+BI592+BK592+BM592+BO592+BQ592+BS592+BU592+BW592+BY592+CA592+CC592+CE592+CG592+CI592+CK592+CM592+CO592+CQ592</f>
        <v>16</v>
      </c>
      <c r="CT592" s="209">
        <f>R592+T592+V592+X592+Z592+AB592+AD592+AF592+AH592+AJ592+AL592+AN592+AP592+AR592+AT592+AV592+AX592+AZ592+BB592+BD592+BF592+BH592+BJ592+BL592+BN592+BP592+BR592+BT592+BV592+BX592+BZ592+CB592+CD592+CF592+CH592+CJ592+CL592+CN592+CP592+CR592</f>
        <v>0</v>
      </c>
      <c r="CU592" s="264" t="s">
        <v>1477</v>
      </c>
      <c r="DA592" s="152">
        <f t="shared" si="595"/>
        <v>16</v>
      </c>
      <c r="DB592" s="152" t="str">
        <f t="shared" si="596"/>
        <v>0</v>
      </c>
      <c r="DD592" s="158" t="s">
        <v>1583</v>
      </c>
      <c r="DE592" s="156" t="s">
        <v>435</v>
      </c>
      <c r="DF592" s="171" t="s">
        <v>1471</v>
      </c>
      <c r="DH592" s="156" t="s">
        <v>477</v>
      </c>
      <c r="DI592" s="187">
        <v>45916</v>
      </c>
      <c r="DJ592" s="979">
        <v>16</v>
      </c>
      <c r="DK592" s="240" t="s">
        <v>477</v>
      </c>
      <c r="DL592" s="264">
        <v>16500</v>
      </c>
      <c r="DM592" s="181">
        <f>DL592*DJ592*1.1</f>
        <v>290400</v>
      </c>
      <c r="DN592" s="446">
        <f t="shared" si="577"/>
        <v>0.1</v>
      </c>
      <c r="DO592" s="160">
        <f t="shared" si="578"/>
        <v>264000</v>
      </c>
      <c r="DP592" s="159">
        <v>45922</v>
      </c>
      <c r="DQ592" s="152">
        <f>SUMIF($I:$I,I592,$DJ:$DJ)</f>
        <v>16</v>
      </c>
      <c r="DR592" s="152">
        <f>SUMIF($I:$I,I592,$DK:$DK)</f>
        <v>0</v>
      </c>
      <c r="EO592" s="152">
        <f>SUMIF($I:$I,I592,$EC:$EC)</f>
        <v>0</v>
      </c>
      <c r="EP592" s="151">
        <f>SUMIF($I:$I,I592,$ED:$ED)</f>
        <v>0</v>
      </c>
      <c r="EQ592" s="153"/>
      <c r="ER592" s="153"/>
      <c r="ES592" s="153"/>
      <c r="ET592" s="153"/>
      <c r="EU592" s="152">
        <f t="shared" si="597"/>
        <v>16</v>
      </c>
      <c r="EV592" s="152">
        <f t="shared" si="598"/>
        <v>0</v>
      </c>
      <c r="EW592" s="152">
        <f t="shared" si="599"/>
        <v>0</v>
      </c>
      <c r="EX592" s="152">
        <f t="shared" si="600"/>
        <v>0</v>
      </c>
      <c r="EY592" s="151" t="str">
        <f t="shared" si="601"/>
        <v>Đủ</v>
      </c>
    </row>
    <row r="593" spans="1:164" s="994" customFormat="1" ht="14" hidden="1" customHeight="1">
      <c r="A593" s="208" t="str">
        <f t="shared" si="573"/>
        <v>Hiện</v>
      </c>
      <c r="B593" s="154" t="str">
        <f t="shared" si="608"/>
        <v>Đủ</v>
      </c>
      <c r="C593" s="154">
        <f t="shared" si="609"/>
        <v>0</v>
      </c>
      <c r="D593" s="264"/>
      <c r="E593" s="265"/>
      <c r="F593" s="344" t="s">
        <v>1728</v>
      </c>
      <c r="G593" s="264"/>
      <c r="H593" s="264"/>
      <c r="I593" s="164" t="s">
        <v>1472</v>
      </c>
      <c r="J593" s="164" t="s">
        <v>235</v>
      </c>
      <c r="K593" s="171" t="s">
        <v>1473</v>
      </c>
      <c r="L593" s="233" t="s">
        <v>399</v>
      </c>
      <c r="M593" s="163" t="s">
        <v>44</v>
      </c>
      <c r="N593" s="990">
        <f>78.5*1.6</f>
        <v>125.60000000000001</v>
      </c>
      <c r="O593" s="991"/>
      <c r="P593" s="264"/>
      <c r="Q593" s="266"/>
      <c r="R593" s="264"/>
      <c r="S593" s="264"/>
      <c r="T593" s="264"/>
      <c r="U593" s="264"/>
      <c r="V593" s="264"/>
      <c r="W593" s="264"/>
      <c r="X593" s="264"/>
      <c r="Y593" s="264"/>
      <c r="Z593" s="264"/>
      <c r="AA593" s="264"/>
      <c r="AB593" s="264"/>
      <c r="AC593" s="264"/>
      <c r="AD593" s="264"/>
      <c r="AE593" s="264"/>
      <c r="AF593" s="264"/>
      <c r="AG593" s="264"/>
      <c r="AH593" s="264"/>
      <c r="AI593" s="264"/>
      <c r="AJ593" s="264"/>
      <c r="AK593" s="264"/>
      <c r="AL593" s="264"/>
      <c r="AM593" s="264"/>
      <c r="AN593" s="264"/>
      <c r="AO593" s="264"/>
      <c r="AP593" s="264"/>
      <c r="AQ593" s="264"/>
      <c r="AR593" s="264"/>
      <c r="AS593" s="264"/>
      <c r="AT593" s="264"/>
      <c r="AU593" s="264"/>
      <c r="AV593" s="264"/>
      <c r="AW593" s="162"/>
      <c r="AX593" s="162"/>
      <c r="AY593" s="162">
        <v>48</v>
      </c>
      <c r="AZ593" s="162">
        <v>6028.8</v>
      </c>
      <c r="BA593" s="162"/>
      <c r="BB593" s="162"/>
      <c r="BC593" s="162">
        <v>0</v>
      </c>
      <c r="BD593" s="162">
        <v>0</v>
      </c>
      <c r="BE593" s="162">
        <v>0</v>
      </c>
      <c r="BF593" s="162">
        <v>0</v>
      </c>
      <c r="BG593" s="162">
        <v>0</v>
      </c>
      <c r="BH593" s="162">
        <v>0</v>
      </c>
      <c r="BI593" s="162">
        <v>0</v>
      </c>
      <c r="BJ593" s="162">
        <v>0</v>
      </c>
      <c r="BK593" s="162">
        <v>0</v>
      </c>
      <c r="BL593" s="162">
        <v>0</v>
      </c>
      <c r="BM593" s="162">
        <v>0</v>
      </c>
      <c r="BN593" s="162">
        <v>0</v>
      </c>
      <c r="BO593" s="162"/>
      <c r="BP593" s="162"/>
      <c r="BQ593" s="162">
        <v>0</v>
      </c>
      <c r="BR593" s="162">
        <v>0</v>
      </c>
      <c r="BS593" s="162">
        <v>0</v>
      </c>
      <c r="BT593" s="162">
        <v>0</v>
      </c>
      <c r="BU593" s="162">
        <v>0</v>
      </c>
      <c r="BV593" s="162">
        <v>0</v>
      </c>
      <c r="BW593" s="162"/>
      <c r="BX593" s="162"/>
      <c r="BY593" s="162">
        <v>0</v>
      </c>
      <c r="BZ593" s="162">
        <v>0</v>
      </c>
      <c r="CA593" s="162">
        <v>0</v>
      </c>
      <c r="CB593" s="162">
        <v>0</v>
      </c>
      <c r="CC593" s="162">
        <v>0</v>
      </c>
      <c r="CD593" s="162">
        <v>0</v>
      </c>
      <c r="CE593" s="162">
        <f>VLOOKUP(I593,[120]REV33!$A:$O,11,0)</f>
        <v>0</v>
      </c>
      <c r="CF593" s="162">
        <f>VLOOKUP(I593,[120]REV33!$A:$O,12,0)</f>
        <v>0</v>
      </c>
      <c r="CG593" s="162"/>
      <c r="CH593" s="162"/>
      <c r="CI593" s="162"/>
      <c r="CJ593" s="162"/>
      <c r="CK593" s="162"/>
      <c r="CL593" s="162"/>
      <c r="CM593" s="162"/>
      <c r="CN593" s="162"/>
      <c r="CO593" s="162">
        <v>0</v>
      </c>
      <c r="CP593" s="162">
        <v>0</v>
      </c>
      <c r="CQ593" s="162">
        <v>0</v>
      </c>
      <c r="CR593" s="162">
        <v>0</v>
      </c>
      <c r="CS593" s="209">
        <f>Q593+S593+U593+W593+Y593+AA593+AC593+AE593+AG593+AI593+AK593+AM593+AO593+AQ593+AS593+AU593+AW593+AY593+BA593+BC593+BE593+BG593+BI593+BK593+BM593+BO593+BQ593+BS593+BU593+BW593+BY593+CA593+CC593+CE593+CG593+CI593+CK593+CM593+CO593+CQ593</f>
        <v>48</v>
      </c>
      <c r="CT593" s="209">
        <f>R593+T593+V593+X593+Z593+AB593+AD593+AF593+AH593+AJ593+AL593+AN593+AP593+AR593+AT593+AV593+AX593+AZ593+BB593+BD593+BF593+BH593+BJ593+BL593+BN593+BP593+BR593+BT593+BV593+BX593+BZ593+CB593+CD593+CF593+CH593+CJ593+CL593+CN593+CP593+CR593</f>
        <v>6028.8</v>
      </c>
      <c r="CU593" s="264" t="s">
        <v>1478</v>
      </c>
      <c r="CV593" s="264"/>
      <c r="CW593" s="264"/>
      <c r="CX593" s="264"/>
      <c r="CY593" s="264"/>
      <c r="CZ593" s="264"/>
      <c r="DA593" s="152">
        <f t="shared" si="595"/>
        <v>48</v>
      </c>
      <c r="DB593" s="152">
        <f t="shared" si="596"/>
        <v>6028.8</v>
      </c>
      <c r="DC593" s="264"/>
      <c r="DD593" s="153" t="s">
        <v>1694</v>
      </c>
      <c r="DE593" s="277" t="s">
        <v>45</v>
      </c>
      <c r="DF593" s="213" t="s">
        <v>1504</v>
      </c>
      <c r="DG593" s="264"/>
      <c r="DH593" s="264">
        <v>6028.8</v>
      </c>
      <c r="DI593" s="153">
        <v>45915</v>
      </c>
      <c r="DJ593" s="270">
        <v>48</v>
      </c>
      <c r="DK593" s="270">
        <v>6028.8</v>
      </c>
      <c r="DL593" s="182">
        <f>14700/1.1</f>
        <v>13363.636363636362</v>
      </c>
      <c r="DM593" s="181">
        <f>DL593*DK593*1.1</f>
        <v>88623360</v>
      </c>
      <c r="DN593" s="446">
        <f t="shared" si="577"/>
        <v>0.10000000000000003</v>
      </c>
      <c r="DO593" s="182">
        <f>DL593*DK593</f>
        <v>80566690.909090906</v>
      </c>
      <c r="DP593" s="275">
        <v>45918</v>
      </c>
      <c r="DQ593" s="152">
        <f>SUMIF($I:$I,I593,$DJ:$DJ)</f>
        <v>48</v>
      </c>
      <c r="DR593" s="152">
        <f>SUMIF($I:$I,I593,$DK:$DK)</f>
        <v>6028.8</v>
      </c>
      <c r="DS593" s="264"/>
      <c r="DT593" s="264"/>
      <c r="DU593" s="264"/>
      <c r="DV593" s="264"/>
      <c r="DW593" s="264"/>
      <c r="DX593" s="264"/>
      <c r="DY593" s="264"/>
      <c r="DZ593" s="264"/>
      <c r="EA593" s="264"/>
      <c r="EB593" s="264"/>
      <c r="EC593" s="264"/>
      <c r="ED593" s="264"/>
      <c r="EE593" s="264"/>
      <c r="EF593" s="264"/>
      <c r="EG593" s="264"/>
      <c r="EH593" s="264"/>
      <c r="EI593" s="264"/>
      <c r="EJ593" s="264"/>
      <c r="EK593" s="264"/>
      <c r="EL593" s="264"/>
      <c r="EM593" s="264"/>
      <c r="EN593" s="264"/>
      <c r="EO593" s="152">
        <f>SUMIF($I:$I,I593,$EC:$EC)</f>
        <v>0</v>
      </c>
      <c r="EP593" s="151">
        <f>SUMIF($I:$I,I593,$ED:$ED)</f>
        <v>0</v>
      </c>
      <c r="EQ593" s="153"/>
      <c r="ER593" s="153"/>
      <c r="ES593" s="153"/>
      <c r="ET593" s="153"/>
      <c r="EU593" s="152">
        <f t="shared" si="597"/>
        <v>48</v>
      </c>
      <c r="EV593" s="152">
        <f t="shared" si="598"/>
        <v>6028.8</v>
      </c>
      <c r="EW593" s="152">
        <f t="shared" si="599"/>
        <v>0</v>
      </c>
      <c r="EX593" s="152">
        <f t="shared" si="600"/>
        <v>0</v>
      </c>
      <c r="EY593" s="151" t="str">
        <f t="shared" si="601"/>
        <v>Đủ</v>
      </c>
      <c r="EZ593" s="264"/>
      <c r="FA593" s="264"/>
      <c r="FB593" s="264"/>
    </row>
    <row r="594" spans="1:164" s="264" customFormat="1" ht="14" hidden="1" customHeight="1">
      <c r="A594" s="208" t="str">
        <f t="shared" si="573"/>
        <v>Hiện</v>
      </c>
      <c r="B594" s="154" t="str">
        <f t="shared" ref="B594:B607" si="610">EY594</f>
        <v>Đủ</v>
      </c>
      <c r="C594" s="154">
        <f t="shared" ref="C594:C607" si="611">EW594</f>
        <v>0</v>
      </c>
      <c r="F594" s="344" t="s">
        <v>1728</v>
      </c>
      <c r="I594" s="164" t="s">
        <v>1606</v>
      </c>
      <c r="J594" s="164" t="s">
        <v>344</v>
      </c>
      <c r="K594" s="164" t="s">
        <v>344</v>
      </c>
      <c r="L594" s="976" t="s">
        <v>720</v>
      </c>
      <c r="M594" s="163" t="s">
        <v>345</v>
      </c>
      <c r="N594" s="172"/>
      <c r="O594" s="229">
        <v>5</v>
      </c>
      <c r="Q594" s="266"/>
      <c r="BG594" s="162">
        <v>5</v>
      </c>
      <c r="BH594" s="162">
        <v>0</v>
      </c>
      <c r="BI594" s="162">
        <v>0</v>
      </c>
      <c r="BJ594" s="162">
        <v>0</v>
      </c>
      <c r="BK594" s="162">
        <v>0</v>
      </c>
      <c r="BL594" s="162">
        <v>0</v>
      </c>
      <c r="BM594" s="162">
        <v>0</v>
      </c>
      <c r="BN594" s="162">
        <v>0</v>
      </c>
      <c r="BO594" s="162"/>
      <c r="BP594" s="162"/>
      <c r="BQ594" s="162">
        <v>0</v>
      </c>
      <c r="BR594" s="162">
        <v>0</v>
      </c>
      <c r="BS594" s="162">
        <v>0</v>
      </c>
      <c r="BT594" s="162">
        <v>0</v>
      </c>
      <c r="BU594" s="162">
        <v>0</v>
      </c>
      <c r="BV594" s="162">
        <v>0</v>
      </c>
      <c r="BW594" s="162"/>
      <c r="BX594" s="162"/>
      <c r="BY594" s="162">
        <v>0</v>
      </c>
      <c r="BZ594" s="162">
        <v>0</v>
      </c>
      <c r="CA594" s="162">
        <v>0</v>
      </c>
      <c r="CB594" s="162">
        <v>0</v>
      </c>
      <c r="CC594" s="162">
        <v>0</v>
      </c>
      <c r="CD594" s="162">
        <v>0</v>
      </c>
      <c r="CE594" s="162">
        <f>VLOOKUP(I594,[120]REV33!$A:$O,11,0)</f>
        <v>0</v>
      </c>
      <c r="CF594" s="162">
        <f>VLOOKUP(I594,[120]REV33!$A:$O,12,0)</f>
        <v>0</v>
      </c>
      <c r="CG594" s="162"/>
      <c r="CH594" s="162"/>
      <c r="CI594" s="162"/>
      <c r="CJ594" s="162"/>
      <c r="CK594" s="162"/>
      <c r="CL594" s="162"/>
      <c r="CM594" s="162"/>
      <c r="CN594" s="162"/>
      <c r="CO594" s="162">
        <v>0</v>
      </c>
      <c r="CP594" s="162">
        <v>0</v>
      </c>
      <c r="CQ594" s="162">
        <v>0</v>
      </c>
      <c r="CR594" s="162">
        <v>0</v>
      </c>
      <c r="CS594" s="209">
        <f>Q594+S594+U594+W594+Y594+AA594+AC594+AE594+AG594+AI594+AK594+AM594+AO594+AQ594+AS594+AU594+AW594+AY594+BA594+BC594+BE594+BG594+BI594+BK594+BM594+BO594+BQ594+BS594+BU594+BW594+BY594+CA594+CC594+CE594+CG594+CI594+CK594+CM594+CO594+CQ594</f>
        <v>5</v>
      </c>
      <c r="CT594" s="209">
        <f>R594+T594+V594+X594+Z594+AB594+AD594+AF594+AH594+AJ594+AL594+AN594+AP594+AR594+AT594+AV594+AX594+AZ594+BB594+BD594+BF594+BH594+BJ594+BL594+BN594+BP594+BR594+BT594+BV594+BX594+BZ594+CB594+CD594+CF594+CH594+CJ594+CL594+CN594+CP594+CR594</f>
        <v>0</v>
      </c>
      <c r="CU594" s="206" t="s">
        <v>1647</v>
      </c>
      <c r="DA594" s="152">
        <f t="shared" si="595"/>
        <v>5</v>
      </c>
      <c r="DB594" s="152" t="str">
        <f t="shared" si="596"/>
        <v>0</v>
      </c>
      <c r="DD594" s="267" t="s">
        <v>374</v>
      </c>
      <c r="DE594" s="267"/>
      <c r="DF594" s="157" t="s">
        <v>344</v>
      </c>
      <c r="DH594" s="240" t="s">
        <v>477</v>
      </c>
      <c r="DI594" s="187" t="s">
        <v>374</v>
      </c>
      <c r="DJ594" s="270">
        <v>5</v>
      </c>
      <c r="DK594" s="242" t="s">
        <v>477</v>
      </c>
      <c r="DL594" s="189">
        <v>2100000</v>
      </c>
      <c r="DM594" s="181">
        <f>DL594*DJ594*1.08</f>
        <v>11340000</v>
      </c>
      <c r="DN594" s="446">
        <f t="shared" si="577"/>
        <v>0.08</v>
      </c>
      <c r="DO594" s="441">
        <f t="shared" ref="DO594:DO600" si="612">DL594*DJ594</f>
        <v>10500000</v>
      </c>
      <c r="DP594" s="274">
        <v>45952</v>
      </c>
      <c r="DQ594" s="152">
        <f>SUMIF($I:$I,I594,$DJ:$DJ)</f>
        <v>5</v>
      </c>
      <c r="DR594" s="152">
        <f>SUMIF($I:$I,I594,$DK:$DK)</f>
        <v>0</v>
      </c>
      <c r="EO594" s="152">
        <f>SUMIF($I:$I,I594,$EC:$EC)</f>
        <v>0</v>
      </c>
      <c r="EP594" s="151">
        <f>SUMIF($I:$I,I594,$ED:$ED)</f>
        <v>0</v>
      </c>
      <c r="EQ594" s="153"/>
      <c r="ER594" s="153"/>
      <c r="ES594" s="153"/>
      <c r="ET594" s="153"/>
      <c r="EU594" s="152">
        <f t="shared" si="597"/>
        <v>5</v>
      </c>
      <c r="EV594" s="152">
        <f t="shared" si="598"/>
        <v>0</v>
      </c>
      <c r="EW594" s="152">
        <f t="shared" si="599"/>
        <v>0</v>
      </c>
      <c r="EX594" s="152">
        <f t="shared" si="600"/>
        <v>0</v>
      </c>
      <c r="EY594" s="151" t="str">
        <f t="shared" si="601"/>
        <v>Đủ</v>
      </c>
    </row>
    <row r="595" spans="1:164" s="264" customFormat="1" ht="13.5" hidden="1" customHeight="1">
      <c r="A595" s="208" t="str">
        <f t="shared" si="573"/>
        <v>Hiện</v>
      </c>
      <c r="B595" s="154" t="str">
        <f t="shared" si="610"/>
        <v>Thừa</v>
      </c>
      <c r="C595" s="262">
        <f t="shared" si="611"/>
        <v>-1000</v>
      </c>
      <c r="D595" s="154"/>
      <c r="F595" s="344" t="s">
        <v>1728</v>
      </c>
      <c r="I595" s="164" t="s">
        <v>1607</v>
      </c>
      <c r="J595" s="980" t="s">
        <v>1608</v>
      </c>
      <c r="K595" s="975" t="s">
        <v>1609</v>
      </c>
      <c r="L595" s="984" t="s">
        <v>1610</v>
      </c>
      <c r="M595" s="977" t="s">
        <v>61</v>
      </c>
      <c r="N595" s="978"/>
      <c r="O595" s="244">
        <v>1000</v>
      </c>
      <c r="Q595" s="266"/>
      <c r="BG595" s="162">
        <v>1000</v>
      </c>
      <c r="BH595" s="162">
        <v>0</v>
      </c>
      <c r="BI595" s="162">
        <v>0</v>
      </c>
      <c r="BJ595" s="162">
        <v>0</v>
      </c>
      <c r="BK595" s="162">
        <v>0</v>
      </c>
      <c r="BL595" s="162">
        <v>0</v>
      </c>
      <c r="BM595" s="162">
        <v>0</v>
      </c>
      <c r="BN595" s="162">
        <v>0</v>
      </c>
      <c r="BO595" s="162"/>
      <c r="BP595" s="162"/>
      <c r="BQ595" s="162">
        <v>0</v>
      </c>
      <c r="BR595" s="162">
        <v>0</v>
      </c>
      <c r="BS595" s="162">
        <v>0</v>
      </c>
      <c r="BT595" s="162">
        <v>0</v>
      </c>
      <c r="BU595" s="162">
        <v>0</v>
      </c>
      <c r="BV595" s="162">
        <v>0</v>
      </c>
      <c r="BW595" s="162"/>
      <c r="BX595" s="162"/>
      <c r="BY595" s="162">
        <v>1000</v>
      </c>
      <c r="BZ595" s="162">
        <v>0</v>
      </c>
      <c r="CA595" s="162">
        <v>0</v>
      </c>
      <c r="CB595" s="162">
        <v>0</v>
      </c>
      <c r="CC595" s="162">
        <v>0</v>
      </c>
      <c r="CD595" s="162">
        <v>0</v>
      </c>
      <c r="CE595" s="162">
        <f>VLOOKUP(I595,[120]REV33!$A:$O,11,0)</f>
        <v>600</v>
      </c>
      <c r="CF595" s="162">
        <f>VLOOKUP(I595,[120]REV33!$A:$O,12,0)</f>
        <v>0</v>
      </c>
      <c r="CG595" s="162"/>
      <c r="CH595" s="162"/>
      <c r="CI595" s="162"/>
      <c r="CJ595" s="162"/>
      <c r="CK595" s="162"/>
      <c r="CL595" s="162"/>
      <c r="CM595" s="162"/>
      <c r="CN595" s="162"/>
      <c r="CO595" s="162">
        <v>0</v>
      </c>
      <c r="CP595" s="162">
        <v>0</v>
      </c>
      <c r="CQ595" s="162">
        <v>0</v>
      </c>
      <c r="CR595" s="162">
        <v>0</v>
      </c>
      <c r="CS595" s="209">
        <f>Q595+S595+U595+W595+Y595+AA595+AC595+AE595+AG595+AI595+AK595+AM595+AO595+AQ595+AS595+AU595+AW595+AY595+BA595+BC595+BE595+BG595+BI595+BK595+BM595+BO595+BQ595+BS595+BU595+BW595+BY595+CA595+CC595+CE595+CG595+CI595+CK595+CM595+CO595+CQ595</f>
        <v>2600</v>
      </c>
      <c r="CT595" s="209">
        <f>R595+T595+V595+X595+Z595+AB595+AD595+AF595+AH595+AJ595+AL595+AN595+AP595+AR595+AT595+AV595+AX595+AZ595+BB595+BD595+BF595+BH595+BJ595+BL595+BN595+BP595+BR595+BT595+BV595+BX595+BZ595+CB595+CD595+CF595+CH595+CJ595+CL595+CN595+CP595+CR595</f>
        <v>0</v>
      </c>
      <c r="CU595" s="206" t="s">
        <v>2551</v>
      </c>
      <c r="DA595" s="152">
        <f t="shared" si="595"/>
        <v>2600</v>
      </c>
      <c r="DB595" s="152" t="str">
        <f t="shared" si="596"/>
        <v>0</v>
      </c>
      <c r="DD595" s="158" t="s">
        <v>1676</v>
      </c>
      <c r="DE595" s="156" t="s">
        <v>435</v>
      </c>
      <c r="DF595" s="174" t="s">
        <v>1609</v>
      </c>
      <c r="DH595" s="240" t="s">
        <v>477</v>
      </c>
      <c r="DI595" s="187">
        <v>45950</v>
      </c>
      <c r="DJ595" s="979">
        <f>20*100</f>
        <v>2000</v>
      </c>
      <c r="DK595" s="240" t="s">
        <v>477</v>
      </c>
      <c r="DL595" s="987">
        <f>745000/100</f>
        <v>7450</v>
      </c>
      <c r="DM595" s="181">
        <f>DL595*DJ595*1.08</f>
        <v>16092000.000000002</v>
      </c>
      <c r="DN595" s="446">
        <f t="shared" si="577"/>
        <v>8.0000000000000127E-2</v>
      </c>
      <c r="DO595" s="160">
        <f t="shared" si="612"/>
        <v>14900000</v>
      </c>
      <c r="DP595" s="988">
        <v>45954</v>
      </c>
      <c r="DQ595" s="152">
        <f>SUMIF($I:$I,I595,$DJ:$DJ)</f>
        <v>3600</v>
      </c>
      <c r="DR595" s="152">
        <f>SUMIF($I:$I,I595,$DK:$DK)</f>
        <v>0</v>
      </c>
      <c r="EO595" s="152">
        <f>SUMIF($I:$I,I595,$EC:$EC)</f>
        <v>0</v>
      </c>
      <c r="EP595" s="151">
        <f>SUMIF($I:$I,I595,$ED:$ED)</f>
        <v>0</v>
      </c>
      <c r="EQ595" s="153"/>
      <c r="ER595" s="153"/>
      <c r="ES595" s="153"/>
      <c r="ET595" s="153"/>
      <c r="EU595" s="152">
        <f t="shared" si="597"/>
        <v>3600</v>
      </c>
      <c r="EV595" s="152">
        <f t="shared" si="598"/>
        <v>0</v>
      </c>
      <c r="EW595" s="152">
        <f t="shared" si="599"/>
        <v>-1000</v>
      </c>
      <c r="EX595" s="152">
        <f t="shared" si="600"/>
        <v>0</v>
      </c>
      <c r="EY595" s="151" t="str">
        <f t="shared" si="601"/>
        <v>Thừa</v>
      </c>
    </row>
    <row r="596" spans="1:164" s="264" customFormat="1" ht="13.5" hidden="1" customHeight="1">
      <c r="A596" s="208" t="str">
        <f t="shared" si="573"/>
        <v>ok</v>
      </c>
      <c r="B596" s="154"/>
      <c r="C596" s="262"/>
      <c r="D596" s="154"/>
      <c r="F596" s="344"/>
      <c r="I596" s="164" t="s">
        <v>1607</v>
      </c>
      <c r="J596" s="980" t="s">
        <v>1608</v>
      </c>
      <c r="K596" s="975" t="s">
        <v>1609</v>
      </c>
      <c r="L596" s="984" t="s">
        <v>1610</v>
      </c>
      <c r="M596" s="977" t="s">
        <v>61</v>
      </c>
      <c r="N596" s="978"/>
      <c r="O596" s="244"/>
      <c r="Q596" s="266"/>
      <c r="BG596" s="162"/>
      <c r="BH596" s="162"/>
      <c r="BI596" s="162"/>
      <c r="BJ596" s="162"/>
      <c r="BK596" s="162"/>
      <c r="BL596" s="162"/>
      <c r="BM596" s="162"/>
      <c r="BN596" s="162"/>
      <c r="BO596" s="162"/>
      <c r="BP596" s="162"/>
      <c r="BQ596" s="162"/>
      <c r="BR596" s="162"/>
      <c r="BS596" s="162"/>
      <c r="BT596" s="162"/>
      <c r="BU596" s="162"/>
      <c r="BV596" s="162"/>
      <c r="BW596" s="162"/>
      <c r="BX596" s="162"/>
      <c r="BY596" s="162"/>
      <c r="BZ596" s="162"/>
      <c r="CA596" s="162"/>
      <c r="CB596" s="162"/>
      <c r="CC596" s="162"/>
      <c r="CD596" s="162"/>
      <c r="CE596" s="162"/>
      <c r="CF596" s="162"/>
      <c r="CG596" s="162"/>
      <c r="CH596" s="162"/>
      <c r="CI596" s="162"/>
      <c r="CJ596" s="162"/>
      <c r="CK596" s="162"/>
      <c r="CL596" s="162"/>
      <c r="CM596" s="162"/>
      <c r="CN596" s="162"/>
      <c r="CO596" s="162"/>
      <c r="CP596" s="162"/>
      <c r="CQ596" s="162"/>
      <c r="CR596" s="162"/>
      <c r="CS596" s="209"/>
      <c r="CT596" s="209"/>
      <c r="CU596" s="206"/>
      <c r="DA596" s="152"/>
      <c r="DB596" s="152"/>
      <c r="DD596" s="158" t="s">
        <v>2579</v>
      </c>
      <c r="DE596" s="156" t="s">
        <v>2042</v>
      </c>
      <c r="DF596" s="174" t="s">
        <v>2321</v>
      </c>
      <c r="DH596" s="240" t="s">
        <v>477</v>
      </c>
      <c r="DI596" s="187" t="s">
        <v>374</v>
      </c>
      <c r="DJ596" s="979">
        <v>600</v>
      </c>
      <c r="DK596" s="240" t="s">
        <v>477</v>
      </c>
      <c r="DL596" s="987">
        <v>5830</v>
      </c>
      <c r="DM596" s="181">
        <f>DL596*DJ596*1.08</f>
        <v>3777840.0000000005</v>
      </c>
      <c r="DN596" s="446">
        <f t="shared" si="577"/>
        <v>8.0000000000000127E-2</v>
      </c>
      <c r="DO596" s="160">
        <f t="shared" si="612"/>
        <v>3498000</v>
      </c>
      <c r="DP596" s="989">
        <v>46010</v>
      </c>
      <c r="DQ596" s="152"/>
      <c r="DR596" s="152"/>
      <c r="EO596" s="152"/>
      <c r="EP596" s="151"/>
      <c r="EQ596" s="153"/>
      <c r="ER596" s="153"/>
      <c r="ES596" s="153"/>
      <c r="ET596" s="153"/>
      <c r="EU596" s="152"/>
      <c r="EV596" s="152"/>
      <c r="EW596" s="152"/>
      <c r="EX596" s="152"/>
      <c r="EY596" s="151"/>
    </row>
    <row r="597" spans="1:164" s="264" customFormat="1" ht="14" hidden="1" customHeight="1">
      <c r="A597" s="208" t="str">
        <f t="shared" si="573"/>
        <v>ok</v>
      </c>
      <c r="B597" s="154"/>
      <c r="C597" s="262"/>
      <c r="D597" s="154"/>
      <c r="F597" s="344"/>
      <c r="I597" s="164" t="s">
        <v>1607</v>
      </c>
      <c r="J597" s="980" t="s">
        <v>1608</v>
      </c>
      <c r="K597" s="975" t="s">
        <v>1609</v>
      </c>
      <c r="L597" s="984" t="s">
        <v>1610</v>
      </c>
      <c r="M597" s="977" t="s">
        <v>61</v>
      </c>
      <c r="N597" s="978"/>
      <c r="O597" s="244"/>
      <c r="Q597" s="266"/>
      <c r="BG597" s="162"/>
      <c r="BH597" s="162"/>
      <c r="BI597" s="162"/>
      <c r="BJ597" s="162"/>
      <c r="BK597" s="162"/>
      <c r="BL597" s="162"/>
      <c r="BM597" s="162"/>
      <c r="BN597" s="162"/>
      <c r="BO597" s="162"/>
      <c r="BP597" s="162"/>
      <c r="BQ597" s="162"/>
      <c r="BR597" s="162"/>
      <c r="BS597" s="162"/>
      <c r="BT597" s="162"/>
      <c r="BU597" s="162"/>
      <c r="BV597" s="162"/>
      <c r="BW597" s="162"/>
      <c r="BX597" s="162"/>
      <c r="BY597" s="162"/>
      <c r="BZ597" s="162"/>
      <c r="CA597" s="162"/>
      <c r="CB597" s="162"/>
      <c r="CC597" s="162"/>
      <c r="CD597" s="162"/>
      <c r="CE597" s="162"/>
      <c r="CF597" s="162"/>
      <c r="CG597" s="162"/>
      <c r="CH597" s="162"/>
      <c r="CI597" s="162"/>
      <c r="CJ597" s="162"/>
      <c r="CK597" s="162"/>
      <c r="CL597" s="162"/>
      <c r="CM597" s="162"/>
      <c r="CN597" s="162"/>
      <c r="CO597" s="162"/>
      <c r="CP597" s="162"/>
      <c r="CQ597" s="162"/>
      <c r="CR597" s="162"/>
      <c r="CS597" s="209"/>
      <c r="CT597" s="209"/>
      <c r="CU597" s="206"/>
      <c r="DA597" s="152"/>
      <c r="DB597" s="152"/>
      <c r="DD597" s="158" t="s">
        <v>2579</v>
      </c>
      <c r="DE597" s="156" t="s">
        <v>2042</v>
      </c>
      <c r="DF597" s="174" t="s">
        <v>2321</v>
      </c>
      <c r="DH597" s="240" t="s">
        <v>477</v>
      </c>
      <c r="DI597" s="187" t="s">
        <v>374</v>
      </c>
      <c r="DJ597" s="979">
        <f>1000</f>
        <v>1000</v>
      </c>
      <c r="DK597" s="240" t="s">
        <v>477</v>
      </c>
      <c r="DL597" s="987">
        <v>5830</v>
      </c>
      <c r="DM597" s="181">
        <f>DL597*DJ597*1.08</f>
        <v>6296400</v>
      </c>
      <c r="DN597" s="446">
        <f t="shared" ref="DN597" si="613">(DM597-DO597)/DO597</f>
        <v>0.08</v>
      </c>
      <c r="DO597" s="160">
        <f t="shared" si="612"/>
        <v>5830000</v>
      </c>
      <c r="DP597" s="988">
        <v>45992</v>
      </c>
      <c r="DQ597" s="152"/>
      <c r="DR597" s="152"/>
      <c r="EO597" s="152"/>
      <c r="EP597" s="151"/>
      <c r="EQ597" s="153"/>
      <c r="ER597" s="153"/>
      <c r="ES597" s="153"/>
      <c r="ET597" s="153"/>
      <c r="EU597" s="152"/>
      <c r="EV597" s="152"/>
      <c r="EW597" s="152"/>
      <c r="EX597" s="152"/>
      <c r="EY597" s="151"/>
    </row>
    <row r="598" spans="1:164" s="264" customFormat="1" ht="14" hidden="1" customHeight="1">
      <c r="A598" s="208" t="str">
        <f t="shared" si="573"/>
        <v>Hiện</v>
      </c>
      <c r="B598" s="154" t="str">
        <f t="shared" si="610"/>
        <v>Thừa</v>
      </c>
      <c r="C598" s="262">
        <f t="shared" si="611"/>
        <v>-200</v>
      </c>
      <c r="D598" s="154"/>
      <c r="F598" s="344" t="s">
        <v>1728</v>
      </c>
      <c r="G598" s="154" t="s">
        <v>2561</v>
      </c>
      <c r="I598" s="164" t="s">
        <v>1611</v>
      </c>
      <c r="J598" s="974" t="s">
        <v>1612</v>
      </c>
      <c r="K598" s="985" t="s">
        <v>1613</v>
      </c>
      <c r="L598" s="984" t="s">
        <v>535</v>
      </c>
      <c r="M598" s="977" t="s">
        <v>1074</v>
      </c>
      <c r="N598" s="230"/>
      <c r="O598" s="244">
        <v>200</v>
      </c>
      <c r="Q598" s="266"/>
      <c r="BG598" s="162">
        <v>200</v>
      </c>
      <c r="BH598" s="162">
        <v>0</v>
      </c>
      <c r="BI598" s="162">
        <v>0</v>
      </c>
      <c r="BJ598" s="162">
        <v>0</v>
      </c>
      <c r="BK598" s="162">
        <v>0</v>
      </c>
      <c r="BL598" s="162">
        <v>0</v>
      </c>
      <c r="BM598" s="162">
        <v>0</v>
      </c>
      <c r="BN598" s="162">
        <v>0</v>
      </c>
      <c r="BO598" s="162"/>
      <c r="BP598" s="162"/>
      <c r="BQ598" s="162">
        <v>0</v>
      </c>
      <c r="BR598" s="162">
        <v>0</v>
      </c>
      <c r="BS598" s="162">
        <v>0</v>
      </c>
      <c r="BT598" s="162">
        <v>0</v>
      </c>
      <c r="BU598" s="162">
        <v>0</v>
      </c>
      <c r="BV598" s="162">
        <v>0</v>
      </c>
      <c r="BW598" s="162"/>
      <c r="BX598" s="162"/>
      <c r="BY598" s="162">
        <v>200</v>
      </c>
      <c r="BZ598" s="162">
        <v>0</v>
      </c>
      <c r="CA598" s="162">
        <v>0</v>
      </c>
      <c r="CB598" s="162">
        <v>0</v>
      </c>
      <c r="CC598" s="162">
        <v>0</v>
      </c>
      <c r="CD598" s="162">
        <v>0</v>
      </c>
      <c r="CE598" s="162">
        <f>VLOOKUP(I598,[120]REV33!$A:$O,11,0)</f>
        <v>200</v>
      </c>
      <c r="CF598" s="162">
        <f>VLOOKUP(I598,[120]REV33!$A:$O,12,0)</f>
        <v>0</v>
      </c>
      <c r="CG598" s="162"/>
      <c r="CH598" s="162"/>
      <c r="CI598" s="162"/>
      <c r="CJ598" s="162"/>
      <c r="CK598" s="162"/>
      <c r="CL598" s="162"/>
      <c r="CM598" s="162"/>
      <c r="CN598" s="162"/>
      <c r="CO598" s="162">
        <v>0</v>
      </c>
      <c r="CP598" s="162">
        <v>0</v>
      </c>
      <c r="CQ598" s="162">
        <v>0</v>
      </c>
      <c r="CR598" s="162">
        <v>0</v>
      </c>
      <c r="CS598" s="209">
        <f>Q598+S598+U598+W598+Y598+AA598+AC598+AE598+AG598+AI598+AK598+AM598+AO598+AQ598+AS598+AU598+AW598+AY598+BA598+BC598+BE598+BG598+BI598+BK598+BM598+BO598+BQ598+BS598+BU598+BW598+BY598+CA598+CC598+CE598+CG598+CI598+CK598+CM598+CO598+CQ598</f>
        <v>600</v>
      </c>
      <c r="CT598" s="209">
        <f>R598+T598+V598+X598+Z598+AB598+AD598+AF598+AH598+AJ598+AL598+AN598+AP598+AR598+AT598+AV598+AX598+AZ598+BB598+BD598+BF598+BH598+BJ598+BL598+BN598+BP598+BR598+BT598+BV598+BX598+BZ598+CB598+CD598+CF598+CH598+CJ598+CL598+CN598+CP598+CR598</f>
        <v>0</v>
      </c>
      <c r="CU598" s="206" t="s">
        <v>2551</v>
      </c>
      <c r="DA598" s="152">
        <f>IF(CS598&gt;CW598,CS598-CW598,"0")</f>
        <v>600</v>
      </c>
      <c r="DB598" s="152" t="str">
        <f>IF(CT598&gt;CX598,CT598-CX598,"0")</f>
        <v>0</v>
      </c>
      <c r="DD598" s="158" t="s">
        <v>1676</v>
      </c>
      <c r="DE598" s="156" t="s">
        <v>435</v>
      </c>
      <c r="DF598" s="174" t="s">
        <v>1613</v>
      </c>
      <c r="DH598" s="240" t="s">
        <v>477</v>
      </c>
      <c r="DI598" s="187">
        <v>45950</v>
      </c>
      <c r="DJ598" s="979">
        <v>400</v>
      </c>
      <c r="DK598" s="240" t="s">
        <v>477</v>
      </c>
      <c r="DL598" s="987">
        <v>38000</v>
      </c>
      <c r="DM598" s="181">
        <f>DL598*DJ598*1.1</f>
        <v>16720000.000000002</v>
      </c>
      <c r="DN598" s="446">
        <f t="shared" si="577"/>
        <v>0.10000000000000012</v>
      </c>
      <c r="DO598" s="160">
        <f t="shared" si="612"/>
        <v>15200000</v>
      </c>
      <c r="DP598" s="988">
        <v>45954</v>
      </c>
      <c r="DQ598" s="152">
        <f>SUMIF($I:$I,I598,$DJ:$DJ)</f>
        <v>800</v>
      </c>
      <c r="DR598" s="152">
        <f>SUMIF($I:$I,I598,$DK:$DK)</f>
        <v>0</v>
      </c>
      <c r="EO598" s="152">
        <f>SUMIF($I:$I,I598,$EC:$EC)</f>
        <v>0</v>
      </c>
      <c r="EP598" s="151">
        <f>SUMIF($I:$I,I598,$ED:$ED)</f>
        <v>0</v>
      </c>
      <c r="EQ598" s="153"/>
      <c r="ER598" s="153"/>
      <c r="ES598" s="153"/>
      <c r="ET598" s="153"/>
      <c r="EU598" s="152">
        <f>DQ598+EO598</f>
        <v>800</v>
      </c>
      <c r="EV598" s="152">
        <f>DR598+EP598</f>
        <v>0</v>
      </c>
      <c r="EW598" s="152">
        <f t="shared" ref="EW598" si="614">DA598-EU598</f>
        <v>-200</v>
      </c>
      <c r="EX598" s="152">
        <f t="shared" ref="EX598" si="615">DB598-EV598</f>
        <v>0</v>
      </c>
      <c r="EY598" s="151" t="str">
        <f>IF(EW598&lt;0,"Thừa",IF(EW598=0,"Đủ","Thiếu"))</f>
        <v>Thừa</v>
      </c>
    </row>
    <row r="599" spans="1:164" s="264" customFormat="1" ht="14" hidden="1" customHeight="1">
      <c r="A599" s="208" t="str">
        <f t="shared" si="573"/>
        <v>ok</v>
      </c>
      <c r="B599" s="154"/>
      <c r="C599" s="262"/>
      <c r="D599" s="154"/>
      <c r="F599" s="344"/>
      <c r="G599" s="154"/>
      <c r="I599" s="164" t="s">
        <v>1611</v>
      </c>
      <c r="J599" s="974" t="s">
        <v>1612</v>
      </c>
      <c r="K599" s="985" t="s">
        <v>1613</v>
      </c>
      <c r="L599" s="984" t="s">
        <v>535</v>
      </c>
      <c r="M599" s="977" t="s">
        <v>1074</v>
      </c>
      <c r="N599" s="230"/>
      <c r="O599" s="244"/>
      <c r="Q599" s="266"/>
      <c r="BG599" s="162"/>
      <c r="BH599" s="162"/>
      <c r="BI599" s="162"/>
      <c r="BJ599" s="162"/>
      <c r="BK599" s="162"/>
      <c r="BL599" s="162"/>
      <c r="BM599" s="162"/>
      <c r="BN599" s="162"/>
      <c r="BO599" s="162"/>
      <c r="BP599" s="162"/>
      <c r="BQ599" s="162"/>
      <c r="BR599" s="162"/>
      <c r="BS599" s="162"/>
      <c r="BT599" s="162"/>
      <c r="BU599" s="162"/>
      <c r="BV599" s="162"/>
      <c r="BW599" s="162"/>
      <c r="BX599" s="162"/>
      <c r="BY599" s="162"/>
      <c r="BZ599" s="162"/>
      <c r="CA599" s="162"/>
      <c r="CB599" s="162"/>
      <c r="CC599" s="162"/>
      <c r="CD599" s="162"/>
      <c r="CE599" s="162"/>
      <c r="CF599" s="162"/>
      <c r="CG599" s="162"/>
      <c r="CH599" s="162"/>
      <c r="CI599" s="162"/>
      <c r="CJ599" s="162"/>
      <c r="CK599" s="162"/>
      <c r="CL599" s="162"/>
      <c r="CM599" s="162"/>
      <c r="CN599" s="162"/>
      <c r="CO599" s="162"/>
      <c r="CP599" s="162"/>
      <c r="CQ599" s="162"/>
      <c r="CR599" s="162"/>
      <c r="CS599" s="209"/>
      <c r="CT599" s="209"/>
      <c r="CU599" s="206"/>
      <c r="DA599" s="152"/>
      <c r="DB599" s="152"/>
      <c r="DD599" s="158" t="s">
        <v>2579</v>
      </c>
      <c r="DE599" s="156" t="s">
        <v>2042</v>
      </c>
      <c r="DF599" s="174" t="s">
        <v>1613</v>
      </c>
      <c r="DH599" s="240" t="s">
        <v>477</v>
      </c>
      <c r="DI599" s="187" t="s">
        <v>374</v>
      </c>
      <c r="DJ599" s="979">
        <v>400</v>
      </c>
      <c r="DK599" s="240" t="s">
        <v>477</v>
      </c>
      <c r="DL599" s="987">
        <v>36000</v>
      </c>
      <c r="DM599" s="181">
        <f>DL599*DJ599*1.08</f>
        <v>15552000.000000002</v>
      </c>
      <c r="DN599" s="446">
        <f t="shared" ref="DN599" si="616">(DM599-DO599)/DO599</f>
        <v>8.0000000000000127E-2</v>
      </c>
      <c r="DO599" s="160">
        <f t="shared" si="612"/>
        <v>14400000</v>
      </c>
      <c r="DP599" s="988">
        <v>46006</v>
      </c>
      <c r="DQ599" s="152"/>
      <c r="DR599" s="152"/>
      <c r="EO599" s="152"/>
      <c r="EP599" s="151"/>
      <c r="EQ599" s="153"/>
      <c r="ER599" s="153"/>
      <c r="ES599" s="153"/>
      <c r="ET599" s="153"/>
      <c r="EU599" s="152"/>
      <c r="EV599" s="152"/>
      <c r="EW599" s="152"/>
      <c r="EX599" s="152"/>
      <c r="EY599" s="151"/>
    </row>
    <row r="600" spans="1:164" s="264" customFormat="1" ht="14" customHeight="1">
      <c r="A600" s="208" t="str">
        <f>IF(I600=I598,"ok","Hiện")</f>
        <v>Hiện</v>
      </c>
      <c r="B600" s="154" t="str">
        <f t="shared" si="610"/>
        <v>Thiếu</v>
      </c>
      <c r="C600" s="154">
        <f t="shared" si="611"/>
        <v>1000</v>
      </c>
      <c r="D600" s="154"/>
      <c r="E600" s="264" t="s">
        <v>2590</v>
      </c>
      <c r="F600" s="344"/>
      <c r="I600" s="163" t="s">
        <v>1614</v>
      </c>
      <c r="J600" s="974" t="s">
        <v>347</v>
      </c>
      <c r="K600" s="975" t="s">
        <v>348</v>
      </c>
      <c r="L600" s="976" t="s">
        <v>349</v>
      </c>
      <c r="M600" s="977" t="s">
        <v>44</v>
      </c>
      <c r="N600" s="978"/>
      <c r="O600" s="244">
        <v>300</v>
      </c>
      <c r="Q600" s="266"/>
      <c r="BG600" s="162">
        <v>300</v>
      </c>
      <c r="BH600" s="162">
        <v>0</v>
      </c>
      <c r="BI600" s="162">
        <v>0</v>
      </c>
      <c r="BJ600" s="162">
        <v>0</v>
      </c>
      <c r="BK600" s="162">
        <v>0</v>
      </c>
      <c r="BL600" s="162">
        <v>0</v>
      </c>
      <c r="BM600" s="162">
        <v>0</v>
      </c>
      <c r="BN600" s="162">
        <v>0</v>
      </c>
      <c r="BO600" s="162"/>
      <c r="BP600" s="162"/>
      <c r="BQ600" s="162">
        <v>0</v>
      </c>
      <c r="BR600" s="162">
        <v>0</v>
      </c>
      <c r="BS600" s="162">
        <v>0</v>
      </c>
      <c r="BT600" s="162">
        <v>0</v>
      </c>
      <c r="BU600" s="162">
        <v>0</v>
      </c>
      <c r="BV600" s="162">
        <v>0</v>
      </c>
      <c r="BW600" s="162"/>
      <c r="BX600" s="162"/>
      <c r="BY600" s="162">
        <v>500</v>
      </c>
      <c r="BZ600" s="162"/>
      <c r="CA600" s="162">
        <v>0</v>
      </c>
      <c r="CB600" s="162">
        <v>0</v>
      </c>
      <c r="CC600" s="162">
        <v>0</v>
      </c>
      <c r="CD600" s="162">
        <v>0</v>
      </c>
      <c r="CE600" s="162">
        <f>VLOOKUP(I600,[120]REV33!$A:$O,11,0)</f>
        <v>0</v>
      </c>
      <c r="CF600" s="162">
        <f>VLOOKUP(I600,[120]REV33!$A:$O,12,0)</f>
        <v>0</v>
      </c>
      <c r="CG600" s="162"/>
      <c r="CH600" s="162"/>
      <c r="CI600" s="162"/>
      <c r="CJ600" s="162"/>
      <c r="CK600" s="162"/>
      <c r="CL600" s="162"/>
      <c r="CM600" s="244">
        <v>1000</v>
      </c>
      <c r="CN600" s="162"/>
      <c r="CO600" s="162">
        <v>0</v>
      </c>
      <c r="CP600" s="162">
        <v>0</v>
      </c>
      <c r="CQ600" s="162">
        <v>0</v>
      </c>
      <c r="CR600" s="162">
        <v>0</v>
      </c>
      <c r="CS600" s="209">
        <f>Q600+S600+U600+W600+Y600+AA600+AC600+AE600+AG600+AI600+AK600+AM600+AO600+AQ600+AS600+AU600+AW600+AY600+BA600+BC600+BE600+BG600+BI600+BK600+BM600+BO600+BQ600+BS600+BU600+BW600+BY600+CA600+CC600+CE600+CG600+CI600+CK600+CM600+CO600+CQ600</f>
        <v>1800</v>
      </c>
      <c r="CT600" s="209">
        <f>R600+T600+V600+X600+Z600+AB600+AD600+AF600+AH600+AJ600+AL600+AN600+AP600+AR600+AT600+AV600+AX600+AZ600+BB600+BD600+BF600+BH600+BJ600+BL600+BN600+BP600+BR600+BT600+BV600+BX600+BZ600+CB600+CD600+CF600+CH600+CJ600+CL600+CN600+CP600+CR600</f>
        <v>0</v>
      </c>
      <c r="CU600" s="206" t="s">
        <v>2601</v>
      </c>
      <c r="DA600" s="152">
        <f t="shared" ref="DA600:DA602" si="617">IF(CS600&gt;CW600,CS600-CW600,"0")</f>
        <v>1800</v>
      </c>
      <c r="DB600" s="152" t="str">
        <f t="shared" ref="DB600:DB602" si="618">IF(CT600&gt;CX600,CT600-CX600,"0")</f>
        <v>0</v>
      </c>
      <c r="DD600" s="158" t="s">
        <v>1676</v>
      </c>
      <c r="DE600" s="156" t="s">
        <v>435</v>
      </c>
      <c r="DF600" s="174" t="s">
        <v>348</v>
      </c>
      <c r="DH600" s="240" t="s">
        <v>477</v>
      </c>
      <c r="DI600" s="187">
        <v>45950</v>
      </c>
      <c r="DJ600" s="979">
        <f>300+500</f>
        <v>800</v>
      </c>
      <c r="DK600" s="240" t="s">
        <v>477</v>
      </c>
      <c r="DL600" s="273">
        <v>20000</v>
      </c>
      <c r="DM600" s="181">
        <f>DL600*DJ600*1.08</f>
        <v>17280000</v>
      </c>
      <c r="DN600" s="446">
        <f t="shared" si="577"/>
        <v>0.08</v>
      </c>
      <c r="DO600" s="160">
        <f t="shared" si="612"/>
        <v>16000000</v>
      </c>
      <c r="DP600" s="159">
        <v>45954</v>
      </c>
      <c r="DQ600" s="152">
        <f>SUMIF($I:$I,I600,$DJ:$DJ)</f>
        <v>800</v>
      </c>
      <c r="DR600" s="152">
        <f>SUMIF($I:$I,I600,$DK:$DK)</f>
        <v>0</v>
      </c>
      <c r="EO600" s="152">
        <f>SUMIF($I:$I,I600,$EC:$EC)</f>
        <v>0</v>
      </c>
      <c r="EP600" s="151">
        <f>SUMIF($I:$I,I600,$ED:$ED)</f>
        <v>0</v>
      </c>
      <c r="EQ600" s="153"/>
      <c r="ER600" s="153"/>
      <c r="ES600" s="153"/>
      <c r="ET600" s="153"/>
      <c r="EU600" s="152">
        <f t="shared" ref="EU600:EU602" si="619">DQ600+EO600</f>
        <v>800</v>
      </c>
      <c r="EV600" s="152">
        <f t="shared" ref="EV600:EV602" si="620">DR600+EP600</f>
        <v>0</v>
      </c>
      <c r="EW600" s="152">
        <f t="shared" ref="EW600:EW602" si="621">DA600-EU600</f>
        <v>1000</v>
      </c>
      <c r="EX600" s="152">
        <f t="shared" ref="EX600:EX602" si="622">DB600-EV600</f>
        <v>0</v>
      </c>
      <c r="EY600" s="151" t="str">
        <f t="shared" ref="EY600:EY602" si="623">IF(EW600&lt;0,"Thừa",IF(EW600=0,"Đủ","Thiếu"))</f>
        <v>Thiếu</v>
      </c>
    </row>
    <row r="601" spans="1:164" s="264" customFormat="1" ht="14" hidden="1" customHeight="1">
      <c r="A601" s="208" t="str">
        <f>IF(I601=I600,"ok","Hiện")</f>
        <v>Hiện</v>
      </c>
      <c r="B601" s="154" t="str">
        <f t="shared" si="610"/>
        <v>Đủ</v>
      </c>
      <c r="C601" s="154">
        <f t="shared" si="611"/>
        <v>0</v>
      </c>
      <c r="F601" s="344" t="s">
        <v>1728</v>
      </c>
      <c r="I601" s="164" t="s">
        <v>1615</v>
      </c>
      <c r="J601" s="980" t="s">
        <v>1616</v>
      </c>
      <c r="K601" s="981" t="s">
        <v>1617</v>
      </c>
      <c r="L601" s="976" t="s">
        <v>1618</v>
      </c>
      <c r="M601" s="977" t="s">
        <v>61</v>
      </c>
      <c r="N601" s="978">
        <v>3</v>
      </c>
      <c r="O601" s="244">
        <v>300</v>
      </c>
      <c r="Q601" s="266"/>
      <c r="BG601" s="162">
        <v>300</v>
      </c>
      <c r="BH601" s="162">
        <v>0</v>
      </c>
      <c r="BI601" s="162">
        <v>0</v>
      </c>
      <c r="BJ601" s="162">
        <v>0</v>
      </c>
      <c r="BK601" s="162">
        <v>0</v>
      </c>
      <c r="BL601" s="162">
        <v>0</v>
      </c>
      <c r="BM601" s="162">
        <v>0</v>
      </c>
      <c r="BN601" s="162">
        <v>0</v>
      </c>
      <c r="BO601" s="162"/>
      <c r="BP601" s="162"/>
      <c r="BQ601" s="162">
        <v>0</v>
      </c>
      <c r="BR601" s="162">
        <v>0</v>
      </c>
      <c r="BS601" s="162">
        <v>0</v>
      </c>
      <c r="BT601" s="162">
        <v>0</v>
      </c>
      <c r="BU601" s="162">
        <v>0</v>
      </c>
      <c r="BV601" s="162">
        <v>0</v>
      </c>
      <c r="BW601" s="162"/>
      <c r="BX601" s="162"/>
      <c r="BY601" s="162">
        <v>0</v>
      </c>
      <c r="BZ601" s="162">
        <v>0</v>
      </c>
      <c r="CA601" s="162">
        <v>0</v>
      </c>
      <c r="CB601" s="162">
        <v>0</v>
      </c>
      <c r="CC601" s="162">
        <v>0</v>
      </c>
      <c r="CD601" s="162">
        <v>0</v>
      </c>
      <c r="CE601" s="162">
        <f>VLOOKUP(I601,[120]REV33!$A:$O,11,0)</f>
        <v>0</v>
      </c>
      <c r="CF601" s="162">
        <f>VLOOKUP(I601,[120]REV33!$A:$O,12,0)</f>
        <v>0</v>
      </c>
      <c r="CG601" s="162"/>
      <c r="CH601" s="162"/>
      <c r="CI601" s="162"/>
      <c r="CJ601" s="162"/>
      <c r="CK601" s="162"/>
      <c r="CL601" s="162"/>
      <c r="CM601" s="162"/>
      <c r="CN601" s="162"/>
      <c r="CO601" s="162">
        <v>0</v>
      </c>
      <c r="CP601" s="162">
        <v>0</v>
      </c>
      <c r="CQ601" s="162">
        <v>0</v>
      </c>
      <c r="CR601" s="162">
        <v>0</v>
      </c>
      <c r="CS601" s="209">
        <f>Q601+S601+U601+W601+Y601+AA601+AC601+AE601+AG601+AI601+AK601+AM601+AO601+AQ601+AS601+AU601+AW601+AY601+BA601+BC601+BE601+BG601+BI601+BK601+BM601+BO601+BQ601+BS601+BU601+BW601+BY601+CA601+CC601+CE601+CG601+CI601+CK601+CM601+CO601+CQ601</f>
        <v>300</v>
      </c>
      <c r="CT601" s="209">
        <f>R601+T601+V601+X601+Z601+AB601+AD601+AF601+AH601+AJ601+AL601+AN601+AP601+AR601+AT601+AV601+AX601+AZ601+BB601+BD601+BF601+BH601+BJ601+BL601+BN601+BP601+BR601+BT601+BV601+BX601+BZ601+CB601+CD601+CF601+CH601+CJ601+CL601+CN601+CP601+CR601</f>
        <v>0</v>
      </c>
      <c r="CU601" s="206" t="s">
        <v>1648</v>
      </c>
      <c r="DA601" s="152">
        <f t="shared" si="617"/>
        <v>300</v>
      </c>
      <c r="DB601" s="152" t="str">
        <f t="shared" si="618"/>
        <v>0</v>
      </c>
      <c r="DD601" s="267" t="s">
        <v>374</v>
      </c>
      <c r="DE601" s="267" t="s">
        <v>1678</v>
      </c>
      <c r="DF601" s="981" t="s">
        <v>1617</v>
      </c>
      <c r="DH601" s="240" t="s">
        <v>477</v>
      </c>
      <c r="DI601" s="187" t="s">
        <v>374</v>
      </c>
      <c r="DJ601" s="270">
        <f>150*2</f>
        <v>300</v>
      </c>
      <c r="DK601" s="240" t="s">
        <v>477</v>
      </c>
      <c r="DL601" s="264">
        <v>77000</v>
      </c>
      <c r="DM601" s="264">
        <f>DL601*DJ601*(1+DN601)</f>
        <v>24948000</v>
      </c>
      <c r="DN601" s="982">
        <v>0.08</v>
      </c>
      <c r="DO601" s="270">
        <f>DJ601*DL601</f>
        <v>23100000</v>
      </c>
      <c r="DP601" s="274">
        <v>45952</v>
      </c>
      <c r="DQ601" s="152">
        <f>SUMIF($I:$I,I601,$DJ:$DJ)</f>
        <v>300</v>
      </c>
      <c r="DR601" s="152">
        <f>SUMIF($I:$I,I601,$DK:$DK)</f>
        <v>0</v>
      </c>
      <c r="EO601" s="152">
        <f>SUMIF($I:$I,I601,$EC:$EC)</f>
        <v>0</v>
      </c>
      <c r="EP601" s="151">
        <f>SUMIF($I:$I,I601,$ED:$ED)</f>
        <v>0</v>
      </c>
      <c r="EQ601" s="153"/>
      <c r="ER601" s="153"/>
      <c r="ES601" s="153"/>
      <c r="ET601" s="153"/>
      <c r="EU601" s="152">
        <f t="shared" si="619"/>
        <v>300</v>
      </c>
      <c r="EV601" s="152">
        <f t="shared" si="620"/>
        <v>0</v>
      </c>
      <c r="EW601" s="152">
        <f t="shared" si="621"/>
        <v>0</v>
      </c>
      <c r="EX601" s="152">
        <f t="shared" si="622"/>
        <v>0</v>
      </c>
      <c r="EY601" s="151" t="str">
        <f t="shared" si="623"/>
        <v>Đủ</v>
      </c>
    </row>
    <row r="602" spans="1:164" s="264" customFormat="1" ht="14" customHeight="1">
      <c r="A602" s="208" t="str">
        <f t="shared" si="573"/>
        <v>Hiện</v>
      </c>
      <c r="B602" s="154" t="str">
        <f t="shared" si="610"/>
        <v>Thiếu</v>
      </c>
      <c r="C602" s="154">
        <f t="shared" si="611"/>
        <v>203</v>
      </c>
      <c r="D602" s="154"/>
      <c r="E602" s="264" t="s">
        <v>2591</v>
      </c>
      <c r="F602" s="344"/>
      <c r="I602" s="163" t="s">
        <v>1619</v>
      </c>
      <c r="J602" s="980" t="s">
        <v>1616</v>
      </c>
      <c r="K602" s="981" t="s">
        <v>1620</v>
      </c>
      <c r="L602" s="976" t="s">
        <v>1618</v>
      </c>
      <c r="M602" s="977" t="s">
        <v>61</v>
      </c>
      <c r="N602" s="978">
        <v>6</v>
      </c>
      <c r="O602" s="244">
        <v>300</v>
      </c>
      <c r="Q602" s="266"/>
      <c r="BG602" s="162">
        <v>300</v>
      </c>
      <c r="BH602" s="162">
        <v>0</v>
      </c>
      <c r="BI602" s="162">
        <v>0</v>
      </c>
      <c r="BJ602" s="162">
        <v>0</v>
      </c>
      <c r="BK602" s="162">
        <v>0</v>
      </c>
      <c r="BL602" s="162">
        <v>0</v>
      </c>
      <c r="BM602" s="162">
        <v>0</v>
      </c>
      <c r="BN602" s="162">
        <v>0</v>
      </c>
      <c r="BO602" s="162"/>
      <c r="BP602" s="162"/>
      <c r="BQ602" s="162">
        <v>0</v>
      </c>
      <c r="BR602" s="162">
        <v>0</v>
      </c>
      <c r="BS602" s="162">
        <v>0</v>
      </c>
      <c r="BT602" s="162">
        <v>0</v>
      </c>
      <c r="BU602" s="162">
        <v>0</v>
      </c>
      <c r="BV602" s="162">
        <v>0</v>
      </c>
      <c r="BW602" s="162"/>
      <c r="BX602" s="162"/>
      <c r="BY602" s="162">
        <v>600</v>
      </c>
      <c r="BZ602" s="162"/>
      <c r="CA602" s="162">
        <v>1000</v>
      </c>
      <c r="CB602" s="162">
        <v>0</v>
      </c>
      <c r="CC602" s="162">
        <v>0</v>
      </c>
      <c r="CD602" s="162">
        <v>0</v>
      </c>
      <c r="CE602" s="162">
        <f>VLOOKUP(I602,[120]REV33!$A:$O,11,0)</f>
        <v>0</v>
      </c>
      <c r="CF602" s="162">
        <f>VLOOKUP(I602,[120]REV33!$A:$O,12,0)</f>
        <v>0</v>
      </c>
      <c r="CG602" s="162"/>
      <c r="CH602" s="162"/>
      <c r="CI602" s="162"/>
      <c r="CJ602" s="162"/>
      <c r="CK602" s="162"/>
      <c r="CL602" s="162"/>
      <c r="CM602" s="162"/>
      <c r="CN602" s="162"/>
      <c r="CO602" s="162">
        <v>0</v>
      </c>
      <c r="CP602" s="162">
        <v>0</v>
      </c>
      <c r="CQ602" s="162">
        <v>0</v>
      </c>
      <c r="CR602" s="162">
        <v>0</v>
      </c>
      <c r="CS602" s="209">
        <f>Q602+S602+U602+W602+Y602+AA602+AC602+AE602+AG602+AI602+AK602+AM602+AO602+AQ602+AS602+AU602+AW602+AY602+BA602+BC602+BE602+BG602+BI602+BK602+BM602+BO602+BQ602+BS602+BU602+BW602+BY602+CA602+CC602+CE602+CG602+CI602+CK602+CM602+CO602+CQ602</f>
        <v>1900</v>
      </c>
      <c r="CT602" s="209">
        <f>R602+T602+V602+X602+Z602+AB602+AD602+AF602+AH602+AJ602+AL602+AN602+AP602+AR602+AT602+AV602+AX602+AZ602+BB602+BD602+BF602+BH602+BJ602+BL602+BN602+BP602+BR602+BT602+BV602+BX602+BZ602+CB602+CD602+CF602+CH602+CJ602+CL602+CN602+CP602+CR602</f>
        <v>0</v>
      </c>
      <c r="CU602" s="763" t="s">
        <v>2327</v>
      </c>
      <c r="DA602" s="152">
        <f t="shared" si="617"/>
        <v>1900</v>
      </c>
      <c r="DB602" s="152" t="str">
        <f t="shared" si="618"/>
        <v>0</v>
      </c>
      <c r="DD602" s="267" t="s">
        <v>374</v>
      </c>
      <c r="DE602" s="267" t="s">
        <v>1678</v>
      </c>
      <c r="DF602" s="981" t="s">
        <v>1620</v>
      </c>
      <c r="DH602" s="240" t="s">
        <v>477</v>
      </c>
      <c r="DI602" s="187" t="s">
        <v>374</v>
      </c>
      <c r="DJ602" s="270">
        <f>150*2</f>
        <v>300</v>
      </c>
      <c r="DK602" s="240" t="s">
        <v>477</v>
      </c>
      <c r="DL602" s="264">
        <v>77000</v>
      </c>
      <c r="DM602" s="264">
        <f>DL602*DJ602*(1+DN602)</f>
        <v>24948000</v>
      </c>
      <c r="DN602" s="982">
        <v>0.08</v>
      </c>
      <c r="DO602" s="270">
        <f>DJ602*DL602</f>
        <v>23100000</v>
      </c>
      <c r="DP602" s="274">
        <v>45952</v>
      </c>
      <c r="DQ602" s="152">
        <f>SUMIF($I:$I,I602,$DJ:$DJ)</f>
        <v>1697</v>
      </c>
      <c r="DR602" s="152">
        <f>SUMIF($I:$I,I602,$DK:$DK)</f>
        <v>0</v>
      </c>
      <c r="EO602" s="152">
        <f>SUMIF($I:$I,I602,$EC:$EC)</f>
        <v>0</v>
      </c>
      <c r="EP602" s="151">
        <f>SUMIF($I:$I,I602,$ED:$ED)</f>
        <v>0</v>
      </c>
      <c r="EQ602" s="153"/>
      <c r="ER602" s="153"/>
      <c r="ES602" s="153"/>
      <c r="ET602" s="153"/>
      <c r="EU602" s="152">
        <f t="shared" si="619"/>
        <v>1697</v>
      </c>
      <c r="EV602" s="152">
        <f t="shared" si="620"/>
        <v>0</v>
      </c>
      <c r="EW602" s="152">
        <f t="shared" si="621"/>
        <v>203</v>
      </c>
      <c r="EX602" s="152">
        <f t="shared" si="622"/>
        <v>0</v>
      </c>
      <c r="EY602" s="151" t="str">
        <f t="shared" si="623"/>
        <v>Thiếu</v>
      </c>
    </row>
    <row r="603" spans="1:164" s="264" customFormat="1" ht="14" hidden="1" customHeight="1">
      <c r="A603" s="208" t="str">
        <f t="shared" si="573"/>
        <v>ok</v>
      </c>
      <c r="B603" s="154"/>
      <c r="C603" s="154"/>
      <c r="D603" s="244"/>
      <c r="F603" s="344"/>
      <c r="I603" s="164" t="s">
        <v>1619</v>
      </c>
      <c r="J603" s="980" t="s">
        <v>1616</v>
      </c>
      <c r="K603" s="981" t="s">
        <v>1620</v>
      </c>
      <c r="L603" s="976" t="s">
        <v>1618</v>
      </c>
      <c r="M603" s="977" t="s">
        <v>61</v>
      </c>
      <c r="N603" s="978"/>
      <c r="O603" s="244"/>
      <c r="Q603" s="266"/>
      <c r="BG603" s="162"/>
      <c r="BH603" s="162"/>
      <c r="BI603" s="162"/>
      <c r="BJ603" s="162"/>
      <c r="BK603" s="162"/>
      <c r="BL603" s="162"/>
      <c r="BM603" s="162"/>
      <c r="BN603" s="162"/>
      <c r="BO603" s="162"/>
      <c r="BP603" s="162"/>
      <c r="BQ603" s="162"/>
      <c r="BR603" s="162"/>
      <c r="BS603" s="162"/>
      <c r="BT603" s="162"/>
      <c r="BU603" s="162"/>
      <c r="BV603" s="162"/>
      <c r="BW603" s="162"/>
      <c r="BX603" s="162"/>
      <c r="BY603" s="162"/>
      <c r="BZ603" s="162"/>
      <c r="CA603" s="162"/>
      <c r="CB603" s="162"/>
      <c r="CC603" s="162"/>
      <c r="CD603" s="162"/>
      <c r="CE603" s="162"/>
      <c r="CF603" s="162"/>
      <c r="CG603" s="162"/>
      <c r="CH603" s="162"/>
      <c r="CI603" s="162"/>
      <c r="CJ603" s="162"/>
      <c r="CK603" s="162"/>
      <c r="CL603" s="162"/>
      <c r="CM603" s="162"/>
      <c r="CN603" s="162"/>
      <c r="CO603" s="162"/>
      <c r="CP603" s="162"/>
      <c r="CQ603" s="162"/>
      <c r="CR603" s="162"/>
      <c r="CS603" s="209"/>
      <c r="CT603" s="209"/>
      <c r="CU603" s="763"/>
      <c r="DA603" s="152"/>
      <c r="DB603" s="152"/>
      <c r="DD603" s="267" t="s">
        <v>374</v>
      </c>
      <c r="DE603" s="267" t="s">
        <v>1678</v>
      </c>
      <c r="DF603" s="981" t="s">
        <v>2319</v>
      </c>
      <c r="DH603" s="240" t="s">
        <v>477</v>
      </c>
      <c r="DI603" s="187" t="s">
        <v>374</v>
      </c>
      <c r="DJ603" s="270">
        <f>137*3+50*2.4+24*2+30*2.3</f>
        <v>648</v>
      </c>
      <c r="DK603" s="240" t="s">
        <v>477</v>
      </c>
      <c r="DL603" s="264">
        <v>77000</v>
      </c>
      <c r="DM603" s="264">
        <f>DL603*DJ603*(1+DN603)</f>
        <v>53887680</v>
      </c>
      <c r="DN603" s="982">
        <v>0.08</v>
      </c>
      <c r="DO603" s="270">
        <f>DJ603*DL603</f>
        <v>49896000</v>
      </c>
      <c r="DP603" s="274">
        <v>46002</v>
      </c>
      <c r="DQ603" s="152"/>
      <c r="DR603" s="152"/>
      <c r="EO603" s="152"/>
      <c r="EP603" s="151"/>
      <c r="EQ603" s="153"/>
      <c r="ER603" s="153"/>
      <c r="ES603" s="153"/>
      <c r="ET603" s="153"/>
      <c r="EU603" s="152"/>
      <c r="EV603" s="152"/>
      <c r="EW603" s="152"/>
      <c r="EX603" s="152"/>
      <c r="EY603" s="151"/>
    </row>
    <row r="604" spans="1:164" s="264" customFormat="1" ht="14" hidden="1" customHeight="1">
      <c r="A604" s="208" t="str">
        <f t="shared" si="573"/>
        <v>ok</v>
      </c>
      <c r="B604" s="154"/>
      <c r="C604" s="154"/>
      <c r="F604" s="344"/>
      <c r="I604" s="164" t="s">
        <v>1619</v>
      </c>
      <c r="J604" s="980" t="s">
        <v>1616</v>
      </c>
      <c r="K604" s="981" t="s">
        <v>1620</v>
      </c>
      <c r="L604" s="976" t="s">
        <v>1618</v>
      </c>
      <c r="M604" s="977" t="s">
        <v>61</v>
      </c>
      <c r="N604" s="978"/>
      <c r="O604" s="244"/>
      <c r="Q604" s="266"/>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209"/>
      <c r="CT604" s="209"/>
      <c r="CU604" s="206"/>
      <c r="DA604" s="152"/>
      <c r="DB604" s="152"/>
      <c r="DD604" s="267" t="s">
        <v>374</v>
      </c>
      <c r="DE604" s="267" t="s">
        <v>1678</v>
      </c>
      <c r="DF604" s="981" t="s">
        <v>2318</v>
      </c>
      <c r="DH604" s="240" t="s">
        <v>477</v>
      </c>
      <c r="DI604" s="187" t="s">
        <v>374</v>
      </c>
      <c r="DJ604" s="270">
        <f>100*2.4</f>
        <v>240</v>
      </c>
      <c r="DK604" s="240" t="s">
        <v>477</v>
      </c>
      <c r="DL604" s="264">
        <v>77000</v>
      </c>
      <c r="DM604" s="264">
        <f>DL604*DJ604*(1+DN604)</f>
        <v>19958400</v>
      </c>
      <c r="DN604" s="982">
        <v>0.08</v>
      </c>
      <c r="DO604" s="270">
        <f>DJ604*DL604</f>
        <v>18480000</v>
      </c>
      <c r="DP604" s="274">
        <v>45987</v>
      </c>
      <c r="DQ604" s="152"/>
      <c r="DR604" s="152"/>
      <c r="EO604" s="152"/>
      <c r="EP604" s="151"/>
      <c r="EQ604" s="153"/>
      <c r="ER604" s="153"/>
      <c r="ES604" s="153"/>
      <c r="ET604" s="153"/>
      <c r="EU604" s="152"/>
      <c r="EV604" s="152"/>
      <c r="EW604" s="152"/>
      <c r="EX604" s="152"/>
      <c r="EY604" s="151"/>
    </row>
    <row r="605" spans="1:164" s="264" customFormat="1" ht="14" hidden="1" customHeight="1">
      <c r="A605" s="208" t="str">
        <f t="shared" si="573"/>
        <v>ok</v>
      </c>
      <c r="B605" s="154"/>
      <c r="C605" s="154"/>
      <c r="F605" s="344"/>
      <c r="I605" s="164" t="s">
        <v>1619</v>
      </c>
      <c r="J605" s="980" t="s">
        <v>1616</v>
      </c>
      <c r="K605" s="981" t="s">
        <v>1620</v>
      </c>
      <c r="L605" s="976" t="s">
        <v>1618</v>
      </c>
      <c r="M605" s="977" t="s">
        <v>61</v>
      </c>
      <c r="N605" s="978"/>
      <c r="O605" s="244"/>
      <c r="Q605" s="266"/>
      <c r="BG605" s="162"/>
      <c r="BH605" s="162"/>
      <c r="BI605" s="162"/>
      <c r="BJ605" s="162"/>
      <c r="BK605" s="162"/>
      <c r="BL605" s="162"/>
      <c r="BM605" s="162"/>
      <c r="BN605" s="162"/>
      <c r="BO605" s="162"/>
      <c r="BP605" s="162"/>
      <c r="BQ605" s="162"/>
      <c r="BR605" s="162"/>
      <c r="BS605" s="162"/>
      <c r="BT605" s="162"/>
      <c r="BU605" s="162"/>
      <c r="BV605" s="162"/>
      <c r="BW605" s="162"/>
      <c r="BX605" s="162"/>
      <c r="BY605" s="162"/>
      <c r="BZ605" s="162"/>
      <c r="CA605" s="162"/>
      <c r="CB605" s="162"/>
      <c r="CC605" s="162"/>
      <c r="CD605" s="162"/>
      <c r="CE605" s="162"/>
      <c r="CF605" s="162"/>
      <c r="CG605" s="162"/>
      <c r="CH605" s="162"/>
      <c r="CI605" s="162"/>
      <c r="CJ605" s="162"/>
      <c r="CK605" s="162"/>
      <c r="CL605" s="162"/>
      <c r="CM605" s="162"/>
      <c r="CN605" s="162"/>
      <c r="CO605" s="162"/>
      <c r="CP605" s="162"/>
      <c r="CQ605" s="162"/>
      <c r="CR605" s="162"/>
      <c r="CS605" s="209"/>
      <c r="CT605" s="209"/>
      <c r="CU605" s="206"/>
      <c r="DA605" s="152"/>
      <c r="DB605" s="152"/>
      <c r="DD605" s="267" t="s">
        <v>374</v>
      </c>
      <c r="DE605" s="267" t="s">
        <v>1678</v>
      </c>
      <c r="DF605" s="981" t="s">
        <v>2319</v>
      </c>
      <c r="DH605" s="240" t="s">
        <v>477</v>
      </c>
      <c r="DI605" s="187" t="s">
        <v>374</v>
      </c>
      <c r="DJ605" s="270">
        <f>509</f>
        <v>509</v>
      </c>
      <c r="DK605" s="240" t="s">
        <v>477</v>
      </c>
      <c r="DL605" s="264">
        <v>77000</v>
      </c>
      <c r="DM605" s="264">
        <f>DL605*DJ605*(1+DN605)</f>
        <v>42328440</v>
      </c>
      <c r="DN605" s="982">
        <v>0.08</v>
      </c>
      <c r="DO605" s="270">
        <f>DJ605*DL605</f>
        <v>39193000</v>
      </c>
      <c r="DP605" s="274">
        <v>45993</v>
      </c>
      <c r="DQ605" s="152"/>
      <c r="DR605" s="152"/>
      <c r="EO605" s="152"/>
      <c r="EP605" s="151"/>
      <c r="EQ605" s="153"/>
      <c r="ER605" s="153"/>
      <c r="ES605" s="153"/>
      <c r="ET605" s="153"/>
      <c r="EU605" s="152"/>
      <c r="EV605" s="152"/>
      <c r="EW605" s="152"/>
      <c r="EX605" s="152"/>
      <c r="EY605" s="151"/>
    </row>
    <row r="606" spans="1:164" s="264" customFormat="1" ht="14" hidden="1" customHeight="1">
      <c r="A606" s="208" t="str">
        <f t="shared" si="573"/>
        <v>Hiện</v>
      </c>
      <c r="B606" s="154" t="str">
        <f t="shared" si="610"/>
        <v>Đủ</v>
      </c>
      <c r="C606" s="154">
        <f t="shared" si="611"/>
        <v>0</v>
      </c>
      <c r="D606" s="154"/>
      <c r="F606" s="344" t="s">
        <v>1728</v>
      </c>
      <c r="I606" s="164" t="s">
        <v>1621</v>
      </c>
      <c r="J606" s="974" t="s">
        <v>1622</v>
      </c>
      <c r="K606" s="981" t="s">
        <v>1623</v>
      </c>
      <c r="L606" s="976" t="s">
        <v>535</v>
      </c>
      <c r="M606" s="977" t="s">
        <v>1074</v>
      </c>
      <c r="N606" s="978"/>
      <c r="O606" s="244">
        <v>500</v>
      </c>
      <c r="Q606" s="266"/>
      <c r="BG606" s="162">
        <v>500</v>
      </c>
      <c r="BH606" s="162">
        <v>0</v>
      </c>
      <c r="BI606" s="162">
        <v>0</v>
      </c>
      <c r="BJ606" s="162">
        <v>0</v>
      </c>
      <c r="BK606" s="162">
        <v>0</v>
      </c>
      <c r="BL606" s="162">
        <v>0</v>
      </c>
      <c r="BM606" s="162">
        <v>0</v>
      </c>
      <c r="BN606" s="162">
        <v>0</v>
      </c>
      <c r="BO606" s="162"/>
      <c r="BP606" s="162"/>
      <c r="BQ606" s="162">
        <v>0</v>
      </c>
      <c r="BR606" s="162">
        <v>0</v>
      </c>
      <c r="BS606" s="162">
        <v>0</v>
      </c>
      <c r="BT606" s="162">
        <v>0</v>
      </c>
      <c r="BU606" s="162">
        <v>0</v>
      </c>
      <c r="BV606" s="162">
        <v>0</v>
      </c>
      <c r="BW606" s="162"/>
      <c r="BX606" s="162"/>
      <c r="BY606" s="162">
        <v>0</v>
      </c>
      <c r="BZ606" s="162">
        <v>0</v>
      </c>
      <c r="CA606" s="162">
        <v>0</v>
      </c>
      <c r="CB606" s="162">
        <v>0</v>
      </c>
      <c r="CC606" s="162">
        <v>0</v>
      </c>
      <c r="CD606" s="162">
        <v>0</v>
      </c>
      <c r="CE606" s="162">
        <f>VLOOKUP(I606,[120]REV33!$A:$O,11,0)</f>
        <v>0</v>
      </c>
      <c r="CF606" s="162">
        <f>VLOOKUP(I606,[120]REV33!$A:$O,12,0)</f>
        <v>0</v>
      </c>
      <c r="CG606" s="162"/>
      <c r="CH606" s="162"/>
      <c r="CI606" s="162"/>
      <c r="CJ606" s="162"/>
      <c r="CK606" s="162"/>
      <c r="CL606" s="162"/>
      <c r="CM606" s="162"/>
      <c r="CN606" s="162"/>
      <c r="CO606" s="162">
        <v>0</v>
      </c>
      <c r="CP606" s="162">
        <v>0</v>
      </c>
      <c r="CQ606" s="162">
        <v>0</v>
      </c>
      <c r="CR606" s="162">
        <v>0</v>
      </c>
      <c r="CS606" s="209">
        <f>Q606+S606+U606+W606+Y606+AA606+AC606+AE606+AG606+AI606+AK606+AM606+AO606+AQ606+AS606+AU606+AW606+AY606+BA606+BC606+BE606+BG606+BI606+BK606+BM606+BO606+BQ606+BS606+BU606+BW606+BY606+CA606+CC606+CE606+CG606+CI606+CK606+CM606+CO606+CQ606</f>
        <v>500</v>
      </c>
      <c r="CT606" s="209">
        <f>R606+T606+V606+X606+Z606+AB606+AD606+AF606+AH606+AJ606+AL606+AN606+AP606+AR606+AT606+AV606+AX606+AZ606+BB606+BD606+BF606+BH606+BJ606+BL606+BN606+BP606+BR606+BT606+BV606+BX606+BZ606+CB606+CD606+CF606+CH606+CJ606+CL606+CN606+CP606+CR606</f>
        <v>0</v>
      </c>
      <c r="CU606" s="206" t="s">
        <v>1648</v>
      </c>
      <c r="DA606" s="152">
        <f t="shared" ref="DA606:DA608" si="624">IF(CS606&gt;CW606,CS606-CW606,"0")</f>
        <v>500</v>
      </c>
      <c r="DB606" s="152" t="str">
        <f t="shared" ref="DB606:DB608" si="625">IF(CT606&gt;CX606,CT606-CX606,"0")</f>
        <v>0</v>
      </c>
      <c r="DD606" s="158" t="s">
        <v>1676</v>
      </c>
      <c r="DE606" s="156" t="s">
        <v>435</v>
      </c>
      <c r="DF606" s="174" t="s">
        <v>1623</v>
      </c>
      <c r="DH606" s="240" t="s">
        <v>477</v>
      </c>
      <c r="DI606" s="187">
        <v>45950</v>
      </c>
      <c r="DJ606" s="979">
        <v>500</v>
      </c>
      <c r="DK606" s="240" t="s">
        <v>477</v>
      </c>
      <c r="DL606" s="273">
        <v>500</v>
      </c>
      <c r="DM606" s="181">
        <f>DL606*DJ606*1.1</f>
        <v>275000</v>
      </c>
      <c r="DN606" s="446">
        <f>(DM606-DO606)/DO606</f>
        <v>0.1</v>
      </c>
      <c r="DO606" s="160">
        <f>DL606*DJ606</f>
        <v>250000</v>
      </c>
      <c r="DP606" s="159">
        <v>45954</v>
      </c>
      <c r="DQ606" s="152">
        <f>SUMIF($I:$I,I606,$DJ:$DJ)</f>
        <v>500</v>
      </c>
      <c r="DR606" s="152">
        <f>SUMIF($I:$I,I606,$DK:$DK)</f>
        <v>0</v>
      </c>
      <c r="EO606" s="152">
        <f>SUMIF($I:$I,I606,$EC:$EC)</f>
        <v>0</v>
      </c>
      <c r="EP606" s="151">
        <f>SUMIF($I:$I,I606,$ED:$ED)</f>
        <v>0</v>
      </c>
      <c r="EQ606" s="153"/>
      <c r="ER606" s="153"/>
      <c r="ES606" s="153"/>
      <c r="ET606" s="153"/>
      <c r="EU606" s="152">
        <f t="shared" ref="EU606:EU608" si="626">DQ606+EO606</f>
        <v>500</v>
      </c>
      <c r="EV606" s="152">
        <f t="shared" ref="EV606:EV608" si="627">DR606+EP606</f>
        <v>0</v>
      </c>
      <c r="EW606" s="152">
        <f t="shared" ref="EW606:EW608" si="628">DA606-EU606</f>
        <v>0</v>
      </c>
      <c r="EX606" s="152">
        <f t="shared" ref="EX606:EX608" si="629">DB606-EV606</f>
        <v>0</v>
      </c>
      <c r="EY606" s="151" t="str">
        <f t="shared" ref="EY606:EY608" si="630">IF(EW606&lt;0,"Thừa",IF(EW606=0,"Đủ","Thiếu"))</f>
        <v>Đủ</v>
      </c>
    </row>
    <row r="607" spans="1:164" s="264" customFormat="1" ht="14" customHeight="1">
      <c r="A607" s="208" t="str">
        <f t="shared" si="573"/>
        <v>Hiện</v>
      </c>
      <c r="B607" s="154" t="str">
        <f t="shared" si="610"/>
        <v>Thiếu</v>
      </c>
      <c r="C607" s="154">
        <f t="shared" si="611"/>
        <v>1000</v>
      </c>
      <c r="D607" s="154"/>
      <c r="E607" s="264" t="s">
        <v>2592</v>
      </c>
      <c r="F607" s="344"/>
      <c r="I607" s="163" t="s">
        <v>1624</v>
      </c>
      <c r="J607" s="974" t="s">
        <v>1622</v>
      </c>
      <c r="K607" s="981" t="s">
        <v>1625</v>
      </c>
      <c r="L607" s="976" t="s">
        <v>535</v>
      </c>
      <c r="M607" s="977" t="s">
        <v>1074</v>
      </c>
      <c r="N607" s="978"/>
      <c r="O607" s="244">
        <v>500</v>
      </c>
      <c r="Q607" s="266"/>
      <c r="BG607" s="162">
        <v>500</v>
      </c>
      <c r="BH607" s="162">
        <v>0</v>
      </c>
      <c r="BI607" s="162">
        <v>0</v>
      </c>
      <c r="BJ607" s="162">
        <v>0</v>
      </c>
      <c r="BK607" s="162">
        <v>0</v>
      </c>
      <c r="BL607" s="162">
        <v>0</v>
      </c>
      <c r="BM607" s="162">
        <v>0</v>
      </c>
      <c r="BN607" s="162">
        <v>0</v>
      </c>
      <c r="BO607" s="162"/>
      <c r="BP607" s="162"/>
      <c r="BQ607" s="162">
        <v>0</v>
      </c>
      <c r="BR607" s="162">
        <v>0</v>
      </c>
      <c r="BS607" s="162">
        <v>0</v>
      </c>
      <c r="BT607" s="162">
        <v>0</v>
      </c>
      <c r="BU607" s="162">
        <v>0</v>
      </c>
      <c r="BV607" s="162">
        <v>0</v>
      </c>
      <c r="BW607" s="162"/>
      <c r="BX607" s="162"/>
      <c r="BY607" s="162">
        <v>0</v>
      </c>
      <c r="BZ607" s="162">
        <v>0</v>
      </c>
      <c r="CA607" s="162">
        <v>0</v>
      </c>
      <c r="CB607" s="162">
        <v>0</v>
      </c>
      <c r="CC607" s="162">
        <v>0</v>
      </c>
      <c r="CD607" s="162">
        <v>0</v>
      </c>
      <c r="CE607" s="162">
        <f>VLOOKUP(I607,[120]REV33!$A:$O,11,0)</f>
        <v>0</v>
      </c>
      <c r="CF607" s="162">
        <f>VLOOKUP(I607,[120]REV33!$A:$O,12,0)</f>
        <v>0</v>
      </c>
      <c r="CG607" s="162"/>
      <c r="CH607" s="162"/>
      <c r="CI607" s="162"/>
      <c r="CJ607" s="162"/>
      <c r="CK607" s="162"/>
      <c r="CL607" s="162"/>
      <c r="CM607" s="229">
        <v>1000</v>
      </c>
      <c r="CN607" s="162"/>
      <c r="CO607" s="162">
        <v>0</v>
      </c>
      <c r="CP607" s="162">
        <v>0</v>
      </c>
      <c r="CQ607" s="162">
        <v>0</v>
      </c>
      <c r="CR607" s="162">
        <v>0</v>
      </c>
      <c r="CS607" s="209">
        <f>Q607+S607+U607+W607+Y607+AA607+AC607+AE607+AG607+AI607+AK607+AM607+AO607+AQ607+AS607+AU607+AW607+AY607+BA607+BC607+BE607+BG607+BI607+BK607+BM607+BO607+BQ607+BS607+BU607+BW607+BY607+CA607+CC607+CE607+CG607+CI607+CK607+CM607+CO607+CQ607</f>
        <v>1500</v>
      </c>
      <c r="CT607" s="209">
        <f>R607+T607+V607+X607+Z607+AB607+AD607+AF607+AH607+AJ607+AL607+AN607+AP607+AR607+AT607+AV607+AX607+AZ607+BB607+BD607+BF607+BH607+BJ607+BL607+BN607+BP607+BR607+BT607+BV607+BX607+BZ607+CB607+CD607+CF607+CH607+CJ607+CL607+CN607+CP607+CR607</f>
        <v>0</v>
      </c>
      <c r="CU607" s="206" t="s">
        <v>2602</v>
      </c>
      <c r="DA607" s="152">
        <f t="shared" si="624"/>
        <v>1500</v>
      </c>
      <c r="DB607" s="152" t="str">
        <f t="shared" si="625"/>
        <v>0</v>
      </c>
      <c r="DD607" s="158" t="s">
        <v>1676</v>
      </c>
      <c r="DE607" s="156" t="s">
        <v>435</v>
      </c>
      <c r="DF607" s="174" t="s">
        <v>1625</v>
      </c>
      <c r="DH607" s="240" t="s">
        <v>477</v>
      </c>
      <c r="DI607" s="187">
        <v>45950</v>
      </c>
      <c r="DJ607" s="979">
        <v>500</v>
      </c>
      <c r="DK607" s="240" t="s">
        <v>477</v>
      </c>
      <c r="DL607" s="273">
        <v>2000</v>
      </c>
      <c r="DM607" s="181">
        <f>DL607*DJ607*1.1</f>
        <v>1100000</v>
      </c>
      <c r="DN607" s="446">
        <f>(DM607-DO607)/DO607</f>
        <v>0.1</v>
      </c>
      <c r="DO607" s="160">
        <f>DL607*DJ607</f>
        <v>1000000</v>
      </c>
      <c r="DP607" s="159">
        <v>45954</v>
      </c>
      <c r="DQ607" s="152">
        <f>SUMIF($I:$I,I607,$DJ:$DJ)</f>
        <v>500</v>
      </c>
      <c r="DR607" s="152">
        <f>SUMIF($I:$I,I607,$DK:$DK)</f>
        <v>0</v>
      </c>
      <c r="EO607" s="152">
        <f>SUMIF($I:$I,I607,$EC:$EC)</f>
        <v>0</v>
      </c>
      <c r="EP607" s="151">
        <f>SUMIF($I:$I,I607,$ED:$ED)</f>
        <v>0</v>
      </c>
      <c r="EQ607" s="153"/>
      <c r="ER607" s="153"/>
      <c r="ES607" s="153"/>
      <c r="ET607" s="153"/>
      <c r="EU607" s="152">
        <f t="shared" si="626"/>
        <v>500</v>
      </c>
      <c r="EV607" s="152">
        <f t="shared" si="627"/>
        <v>0</v>
      </c>
      <c r="EW607" s="152">
        <f t="shared" si="628"/>
        <v>1000</v>
      </c>
      <c r="EX607" s="152">
        <f t="shared" si="629"/>
        <v>0</v>
      </c>
      <c r="EY607" s="151" t="str">
        <f t="shared" si="630"/>
        <v>Thiếu</v>
      </c>
    </row>
    <row r="608" spans="1:164" s="157" customFormat="1" ht="14" hidden="1" customHeight="1">
      <c r="A608" s="208" t="str">
        <f t="shared" si="573"/>
        <v>Hiện</v>
      </c>
      <c r="B608" s="151" t="str">
        <f t="shared" ref="B608" si="631">EY608</f>
        <v>Thừa</v>
      </c>
      <c r="C608" s="151">
        <f t="shared" ref="C608" si="632">EW608</f>
        <v>-2</v>
      </c>
      <c r="D608" s="151"/>
      <c r="E608" s="151" t="s">
        <v>1305</v>
      </c>
      <c r="F608" s="154" t="s">
        <v>1728</v>
      </c>
      <c r="G608" s="151" t="s">
        <v>1305</v>
      </c>
      <c r="H608" s="151"/>
      <c r="I608" s="164" t="s">
        <v>1667</v>
      </c>
      <c r="J608" s="164" t="s">
        <v>267</v>
      </c>
      <c r="K608" s="171" t="s">
        <v>309</v>
      </c>
      <c r="L608" s="233" t="s">
        <v>399</v>
      </c>
      <c r="M608" s="163" t="s">
        <v>61</v>
      </c>
      <c r="N608" s="172">
        <v>42.2</v>
      </c>
      <c r="O608" s="177">
        <v>66.495999999999995</v>
      </c>
      <c r="P608" s="172">
        <v>1869.22</v>
      </c>
      <c r="Q608" s="161"/>
      <c r="R608" s="162"/>
      <c r="S608" s="161"/>
      <c r="T608" s="162"/>
      <c r="U608" s="162"/>
      <c r="V608" s="162"/>
      <c r="W608" s="162"/>
      <c r="X608" s="162"/>
      <c r="Y608" s="162"/>
      <c r="Z608" s="162"/>
      <c r="AA608" s="162"/>
      <c r="AB608" s="162"/>
      <c r="AC608" s="162"/>
      <c r="AD608" s="162"/>
      <c r="AE608" s="162"/>
      <c r="AF608" s="162"/>
      <c r="AG608" s="162"/>
      <c r="AH608" s="162"/>
      <c r="AI608" s="162"/>
      <c r="AJ608" s="162"/>
      <c r="AK608" s="162"/>
      <c r="AL608" s="162"/>
      <c r="AM608" s="162"/>
      <c r="AN608" s="162"/>
      <c r="AO608" s="162"/>
      <c r="AP608" s="162"/>
      <c r="AQ608" s="162"/>
      <c r="AR608" s="162"/>
      <c r="AS608" s="162"/>
      <c r="AT608" s="162"/>
      <c r="AU608" s="162"/>
      <c r="AV608" s="162"/>
      <c r="AW608" s="162"/>
      <c r="AX608" s="162"/>
      <c r="AY608" s="162"/>
      <c r="AZ608" s="162"/>
      <c r="BA608" s="162"/>
      <c r="BB608" s="162"/>
      <c r="BC608" s="162"/>
      <c r="BD608" s="162"/>
      <c r="BE608" s="162"/>
      <c r="BF608" s="162"/>
      <c r="BG608" s="162"/>
      <c r="BH608" s="162"/>
      <c r="BI608" s="162"/>
      <c r="BJ608" s="162"/>
      <c r="BK608" s="162"/>
      <c r="BL608" s="162"/>
      <c r="BM608" s="162">
        <v>70</v>
      </c>
      <c r="BN608" s="162">
        <v>2954</v>
      </c>
      <c r="BO608" s="162"/>
      <c r="BP608" s="162"/>
      <c r="BQ608" s="162">
        <v>156</v>
      </c>
      <c r="BR608" s="162">
        <v>6583.2000000000007</v>
      </c>
      <c r="BS608" s="162">
        <v>0</v>
      </c>
      <c r="BT608" s="162">
        <v>0</v>
      </c>
      <c r="BU608" s="162">
        <v>0</v>
      </c>
      <c r="BV608" s="162">
        <v>0</v>
      </c>
      <c r="BW608" s="162"/>
      <c r="BX608" s="162"/>
      <c r="BY608" s="162">
        <v>0</v>
      </c>
      <c r="BZ608" s="162">
        <v>0</v>
      </c>
      <c r="CA608" s="162">
        <v>60</v>
      </c>
      <c r="CB608" s="162">
        <v>2532</v>
      </c>
      <c r="CC608" s="162">
        <v>120</v>
      </c>
      <c r="CD608" s="162">
        <v>5064</v>
      </c>
      <c r="CE608" s="162">
        <f>VLOOKUP(I608,[120]REV33!$A:$O,11,0)</f>
        <v>0</v>
      </c>
      <c r="CF608" s="162">
        <f>VLOOKUP(I608,[120]REV33!$A:$O,12,0)</f>
        <v>0</v>
      </c>
      <c r="CG608" s="162"/>
      <c r="CH608" s="162"/>
      <c r="CI608" s="162"/>
      <c r="CJ608" s="162"/>
      <c r="CK608" s="162"/>
      <c r="CL608" s="162"/>
      <c r="CM608" s="162"/>
      <c r="CN608" s="162"/>
      <c r="CO608" s="162">
        <v>0</v>
      </c>
      <c r="CP608" s="162">
        <v>0</v>
      </c>
      <c r="CQ608" s="162">
        <v>0</v>
      </c>
      <c r="CR608" s="162">
        <v>0</v>
      </c>
      <c r="CS608" s="209">
        <f>Q608+S608+U608+W608+Y608+AA608+AC608+AE608+AG608+AI608+AK608+AM608+AO608+AQ608+AS608+AU608+AW608+AY608+BA608+BC608+BE608+BG608+BI608+BK608+BM608+BO608+BQ608+BS608+BU608+BW608+BY608+CA608+CC608+CE608+CG608+CI608+CK608+CM608+CO608+CQ608</f>
        <v>406</v>
      </c>
      <c r="CT608" s="209">
        <f>R608+T608+V608+X608+Z608+AB608+AD608+AF608+AH608+AJ608+AL608+AN608+AP608+AR608+AT608+AV608+AX608+AZ608+BB608+BD608+BF608+BH608+BJ608+BL608+BN608+BP608+BR608+BT608+BV608+BX608+BZ608+CB608+CD608+CF608+CH608+CJ608+CL608+CN608+CP608+CR608</f>
        <v>17133.2</v>
      </c>
      <c r="CU608" s="375" t="s">
        <v>2328</v>
      </c>
      <c r="CV608" s="208"/>
      <c r="CW608" s="152">
        <f>7*12</f>
        <v>84</v>
      </c>
      <c r="CX608" s="152">
        <f>CW608*N608</f>
        <v>3544.8</v>
      </c>
      <c r="CY608" s="275"/>
      <c r="CZ608" s="787" t="s">
        <v>1490</v>
      </c>
      <c r="DA608" s="152">
        <f t="shared" si="624"/>
        <v>322</v>
      </c>
      <c r="DB608" s="152">
        <f t="shared" si="625"/>
        <v>13588.400000000001</v>
      </c>
      <c r="DC608" s="153"/>
      <c r="DD608" s="377" t="s">
        <v>2175</v>
      </c>
      <c r="DE608" s="153" t="s">
        <v>1496</v>
      </c>
      <c r="DF608" s="788" t="s">
        <v>2317</v>
      </c>
      <c r="DG608" s="789" t="s">
        <v>2181</v>
      </c>
      <c r="DH608" s="181">
        <v>6278.4000000000005</v>
      </c>
      <c r="DI608" s="153">
        <v>45972</v>
      </c>
      <c r="DJ608" s="392">
        <v>144</v>
      </c>
      <c r="DK608" s="181">
        <v>6278.4000000000005</v>
      </c>
      <c r="DL608" s="182">
        <v>17454.55</v>
      </c>
      <c r="DM608" s="181">
        <f t="shared" ref="DM608:DM611" si="633">DL608*DK608*(1+DN608)</f>
        <v>120545311.392</v>
      </c>
      <c r="DN608" s="446">
        <v>0.1</v>
      </c>
      <c r="DO608" s="182">
        <f t="shared" ref="DO608:DO611" si="634">DK608*DL608</f>
        <v>109586646.72</v>
      </c>
      <c r="DP608" s="275">
        <v>45976</v>
      </c>
      <c r="DQ608" s="152">
        <f>SUMIF($I:$I,I608,$DJ:$DJ)</f>
        <v>324</v>
      </c>
      <c r="DR608" s="152">
        <f>SUMIF($I:$I,I608,$DK:$DK)</f>
        <v>15260.400000000001</v>
      </c>
      <c r="DS608" s="151"/>
      <c r="DT608" s="275"/>
      <c r="DU608" s="370"/>
      <c r="DV608" s="208"/>
      <c r="DW608" s="208"/>
      <c r="DX608" s="152"/>
      <c r="DY608" s="152"/>
      <c r="DZ608" s="152"/>
      <c r="EA608" s="152"/>
      <c r="EB608" s="152"/>
      <c r="EC608" s="152"/>
      <c r="ED608" s="152"/>
      <c r="EE608" s="209"/>
      <c r="EF608" s="371"/>
      <c r="EG608" s="153"/>
      <c r="EH608" s="153"/>
      <c r="EI608" s="153"/>
      <c r="EJ608" s="153"/>
      <c r="EK608" s="153"/>
      <c r="EL608" s="153"/>
      <c r="EM608" s="153"/>
      <c r="EN608" s="153"/>
      <c r="EO608" s="152">
        <f>SUMIF($I:$I,I608,$EC:$EC)</f>
        <v>0</v>
      </c>
      <c r="EP608" s="151">
        <f>SUMIF($I:$I,I608,$ED:$ED)</f>
        <v>0</v>
      </c>
      <c r="EQ608" s="153"/>
      <c r="ER608" s="153"/>
      <c r="ES608" s="153"/>
      <c r="ET608" s="153"/>
      <c r="EU608" s="152">
        <f t="shared" si="626"/>
        <v>324</v>
      </c>
      <c r="EV608" s="152">
        <f t="shared" si="627"/>
        <v>15260.400000000001</v>
      </c>
      <c r="EW608" s="152">
        <f t="shared" si="628"/>
        <v>-2</v>
      </c>
      <c r="EX608" s="152">
        <f t="shared" si="629"/>
        <v>-1672</v>
      </c>
      <c r="EY608" s="151" t="str">
        <f t="shared" si="630"/>
        <v>Thừa</v>
      </c>
      <c r="EZ608" s="152"/>
      <c r="FA608" s="372"/>
      <c r="FB608" s="373"/>
      <c r="FC608" s="367"/>
      <c r="FD608" s="374"/>
      <c r="FE608" s="183"/>
      <c r="FF608" s="184"/>
      <c r="FG608" s="185"/>
      <c r="FH608" s="185"/>
    </row>
    <row r="609" spans="1:164" s="157" customFormat="1" ht="14" hidden="1" customHeight="1">
      <c r="A609" s="208" t="str">
        <f t="shared" si="573"/>
        <v>ok</v>
      </c>
      <c r="B609" s="151"/>
      <c r="C609" s="151"/>
      <c r="D609" s="151"/>
      <c r="E609" s="151"/>
      <c r="F609" s="154"/>
      <c r="G609" s="151"/>
      <c r="H609" s="151"/>
      <c r="I609" s="164" t="s">
        <v>1667</v>
      </c>
      <c r="J609" s="164" t="s">
        <v>267</v>
      </c>
      <c r="K609" s="171" t="s">
        <v>309</v>
      </c>
      <c r="L609" s="233" t="s">
        <v>399</v>
      </c>
      <c r="M609" s="163" t="s">
        <v>61</v>
      </c>
      <c r="N609" s="172"/>
      <c r="O609" s="177"/>
      <c r="P609" s="172"/>
      <c r="Q609" s="161"/>
      <c r="R609" s="162"/>
      <c r="S609" s="161"/>
      <c r="T609" s="162"/>
      <c r="U609" s="162"/>
      <c r="V609" s="162"/>
      <c r="W609" s="162"/>
      <c r="X609" s="162"/>
      <c r="Y609" s="162"/>
      <c r="Z609" s="162"/>
      <c r="AA609" s="162"/>
      <c r="AB609" s="162"/>
      <c r="AC609" s="162"/>
      <c r="AD609" s="162"/>
      <c r="AE609" s="162"/>
      <c r="AF609" s="162"/>
      <c r="AG609" s="162"/>
      <c r="AH609" s="162"/>
      <c r="AI609" s="162"/>
      <c r="AJ609" s="162"/>
      <c r="AK609" s="162"/>
      <c r="AL609" s="162"/>
      <c r="AM609" s="162"/>
      <c r="AN609" s="162"/>
      <c r="AO609" s="162"/>
      <c r="AP609" s="162"/>
      <c r="AQ609" s="162"/>
      <c r="AR609" s="162"/>
      <c r="AS609" s="162"/>
      <c r="AT609" s="162"/>
      <c r="AU609" s="162"/>
      <c r="AV609" s="162"/>
      <c r="AW609" s="162"/>
      <c r="AX609" s="162"/>
      <c r="AY609" s="162"/>
      <c r="AZ609" s="162"/>
      <c r="BA609" s="162"/>
      <c r="BB609" s="162"/>
      <c r="BC609" s="162"/>
      <c r="BD609" s="162"/>
      <c r="BE609" s="162"/>
      <c r="BF609" s="162"/>
      <c r="BG609" s="162"/>
      <c r="BH609" s="162"/>
      <c r="BI609" s="162"/>
      <c r="BJ609" s="162"/>
      <c r="BK609" s="162"/>
      <c r="BL609" s="162"/>
      <c r="BM609" s="162"/>
      <c r="BN609" s="162"/>
      <c r="BO609" s="162"/>
      <c r="BP609" s="162"/>
      <c r="BQ609" s="162"/>
      <c r="BR609" s="162"/>
      <c r="BS609" s="162"/>
      <c r="BT609" s="162"/>
      <c r="BU609" s="162"/>
      <c r="BV609" s="162"/>
      <c r="BW609" s="162"/>
      <c r="BX609" s="162"/>
      <c r="BY609" s="162"/>
      <c r="BZ609" s="162"/>
      <c r="CA609" s="162"/>
      <c r="CB609" s="162"/>
      <c r="CC609" s="162"/>
      <c r="CD609" s="162"/>
      <c r="CE609" s="162"/>
      <c r="CF609" s="162"/>
      <c r="CG609" s="162"/>
      <c r="CH609" s="162"/>
      <c r="CI609" s="162"/>
      <c r="CJ609" s="162"/>
      <c r="CK609" s="162"/>
      <c r="CL609" s="162"/>
      <c r="CM609" s="162"/>
      <c r="CN609" s="162"/>
      <c r="CO609" s="162"/>
      <c r="CP609" s="162"/>
      <c r="CQ609" s="162"/>
      <c r="CR609" s="162"/>
      <c r="CS609" s="209"/>
      <c r="CT609" s="209"/>
      <c r="CU609" s="375"/>
      <c r="CV609" s="208"/>
      <c r="CW609" s="152"/>
      <c r="CX609" s="152"/>
      <c r="CY609" s="275"/>
      <c r="CZ609" s="787"/>
      <c r="DA609" s="152"/>
      <c r="DB609" s="152"/>
      <c r="DC609" s="153"/>
      <c r="DD609" s="377" t="s">
        <v>374</v>
      </c>
      <c r="DE609" s="153" t="s">
        <v>45</v>
      </c>
      <c r="DF609" s="788" t="s">
        <v>2337</v>
      </c>
      <c r="DG609" s="789"/>
      <c r="DH609" s="181">
        <f>5988/2</f>
        <v>2994</v>
      </c>
      <c r="DI609" s="153" t="s">
        <v>374</v>
      </c>
      <c r="DJ609" s="392">
        <v>60</v>
      </c>
      <c r="DK609" s="181">
        <f>5988/2</f>
        <v>2994</v>
      </c>
      <c r="DL609" s="182">
        <f>19200/1.1</f>
        <v>17454.545454545452</v>
      </c>
      <c r="DM609" s="181">
        <f t="shared" ref="DM609:DM610" si="635">DL609*DK609*1.1</f>
        <v>57484800</v>
      </c>
      <c r="DN609" s="446">
        <f t="shared" ref="DN609:DN610" si="636">(DM609-DO609)/DO609</f>
        <v>0.1000000000000001</v>
      </c>
      <c r="DO609" s="182">
        <f t="shared" ref="DO609:DO610" si="637">DL609*DK609</f>
        <v>52258909.090909086</v>
      </c>
      <c r="DP609" s="275">
        <v>45996</v>
      </c>
      <c r="DQ609" s="152"/>
      <c r="DR609" s="152"/>
      <c r="DS609" s="151"/>
      <c r="DT609" s="275"/>
      <c r="DU609" s="370"/>
      <c r="DV609" s="208"/>
      <c r="DW609" s="208"/>
      <c r="DX609" s="152"/>
      <c r="DY609" s="152"/>
      <c r="DZ609" s="152"/>
      <c r="EA609" s="152"/>
      <c r="EB609" s="152"/>
      <c r="EC609" s="152"/>
      <c r="ED609" s="152"/>
      <c r="EE609" s="209"/>
      <c r="EF609" s="371"/>
      <c r="EG609" s="153"/>
      <c r="EH609" s="153"/>
      <c r="EI609" s="153"/>
      <c r="EJ609" s="153"/>
      <c r="EK609" s="153"/>
      <c r="EL609" s="153"/>
      <c r="EM609" s="153"/>
      <c r="EN609" s="153"/>
      <c r="EO609" s="152"/>
      <c r="EP609" s="151"/>
      <c r="EQ609" s="153"/>
      <c r="ER609" s="153"/>
      <c r="ES609" s="153"/>
      <c r="ET609" s="153"/>
      <c r="EU609" s="152"/>
      <c r="EV609" s="152"/>
      <c r="EW609" s="152"/>
      <c r="EX609" s="152"/>
      <c r="EY609" s="151"/>
      <c r="EZ609" s="152"/>
      <c r="FA609" s="372"/>
      <c r="FB609" s="373"/>
      <c r="FC609" s="367"/>
      <c r="FD609" s="374"/>
      <c r="FE609" s="183"/>
      <c r="FF609" s="184"/>
      <c r="FG609" s="185"/>
      <c r="FH609" s="185"/>
    </row>
    <row r="610" spans="1:164" s="157" customFormat="1" ht="14" hidden="1" customHeight="1">
      <c r="A610" s="208" t="str">
        <f t="shared" si="573"/>
        <v>ok</v>
      </c>
      <c r="B610" s="151"/>
      <c r="C610" s="151"/>
      <c r="D610" s="151"/>
      <c r="E610" s="151"/>
      <c r="F610" s="154"/>
      <c r="G610" s="151"/>
      <c r="H610" s="151"/>
      <c r="I610" s="164" t="s">
        <v>1667</v>
      </c>
      <c r="J610" s="164" t="s">
        <v>267</v>
      </c>
      <c r="K610" s="171" t="s">
        <v>309</v>
      </c>
      <c r="L610" s="233" t="s">
        <v>399</v>
      </c>
      <c r="M610" s="163" t="s">
        <v>61</v>
      </c>
      <c r="N610" s="172"/>
      <c r="O610" s="177"/>
      <c r="P610" s="172"/>
      <c r="Q610" s="161"/>
      <c r="R610" s="162"/>
      <c r="S610" s="161"/>
      <c r="T610" s="162"/>
      <c r="U610" s="162"/>
      <c r="V610" s="162"/>
      <c r="W610" s="162"/>
      <c r="X610" s="162"/>
      <c r="Y610" s="162"/>
      <c r="Z610" s="162"/>
      <c r="AA610" s="162"/>
      <c r="AB610" s="162"/>
      <c r="AC610" s="162"/>
      <c r="AD610" s="162"/>
      <c r="AE610" s="162"/>
      <c r="AF610" s="162"/>
      <c r="AG610" s="162"/>
      <c r="AH610" s="162"/>
      <c r="AI610" s="162"/>
      <c r="AJ610" s="162"/>
      <c r="AK610" s="162"/>
      <c r="AL610" s="162"/>
      <c r="AM610" s="162"/>
      <c r="AN610" s="162"/>
      <c r="AO610" s="162"/>
      <c r="AP610" s="162"/>
      <c r="AQ610" s="162"/>
      <c r="AR610" s="162"/>
      <c r="AS610" s="162"/>
      <c r="AT610" s="162"/>
      <c r="AU610" s="162"/>
      <c r="AV610" s="162"/>
      <c r="AW610" s="162"/>
      <c r="AX610" s="162"/>
      <c r="AY610" s="162"/>
      <c r="AZ610" s="162"/>
      <c r="BA610" s="162"/>
      <c r="BB610" s="162"/>
      <c r="BC610" s="162"/>
      <c r="BD610" s="162"/>
      <c r="BE610" s="162"/>
      <c r="BF610" s="162"/>
      <c r="BG610" s="162"/>
      <c r="BH610" s="162"/>
      <c r="BI610" s="162"/>
      <c r="BJ610" s="162"/>
      <c r="BK610" s="162"/>
      <c r="BL610" s="162"/>
      <c r="BM610" s="162"/>
      <c r="BN610" s="162"/>
      <c r="BO610" s="162"/>
      <c r="BP610" s="162"/>
      <c r="BQ610" s="162"/>
      <c r="BR610" s="162"/>
      <c r="BS610" s="162"/>
      <c r="BT610" s="162"/>
      <c r="BU610" s="162"/>
      <c r="BV610" s="162"/>
      <c r="BW610" s="162"/>
      <c r="BX610" s="162"/>
      <c r="BY610" s="162"/>
      <c r="BZ610" s="162"/>
      <c r="CA610" s="162"/>
      <c r="CB610" s="162"/>
      <c r="CC610" s="162"/>
      <c r="CD610" s="162"/>
      <c r="CE610" s="162"/>
      <c r="CF610" s="162"/>
      <c r="CG610" s="162"/>
      <c r="CH610" s="162"/>
      <c r="CI610" s="162"/>
      <c r="CJ610" s="162"/>
      <c r="CK610" s="162"/>
      <c r="CL610" s="162"/>
      <c r="CM610" s="162"/>
      <c r="CN610" s="162"/>
      <c r="CO610" s="162"/>
      <c r="CP610" s="162"/>
      <c r="CQ610" s="162"/>
      <c r="CR610" s="162"/>
      <c r="CS610" s="209"/>
      <c r="CT610" s="209"/>
      <c r="CU610" s="375"/>
      <c r="CV610" s="208"/>
      <c r="CW610" s="152"/>
      <c r="CX610" s="152"/>
      <c r="CY610" s="275"/>
      <c r="CZ610" s="787"/>
      <c r="DA610" s="152"/>
      <c r="DB610" s="152"/>
      <c r="DC610" s="153"/>
      <c r="DD610" s="377" t="s">
        <v>374</v>
      </c>
      <c r="DE610" s="153" t="s">
        <v>45</v>
      </c>
      <c r="DF610" s="788" t="s">
        <v>2335</v>
      </c>
      <c r="DG610" s="789"/>
      <c r="DH610" s="181">
        <v>5988</v>
      </c>
      <c r="DI610" s="153" t="s">
        <v>374</v>
      </c>
      <c r="DJ610" s="392">
        <v>120</v>
      </c>
      <c r="DK610" s="181">
        <v>5988</v>
      </c>
      <c r="DL610" s="182">
        <f>19200/1.1</f>
        <v>17454.545454545452</v>
      </c>
      <c r="DM610" s="181">
        <f t="shared" si="635"/>
        <v>114969600</v>
      </c>
      <c r="DN610" s="446">
        <f t="shared" si="636"/>
        <v>0.1000000000000001</v>
      </c>
      <c r="DO610" s="182">
        <f t="shared" si="637"/>
        <v>104517818.18181817</v>
      </c>
      <c r="DP610" s="275">
        <v>45997</v>
      </c>
      <c r="DQ610" s="152"/>
      <c r="DR610" s="152"/>
      <c r="DS610" s="151"/>
      <c r="DT610" s="275"/>
      <c r="DU610" s="370"/>
      <c r="DV610" s="208"/>
      <c r="DW610" s="208"/>
      <c r="DX610" s="152"/>
      <c r="DY610" s="152"/>
      <c r="DZ610" s="152"/>
      <c r="EA610" s="152"/>
      <c r="EB610" s="152"/>
      <c r="EC610" s="152"/>
      <c r="ED610" s="152"/>
      <c r="EE610" s="209"/>
      <c r="EF610" s="371"/>
      <c r="EG610" s="153"/>
      <c r="EH610" s="153"/>
      <c r="EI610" s="153"/>
      <c r="EJ610" s="153"/>
      <c r="EK610" s="153"/>
      <c r="EL610" s="153"/>
      <c r="EM610" s="153"/>
      <c r="EN610" s="153"/>
      <c r="EO610" s="152"/>
      <c r="EP610" s="151"/>
      <c r="EQ610" s="153"/>
      <c r="ER610" s="153"/>
      <c r="ES610" s="153"/>
      <c r="ET610" s="153"/>
      <c r="EU610" s="152"/>
      <c r="EV610" s="152"/>
      <c r="EW610" s="152"/>
      <c r="EX610" s="152"/>
      <c r="EY610" s="151"/>
      <c r="EZ610" s="152"/>
      <c r="FA610" s="372"/>
      <c r="FB610" s="373"/>
      <c r="FC610" s="367"/>
      <c r="FD610" s="374"/>
      <c r="FE610" s="183"/>
      <c r="FF610" s="184"/>
      <c r="FG610" s="185"/>
      <c r="FH610" s="185"/>
    </row>
    <row r="611" spans="1:164" s="264" customFormat="1" ht="21.5" hidden="1" customHeight="1">
      <c r="A611" s="208" t="str">
        <f t="shared" si="573"/>
        <v>Hiện</v>
      </c>
      <c r="B611" s="154" t="str">
        <f t="shared" ref="B611:B665" si="638">EY611</f>
        <v>Đủ</v>
      </c>
      <c r="C611" s="154">
        <f t="shared" ref="C611:C665" si="639">EW611</f>
        <v>0</v>
      </c>
      <c r="D611" s="154"/>
      <c r="E611" s="973" t="s">
        <v>2061</v>
      </c>
      <c r="F611" s="344" t="s">
        <v>1728</v>
      </c>
      <c r="G611" s="703" t="s">
        <v>1307</v>
      </c>
      <c r="I611" s="164" t="s">
        <v>1776</v>
      </c>
      <c r="J611" s="164" t="s">
        <v>267</v>
      </c>
      <c r="K611" s="171" t="s">
        <v>1777</v>
      </c>
      <c r="L611" s="247" t="s">
        <v>399</v>
      </c>
      <c r="M611" s="163" t="s">
        <v>61</v>
      </c>
      <c r="N611" s="248">
        <v>30.4</v>
      </c>
      <c r="O611" s="229">
        <v>18.276</v>
      </c>
      <c r="P611" s="172">
        <v>565.02</v>
      </c>
      <c r="Q611" s="266"/>
      <c r="BG611" s="162"/>
      <c r="BH611" s="162"/>
      <c r="BI611" s="162"/>
      <c r="BJ611" s="162"/>
      <c r="BK611" s="162"/>
      <c r="BL611" s="162"/>
      <c r="BM611" s="162"/>
      <c r="BN611" s="162"/>
      <c r="BO611" s="162"/>
      <c r="BP611" s="162"/>
      <c r="BQ611" s="162">
        <v>24</v>
      </c>
      <c r="BR611" s="162">
        <v>729.59999999999991</v>
      </c>
      <c r="BS611" s="162">
        <v>0</v>
      </c>
      <c r="BT611" s="162">
        <v>0</v>
      </c>
      <c r="BU611" s="162">
        <v>0</v>
      </c>
      <c r="BV611" s="162">
        <v>0</v>
      </c>
      <c r="BW611" s="162"/>
      <c r="BX611" s="162"/>
      <c r="BY611" s="162">
        <v>0</v>
      </c>
      <c r="BZ611" s="162">
        <v>0</v>
      </c>
      <c r="CA611" s="162">
        <v>0</v>
      </c>
      <c r="CB611" s="162">
        <v>0</v>
      </c>
      <c r="CC611" s="162">
        <v>0</v>
      </c>
      <c r="CD611" s="162">
        <v>0</v>
      </c>
      <c r="CE611" s="162">
        <f>VLOOKUP(I611,[120]REV33!$A:$O,11,0)</f>
        <v>0</v>
      </c>
      <c r="CF611" s="162">
        <f>VLOOKUP(I611,[120]REV33!$A:$O,12,0)</f>
        <v>0</v>
      </c>
      <c r="CG611" s="162"/>
      <c r="CH611" s="162"/>
      <c r="CI611" s="162"/>
      <c r="CJ611" s="162"/>
      <c r="CK611" s="162"/>
      <c r="CL611" s="162"/>
      <c r="CM611" s="162"/>
      <c r="CN611" s="162"/>
      <c r="CO611" s="162">
        <v>0</v>
      </c>
      <c r="CP611" s="162">
        <v>0</v>
      </c>
      <c r="CQ611" s="162">
        <v>0</v>
      </c>
      <c r="CR611" s="162">
        <v>0</v>
      </c>
      <c r="CS611" s="209">
        <f>Q611+S611+U611+W611+Y611+AA611+AC611+AE611+AG611+AI611+AK611+AM611+AO611+AQ611+AS611+AU611+AW611+AY611+BA611+BC611+BE611+BG611+BI611+BK611+BM611+BO611+BQ611+BS611+BU611+BW611+BY611+CA611+CC611+CE611+CG611+CI611+CK611+CM611+CO611+CQ611</f>
        <v>24</v>
      </c>
      <c r="CT611" s="209">
        <f>R611+T611+V611+X611+Z611+AB611+AD611+AF611+AH611+AJ611+AL611+AN611+AP611+AR611+AT611+AV611+AX611+AZ611+BB611+BD611+BF611+BH611+BJ611+BL611+BN611+BP611+BR611+BT611+BV611+BX611+BZ611+CB611+CD611+CF611+CH611+CJ611+CL611+CN611+CP611+CR611</f>
        <v>729.59999999999991</v>
      </c>
      <c r="CU611" s="206" t="s">
        <v>1894</v>
      </c>
      <c r="DA611" s="152">
        <f t="shared" ref="DA611:DA617" si="640">IF(CS611&gt;CW611,CS611-CW611,"0")</f>
        <v>24</v>
      </c>
      <c r="DB611" s="152">
        <f t="shared" ref="DB611:DB617" si="641">IF(CT611&gt;CX611,CT611-CX611,"0")</f>
        <v>729.59999999999991</v>
      </c>
      <c r="DD611" s="377" t="s">
        <v>2175</v>
      </c>
      <c r="DE611" s="153" t="s">
        <v>1496</v>
      </c>
      <c r="DF611" s="702" t="s">
        <v>2180</v>
      </c>
      <c r="DG611" s="405" t="s">
        <v>2181</v>
      </c>
      <c r="DI611" s="153">
        <v>45972</v>
      </c>
      <c r="DJ611" s="270">
        <v>24</v>
      </c>
      <c r="DK611" s="270">
        <v>746.40000000000009</v>
      </c>
      <c r="DL611" s="264">
        <v>17454.55</v>
      </c>
      <c r="DM611" s="181">
        <f t="shared" si="633"/>
        <v>14330883.732000003</v>
      </c>
      <c r="DN611" s="446">
        <v>0.1</v>
      </c>
      <c r="DO611" s="182">
        <f t="shared" si="634"/>
        <v>13028076.120000001</v>
      </c>
      <c r="DP611" s="275">
        <v>45976</v>
      </c>
      <c r="DQ611" s="152">
        <f>SUMIF($I:$I,I611,$DJ:$DJ)</f>
        <v>24</v>
      </c>
      <c r="DR611" s="152">
        <f>SUMIF($I:$I,I611,$DK:$DK)</f>
        <v>746.40000000000009</v>
      </c>
      <c r="EO611" s="152">
        <f>SUMIF($I:$I,I611,$EC:$EC)</f>
        <v>0</v>
      </c>
      <c r="EP611" s="151">
        <f>SUMIF($I:$I,I611,$ED:$ED)</f>
        <v>0</v>
      </c>
      <c r="EQ611" s="153"/>
      <c r="ER611" s="153"/>
      <c r="ES611" s="153"/>
      <c r="ET611" s="153"/>
      <c r="EU611" s="152">
        <f t="shared" ref="EU611:EU617" si="642">DQ611+EO611</f>
        <v>24</v>
      </c>
      <c r="EV611" s="152">
        <f t="shared" ref="EV611:EV617" si="643">DR611+EP611</f>
        <v>746.40000000000009</v>
      </c>
      <c r="EW611" s="152">
        <f t="shared" ref="EW611:EW617" si="644">DA611-EU611</f>
        <v>0</v>
      </c>
      <c r="EX611" s="152">
        <f t="shared" ref="EX611:EX617" si="645">DB611-EV611</f>
        <v>-16.800000000000182</v>
      </c>
      <c r="EY611" s="151" t="str">
        <f t="shared" ref="EY611:EY617" si="646">IF(EW611&lt;0,"Thừa",IF(EW611=0,"Đủ","Thiếu"))</f>
        <v>Đủ</v>
      </c>
    </row>
    <row r="612" spans="1:164" s="264" customFormat="1" ht="14" hidden="1" customHeight="1">
      <c r="A612" s="208" t="str">
        <f t="shared" si="573"/>
        <v>Hiện</v>
      </c>
      <c r="B612" s="154" t="str">
        <f t="shared" si="638"/>
        <v>Đủ</v>
      </c>
      <c r="C612" s="154">
        <f t="shared" si="639"/>
        <v>0</v>
      </c>
      <c r="D612" s="154"/>
      <c r="E612" s="154"/>
      <c r="F612" s="344"/>
      <c r="I612" s="163" t="s">
        <v>1778</v>
      </c>
      <c r="J612" s="164" t="s">
        <v>751</v>
      </c>
      <c r="K612" s="171" t="s">
        <v>767</v>
      </c>
      <c r="L612" s="247"/>
      <c r="M612" s="163" t="s">
        <v>1074</v>
      </c>
      <c r="N612" s="248"/>
      <c r="O612" s="229">
        <v>280</v>
      </c>
      <c r="P612" s="172"/>
      <c r="Q612" s="266"/>
      <c r="BG612" s="162"/>
      <c r="BH612" s="162"/>
      <c r="BI612" s="162"/>
      <c r="BJ612" s="162"/>
      <c r="BK612" s="162"/>
      <c r="BL612" s="162"/>
      <c r="BM612" s="162"/>
      <c r="BN612" s="162"/>
      <c r="BO612" s="162"/>
      <c r="BP612" s="162"/>
      <c r="BQ612" s="162">
        <v>280</v>
      </c>
      <c r="BR612" s="162">
        <v>0</v>
      </c>
      <c r="BS612" s="162">
        <v>0</v>
      </c>
      <c r="BT612" s="162">
        <v>0</v>
      </c>
      <c r="BU612" s="162">
        <v>0</v>
      </c>
      <c r="BV612" s="162">
        <v>0</v>
      </c>
      <c r="BW612" s="162"/>
      <c r="BX612" s="162"/>
      <c r="BY612" s="162">
        <v>0</v>
      </c>
      <c r="BZ612" s="162">
        <v>0</v>
      </c>
      <c r="CA612" s="162">
        <v>0</v>
      </c>
      <c r="CB612" s="162">
        <v>0</v>
      </c>
      <c r="CC612" s="162">
        <v>0</v>
      </c>
      <c r="CD612" s="162">
        <v>0</v>
      </c>
      <c r="CE612" s="162">
        <f>VLOOKUP(I612,[120]REV33!$A:$O,11,0)</f>
        <v>0</v>
      </c>
      <c r="CF612" s="162">
        <f>VLOOKUP(I612,[120]REV33!$A:$O,12,0)</f>
        <v>0</v>
      </c>
      <c r="CG612" s="162"/>
      <c r="CH612" s="162"/>
      <c r="CI612" s="162"/>
      <c r="CJ612" s="162"/>
      <c r="CK612" s="162"/>
      <c r="CL612" s="162"/>
      <c r="CM612" s="162"/>
      <c r="CN612" s="162"/>
      <c r="CO612" s="162">
        <v>0</v>
      </c>
      <c r="CP612" s="162">
        <v>0</v>
      </c>
      <c r="CQ612" s="162">
        <v>0</v>
      </c>
      <c r="CR612" s="162">
        <v>0</v>
      </c>
      <c r="CS612" s="209">
        <f>Q612+S612+U612+W612+Y612+AA612+AC612+AE612+AG612+AI612+AK612+AM612+AO612+AQ612+AS612+AU612+AW612+AY612+BA612+BC612+BE612+BG612+BI612+BK612+BM612+BO612+BQ612+BS612+BU612+BW612+BY612+CA612+CC612+CE612+CG612+CI612+CK612+CM612+CO612+CQ612</f>
        <v>280</v>
      </c>
      <c r="CT612" s="209">
        <f>R612+T612+V612+X612+Z612+AB612+AD612+AF612+AH612+AJ612+AL612+AN612+AP612+AR612+AT612+AV612+AX612+AZ612+BB612+BD612+BF612+BH612+BJ612+BL612+BN612+BP612+BR612+BT612+BV612+BX612+BZ612+CB612+CD612+CF612+CH612+CJ612+CL612+CN612+CP612+CR612</f>
        <v>0</v>
      </c>
      <c r="CU612" s="206" t="s">
        <v>1894</v>
      </c>
      <c r="DA612" s="152">
        <f t="shared" si="640"/>
        <v>280</v>
      </c>
      <c r="DB612" s="152" t="str">
        <f t="shared" si="641"/>
        <v>0</v>
      </c>
      <c r="DD612" s="158" t="s">
        <v>2243</v>
      </c>
      <c r="DE612" s="156" t="s">
        <v>2042</v>
      </c>
      <c r="DF612" s="253" t="s">
        <v>2373</v>
      </c>
      <c r="DG612" s="186" t="s">
        <v>2374</v>
      </c>
      <c r="DH612" s="156" t="s">
        <v>477</v>
      </c>
      <c r="DI612" s="187">
        <v>45982</v>
      </c>
      <c r="DJ612" s="717">
        <v>280</v>
      </c>
      <c r="DK612" s="240" t="s">
        <v>477</v>
      </c>
      <c r="DL612" s="189">
        <v>2100</v>
      </c>
      <c r="DM612" s="181">
        <f t="shared" ref="DM612:DM652" si="647">DL612*DJ612*(1+DN612)</f>
        <v>635040</v>
      </c>
      <c r="DN612" s="446">
        <v>0.08</v>
      </c>
      <c r="DO612" s="160">
        <f t="shared" ref="DO612:DO652" si="648">DL612*DJ612</f>
        <v>588000</v>
      </c>
      <c r="DP612" s="159">
        <v>45982</v>
      </c>
      <c r="DQ612" s="152">
        <f>SUMIF($I:$I,I612,$DJ:$DJ)</f>
        <v>280</v>
      </c>
      <c r="DR612" s="152">
        <f>SUMIF($I:$I,I612,$DK:$DK)</f>
        <v>0</v>
      </c>
      <c r="EO612" s="152">
        <f>SUMIF($I:$I,I612,$EC:$EC)</f>
        <v>0</v>
      </c>
      <c r="EP612" s="151">
        <f>SUMIF($I:$I,I612,$ED:$ED)</f>
        <v>0</v>
      </c>
      <c r="EQ612" s="153"/>
      <c r="ER612" s="153"/>
      <c r="ES612" s="153"/>
      <c r="ET612" s="153"/>
      <c r="EU612" s="152">
        <f t="shared" si="642"/>
        <v>280</v>
      </c>
      <c r="EV612" s="152">
        <f t="shared" si="643"/>
        <v>0</v>
      </c>
      <c r="EW612" s="152">
        <f t="shared" si="644"/>
        <v>0</v>
      </c>
      <c r="EX612" s="152">
        <f t="shared" si="645"/>
        <v>0</v>
      </c>
      <c r="EY612" s="151" t="str">
        <f t="shared" si="646"/>
        <v>Đủ</v>
      </c>
    </row>
    <row r="613" spans="1:164" s="264" customFormat="1" ht="14" hidden="1" customHeight="1">
      <c r="A613" s="208" t="str">
        <f t="shared" si="573"/>
        <v>Hiện</v>
      </c>
      <c r="B613" s="154" t="str">
        <f t="shared" si="638"/>
        <v>Đủ</v>
      </c>
      <c r="C613" s="154">
        <f t="shared" si="639"/>
        <v>0</v>
      </c>
      <c r="D613" s="154"/>
      <c r="E613" s="154"/>
      <c r="F613" s="344"/>
      <c r="I613" s="163" t="s">
        <v>1779</v>
      </c>
      <c r="J613" s="164" t="s">
        <v>751</v>
      </c>
      <c r="K613" s="171" t="s">
        <v>1780</v>
      </c>
      <c r="L613" s="247"/>
      <c r="M613" s="163" t="s">
        <v>1074</v>
      </c>
      <c r="N613" s="248"/>
      <c r="O613" s="229">
        <v>104</v>
      </c>
      <c r="P613" s="172"/>
      <c r="Q613" s="266"/>
      <c r="BG613" s="162"/>
      <c r="BH613" s="162"/>
      <c r="BI613" s="162"/>
      <c r="BJ613" s="162"/>
      <c r="BK613" s="162"/>
      <c r="BL613" s="162"/>
      <c r="BM613" s="162"/>
      <c r="BN613" s="162"/>
      <c r="BO613" s="162"/>
      <c r="BP613" s="162"/>
      <c r="BQ613" s="162">
        <v>104</v>
      </c>
      <c r="BR613" s="162">
        <v>0</v>
      </c>
      <c r="BS613" s="162">
        <v>0</v>
      </c>
      <c r="BT613" s="162">
        <v>0</v>
      </c>
      <c r="BU613" s="162">
        <v>0</v>
      </c>
      <c r="BV613" s="162">
        <v>0</v>
      </c>
      <c r="BW613" s="162"/>
      <c r="BX613" s="162"/>
      <c r="BY613" s="162">
        <v>0</v>
      </c>
      <c r="BZ613" s="162">
        <v>0</v>
      </c>
      <c r="CA613" s="162">
        <v>0</v>
      </c>
      <c r="CB613" s="162">
        <v>0</v>
      </c>
      <c r="CC613" s="162">
        <v>0</v>
      </c>
      <c r="CD613" s="162">
        <v>0</v>
      </c>
      <c r="CE613" s="162">
        <f>VLOOKUP(I613,[120]REV33!$A:$O,11,0)</f>
        <v>0</v>
      </c>
      <c r="CF613" s="162">
        <f>VLOOKUP(I613,[120]REV33!$A:$O,12,0)</f>
        <v>0</v>
      </c>
      <c r="CG613" s="162"/>
      <c r="CH613" s="162"/>
      <c r="CI613" s="162"/>
      <c r="CJ613" s="162"/>
      <c r="CK613" s="162"/>
      <c r="CL613" s="162"/>
      <c r="CM613" s="162"/>
      <c r="CN613" s="162"/>
      <c r="CO613" s="162">
        <v>0</v>
      </c>
      <c r="CP613" s="162">
        <v>0</v>
      </c>
      <c r="CQ613" s="162">
        <v>0</v>
      </c>
      <c r="CR613" s="162">
        <v>0</v>
      </c>
      <c r="CS613" s="209">
        <f>Q613+S613+U613+W613+Y613+AA613+AC613+AE613+AG613+AI613+AK613+AM613+AO613+AQ613+AS613+AU613+AW613+AY613+BA613+BC613+BE613+BG613+BI613+BK613+BM613+BO613+BQ613+BS613+BU613+BW613+BY613+CA613+CC613+CE613+CG613+CI613+CK613+CM613+CO613+CQ613</f>
        <v>104</v>
      </c>
      <c r="CT613" s="209">
        <f>R613+T613+V613+X613+Z613+AB613+AD613+AF613+AH613+AJ613+AL613+AN613+AP613+AR613+AT613+AV613+AX613+AZ613+BB613+BD613+BF613+BH613+BJ613+BL613+BN613+BP613+BR613+BT613+BV613+BX613+BZ613+CB613+CD613+CF613+CH613+CJ613+CL613+CN613+CP613+CR613</f>
        <v>0</v>
      </c>
      <c r="CU613" s="206" t="s">
        <v>1894</v>
      </c>
      <c r="DA613" s="152">
        <f t="shared" si="640"/>
        <v>104</v>
      </c>
      <c r="DB613" s="152" t="str">
        <f t="shared" si="641"/>
        <v>0</v>
      </c>
      <c r="DD613" s="158" t="s">
        <v>2243</v>
      </c>
      <c r="DE613" s="156" t="s">
        <v>2042</v>
      </c>
      <c r="DF613" s="253" t="s">
        <v>2375</v>
      </c>
      <c r="DG613" s="186" t="s">
        <v>2376</v>
      </c>
      <c r="DH613" s="156" t="s">
        <v>477</v>
      </c>
      <c r="DI613" s="187">
        <v>45982</v>
      </c>
      <c r="DJ613" s="717">
        <v>104</v>
      </c>
      <c r="DK613" s="240" t="s">
        <v>477</v>
      </c>
      <c r="DL613" s="189">
        <v>5800</v>
      </c>
      <c r="DM613" s="181">
        <f t="shared" si="647"/>
        <v>651456</v>
      </c>
      <c r="DN613" s="446">
        <v>0.08</v>
      </c>
      <c r="DO613" s="160">
        <f t="shared" si="648"/>
        <v>603200</v>
      </c>
      <c r="DP613" s="159">
        <v>45982</v>
      </c>
      <c r="DQ613" s="152">
        <f>SUMIF($I:$I,I613,$DJ:$DJ)</f>
        <v>104</v>
      </c>
      <c r="DR613" s="152">
        <f>SUMIF($I:$I,I613,$DK:$DK)</f>
        <v>0</v>
      </c>
      <c r="EO613" s="152">
        <f>SUMIF($I:$I,I613,$EC:$EC)</f>
        <v>0</v>
      </c>
      <c r="EP613" s="151">
        <f>SUMIF($I:$I,I613,$ED:$ED)</f>
        <v>0</v>
      </c>
      <c r="EQ613" s="153"/>
      <c r="ER613" s="153"/>
      <c r="ES613" s="153"/>
      <c r="ET613" s="153"/>
      <c r="EU613" s="152">
        <f t="shared" si="642"/>
        <v>104</v>
      </c>
      <c r="EV613" s="152">
        <f t="shared" si="643"/>
        <v>0</v>
      </c>
      <c r="EW613" s="152">
        <f t="shared" si="644"/>
        <v>0</v>
      </c>
      <c r="EX613" s="152">
        <f t="shared" si="645"/>
        <v>0</v>
      </c>
      <c r="EY613" s="151" t="str">
        <f t="shared" si="646"/>
        <v>Đủ</v>
      </c>
    </row>
    <row r="614" spans="1:164" s="264" customFormat="1" ht="14" hidden="1" customHeight="1">
      <c r="A614" s="208" t="str">
        <f t="shared" si="573"/>
        <v>Hiện</v>
      </c>
      <c r="B614" s="154" t="str">
        <f t="shared" si="638"/>
        <v>Đủ</v>
      </c>
      <c r="C614" s="154">
        <f t="shared" si="639"/>
        <v>0</v>
      </c>
      <c r="D614" s="154"/>
      <c r="E614" s="154"/>
      <c r="F614" s="344"/>
      <c r="I614" s="163" t="s">
        <v>1781</v>
      </c>
      <c r="J614" s="164" t="s">
        <v>751</v>
      </c>
      <c r="K614" s="171" t="s">
        <v>1782</v>
      </c>
      <c r="L614" s="247"/>
      <c r="M614" s="163" t="s">
        <v>1074</v>
      </c>
      <c r="N614" s="248"/>
      <c r="O614" s="229">
        <v>51</v>
      </c>
      <c r="P614" s="172"/>
      <c r="Q614" s="266"/>
      <c r="BG614" s="162"/>
      <c r="BH614" s="162"/>
      <c r="BI614" s="162"/>
      <c r="BJ614" s="162"/>
      <c r="BK614" s="162"/>
      <c r="BL614" s="162"/>
      <c r="BM614" s="162"/>
      <c r="BN614" s="162"/>
      <c r="BO614" s="162"/>
      <c r="BP614" s="162"/>
      <c r="BQ614" s="162">
        <v>51</v>
      </c>
      <c r="BR614" s="162">
        <v>0</v>
      </c>
      <c r="BS614" s="162">
        <v>0</v>
      </c>
      <c r="BT614" s="162">
        <v>0</v>
      </c>
      <c r="BU614" s="162">
        <v>0</v>
      </c>
      <c r="BV614" s="162">
        <v>0</v>
      </c>
      <c r="BW614" s="162"/>
      <c r="BX614" s="162"/>
      <c r="BY614" s="162">
        <v>0</v>
      </c>
      <c r="BZ614" s="162">
        <v>0</v>
      </c>
      <c r="CA614" s="162">
        <v>0</v>
      </c>
      <c r="CB614" s="162">
        <v>0</v>
      </c>
      <c r="CC614" s="162">
        <v>0</v>
      </c>
      <c r="CD614" s="162">
        <v>0</v>
      </c>
      <c r="CE614" s="162">
        <f>VLOOKUP(I614,[120]REV33!$A:$O,11,0)</f>
        <v>0</v>
      </c>
      <c r="CF614" s="162">
        <f>VLOOKUP(I614,[120]REV33!$A:$O,12,0)</f>
        <v>0</v>
      </c>
      <c r="CG614" s="162"/>
      <c r="CH614" s="162"/>
      <c r="CI614" s="162"/>
      <c r="CJ614" s="162"/>
      <c r="CK614" s="162"/>
      <c r="CL614" s="162"/>
      <c r="CM614" s="162"/>
      <c r="CN614" s="162"/>
      <c r="CO614" s="162">
        <v>0</v>
      </c>
      <c r="CP614" s="162">
        <v>0</v>
      </c>
      <c r="CQ614" s="162">
        <v>0</v>
      </c>
      <c r="CR614" s="162">
        <v>0</v>
      </c>
      <c r="CS614" s="209">
        <f>Q614+S614+U614+W614+Y614+AA614+AC614+AE614+AG614+AI614+AK614+AM614+AO614+AQ614+AS614+AU614+AW614+AY614+BA614+BC614+BE614+BG614+BI614+BK614+BM614+BO614+BQ614+BS614+BU614+BW614+BY614+CA614+CC614+CE614+CG614+CI614+CK614+CM614+CO614+CQ614</f>
        <v>51</v>
      </c>
      <c r="CT614" s="209">
        <f>R614+T614+V614+X614+Z614+AB614+AD614+AF614+AH614+AJ614+AL614+AN614+AP614+AR614+AT614+AV614+AX614+AZ614+BB614+BD614+BF614+BH614+BJ614+BL614+BN614+BP614+BR614+BT614+BV614+BX614+BZ614+CB614+CD614+CF614+CH614+CJ614+CL614+CN614+CP614+CR614</f>
        <v>0</v>
      </c>
      <c r="CU614" s="206" t="s">
        <v>1894</v>
      </c>
      <c r="DA614" s="152">
        <f t="shared" si="640"/>
        <v>51</v>
      </c>
      <c r="DB614" s="152" t="str">
        <f t="shared" si="641"/>
        <v>0</v>
      </c>
      <c r="DD614" s="158" t="s">
        <v>2243</v>
      </c>
      <c r="DE614" s="156" t="s">
        <v>2042</v>
      </c>
      <c r="DF614" s="253" t="s">
        <v>2343</v>
      </c>
      <c r="DG614" s="186" t="s">
        <v>2344</v>
      </c>
      <c r="DH614" s="156" t="s">
        <v>477</v>
      </c>
      <c r="DI614" s="187">
        <v>45982</v>
      </c>
      <c r="DJ614" s="717">
        <v>51</v>
      </c>
      <c r="DK614" s="240" t="s">
        <v>477</v>
      </c>
      <c r="DL614" s="189">
        <v>5800</v>
      </c>
      <c r="DM614" s="181">
        <f t="shared" si="647"/>
        <v>319464</v>
      </c>
      <c r="DN614" s="446">
        <v>0.08</v>
      </c>
      <c r="DO614" s="160">
        <f t="shared" si="648"/>
        <v>295800</v>
      </c>
      <c r="DP614" s="159">
        <v>45982</v>
      </c>
      <c r="DQ614" s="152">
        <f>SUMIF($I:$I,I614,$DJ:$DJ)</f>
        <v>51</v>
      </c>
      <c r="DR614" s="152">
        <f>SUMIF($I:$I,I614,$DK:$DK)</f>
        <v>0</v>
      </c>
      <c r="EO614" s="152">
        <f>SUMIF($I:$I,I614,$EC:$EC)</f>
        <v>0</v>
      </c>
      <c r="EP614" s="151">
        <f>SUMIF($I:$I,I614,$ED:$ED)</f>
        <v>0</v>
      </c>
      <c r="EQ614" s="153"/>
      <c r="ER614" s="153"/>
      <c r="ES614" s="153"/>
      <c r="ET614" s="153"/>
      <c r="EU614" s="152">
        <f t="shared" si="642"/>
        <v>51</v>
      </c>
      <c r="EV614" s="152">
        <f t="shared" si="643"/>
        <v>0</v>
      </c>
      <c r="EW614" s="152">
        <f t="shared" si="644"/>
        <v>0</v>
      </c>
      <c r="EX614" s="152">
        <f t="shared" si="645"/>
        <v>0</v>
      </c>
      <c r="EY614" s="151" t="str">
        <f t="shared" si="646"/>
        <v>Đủ</v>
      </c>
    </row>
    <row r="615" spans="1:164" s="264" customFormat="1" ht="14" hidden="1" customHeight="1">
      <c r="A615" s="208" t="str">
        <f t="shared" si="573"/>
        <v>Hiện</v>
      </c>
      <c r="B615" s="154" t="str">
        <f t="shared" si="638"/>
        <v>Đủ</v>
      </c>
      <c r="C615" s="154">
        <f t="shared" si="639"/>
        <v>0</v>
      </c>
      <c r="D615" s="154"/>
      <c r="E615" s="154"/>
      <c r="F615" s="344"/>
      <c r="I615" s="163" t="s">
        <v>1783</v>
      </c>
      <c r="J615" s="164" t="s">
        <v>751</v>
      </c>
      <c r="K615" s="171" t="s">
        <v>1784</v>
      </c>
      <c r="L615" s="247"/>
      <c r="M615" s="163" t="s">
        <v>1074</v>
      </c>
      <c r="N615" s="248"/>
      <c r="O615" s="229">
        <v>24</v>
      </c>
      <c r="P615" s="172"/>
      <c r="Q615" s="266"/>
      <c r="BG615" s="162"/>
      <c r="BH615" s="162"/>
      <c r="BI615" s="162"/>
      <c r="BJ615" s="162"/>
      <c r="BK615" s="162"/>
      <c r="BL615" s="162"/>
      <c r="BM615" s="162"/>
      <c r="BN615" s="162"/>
      <c r="BO615" s="162"/>
      <c r="BP615" s="162"/>
      <c r="BQ615" s="162">
        <v>24</v>
      </c>
      <c r="BR615" s="162">
        <v>0</v>
      </c>
      <c r="BS615" s="162">
        <v>0</v>
      </c>
      <c r="BT615" s="162">
        <v>0</v>
      </c>
      <c r="BU615" s="162">
        <v>0</v>
      </c>
      <c r="BV615" s="162">
        <v>0</v>
      </c>
      <c r="BW615" s="162"/>
      <c r="BX615" s="162"/>
      <c r="BY615" s="162">
        <v>0</v>
      </c>
      <c r="BZ615" s="162">
        <v>0</v>
      </c>
      <c r="CA615" s="162">
        <v>0</v>
      </c>
      <c r="CB615" s="162">
        <v>0</v>
      </c>
      <c r="CC615" s="162">
        <v>0</v>
      </c>
      <c r="CD615" s="162">
        <v>0</v>
      </c>
      <c r="CE615" s="162">
        <f>VLOOKUP(I615,[120]REV33!$A:$O,11,0)</f>
        <v>0</v>
      </c>
      <c r="CF615" s="162">
        <f>VLOOKUP(I615,[120]REV33!$A:$O,12,0)</f>
        <v>0</v>
      </c>
      <c r="CG615" s="162"/>
      <c r="CH615" s="162"/>
      <c r="CI615" s="162"/>
      <c r="CJ615" s="162"/>
      <c r="CK615" s="162"/>
      <c r="CL615" s="162"/>
      <c r="CM615" s="162"/>
      <c r="CN615" s="162"/>
      <c r="CO615" s="162">
        <v>0</v>
      </c>
      <c r="CP615" s="162">
        <v>0</v>
      </c>
      <c r="CQ615" s="162">
        <v>0</v>
      </c>
      <c r="CR615" s="162">
        <v>0</v>
      </c>
      <c r="CS615" s="209">
        <f>Q615+S615+U615+W615+Y615+AA615+AC615+AE615+AG615+AI615+AK615+AM615+AO615+AQ615+AS615+AU615+AW615+AY615+BA615+BC615+BE615+BG615+BI615+BK615+BM615+BO615+BQ615+BS615+BU615+BW615+BY615+CA615+CC615+CE615+CG615+CI615+CK615+CM615+CO615+CQ615</f>
        <v>24</v>
      </c>
      <c r="CT615" s="209">
        <f>R615+T615+V615+X615+Z615+AB615+AD615+AF615+AH615+AJ615+AL615+AN615+AP615+AR615+AT615+AV615+AX615+AZ615+BB615+BD615+BF615+BH615+BJ615+BL615+BN615+BP615+BR615+BT615+BV615+BX615+BZ615+CB615+CD615+CF615+CH615+CJ615+CL615+CN615+CP615+CR615</f>
        <v>0</v>
      </c>
      <c r="CU615" s="206" t="s">
        <v>1894</v>
      </c>
      <c r="DA615" s="152">
        <f t="shared" si="640"/>
        <v>24</v>
      </c>
      <c r="DB615" s="152" t="str">
        <f t="shared" si="641"/>
        <v>0</v>
      </c>
      <c r="DD615" s="158" t="s">
        <v>2243</v>
      </c>
      <c r="DE615" s="156" t="s">
        <v>2042</v>
      </c>
      <c r="DF615" s="253" t="s">
        <v>2377</v>
      </c>
      <c r="DG615" s="186" t="s">
        <v>2378</v>
      </c>
      <c r="DH615" s="156" t="s">
        <v>477</v>
      </c>
      <c r="DI615" s="187">
        <v>45982</v>
      </c>
      <c r="DJ615" s="717">
        <v>24</v>
      </c>
      <c r="DK615" s="240" t="s">
        <v>477</v>
      </c>
      <c r="DL615" s="189">
        <v>12700</v>
      </c>
      <c r="DM615" s="181">
        <f t="shared" si="647"/>
        <v>329184</v>
      </c>
      <c r="DN615" s="446">
        <v>0.08</v>
      </c>
      <c r="DO615" s="160">
        <f t="shared" si="648"/>
        <v>304800</v>
      </c>
      <c r="DP615" s="159">
        <v>45982</v>
      </c>
      <c r="DQ615" s="152">
        <f>SUMIF($I:$I,I615,$DJ:$DJ)</f>
        <v>24</v>
      </c>
      <c r="DR615" s="152">
        <f>SUMIF($I:$I,I615,$DK:$DK)</f>
        <v>0</v>
      </c>
      <c r="EO615" s="152">
        <f>SUMIF($I:$I,I615,$EC:$EC)</f>
        <v>0</v>
      </c>
      <c r="EP615" s="151">
        <f>SUMIF($I:$I,I615,$ED:$ED)</f>
        <v>0</v>
      </c>
      <c r="EQ615" s="153"/>
      <c r="ER615" s="153"/>
      <c r="ES615" s="153"/>
      <c r="ET615" s="153"/>
      <c r="EU615" s="152">
        <f t="shared" si="642"/>
        <v>24</v>
      </c>
      <c r="EV615" s="152">
        <f t="shared" si="643"/>
        <v>0</v>
      </c>
      <c r="EW615" s="152">
        <f t="shared" si="644"/>
        <v>0</v>
      </c>
      <c r="EX615" s="152">
        <f t="shared" si="645"/>
        <v>0</v>
      </c>
      <c r="EY615" s="151" t="str">
        <f t="shared" si="646"/>
        <v>Đủ</v>
      </c>
    </row>
    <row r="616" spans="1:164" s="264" customFormat="1" ht="14" hidden="1" customHeight="1">
      <c r="A616" s="208" t="str">
        <f t="shared" si="573"/>
        <v>Hiện</v>
      </c>
      <c r="B616" s="154" t="str">
        <f t="shared" si="638"/>
        <v>Đủ</v>
      </c>
      <c r="C616" s="154">
        <f t="shared" si="639"/>
        <v>0</v>
      </c>
      <c r="D616" s="154"/>
      <c r="E616" s="154"/>
      <c r="F616" s="344"/>
      <c r="I616" s="163" t="s">
        <v>1785</v>
      </c>
      <c r="J616" s="164" t="s">
        <v>751</v>
      </c>
      <c r="K616" s="171" t="s">
        <v>1786</v>
      </c>
      <c r="L616" s="247"/>
      <c r="M616" s="163" t="s">
        <v>1074</v>
      </c>
      <c r="N616" s="248"/>
      <c r="O616" s="229">
        <v>192</v>
      </c>
      <c r="P616" s="172"/>
      <c r="Q616" s="266"/>
      <c r="BG616" s="162"/>
      <c r="BH616" s="162"/>
      <c r="BI616" s="162"/>
      <c r="BJ616" s="162"/>
      <c r="BK616" s="162"/>
      <c r="BL616" s="162"/>
      <c r="BM616" s="162"/>
      <c r="BN616" s="162"/>
      <c r="BO616" s="162"/>
      <c r="BP616" s="162"/>
      <c r="BQ616" s="162">
        <v>192</v>
      </c>
      <c r="BR616" s="162">
        <v>0</v>
      </c>
      <c r="BS616" s="162">
        <v>0</v>
      </c>
      <c r="BT616" s="162">
        <v>0</v>
      </c>
      <c r="BU616" s="162">
        <v>0</v>
      </c>
      <c r="BV616" s="162">
        <v>0</v>
      </c>
      <c r="BW616" s="162"/>
      <c r="BX616" s="162"/>
      <c r="BY616" s="162">
        <v>0</v>
      </c>
      <c r="BZ616" s="162">
        <v>0</v>
      </c>
      <c r="CA616" s="162">
        <v>0</v>
      </c>
      <c r="CB616" s="162">
        <v>0</v>
      </c>
      <c r="CC616" s="162">
        <v>0</v>
      </c>
      <c r="CD616" s="162">
        <v>0</v>
      </c>
      <c r="CE616" s="162">
        <f>VLOOKUP(I616,[120]REV33!$A:$O,11,0)</f>
        <v>0</v>
      </c>
      <c r="CF616" s="162">
        <f>VLOOKUP(I616,[120]REV33!$A:$O,12,0)</f>
        <v>0</v>
      </c>
      <c r="CG616" s="162"/>
      <c r="CH616" s="162"/>
      <c r="CI616" s="162"/>
      <c r="CJ616" s="162"/>
      <c r="CK616" s="162"/>
      <c r="CL616" s="162"/>
      <c r="CM616" s="162"/>
      <c r="CN616" s="162"/>
      <c r="CO616" s="162">
        <v>0</v>
      </c>
      <c r="CP616" s="162">
        <v>0</v>
      </c>
      <c r="CQ616" s="162">
        <v>0</v>
      </c>
      <c r="CR616" s="162">
        <v>0</v>
      </c>
      <c r="CS616" s="209">
        <f>Q616+S616+U616+W616+Y616+AA616+AC616+AE616+AG616+AI616+AK616+AM616+AO616+AQ616+AS616+AU616+AW616+AY616+BA616+BC616+BE616+BG616+BI616+BK616+BM616+BO616+BQ616+BS616+BU616+BW616+BY616+CA616+CC616+CE616+CG616+CI616+CK616+CM616+CO616+CQ616</f>
        <v>192</v>
      </c>
      <c r="CT616" s="209">
        <f>R616+T616+V616+X616+Z616+AB616+AD616+AF616+AH616+AJ616+AL616+AN616+AP616+AR616+AT616+AV616+AX616+AZ616+BB616+BD616+BF616+BH616+BJ616+BL616+BN616+BP616+BR616+BT616+BV616+BX616+BZ616+CB616+CD616+CF616+CH616+CJ616+CL616+CN616+CP616+CR616</f>
        <v>0</v>
      </c>
      <c r="CU616" s="206" t="s">
        <v>1894</v>
      </c>
      <c r="DA616" s="152">
        <f t="shared" si="640"/>
        <v>192</v>
      </c>
      <c r="DB616" s="152" t="str">
        <f t="shared" si="641"/>
        <v>0</v>
      </c>
      <c r="DD616" s="158" t="s">
        <v>2243</v>
      </c>
      <c r="DE616" s="156" t="s">
        <v>2042</v>
      </c>
      <c r="DF616" s="253" t="s">
        <v>2379</v>
      </c>
      <c r="DG616" s="186" t="s">
        <v>2380</v>
      </c>
      <c r="DH616" s="156" t="s">
        <v>477</v>
      </c>
      <c r="DI616" s="187">
        <v>45982</v>
      </c>
      <c r="DJ616" s="717">
        <v>192</v>
      </c>
      <c r="DK616" s="240" t="s">
        <v>477</v>
      </c>
      <c r="DL616" s="189">
        <v>11000</v>
      </c>
      <c r="DM616" s="181">
        <f t="shared" si="647"/>
        <v>2280960</v>
      </c>
      <c r="DN616" s="446">
        <v>0.08</v>
      </c>
      <c r="DO616" s="160">
        <f t="shared" si="648"/>
        <v>2112000</v>
      </c>
      <c r="DP616" s="159">
        <v>45982</v>
      </c>
      <c r="DQ616" s="152">
        <f>SUMIF($I:$I,I616,$DJ:$DJ)</f>
        <v>192</v>
      </c>
      <c r="DR616" s="152">
        <f>SUMIF($I:$I,I616,$DK:$DK)</f>
        <v>0</v>
      </c>
      <c r="EO616" s="152">
        <f>SUMIF($I:$I,I616,$EC:$EC)</f>
        <v>0</v>
      </c>
      <c r="EP616" s="151">
        <f>SUMIF($I:$I,I616,$ED:$ED)</f>
        <v>0</v>
      </c>
      <c r="EQ616" s="153"/>
      <c r="ER616" s="153"/>
      <c r="ES616" s="153"/>
      <c r="ET616" s="153"/>
      <c r="EU616" s="152">
        <f t="shared" si="642"/>
        <v>192</v>
      </c>
      <c r="EV616" s="152">
        <f t="shared" si="643"/>
        <v>0</v>
      </c>
      <c r="EW616" s="152">
        <f t="shared" si="644"/>
        <v>0</v>
      </c>
      <c r="EX616" s="152">
        <f t="shared" si="645"/>
        <v>0</v>
      </c>
      <c r="EY616" s="151" t="str">
        <f t="shared" si="646"/>
        <v>Đủ</v>
      </c>
    </row>
    <row r="617" spans="1:164" s="264" customFormat="1" ht="14" hidden="1" customHeight="1">
      <c r="A617" s="208" t="str">
        <f t="shared" si="573"/>
        <v>Hiện</v>
      </c>
      <c r="B617" s="154" t="str">
        <f t="shared" si="638"/>
        <v>Đủ</v>
      </c>
      <c r="C617" s="154">
        <f t="shared" si="639"/>
        <v>0</v>
      </c>
      <c r="D617" s="154"/>
      <c r="E617" s="154"/>
      <c r="F617" s="344"/>
      <c r="G617" s="154"/>
      <c r="I617" s="163" t="s">
        <v>1787</v>
      </c>
      <c r="J617" s="164" t="s">
        <v>751</v>
      </c>
      <c r="K617" s="171" t="s">
        <v>1788</v>
      </c>
      <c r="L617" s="247"/>
      <c r="M617" s="163" t="s">
        <v>1074</v>
      </c>
      <c r="N617" s="248"/>
      <c r="O617" s="229">
        <v>48</v>
      </c>
      <c r="P617" s="172"/>
      <c r="Q617" s="266"/>
      <c r="BG617" s="162"/>
      <c r="BH617" s="162"/>
      <c r="BI617" s="162"/>
      <c r="BJ617" s="162"/>
      <c r="BK617" s="162"/>
      <c r="BL617" s="162"/>
      <c r="BM617" s="162"/>
      <c r="BN617" s="162"/>
      <c r="BO617" s="162"/>
      <c r="BP617" s="162"/>
      <c r="BQ617" s="162">
        <v>48</v>
      </c>
      <c r="BR617" s="162">
        <v>0</v>
      </c>
      <c r="BS617" s="162">
        <v>0</v>
      </c>
      <c r="BT617" s="162">
        <v>0</v>
      </c>
      <c r="BU617" s="162">
        <v>0</v>
      </c>
      <c r="BV617" s="162">
        <v>0</v>
      </c>
      <c r="BW617" s="162"/>
      <c r="BX617" s="162"/>
      <c r="BY617" s="162">
        <v>0</v>
      </c>
      <c r="BZ617" s="162">
        <v>0</v>
      </c>
      <c r="CA617" s="162">
        <v>8</v>
      </c>
      <c r="CB617" s="162">
        <v>0</v>
      </c>
      <c r="CC617" s="162">
        <v>0</v>
      </c>
      <c r="CD617" s="162">
        <v>0</v>
      </c>
      <c r="CE617" s="162">
        <f>VLOOKUP(I617,[120]REV33!$A:$O,11,0)</f>
        <v>0</v>
      </c>
      <c r="CF617" s="162">
        <f>VLOOKUP(I617,[120]REV33!$A:$O,12,0)</f>
        <v>0</v>
      </c>
      <c r="CG617" s="162"/>
      <c r="CH617" s="162"/>
      <c r="CI617" s="162"/>
      <c r="CJ617" s="162"/>
      <c r="CK617" s="162"/>
      <c r="CL617" s="162"/>
      <c r="CM617" s="162"/>
      <c r="CN617" s="162"/>
      <c r="CO617" s="162">
        <v>0</v>
      </c>
      <c r="CP617" s="162">
        <v>0</v>
      </c>
      <c r="CQ617" s="162">
        <v>0</v>
      </c>
      <c r="CR617" s="162">
        <v>0</v>
      </c>
      <c r="CS617" s="209">
        <f>Q617+S617+U617+W617+Y617+AA617+AC617+AE617+AG617+AI617+AK617+AM617+AO617+AQ617+AS617+AU617+AW617+AY617+BA617+BC617+BE617+BG617+BI617+BK617+BM617+BO617+BQ617+BS617+BU617+BW617+BY617+CA617+CC617+CE617+CG617+CI617+CK617+CM617+CO617+CQ617</f>
        <v>56</v>
      </c>
      <c r="CT617" s="209">
        <f>R617+T617+V617+X617+Z617+AB617+AD617+AF617+AH617+AJ617+AL617+AN617+AP617+AR617+AT617+AV617+AX617+AZ617+BB617+BD617+BF617+BH617+BJ617+BL617+BN617+BP617+BR617+BT617+BV617+BX617+BZ617+CB617+CD617+CF617+CH617+CJ617+CL617+CN617+CP617+CR617</f>
        <v>0</v>
      </c>
      <c r="CU617" s="763" t="s">
        <v>2326</v>
      </c>
      <c r="DA617" s="152">
        <f t="shared" si="640"/>
        <v>56</v>
      </c>
      <c r="DB617" s="152" t="str">
        <f t="shared" si="641"/>
        <v>0</v>
      </c>
      <c r="DD617" s="158" t="s">
        <v>2243</v>
      </c>
      <c r="DE617" s="156" t="s">
        <v>2042</v>
      </c>
      <c r="DF617" s="253" t="s">
        <v>2381</v>
      </c>
      <c r="DG617" s="186" t="s">
        <v>2382</v>
      </c>
      <c r="DH617" s="156" t="s">
        <v>477</v>
      </c>
      <c r="DI617" s="187">
        <v>45982</v>
      </c>
      <c r="DJ617" s="717">
        <v>48</v>
      </c>
      <c r="DK617" s="240" t="s">
        <v>477</v>
      </c>
      <c r="DL617" s="189">
        <v>12000</v>
      </c>
      <c r="DM617" s="181">
        <f t="shared" si="647"/>
        <v>622080</v>
      </c>
      <c r="DN617" s="446">
        <v>0.08</v>
      </c>
      <c r="DO617" s="160">
        <f t="shared" si="648"/>
        <v>576000</v>
      </c>
      <c r="DP617" s="988">
        <v>45982</v>
      </c>
      <c r="DQ617" s="152">
        <f>SUMIF($I:$I,I617,$DJ:$DJ)</f>
        <v>56</v>
      </c>
      <c r="DR617" s="152">
        <f>SUMIF($I:$I,I617,$DK:$DK)</f>
        <v>0</v>
      </c>
      <c r="EO617" s="152">
        <f>SUMIF($I:$I,I617,$EC:$EC)</f>
        <v>0</v>
      </c>
      <c r="EP617" s="151">
        <f>SUMIF($I:$I,I617,$ED:$ED)</f>
        <v>0</v>
      </c>
      <c r="EQ617" s="153"/>
      <c r="ER617" s="153"/>
      <c r="ES617" s="153"/>
      <c r="ET617" s="153"/>
      <c r="EU617" s="152">
        <f t="shared" si="642"/>
        <v>56</v>
      </c>
      <c r="EV617" s="152">
        <f t="shared" si="643"/>
        <v>0</v>
      </c>
      <c r="EW617" s="152">
        <f t="shared" si="644"/>
        <v>0</v>
      </c>
      <c r="EX617" s="152">
        <f t="shared" si="645"/>
        <v>0</v>
      </c>
      <c r="EY617" s="151" t="str">
        <f t="shared" si="646"/>
        <v>Đủ</v>
      </c>
    </row>
    <row r="618" spans="1:164" s="264" customFormat="1" ht="14" hidden="1" customHeight="1">
      <c r="A618" s="208" t="str">
        <f t="shared" si="573"/>
        <v>ok</v>
      </c>
      <c r="B618" s="154"/>
      <c r="C618" s="154"/>
      <c r="D618" s="154"/>
      <c r="E618" s="154"/>
      <c r="F618" s="344"/>
      <c r="G618" s="154"/>
      <c r="I618" s="163" t="s">
        <v>1787</v>
      </c>
      <c r="J618" s="164" t="s">
        <v>751</v>
      </c>
      <c r="K618" s="171" t="s">
        <v>1788</v>
      </c>
      <c r="L618" s="247"/>
      <c r="M618" s="163" t="s">
        <v>1074</v>
      </c>
      <c r="N618" s="248"/>
      <c r="O618" s="229"/>
      <c r="P618" s="172"/>
      <c r="Q618" s="266"/>
      <c r="BG618" s="162"/>
      <c r="BH618" s="162"/>
      <c r="BI618" s="162"/>
      <c r="BJ618" s="162"/>
      <c r="BK618" s="162"/>
      <c r="BL618" s="162"/>
      <c r="BM618" s="162"/>
      <c r="BN618" s="162"/>
      <c r="BO618" s="162"/>
      <c r="BP618" s="162"/>
      <c r="BQ618" s="162"/>
      <c r="BR618" s="162"/>
      <c r="BS618" s="162"/>
      <c r="BT618" s="162"/>
      <c r="BU618" s="162"/>
      <c r="BV618" s="162"/>
      <c r="BW618" s="162"/>
      <c r="BX618" s="162"/>
      <c r="BY618" s="162"/>
      <c r="BZ618" s="162"/>
      <c r="CA618" s="162"/>
      <c r="CB618" s="162"/>
      <c r="CC618" s="162"/>
      <c r="CD618" s="162"/>
      <c r="CE618" s="162"/>
      <c r="CF618" s="162"/>
      <c r="CG618" s="162"/>
      <c r="CH618" s="162"/>
      <c r="CI618" s="162"/>
      <c r="CJ618" s="162"/>
      <c r="CK618" s="162"/>
      <c r="CL618" s="162"/>
      <c r="CM618" s="162"/>
      <c r="CN618" s="162"/>
      <c r="CO618" s="162"/>
      <c r="CP618" s="162"/>
      <c r="CQ618" s="162"/>
      <c r="CR618" s="162"/>
      <c r="CS618" s="209"/>
      <c r="CT618" s="209"/>
      <c r="CU618" s="763"/>
      <c r="DA618" s="152"/>
      <c r="DB618" s="152"/>
      <c r="DD618" s="158" t="s">
        <v>2579</v>
      </c>
      <c r="DE618" s="156" t="s">
        <v>2042</v>
      </c>
      <c r="DF618" s="986" t="s">
        <v>2013</v>
      </c>
      <c r="DG618" s="186"/>
      <c r="DH618" s="240" t="s">
        <v>477</v>
      </c>
      <c r="DI618" s="187" t="s">
        <v>374</v>
      </c>
      <c r="DJ618" s="717">
        <v>8</v>
      </c>
      <c r="DK618" s="240" t="s">
        <v>477</v>
      </c>
      <c r="DL618" s="986">
        <v>12000</v>
      </c>
      <c r="DM618" s="181">
        <f>DL618*DJ618*1.08</f>
        <v>103680</v>
      </c>
      <c r="DN618" s="446">
        <f t="shared" ref="DN618" si="649">(DM618-DO618)/DO618</f>
        <v>0.08</v>
      </c>
      <c r="DO618" s="160">
        <f>DL618*DJ618</f>
        <v>96000</v>
      </c>
      <c r="DP618" s="988">
        <v>46006</v>
      </c>
      <c r="DQ618" s="152"/>
      <c r="DR618" s="152"/>
      <c r="EO618" s="152"/>
      <c r="EP618" s="151"/>
      <c r="EQ618" s="153"/>
      <c r="ER618" s="153"/>
      <c r="ES618" s="153"/>
      <c r="ET618" s="153"/>
      <c r="EU618" s="152"/>
      <c r="EV618" s="152"/>
      <c r="EW618" s="152"/>
      <c r="EX618" s="152"/>
      <c r="EY618" s="151"/>
    </row>
    <row r="619" spans="1:164" s="264" customFormat="1" ht="14" hidden="1" customHeight="1">
      <c r="A619" s="208" t="str">
        <f t="shared" si="573"/>
        <v>Hiện</v>
      </c>
      <c r="B619" s="154" t="str">
        <f t="shared" si="638"/>
        <v>Đủ</v>
      </c>
      <c r="C619" s="154">
        <f t="shared" si="639"/>
        <v>0</v>
      </c>
      <c r="D619" s="154"/>
      <c r="E619" s="154"/>
      <c r="F619" s="344"/>
      <c r="I619" s="163" t="s">
        <v>1789</v>
      </c>
      <c r="J619" s="164" t="s">
        <v>751</v>
      </c>
      <c r="K619" s="171" t="s">
        <v>1790</v>
      </c>
      <c r="L619" s="247"/>
      <c r="M619" s="163" t="s">
        <v>1074</v>
      </c>
      <c r="N619" s="248"/>
      <c r="O619" s="229">
        <v>72</v>
      </c>
      <c r="P619" s="172"/>
      <c r="Q619" s="266"/>
      <c r="BG619" s="162"/>
      <c r="BH619" s="162"/>
      <c r="BI619" s="162"/>
      <c r="BJ619" s="162"/>
      <c r="BK619" s="162"/>
      <c r="BL619" s="162"/>
      <c r="BM619" s="162"/>
      <c r="BN619" s="162"/>
      <c r="BO619" s="162"/>
      <c r="BP619" s="162"/>
      <c r="BQ619" s="162">
        <v>72</v>
      </c>
      <c r="BR619" s="162">
        <v>0</v>
      </c>
      <c r="BS619" s="162">
        <v>0</v>
      </c>
      <c r="BT619" s="162">
        <v>0</v>
      </c>
      <c r="BU619" s="162">
        <v>0</v>
      </c>
      <c r="BV619" s="162">
        <v>0</v>
      </c>
      <c r="BW619" s="162"/>
      <c r="BX619" s="162"/>
      <c r="BY619" s="162">
        <v>0</v>
      </c>
      <c r="BZ619" s="162">
        <v>0</v>
      </c>
      <c r="CA619" s="162">
        <v>0</v>
      </c>
      <c r="CB619" s="162">
        <v>0</v>
      </c>
      <c r="CC619" s="162">
        <v>0</v>
      </c>
      <c r="CD619" s="162">
        <v>0</v>
      </c>
      <c r="CE619" s="162">
        <f>VLOOKUP(I619,[120]REV33!$A:$O,11,0)</f>
        <v>0</v>
      </c>
      <c r="CF619" s="162">
        <f>VLOOKUP(I619,[120]REV33!$A:$O,12,0)</f>
        <v>0</v>
      </c>
      <c r="CG619" s="162"/>
      <c r="CH619" s="162"/>
      <c r="CI619" s="162"/>
      <c r="CJ619" s="162"/>
      <c r="CK619" s="162"/>
      <c r="CL619" s="162"/>
      <c r="CM619" s="162"/>
      <c r="CN619" s="162"/>
      <c r="CO619" s="162">
        <v>0</v>
      </c>
      <c r="CP619" s="162">
        <v>0</v>
      </c>
      <c r="CQ619" s="162">
        <v>0</v>
      </c>
      <c r="CR619" s="162">
        <v>0</v>
      </c>
      <c r="CS619" s="209">
        <f>Q619+S619+U619+W619+Y619+AA619+AC619+AE619+AG619+AI619+AK619+AM619+AO619+AQ619+AS619+AU619+AW619+AY619+BA619+BC619+BE619+BG619+BI619+BK619+BM619+BO619+BQ619+BS619+BU619+BW619+BY619+CA619+CC619+CE619+CG619+CI619+CK619+CM619+CO619+CQ619</f>
        <v>72</v>
      </c>
      <c r="CT619" s="209">
        <f>R619+T619+V619+X619+Z619+AB619+AD619+AF619+AH619+AJ619+AL619+AN619+AP619+AR619+AT619+AV619+AX619+AZ619+BB619+BD619+BF619+BH619+BJ619+BL619+BN619+BP619+BR619+BT619+BV619+BX619+BZ619+CB619+CD619+CF619+CH619+CJ619+CL619+CN619+CP619+CR619</f>
        <v>0</v>
      </c>
      <c r="CU619" s="206" t="s">
        <v>1894</v>
      </c>
      <c r="DA619" s="152">
        <f t="shared" ref="DA619:DA627" si="650">IF(CS619&gt;CW619,CS619-CW619,"0")</f>
        <v>72</v>
      </c>
      <c r="DB619" s="152" t="str">
        <f t="shared" ref="DB619:DB627" si="651">IF(CT619&gt;CX619,CT619-CX619,"0")</f>
        <v>0</v>
      </c>
      <c r="DD619" s="158" t="s">
        <v>2243</v>
      </c>
      <c r="DE619" s="156" t="s">
        <v>2042</v>
      </c>
      <c r="DF619" s="253" t="s">
        <v>2359</v>
      </c>
      <c r="DG619" s="186" t="s">
        <v>2360</v>
      </c>
      <c r="DH619" s="156" t="s">
        <v>477</v>
      </c>
      <c r="DI619" s="187">
        <v>45982</v>
      </c>
      <c r="DJ619" s="717">
        <v>72</v>
      </c>
      <c r="DK619" s="240" t="s">
        <v>477</v>
      </c>
      <c r="DL619" s="189">
        <v>20800</v>
      </c>
      <c r="DM619" s="181">
        <f t="shared" si="647"/>
        <v>1617408</v>
      </c>
      <c r="DN619" s="446">
        <v>0.08</v>
      </c>
      <c r="DO619" s="160">
        <f t="shared" si="648"/>
        <v>1497600</v>
      </c>
      <c r="DP619" s="159">
        <v>45982</v>
      </c>
      <c r="DQ619" s="152">
        <f>SUMIF($I:$I,I619,$DJ:$DJ)</f>
        <v>72</v>
      </c>
      <c r="DR619" s="152">
        <f>SUMIF($I:$I,I619,$DK:$DK)</f>
        <v>0</v>
      </c>
      <c r="EO619" s="152">
        <f>SUMIF($I:$I,I619,$EC:$EC)</f>
        <v>0</v>
      </c>
      <c r="EP619" s="151">
        <f>SUMIF($I:$I,I619,$ED:$ED)</f>
        <v>0</v>
      </c>
      <c r="EQ619" s="153"/>
      <c r="ER619" s="153"/>
      <c r="ES619" s="153"/>
      <c r="ET619" s="153"/>
      <c r="EU619" s="152">
        <f t="shared" ref="EU619:EU627" si="652">DQ619+EO619</f>
        <v>72</v>
      </c>
      <c r="EV619" s="152">
        <f t="shared" ref="EV619:EV627" si="653">DR619+EP619</f>
        <v>0</v>
      </c>
      <c r="EW619" s="152">
        <f t="shared" ref="EW619:EW627" si="654">DA619-EU619</f>
        <v>0</v>
      </c>
      <c r="EX619" s="152">
        <f t="shared" ref="EX619:EX627" si="655">DB619-EV619</f>
        <v>0</v>
      </c>
      <c r="EY619" s="151" t="str">
        <f t="shared" ref="EY619:EY627" si="656">IF(EW619&lt;0,"Thừa",IF(EW619=0,"Đủ","Thiếu"))</f>
        <v>Đủ</v>
      </c>
    </row>
    <row r="620" spans="1:164" s="264" customFormat="1" ht="14" hidden="1" customHeight="1">
      <c r="A620" s="208" t="str">
        <f t="shared" si="573"/>
        <v>Hiện</v>
      </c>
      <c r="B620" s="154" t="str">
        <f t="shared" si="638"/>
        <v>Đủ</v>
      </c>
      <c r="C620" s="154">
        <f t="shared" si="639"/>
        <v>0</v>
      </c>
      <c r="D620" s="154"/>
      <c r="E620" s="154"/>
      <c r="F620" s="344"/>
      <c r="I620" s="163" t="s">
        <v>1791</v>
      </c>
      <c r="J620" s="164" t="s">
        <v>751</v>
      </c>
      <c r="K620" s="171" t="s">
        <v>1792</v>
      </c>
      <c r="L620" s="247"/>
      <c r="M620" s="163" t="s">
        <v>1074</v>
      </c>
      <c r="N620" s="248"/>
      <c r="O620" s="229">
        <v>72</v>
      </c>
      <c r="P620" s="172"/>
      <c r="Q620" s="266"/>
      <c r="BG620" s="162"/>
      <c r="BH620" s="162"/>
      <c r="BI620" s="162"/>
      <c r="BJ620" s="162"/>
      <c r="BK620" s="162"/>
      <c r="BL620" s="162"/>
      <c r="BM620" s="162"/>
      <c r="BN620" s="162"/>
      <c r="BO620" s="162"/>
      <c r="BP620" s="162"/>
      <c r="BQ620" s="162">
        <v>72</v>
      </c>
      <c r="BR620" s="162">
        <v>0</v>
      </c>
      <c r="BS620" s="162">
        <v>0</v>
      </c>
      <c r="BT620" s="162">
        <v>0</v>
      </c>
      <c r="BU620" s="162">
        <v>0</v>
      </c>
      <c r="BV620" s="162">
        <v>0</v>
      </c>
      <c r="BW620" s="162"/>
      <c r="BX620" s="162"/>
      <c r="BY620" s="162">
        <v>0</v>
      </c>
      <c r="BZ620" s="162">
        <v>0</v>
      </c>
      <c r="CA620" s="162">
        <v>0</v>
      </c>
      <c r="CB620" s="162">
        <v>0</v>
      </c>
      <c r="CC620" s="162">
        <v>0</v>
      </c>
      <c r="CD620" s="162">
        <v>0</v>
      </c>
      <c r="CE620" s="162">
        <f>VLOOKUP(I620,[120]REV33!$A:$O,11,0)</f>
        <v>0</v>
      </c>
      <c r="CF620" s="162">
        <f>VLOOKUP(I620,[120]REV33!$A:$O,12,0)</f>
        <v>0</v>
      </c>
      <c r="CG620" s="162"/>
      <c r="CH620" s="162"/>
      <c r="CI620" s="162"/>
      <c r="CJ620" s="162"/>
      <c r="CK620" s="162"/>
      <c r="CL620" s="162"/>
      <c r="CM620" s="162"/>
      <c r="CN620" s="162"/>
      <c r="CO620" s="162">
        <v>0</v>
      </c>
      <c r="CP620" s="162">
        <v>0</v>
      </c>
      <c r="CQ620" s="162">
        <v>0</v>
      </c>
      <c r="CR620" s="162">
        <v>0</v>
      </c>
      <c r="CS620" s="209">
        <f>Q620+S620+U620+W620+Y620+AA620+AC620+AE620+AG620+AI620+AK620+AM620+AO620+AQ620+AS620+AU620+AW620+AY620+BA620+BC620+BE620+BG620+BI620+BK620+BM620+BO620+BQ620+BS620+BU620+BW620+BY620+CA620+CC620+CE620+CG620+CI620+CK620+CM620+CO620+CQ620</f>
        <v>72</v>
      </c>
      <c r="CT620" s="209">
        <f>R620+T620+V620+X620+Z620+AB620+AD620+AF620+AH620+AJ620+AL620+AN620+AP620+AR620+AT620+AV620+AX620+AZ620+BB620+BD620+BF620+BH620+BJ620+BL620+BN620+BP620+BR620+BT620+BV620+BX620+BZ620+CB620+CD620+CF620+CH620+CJ620+CL620+CN620+CP620+CR620</f>
        <v>0</v>
      </c>
      <c r="CU620" s="206" t="s">
        <v>1894</v>
      </c>
      <c r="DA620" s="152">
        <f t="shared" si="650"/>
        <v>72</v>
      </c>
      <c r="DB620" s="152" t="str">
        <f t="shared" si="651"/>
        <v>0</v>
      </c>
      <c r="DD620" s="158" t="s">
        <v>2243</v>
      </c>
      <c r="DE620" s="156" t="s">
        <v>2042</v>
      </c>
      <c r="DF620" s="253" t="s">
        <v>2383</v>
      </c>
      <c r="DG620" s="186" t="s">
        <v>2384</v>
      </c>
      <c r="DH620" s="156" t="s">
        <v>477</v>
      </c>
      <c r="DI620" s="187">
        <v>45982</v>
      </c>
      <c r="DJ620" s="717">
        <v>72</v>
      </c>
      <c r="DK620" s="240" t="s">
        <v>477</v>
      </c>
      <c r="DL620" s="189">
        <v>18000</v>
      </c>
      <c r="DM620" s="181">
        <f t="shared" si="647"/>
        <v>1399680</v>
      </c>
      <c r="DN620" s="446">
        <v>0.08</v>
      </c>
      <c r="DO620" s="160">
        <f t="shared" si="648"/>
        <v>1296000</v>
      </c>
      <c r="DP620" s="159">
        <v>45982</v>
      </c>
      <c r="DQ620" s="152">
        <f>SUMIF($I:$I,I620,$DJ:$DJ)</f>
        <v>72</v>
      </c>
      <c r="DR620" s="152">
        <f>SUMIF($I:$I,I620,$DK:$DK)</f>
        <v>0</v>
      </c>
      <c r="EO620" s="152">
        <f>SUMIF($I:$I,I620,$EC:$EC)</f>
        <v>0</v>
      </c>
      <c r="EP620" s="151">
        <f>SUMIF($I:$I,I620,$ED:$ED)</f>
        <v>0</v>
      </c>
      <c r="EQ620" s="153"/>
      <c r="ER620" s="153"/>
      <c r="ES620" s="153"/>
      <c r="ET620" s="153"/>
      <c r="EU620" s="152">
        <f t="shared" si="652"/>
        <v>72</v>
      </c>
      <c r="EV620" s="152">
        <f t="shared" si="653"/>
        <v>0</v>
      </c>
      <c r="EW620" s="152">
        <f t="shared" si="654"/>
        <v>0</v>
      </c>
      <c r="EX620" s="152">
        <f t="shared" si="655"/>
        <v>0</v>
      </c>
      <c r="EY620" s="151" t="str">
        <f t="shared" si="656"/>
        <v>Đủ</v>
      </c>
    </row>
    <row r="621" spans="1:164" s="264" customFormat="1" ht="14" hidden="1" customHeight="1">
      <c r="A621" s="208" t="str">
        <f t="shared" si="573"/>
        <v>Hiện</v>
      </c>
      <c r="B621" s="154" t="str">
        <f t="shared" si="638"/>
        <v>Đủ</v>
      </c>
      <c r="C621" s="154">
        <f t="shared" si="639"/>
        <v>0</v>
      </c>
      <c r="D621" s="154"/>
      <c r="E621" s="154"/>
      <c r="F621" s="344"/>
      <c r="I621" s="163" t="s">
        <v>1793</v>
      </c>
      <c r="J621" s="164" t="s">
        <v>751</v>
      </c>
      <c r="K621" s="171" t="s">
        <v>1794</v>
      </c>
      <c r="L621" s="247"/>
      <c r="M621" s="163" t="s">
        <v>1074</v>
      </c>
      <c r="N621" s="248"/>
      <c r="O621" s="229">
        <v>48</v>
      </c>
      <c r="P621" s="172"/>
      <c r="Q621" s="266"/>
      <c r="BG621" s="162"/>
      <c r="BH621" s="162"/>
      <c r="BI621" s="162"/>
      <c r="BJ621" s="162"/>
      <c r="BK621" s="162"/>
      <c r="BL621" s="162"/>
      <c r="BM621" s="162"/>
      <c r="BN621" s="162"/>
      <c r="BO621" s="162"/>
      <c r="BP621" s="162"/>
      <c r="BQ621" s="162">
        <v>48</v>
      </c>
      <c r="BR621" s="162">
        <v>0</v>
      </c>
      <c r="BS621" s="162">
        <v>0</v>
      </c>
      <c r="BT621" s="162">
        <v>0</v>
      </c>
      <c r="BU621" s="162">
        <v>0</v>
      </c>
      <c r="BV621" s="162">
        <v>0</v>
      </c>
      <c r="BW621" s="162"/>
      <c r="BX621" s="162"/>
      <c r="BY621" s="162">
        <v>0</v>
      </c>
      <c r="BZ621" s="162">
        <v>0</v>
      </c>
      <c r="CA621" s="162">
        <v>0</v>
      </c>
      <c r="CB621" s="162">
        <v>0</v>
      </c>
      <c r="CC621" s="162">
        <v>0</v>
      </c>
      <c r="CD621" s="162">
        <v>0</v>
      </c>
      <c r="CE621" s="162">
        <f>VLOOKUP(I621,[120]REV33!$A:$O,11,0)</f>
        <v>0</v>
      </c>
      <c r="CF621" s="162">
        <f>VLOOKUP(I621,[120]REV33!$A:$O,12,0)</f>
        <v>0</v>
      </c>
      <c r="CG621" s="162"/>
      <c r="CH621" s="162"/>
      <c r="CI621" s="162"/>
      <c r="CJ621" s="162"/>
      <c r="CK621" s="162"/>
      <c r="CL621" s="162"/>
      <c r="CM621" s="162"/>
      <c r="CN621" s="162"/>
      <c r="CO621" s="162">
        <v>0</v>
      </c>
      <c r="CP621" s="162">
        <v>0</v>
      </c>
      <c r="CQ621" s="162">
        <v>0</v>
      </c>
      <c r="CR621" s="162">
        <v>0</v>
      </c>
      <c r="CS621" s="209">
        <f>Q621+S621+U621+W621+Y621+AA621+AC621+AE621+AG621+AI621+AK621+AM621+AO621+AQ621+AS621+AU621+AW621+AY621+BA621+BC621+BE621+BG621+BI621+BK621+BM621+BO621+BQ621+BS621+BU621+BW621+BY621+CA621+CC621+CE621+CG621+CI621+CK621+CM621+CO621+CQ621</f>
        <v>48</v>
      </c>
      <c r="CT621" s="209">
        <f>R621+T621+V621+X621+Z621+AB621+AD621+AF621+AH621+AJ621+AL621+AN621+AP621+AR621+AT621+AV621+AX621+AZ621+BB621+BD621+BF621+BH621+BJ621+BL621+BN621+BP621+BR621+BT621+BV621+BX621+BZ621+CB621+CD621+CF621+CH621+CJ621+CL621+CN621+CP621+CR621</f>
        <v>0</v>
      </c>
      <c r="CU621" s="206" t="s">
        <v>1894</v>
      </c>
      <c r="DA621" s="152">
        <f t="shared" si="650"/>
        <v>48</v>
      </c>
      <c r="DB621" s="152" t="str">
        <f t="shared" si="651"/>
        <v>0</v>
      </c>
      <c r="DD621" s="158" t="s">
        <v>2243</v>
      </c>
      <c r="DE621" s="156" t="s">
        <v>2042</v>
      </c>
      <c r="DF621" s="253" t="s">
        <v>2361</v>
      </c>
      <c r="DG621" s="186" t="s">
        <v>2362</v>
      </c>
      <c r="DH621" s="156" t="s">
        <v>477</v>
      </c>
      <c r="DI621" s="187">
        <v>45982</v>
      </c>
      <c r="DJ621" s="717">
        <v>48</v>
      </c>
      <c r="DK621" s="240" t="s">
        <v>477</v>
      </c>
      <c r="DL621" s="189">
        <v>18000</v>
      </c>
      <c r="DM621" s="181">
        <f t="shared" si="647"/>
        <v>933120.00000000012</v>
      </c>
      <c r="DN621" s="446">
        <v>0.08</v>
      </c>
      <c r="DO621" s="160">
        <f t="shared" si="648"/>
        <v>864000</v>
      </c>
      <c r="DP621" s="159">
        <v>45982</v>
      </c>
      <c r="DQ621" s="152">
        <f>SUMIF($I:$I,I621,$DJ:$DJ)</f>
        <v>48</v>
      </c>
      <c r="DR621" s="152">
        <f>SUMIF($I:$I,I621,$DK:$DK)</f>
        <v>0</v>
      </c>
      <c r="EO621" s="152">
        <f>SUMIF($I:$I,I621,$EC:$EC)</f>
        <v>0</v>
      </c>
      <c r="EP621" s="151">
        <f>SUMIF($I:$I,I621,$ED:$ED)</f>
        <v>0</v>
      </c>
      <c r="EQ621" s="153"/>
      <c r="ER621" s="153"/>
      <c r="ES621" s="153"/>
      <c r="ET621" s="153"/>
      <c r="EU621" s="152">
        <f t="shared" si="652"/>
        <v>48</v>
      </c>
      <c r="EV621" s="152">
        <f t="shared" si="653"/>
        <v>0</v>
      </c>
      <c r="EW621" s="152">
        <f t="shared" si="654"/>
        <v>0</v>
      </c>
      <c r="EX621" s="152">
        <f t="shared" si="655"/>
        <v>0</v>
      </c>
      <c r="EY621" s="151" t="str">
        <f t="shared" si="656"/>
        <v>Đủ</v>
      </c>
    </row>
    <row r="622" spans="1:164" s="264" customFormat="1" ht="14" hidden="1" customHeight="1">
      <c r="A622" s="208" t="str">
        <f t="shared" si="573"/>
        <v>Hiện</v>
      </c>
      <c r="B622" s="154" t="str">
        <f t="shared" si="638"/>
        <v>Đủ</v>
      </c>
      <c r="C622" s="154">
        <f t="shared" si="639"/>
        <v>0</v>
      </c>
      <c r="D622" s="154"/>
      <c r="E622" s="154"/>
      <c r="F622" s="344"/>
      <c r="I622" s="163" t="s">
        <v>1795</v>
      </c>
      <c r="J622" s="164" t="s">
        <v>751</v>
      </c>
      <c r="K622" s="171" t="s">
        <v>1796</v>
      </c>
      <c r="L622" s="247"/>
      <c r="M622" s="163" t="s">
        <v>1074</v>
      </c>
      <c r="N622" s="248"/>
      <c r="O622" s="229">
        <v>72</v>
      </c>
      <c r="P622" s="172"/>
      <c r="Q622" s="266"/>
      <c r="BG622" s="162"/>
      <c r="BH622" s="162"/>
      <c r="BI622" s="162"/>
      <c r="BJ622" s="162"/>
      <c r="BK622" s="162"/>
      <c r="BL622" s="162"/>
      <c r="BM622" s="162"/>
      <c r="BN622" s="162"/>
      <c r="BO622" s="162"/>
      <c r="BP622" s="162"/>
      <c r="BQ622" s="162">
        <v>72</v>
      </c>
      <c r="BR622" s="162">
        <v>0</v>
      </c>
      <c r="BS622" s="162">
        <v>0</v>
      </c>
      <c r="BT622" s="162">
        <v>0</v>
      </c>
      <c r="BU622" s="162">
        <v>0</v>
      </c>
      <c r="BV622" s="162">
        <v>0</v>
      </c>
      <c r="BW622" s="162"/>
      <c r="BX622" s="162"/>
      <c r="BY622" s="162">
        <v>0</v>
      </c>
      <c r="BZ622" s="162">
        <v>0</v>
      </c>
      <c r="CA622" s="162">
        <v>0</v>
      </c>
      <c r="CB622" s="162">
        <v>0</v>
      </c>
      <c r="CC622" s="162">
        <v>0</v>
      </c>
      <c r="CD622" s="162">
        <v>0</v>
      </c>
      <c r="CE622" s="162">
        <f>VLOOKUP(I622,[120]REV33!$A:$O,11,0)</f>
        <v>0</v>
      </c>
      <c r="CF622" s="162">
        <f>VLOOKUP(I622,[120]REV33!$A:$O,12,0)</f>
        <v>0</v>
      </c>
      <c r="CG622" s="162"/>
      <c r="CH622" s="162"/>
      <c r="CI622" s="162"/>
      <c r="CJ622" s="162"/>
      <c r="CK622" s="162"/>
      <c r="CL622" s="162"/>
      <c r="CM622" s="162"/>
      <c r="CN622" s="162"/>
      <c r="CO622" s="162">
        <v>0</v>
      </c>
      <c r="CP622" s="162">
        <v>0</v>
      </c>
      <c r="CQ622" s="162">
        <v>0</v>
      </c>
      <c r="CR622" s="162">
        <v>0</v>
      </c>
      <c r="CS622" s="209">
        <f>Q622+S622+U622+W622+Y622+AA622+AC622+AE622+AG622+AI622+AK622+AM622+AO622+AQ622+AS622+AU622+AW622+AY622+BA622+BC622+BE622+BG622+BI622+BK622+BM622+BO622+BQ622+BS622+BU622+BW622+BY622+CA622+CC622+CE622+CG622+CI622+CK622+CM622+CO622+CQ622</f>
        <v>72</v>
      </c>
      <c r="CT622" s="209">
        <f>R622+T622+V622+X622+Z622+AB622+AD622+AF622+AH622+AJ622+AL622+AN622+AP622+AR622+AT622+AV622+AX622+AZ622+BB622+BD622+BF622+BH622+BJ622+BL622+BN622+BP622+BR622+BT622+BV622+BX622+BZ622+CB622+CD622+CF622+CH622+CJ622+CL622+CN622+CP622+CR622</f>
        <v>0</v>
      </c>
      <c r="CU622" s="206" t="s">
        <v>1894</v>
      </c>
      <c r="DA622" s="152">
        <f t="shared" si="650"/>
        <v>72</v>
      </c>
      <c r="DB622" s="152" t="str">
        <f t="shared" si="651"/>
        <v>0</v>
      </c>
      <c r="DD622" s="158" t="s">
        <v>2243</v>
      </c>
      <c r="DE622" s="156" t="s">
        <v>2042</v>
      </c>
      <c r="DF622" s="253" t="s">
        <v>2385</v>
      </c>
      <c r="DG622" s="186" t="s">
        <v>2386</v>
      </c>
      <c r="DH622" s="156" t="s">
        <v>477</v>
      </c>
      <c r="DI622" s="187">
        <v>45982</v>
      </c>
      <c r="DJ622" s="717">
        <v>72</v>
      </c>
      <c r="DK622" s="240" t="s">
        <v>477</v>
      </c>
      <c r="DL622" s="189">
        <v>44200</v>
      </c>
      <c r="DM622" s="181">
        <f t="shared" si="647"/>
        <v>3436992</v>
      </c>
      <c r="DN622" s="446">
        <v>0.08</v>
      </c>
      <c r="DO622" s="160">
        <f t="shared" si="648"/>
        <v>3182400</v>
      </c>
      <c r="DP622" s="159">
        <v>45982</v>
      </c>
      <c r="DQ622" s="152">
        <f>SUMIF($I:$I,I622,$DJ:$DJ)</f>
        <v>72</v>
      </c>
      <c r="DR622" s="152">
        <f>SUMIF($I:$I,I622,$DK:$DK)</f>
        <v>0</v>
      </c>
      <c r="EO622" s="152">
        <f>SUMIF($I:$I,I622,$EC:$EC)</f>
        <v>0</v>
      </c>
      <c r="EP622" s="151">
        <f>SUMIF($I:$I,I622,$ED:$ED)</f>
        <v>0</v>
      </c>
      <c r="EQ622" s="153"/>
      <c r="ER622" s="153"/>
      <c r="ES622" s="153"/>
      <c r="ET622" s="153"/>
      <c r="EU622" s="152">
        <f t="shared" si="652"/>
        <v>72</v>
      </c>
      <c r="EV622" s="152">
        <f t="shared" si="653"/>
        <v>0</v>
      </c>
      <c r="EW622" s="152">
        <f t="shared" si="654"/>
        <v>0</v>
      </c>
      <c r="EX622" s="152">
        <f t="shared" si="655"/>
        <v>0</v>
      </c>
      <c r="EY622" s="151" t="str">
        <f t="shared" si="656"/>
        <v>Đủ</v>
      </c>
    </row>
    <row r="623" spans="1:164" s="264" customFormat="1" ht="14" hidden="1" customHeight="1">
      <c r="A623" s="208" t="str">
        <f t="shared" si="573"/>
        <v>Hiện</v>
      </c>
      <c r="B623" s="154" t="str">
        <f t="shared" si="638"/>
        <v>Đủ</v>
      </c>
      <c r="C623" s="154">
        <f t="shared" si="639"/>
        <v>0</v>
      </c>
      <c r="D623" s="154"/>
      <c r="E623" s="154"/>
      <c r="F623" s="344"/>
      <c r="I623" s="163" t="s">
        <v>1797</v>
      </c>
      <c r="J623" s="164" t="s">
        <v>751</v>
      </c>
      <c r="K623" s="171" t="s">
        <v>1798</v>
      </c>
      <c r="L623" s="247"/>
      <c r="M623" s="163" t="s">
        <v>1074</v>
      </c>
      <c r="N623" s="248"/>
      <c r="O623" s="229">
        <v>48</v>
      </c>
      <c r="P623" s="172"/>
      <c r="Q623" s="266"/>
      <c r="BG623" s="162"/>
      <c r="BH623" s="162"/>
      <c r="BI623" s="162"/>
      <c r="BJ623" s="162"/>
      <c r="BK623" s="162"/>
      <c r="BL623" s="162"/>
      <c r="BM623" s="162"/>
      <c r="BN623" s="162"/>
      <c r="BO623" s="162"/>
      <c r="BP623" s="162"/>
      <c r="BQ623" s="162">
        <v>48</v>
      </c>
      <c r="BR623" s="162">
        <v>0</v>
      </c>
      <c r="BS623" s="162">
        <v>0</v>
      </c>
      <c r="BT623" s="162">
        <v>0</v>
      </c>
      <c r="BU623" s="162">
        <v>0</v>
      </c>
      <c r="BV623" s="162">
        <v>0</v>
      </c>
      <c r="BW623" s="162"/>
      <c r="BX623" s="162"/>
      <c r="BY623" s="162">
        <v>0</v>
      </c>
      <c r="BZ623" s="162">
        <v>0</v>
      </c>
      <c r="CA623" s="162">
        <v>0</v>
      </c>
      <c r="CB623" s="162">
        <v>0</v>
      </c>
      <c r="CC623" s="162">
        <v>0</v>
      </c>
      <c r="CD623" s="162">
        <v>0</v>
      </c>
      <c r="CE623" s="162">
        <f>VLOOKUP(I623,[120]REV33!$A:$O,11,0)</f>
        <v>0</v>
      </c>
      <c r="CF623" s="162">
        <f>VLOOKUP(I623,[120]REV33!$A:$O,12,0)</f>
        <v>0</v>
      </c>
      <c r="CG623" s="162"/>
      <c r="CH623" s="162"/>
      <c r="CI623" s="162"/>
      <c r="CJ623" s="162"/>
      <c r="CK623" s="162"/>
      <c r="CL623" s="162"/>
      <c r="CM623" s="162"/>
      <c r="CN623" s="162"/>
      <c r="CO623" s="162">
        <v>0</v>
      </c>
      <c r="CP623" s="162">
        <v>0</v>
      </c>
      <c r="CQ623" s="162">
        <v>0</v>
      </c>
      <c r="CR623" s="162">
        <v>0</v>
      </c>
      <c r="CS623" s="209">
        <f>Q623+S623+U623+W623+Y623+AA623+AC623+AE623+AG623+AI623+AK623+AM623+AO623+AQ623+AS623+AU623+AW623+AY623+BA623+BC623+BE623+BG623+BI623+BK623+BM623+BO623+BQ623+BS623+BU623+BW623+BY623+CA623+CC623+CE623+CG623+CI623+CK623+CM623+CO623+CQ623</f>
        <v>48</v>
      </c>
      <c r="CT623" s="209">
        <f>R623+T623+V623+X623+Z623+AB623+AD623+AF623+AH623+AJ623+AL623+AN623+AP623+AR623+AT623+AV623+AX623+AZ623+BB623+BD623+BF623+BH623+BJ623+BL623+BN623+BP623+BR623+BT623+BV623+BX623+BZ623+CB623+CD623+CF623+CH623+CJ623+CL623+CN623+CP623+CR623</f>
        <v>0</v>
      </c>
      <c r="CU623" s="206" t="s">
        <v>1894</v>
      </c>
      <c r="DA623" s="152">
        <f t="shared" si="650"/>
        <v>48</v>
      </c>
      <c r="DB623" s="152" t="str">
        <f t="shared" si="651"/>
        <v>0</v>
      </c>
      <c r="DD623" s="158" t="s">
        <v>2243</v>
      </c>
      <c r="DE623" s="156" t="s">
        <v>2042</v>
      </c>
      <c r="DF623" s="253" t="s">
        <v>2387</v>
      </c>
      <c r="DG623" s="186" t="s">
        <v>2388</v>
      </c>
      <c r="DH623" s="156" t="s">
        <v>477</v>
      </c>
      <c r="DI623" s="187">
        <v>45982</v>
      </c>
      <c r="DJ623" s="717">
        <v>48</v>
      </c>
      <c r="DK623" s="240" t="s">
        <v>477</v>
      </c>
      <c r="DL623" s="189">
        <v>61000</v>
      </c>
      <c r="DM623" s="181">
        <f t="shared" si="647"/>
        <v>3162240</v>
      </c>
      <c r="DN623" s="446">
        <v>0.08</v>
      </c>
      <c r="DO623" s="160">
        <f t="shared" si="648"/>
        <v>2928000</v>
      </c>
      <c r="DP623" s="159">
        <v>45982</v>
      </c>
      <c r="DQ623" s="152">
        <f>SUMIF($I:$I,I623,$DJ:$DJ)</f>
        <v>48</v>
      </c>
      <c r="DR623" s="152">
        <f>SUMIF($I:$I,I623,$DK:$DK)</f>
        <v>0</v>
      </c>
      <c r="EO623" s="152">
        <f>SUMIF($I:$I,I623,$EC:$EC)</f>
        <v>0</v>
      </c>
      <c r="EP623" s="151">
        <f>SUMIF($I:$I,I623,$ED:$ED)</f>
        <v>0</v>
      </c>
      <c r="EQ623" s="153"/>
      <c r="ER623" s="153"/>
      <c r="ES623" s="153"/>
      <c r="ET623" s="153"/>
      <c r="EU623" s="152">
        <f t="shared" si="652"/>
        <v>48</v>
      </c>
      <c r="EV623" s="152">
        <f t="shared" si="653"/>
        <v>0</v>
      </c>
      <c r="EW623" s="152">
        <f t="shared" si="654"/>
        <v>0</v>
      </c>
      <c r="EX623" s="152">
        <f t="shared" si="655"/>
        <v>0</v>
      </c>
      <c r="EY623" s="151" t="str">
        <f t="shared" si="656"/>
        <v>Đủ</v>
      </c>
    </row>
    <row r="624" spans="1:164" s="264" customFormat="1" ht="14" hidden="1" customHeight="1">
      <c r="A624" s="208" t="str">
        <f t="shared" si="573"/>
        <v>Hiện</v>
      </c>
      <c r="B624" s="154" t="str">
        <f t="shared" si="638"/>
        <v>Đủ</v>
      </c>
      <c r="C624" s="154">
        <f t="shared" si="639"/>
        <v>0</v>
      </c>
      <c r="D624" s="154"/>
      <c r="E624" s="154"/>
      <c r="F624" s="344"/>
      <c r="I624" s="164" t="s">
        <v>1799</v>
      </c>
      <c r="J624" s="164" t="s">
        <v>863</v>
      </c>
      <c r="K624" s="171" t="s">
        <v>1800</v>
      </c>
      <c r="L624" s="247"/>
      <c r="M624" s="163" t="s">
        <v>1074</v>
      </c>
      <c r="N624" s="248"/>
      <c r="O624" s="229">
        <v>280</v>
      </c>
      <c r="P624" s="172"/>
      <c r="Q624" s="266"/>
      <c r="BG624" s="162"/>
      <c r="BH624" s="162"/>
      <c r="BI624" s="162"/>
      <c r="BJ624" s="162"/>
      <c r="BK624" s="162"/>
      <c r="BL624" s="162"/>
      <c r="BM624" s="162"/>
      <c r="BN624" s="162"/>
      <c r="BO624" s="162"/>
      <c r="BP624" s="162"/>
      <c r="BQ624" s="162">
        <v>280</v>
      </c>
      <c r="BR624" s="162">
        <v>0</v>
      </c>
      <c r="BS624" s="162">
        <v>0</v>
      </c>
      <c r="BT624" s="162">
        <v>0</v>
      </c>
      <c r="BU624" s="162">
        <v>0</v>
      </c>
      <c r="BV624" s="162">
        <v>0</v>
      </c>
      <c r="BW624" s="162"/>
      <c r="BX624" s="162"/>
      <c r="BY624" s="162">
        <v>0</v>
      </c>
      <c r="BZ624" s="162">
        <v>0</v>
      </c>
      <c r="CA624" s="162">
        <v>0</v>
      </c>
      <c r="CB624" s="162">
        <v>0</v>
      </c>
      <c r="CC624" s="162">
        <v>0</v>
      </c>
      <c r="CD624" s="162">
        <v>0</v>
      </c>
      <c r="CE624" s="162">
        <f>VLOOKUP(I624,[120]REV33!$A:$O,11,0)</f>
        <v>0</v>
      </c>
      <c r="CF624" s="162">
        <f>VLOOKUP(I624,[120]REV33!$A:$O,12,0)</f>
        <v>0</v>
      </c>
      <c r="CG624" s="162"/>
      <c r="CH624" s="162"/>
      <c r="CI624" s="162"/>
      <c r="CJ624" s="162"/>
      <c r="CK624" s="162"/>
      <c r="CL624" s="162"/>
      <c r="CM624" s="162"/>
      <c r="CN624" s="162"/>
      <c r="CO624" s="162">
        <v>0</v>
      </c>
      <c r="CP624" s="162">
        <v>0</v>
      </c>
      <c r="CQ624" s="162">
        <v>0</v>
      </c>
      <c r="CR624" s="162">
        <v>0</v>
      </c>
      <c r="CS624" s="209">
        <f>Q624+S624+U624+W624+Y624+AA624+AC624+AE624+AG624+AI624+AK624+AM624+AO624+AQ624+AS624+AU624+AW624+AY624+BA624+BC624+BE624+BG624+BI624+BK624+BM624+BO624+BQ624+BS624+BU624+BW624+BY624+CA624+CC624+CE624+CG624+CI624+CK624+CM624+CO624+CQ624</f>
        <v>280</v>
      </c>
      <c r="CT624" s="209">
        <f>R624+T624+V624+X624+Z624+AB624+AD624+AF624+AH624+AJ624+AL624+AN624+AP624+AR624+AT624+AV624+AX624+AZ624+BB624+BD624+BF624+BH624+BJ624+BL624+BN624+BP624+BR624+BT624+BV624+BX624+BZ624+CB624+CD624+CF624+CH624+CJ624+CL624+CN624+CP624+CR624</f>
        <v>0</v>
      </c>
      <c r="CU624" s="206" t="s">
        <v>1894</v>
      </c>
      <c r="DA624" s="152">
        <f t="shared" si="650"/>
        <v>280</v>
      </c>
      <c r="DB624" s="152" t="str">
        <f t="shared" si="651"/>
        <v>0</v>
      </c>
      <c r="DD624" s="158" t="s">
        <v>2243</v>
      </c>
      <c r="DE624" s="156" t="s">
        <v>2042</v>
      </c>
      <c r="DF624" s="253" t="s">
        <v>2389</v>
      </c>
      <c r="DG624" s="186" t="s">
        <v>2390</v>
      </c>
      <c r="DH624" s="156" t="s">
        <v>477</v>
      </c>
      <c r="DI624" s="187">
        <v>45982</v>
      </c>
      <c r="DJ624" s="717">
        <v>280</v>
      </c>
      <c r="DK624" s="240" t="s">
        <v>477</v>
      </c>
      <c r="DL624" s="189">
        <v>690</v>
      </c>
      <c r="DM624" s="181">
        <f t="shared" si="647"/>
        <v>208656</v>
      </c>
      <c r="DN624" s="446">
        <v>0.08</v>
      </c>
      <c r="DO624" s="160">
        <f t="shared" si="648"/>
        <v>193200</v>
      </c>
      <c r="DP624" s="159">
        <v>45982</v>
      </c>
      <c r="DQ624" s="152">
        <f>SUMIF($I:$I,I624,$DJ:$DJ)</f>
        <v>280</v>
      </c>
      <c r="DR624" s="152">
        <f>SUMIF($I:$I,I624,$DK:$DK)</f>
        <v>0</v>
      </c>
      <c r="EO624" s="152">
        <f>SUMIF($I:$I,I624,$EC:$EC)</f>
        <v>0</v>
      </c>
      <c r="EP624" s="151">
        <f>SUMIF($I:$I,I624,$ED:$ED)</f>
        <v>0</v>
      </c>
      <c r="EQ624" s="153"/>
      <c r="ER624" s="153"/>
      <c r="ES624" s="153"/>
      <c r="ET624" s="153"/>
      <c r="EU624" s="152">
        <f t="shared" si="652"/>
        <v>280</v>
      </c>
      <c r="EV624" s="152">
        <f t="shared" si="653"/>
        <v>0</v>
      </c>
      <c r="EW624" s="152">
        <f t="shared" si="654"/>
        <v>0</v>
      </c>
      <c r="EX624" s="152">
        <f t="shared" si="655"/>
        <v>0</v>
      </c>
      <c r="EY624" s="151" t="str">
        <f t="shared" si="656"/>
        <v>Đủ</v>
      </c>
    </row>
    <row r="625" spans="1:155" s="264" customFormat="1" ht="14" hidden="1" customHeight="1">
      <c r="A625" s="208" t="str">
        <f t="shared" si="573"/>
        <v>Hiện</v>
      </c>
      <c r="B625" s="154" t="str">
        <f t="shared" si="638"/>
        <v>Đủ</v>
      </c>
      <c r="C625" s="154">
        <f t="shared" si="639"/>
        <v>0</v>
      </c>
      <c r="D625" s="154"/>
      <c r="E625" s="154"/>
      <c r="F625" s="344"/>
      <c r="I625" s="164" t="s">
        <v>1801</v>
      </c>
      <c r="J625" s="164" t="s">
        <v>863</v>
      </c>
      <c r="K625" s="171" t="s">
        <v>1802</v>
      </c>
      <c r="L625" s="247"/>
      <c r="M625" s="163" t="s">
        <v>1074</v>
      </c>
      <c r="N625" s="248"/>
      <c r="O625" s="229">
        <v>51</v>
      </c>
      <c r="P625" s="172"/>
      <c r="Q625" s="266"/>
      <c r="BG625" s="162"/>
      <c r="BH625" s="162"/>
      <c r="BI625" s="162"/>
      <c r="BJ625" s="162"/>
      <c r="BK625" s="162"/>
      <c r="BL625" s="162"/>
      <c r="BM625" s="162"/>
      <c r="BN625" s="162"/>
      <c r="BO625" s="162"/>
      <c r="BP625" s="162"/>
      <c r="BQ625" s="162">
        <v>51</v>
      </c>
      <c r="BR625" s="162">
        <v>0</v>
      </c>
      <c r="BS625" s="162">
        <v>0</v>
      </c>
      <c r="BT625" s="162">
        <v>0</v>
      </c>
      <c r="BU625" s="162">
        <v>0</v>
      </c>
      <c r="BV625" s="162">
        <v>0</v>
      </c>
      <c r="BW625" s="162"/>
      <c r="BX625" s="162"/>
      <c r="BY625" s="162">
        <v>0</v>
      </c>
      <c r="BZ625" s="162">
        <v>0</v>
      </c>
      <c r="CA625" s="162">
        <v>0</v>
      </c>
      <c r="CB625" s="162">
        <v>0</v>
      </c>
      <c r="CC625" s="162">
        <v>0</v>
      </c>
      <c r="CD625" s="162">
        <v>0</v>
      </c>
      <c r="CE625" s="162">
        <f>VLOOKUP(I625,[120]REV33!$A:$O,11,0)</f>
        <v>0</v>
      </c>
      <c r="CF625" s="162">
        <f>VLOOKUP(I625,[120]REV33!$A:$O,12,0)</f>
        <v>0</v>
      </c>
      <c r="CG625" s="162"/>
      <c r="CH625" s="162"/>
      <c r="CI625" s="162"/>
      <c r="CJ625" s="162"/>
      <c r="CK625" s="162"/>
      <c r="CL625" s="162"/>
      <c r="CM625" s="162"/>
      <c r="CN625" s="162"/>
      <c r="CO625" s="162">
        <v>0</v>
      </c>
      <c r="CP625" s="162">
        <v>0</v>
      </c>
      <c r="CQ625" s="162">
        <v>0</v>
      </c>
      <c r="CR625" s="162">
        <v>0</v>
      </c>
      <c r="CS625" s="209">
        <f>Q625+S625+U625+W625+Y625+AA625+AC625+AE625+AG625+AI625+AK625+AM625+AO625+AQ625+AS625+AU625+AW625+AY625+BA625+BC625+BE625+BG625+BI625+BK625+BM625+BO625+BQ625+BS625+BU625+BW625+BY625+CA625+CC625+CE625+CG625+CI625+CK625+CM625+CO625+CQ625</f>
        <v>51</v>
      </c>
      <c r="CT625" s="209">
        <f>R625+T625+V625+X625+Z625+AB625+AD625+AF625+AH625+AJ625+AL625+AN625+AP625+AR625+AT625+AV625+AX625+AZ625+BB625+BD625+BF625+BH625+BJ625+BL625+BN625+BP625+BR625+BT625+BV625+BX625+BZ625+CB625+CD625+CF625+CH625+CJ625+CL625+CN625+CP625+CR625</f>
        <v>0</v>
      </c>
      <c r="CU625" s="206" t="s">
        <v>1894</v>
      </c>
      <c r="DA625" s="152">
        <f t="shared" si="650"/>
        <v>51</v>
      </c>
      <c r="DB625" s="152" t="str">
        <f t="shared" si="651"/>
        <v>0</v>
      </c>
      <c r="DD625" s="158" t="s">
        <v>2243</v>
      </c>
      <c r="DE625" s="156" t="s">
        <v>2042</v>
      </c>
      <c r="DF625" s="253" t="s">
        <v>2365</v>
      </c>
      <c r="DG625" s="186" t="s">
        <v>2366</v>
      </c>
      <c r="DH625" s="156" t="s">
        <v>477</v>
      </c>
      <c r="DI625" s="187">
        <v>45982</v>
      </c>
      <c r="DJ625" s="717">
        <v>51</v>
      </c>
      <c r="DK625" s="240" t="s">
        <v>477</v>
      </c>
      <c r="DL625" s="189">
        <v>1590</v>
      </c>
      <c r="DM625" s="181">
        <f t="shared" si="647"/>
        <v>87577.200000000012</v>
      </c>
      <c r="DN625" s="446">
        <v>0.08</v>
      </c>
      <c r="DO625" s="160">
        <f t="shared" si="648"/>
        <v>81090</v>
      </c>
      <c r="DP625" s="159">
        <v>45982</v>
      </c>
      <c r="DQ625" s="152">
        <f>SUMIF($I:$I,I625,$DJ:$DJ)</f>
        <v>51</v>
      </c>
      <c r="DR625" s="152">
        <f>SUMIF($I:$I,I625,$DK:$DK)</f>
        <v>0</v>
      </c>
      <c r="EO625" s="152">
        <f>SUMIF($I:$I,I625,$EC:$EC)</f>
        <v>0</v>
      </c>
      <c r="EP625" s="151">
        <f>SUMIF($I:$I,I625,$ED:$ED)</f>
        <v>0</v>
      </c>
      <c r="EQ625" s="153"/>
      <c r="ER625" s="153"/>
      <c r="ES625" s="153"/>
      <c r="ET625" s="153"/>
      <c r="EU625" s="152">
        <f t="shared" si="652"/>
        <v>51</v>
      </c>
      <c r="EV625" s="152">
        <f t="shared" si="653"/>
        <v>0</v>
      </c>
      <c r="EW625" s="152">
        <f t="shared" si="654"/>
        <v>0</v>
      </c>
      <c r="EX625" s="152">
        <f t="shared" si="655"/>
        <v>0</v>
      </c>
      <c r="EY625" s="151" t="str">
        <f t="shared" si="656"/>
        <v>Đủ</v>
      </c>
    </row>
    <row r="626" spans="1:155" s="264" customFormat="1" ht="14" hidden="1" customHeight="1">
      <c r="A626" s="208" t="str">
        <f t="shared" si="573"/>
        <v>Hiện</v>
      </c>
      <c r="B626" s="154" t="str">
        <f t="shared" si="638"/>
        <v>Đủ</v>
      </c>
      <c r="C626" s="154">
        <f t="shared" si="639"/>
        <v>0</v>
      </c>
      <c r="D626" s="154"/>
      <c r="E626" s="154"/>
      <c r="F626" s="344"/>
      <c r="I626" s="164" t="s">
        <v>1803</v>
      </c>
      <c r="J626" s="164" t="s">
        <v>863</v>
      </c>
      <c r="K626" s="171" t="s">
        <v>1804</v>
      </c>
      <c r="L626" s="247"/>
      <c r="M626" s="163" t="s">
        <v>1074</v>
      </c>
      <c r="N626" s="248"/>
      <c r="O626" s="229">
        <v>432</v>
      </c>
      <c r="P626" s="172"/>
      <c r="Q626" s="266"/>
      <c r="BG626" s="162"/>
      <c r="BH626" s="162"/>
      <c r="BI626" s="162"/>
      <c r="BJ626" s="162"/>
      <c r="BK626" s="162"/>
      <c r="BL626" s="162"/>
      <c r="BM626" s="162"/>
      <c r="BN626" s="162"/>
      <c r="BO626" s="162"/>
      <c r="BP626" s="162"/>
      <c r="BQ626" s="162">
        <v>432</v>
      </c>
      <c r="BR626" s="162">
        <v>0</v>
      </c>
      <c r="BS626" s="162">
        <v>0</v>
      </c>
      <c r="BT626" s="162">
        <v>0</v>
      </c>
      <c r="BU626" s="162">
        <v>0</v>
      </c>
      <c r="BV626" s="162">
        <v>0</v>
      </c>
      <c r="BW626" s="162"/>
      <c r="BX626" s="162"/>
      <c r="BY626" s="162">
        <v>0</v>
      </c>
      <c r="BZ626" s="162">
        <v>0</v>
      </c>
      <c r="CA626" s="162">
        <v>0</v>
      </c>
      <c r="CB626" s="162">
        <v>0</v>
      </c>
      <c r="CC626" s="162">
        <v>0</v>
      </c>
      <c r="CD626" s="162">
        <v>0</v>
      </c>
      <c r="CE626" s="162">
        <f>VLOOKUP(I626,[120]REV33!$A:$O,11,0)</f>
        <v>0</v>
      </c>
      <c r="CF626" s="162">
        <f>VLOOKUP(I626,[120]REV33!$A:$O,12,0)</f>
        <v>0</v>
      </c>
      <c r="CG626" s="162"/>
      <c r="CH626" s="162"/>
      <c r="CI626" s="162"/>
      <c r="CJ626" s="162"/>
      <c r="CK626" s="162"/>
      <c r="CL626" s="162"/>
      <c r="CM626" s="162"/>
      <c r="CN626" s="162"/>
      <c r="CO626" s="162">
        <v>0</v>
      </c>
      <c r="CP626" s="162">
        <v>0</v>
      </c>
      <c r="CQ626" s="162">
        <v>0</v>
      </c>
      <c r="CR626" s="162">
        <v>0</v>
      </c>
      <c r="CS626" s="209">
        <f>Q626+S626+U626+W626+Y626+AA626+AC626+AE626+AG626+AI626+AK626+AM626+AO626+AQ626+AS626+AU626+AW626+AY626+BA626+BC626+BE626+BG626+BI626+BK626+BM626+BO626+BQ626+BS626+BU626+BW626+BY626+CA626+CC626+CE626+CG626+CI626+CK626+CM626+CO626+CQ626</f>
        <v>432</v>
      </c>
      <c r="CT626" s="209">
        <f>R626+T626+V626+X626+Z626+AB626+AD626+AF626+AH626+AJ626+AL626+AN626+AP626+AR626+AT626+AV626+AX626+AZ626+BB626+BD626+BF626+BH626+BJ626+BL626+BN626+BP626+BR626+BT626+BV626+BX626+BZ626+CB626+CD626+CF626+CH626+CJ626+CL626+CN626+CP626+CR626</f>
        <v>0</v>
      </c>
      <c r="CU626" s="206" t="s">
        <v>2057</v>
      </c>
      <c r="DA626" s="152">
        <f t="shared" si="650"/>
        <v>432</v>
      </c>
      <c r="DB626" s="152" t="str">
        <f t="shared" si="651"/>
        <v>0</v>
      </c>
      <c r="DD626" s="158" t="s">
        <v>2243</v>
      </c>
      <c r="DE626" s="156" t="s">
        <v>2042</v>
      </c>
      <c r="DF626" s="253" t="s">
        <v>2371</v>
      </c>
      <c r="DG626" s="186" t="s">
        <v>2372</v>
      </c>
      <c r="DH626" s="156" t="s">
        <v>477</v>
      </c>
      <c r="DI626" s="187">
        <v>45982</v>
      </c>
      <c r="DJ626" s="717">
        <v>432</v>
      </c>
      <c r="DK626" s="240" t="s">
        <v>477</v>
      </c>
      <c r="DL626" s="189">
        <v>710</v>
      </c>
      <c r="DM626" s="181">
        <f t="shared" si="647"/>
        <v>331257.60000000003</v>
      </c>
      <c r="DN626" s="446">
        <v>0.08</v>
      </c>
      <c r="DO626" s="160">
        <f t="shared" si="648"/>
        <v>306720</v>
      </c>
      <c r="DP626" s="159">
        <v>45982</v>
      </c>
      <c r="DQ626" s="152">
        <f>SUMIF($I:$I,I626,$DJ:$DJ)</f>
        <v>432</v>
      </c>
      <c r="DR626" s="152">
        <f>SUMIF($I:$I,I626,$DK:$DK)</f>
        <v>0</v>
      </c>
      <c r="EO626" s="152">
        <f>SUMIF($I:$I,I626,$EC:$EC)</f>
        <v>0</v>
      </c>
      <c r="EP626" s="151">
        <f>SUMIF($I:$I,I626,$ED:$ED)</f>
        <v>0</v>
      </c>
      <c r="EQ626" s="153"/>
      <c r="ER626" s="153"/>
      <c r="ES626" s="153"/>
      <c r="ET626" s="153"/>
      <c r="EU626" s="152">
        <f t="shared" si="652"/>
        <v>432</v>
      </c>
      <c r="EV626" s="152">
        <f t="shared" si="653"/>
        <v>0</v>
      </c>
      <c r="EW626" s="152">
        <f t="shared" si="654"/>
        <v>0</v>
      </c>
      <c r="EX626" s="152">
        <f t="shared" si="655"/>
        <v>0</v>
      </c>
      <c r="EY626" s="151" t="str">
        <f t="shared" si="656"/>
        <v>Đủ</v>
      </c>
    </row>
    <row r="627" spans="1:155" s="264" customFormat="1" ht="14" hidden="1" customHeight="1">
      <c r="A627" s="208" t="str">
        <f t="shared" si="573"/>
        <v>Hiện</v>
      </c>
      <c r="B627" s="154" t="str">
        <f t="shared" si="638"/>
        <v>Đủ</v>
      </c>
      <c r="C627" s="154">
        <f t="shared" si="639"/>
        <v>0</v>
      </c>
      <c r="D627" s="154"/>
      <c r="E627" s="154"/>
      <c r="F627" s="344"/>
      <c r="G627" s="154"/>
      <c r="I627" s="164" t="s">
        <v>1805</v>
      </c>
      <c r="J627" s="164" t="s">
        <v>863</v>
      </c>
      <c r="K627" s="171" t="s">
        <v>1806</v>
      </c>
      <c r="L627" s="247"/>
      <c r="M627" s="163" t="s">
        <v>1074</v>
      </c>
      <c r="N627" s="248"/>
      <c r="O627" s="229">
        <v>264</v>
      </c>
      <c r="P627" s="172"/>
      <c r="Q627" s="266"/>
      <c r="BG627" s="162"/>
      <c r="BH627" s="162"/>
      <c r="BI627" s="162"/>
      <c r="BJ627" s="162"/>
      <c r="BK627" s="162"/>
      <c r="BL627" s="162"/>
      <c r="BM627" s="162"/>
      <c r="BN627" s="162"/>
      <c r="BO627" s="162"/>
      <c r="BP627" s="162"/>
      <c r="BQ627" s="162">
        <v>264</v>
      </c>
      <c r="BR627" s="162">
        <v>0</v>
      </c>
      <c r="BS627" s="162">
        <v>0</v>
      </c>
      <c r="BT627" s="162">
        <v>0</v>
      </c>
      <c r="BU627" s="162">
        <v>0</v>
      </c>
      <c r="BV627" s="162">
        <v>0</v>
      </c>
      <c r="BW627" s="162"/>
      <c r="BX627" s="162"/>
      <c r="BY627" s="162">
        <v>0</v>
      </c>
      <c r="BZ627" s="162">
        <v>0</v>
      </c>
      <c r="CA627" s="162">
        <v>8</v>
      </c>
      <c r="CB627" s="162">
        <v>0</v>
      </c>
      <c r="CC627" s="162">
        <v>0</v>
      </c>
      <c r="CD627" s="162">
        <v>0</v>
      </c>
      <c r="CE627" s="162">
        <f>VLOOKUP(I627,[120]REV33!$A:$O,11,0)</f>
        <v>0</v>
      </c>
      <c r="CF627" s="162">
        <f>VLOOKUP(I627,[120]REV33!$A:$O,12,0)</f>
        <v>0</v>
      </c>
      <c r="CG627" s="162"/>
      <c r="CH627" s="162"/>
      <c r="CI627" s="162"/>
      <c r="CJ627" s="162"/>
      <c r="CK627" s="162"/>
      <c r="CL627" s="162"/>
      <c r="CM627" s="162"/>
      <c r="CN627" s="162"/>
      <c r="CO627" s="162">
        <v>0</v>
      </c>
      <c r="CP627" s="162">
        <v>0</v>
      </c>
      <c r="CQ627" s="162">
        <v>0</v>
      </c>
      <c r="CR627" s="162">
        <v>0</v>
      </c>
      <c r="CS627" s="209">
        <f>Q627+S627+U627+W627+Y627+AA627+AC627+AE627+AG627+AI627+AK627+AM627+AO627+AQ627+AS627+AU627+AW627+AY627+BA627+BC627+BE627+BG627+BI627+BK627+BM627+BO627+BQ627+BS627+BU627+BW627+BY627+CA627+CC627+CE627+CG627+CI627+CK627+CM627+CO627+CQ627</f>
        <v>272</v>
      </c>
      <c r="CT627" s="209">
        <f>R627+T627+V627+X627+Z627+AB627+AD627+AF627+AH627+AJ627+AL627+AN627+AP627+AR627+AT627+AV627+AX627+AZ627+BB627+BD627+BF627+BH627+BJ627+BL627+BN627+BP627+BR627+BT627+BV627+BX627+BZ627+CB627+CD627+CF627+CH627+CJ627+CL627+CN627+CP627+CR627</f>
        <v>0</v>
      </c>
      <c r="CU627" s="763" t="s">
        <v>2326</v>
      </c>
      <c r="DA627" s="152">
        <f t="shared" si="650"/>
        <v>272</v>
      </c>
      <c r="DB627" s="152" t="str">
        <f t="shared" si="651"/>
        <v>0</v>
      </c>
      <c r="DD627" s="158" t="s">
        <v>2243</v>
      </c>
      <c r="DE627" s="156" t="s">
        <v>2042</v>
      </c>
      <c r="DF627" s="253" t="s">
        <v>2367</v>
      </c>
      <c r="DG627" s="186" t="s">
        <v>2368</v>
      </c>
      <c r="DH627" s="156" t="s">
        <v>477</v>
      </c>
      <c r="DI627" s="187">
        <v>45982</v>
      </c>
      <c r="DJ627" s="717">
        <v>264</v>
      </c>
      <c r="DK627" s="240" t="s">
        <v>477</v>
      </c>
      <c r="DL627" s="189">
        <v>2940</v>
      </c>
      <c r="DM627" s="181">
        <f t="shared" si="647"/>
        <v>838252.8</v>
      </c>
      <c r="DN627" s="446">
        <v>0.08</v>
      </c>
      <c r="DO627" s="160">
        <f t="shared" si="648"/>
        <v>776160</v>
      </c>
      <c r="DP627" s="988">
        <v>45982</v>
      </c>
      <c r="DQ627" s="152">
        <f>SUMIF($I:$I,I627,$DJ:$DJ)</f>
        <v>272</v>
      </c>
      <c r="DR627" s="152">
        <f>SUMIF($I:$I,I627,$DK:$DK)</f>
        <v>0</v>
      </c>
      <c r="EO627" s="152">
        <f>SUMIF($I:$I,I627,$EC:$EC)</f>
        <v>0</v>
      </c>
      <c r="EP627" s="151">
        <f>SUMIF($I:$I,I627,$ED:$ED)</f>
        <v>0</v>
      </c>
      <c r="EQ627" s="153"/>
      <c r="ER627" s="153"/>
      <c r="ES627" s="153"/>
      <c r="ET627" s="153"/>
      <c r="EU627" s="152">
        <f t="shared" si="652"/>
        <v>272</v>
      </c>
      <c r="EV627" s="152">
        <f t="shared" si="653"/>
        <v>0</v>
      </c>
      <c r="EW627" s="152">
        <f t="shared" si="654"/>
        <v>0</v>
      </c>
      <c r="EX627" s="152">
        <f t="shared" si="655"/>
        <v>0</v>
      </c>
      <c r="EY627" s="151" t="str">
        <f t="shared" si="656"/>
        <v>Đủ</v>
      </c>
    </row>
    <row r="628" spans="1:155" s="264" customFormat="1" ht="14" hidden="1" customHeight="1">
      <c r="A628" s="208" t="str">
        <f t="shared" si="573"/>
        <v>ok</v>
      </c>
      <c r="B628" s="154"/>
      <c r="C628" s="154"/>
      <c r="D628" s="154"/>
      <c r="E628" s="154"/>
      <c r="F628" s="344"/>
      <c r="G628" s="154"/>
      <c r="I628" s="164" t="s">
        <v>1805</v>
      </c>
      <c r="J628" s="164" t="s">
        <v>863</v>
      </c>
      <c r="K628" s="171" t="s">
        <v>1806</v>
      </c>
      <c r="L628" s="247"/>
      <c r="M628" s="163" t="s">
        <v>1074</v>
      </c>
      <c r="N628" s="248"/>
      <c r="O628" s="229"/>
      <c r="P628" s="172"/>
      <c r="Q628" s="266"/>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209"/>
      <c r="CT628" s="209"/>
      <c r="CU628" s="763"/>
      <c r="DA628" s="152"/>
      <c r="DB628" s="152"/>
      <c r="DD628" s="158" t="s">
        <v>2579</v>
      </c>
      <c r="DE628" s="156" t="s">
        <v>2042</v>
      </c>
      <c r="DF628" s="986" t="s">
        <v>2005</v>
      </c>
      <c r="DG628" s="186"/>
      <c r="DH628" s="240" t="s">
        <v>477</v>
      </c>
      <c r="DI628" s="187" t="s">
        <v>374</v>
      </c>
      <c r="DJ628" s="717">
        <v>8</v>
      </c>
      <c r="DK628" s="240" t="s">
        <v>477</v>
      </c>
      <c r="DL628" s="189">
        <v>2940</v>
      </c>
      <c r="DM628" s="181">
        <f>DL628*DJ628*1.08</f>
        <v>25401.600000000002</v>
      </c>
      <c r="DN628" s="446">
        <f t="shared" ref="DN628" si="657">(DM628-DO628)/DO628</f>
        <v>8.0000000000000099E-2</v>
      </c>
      <c r="DO628" s="160">
        <f>DL628*DJ628</f>
        <v>23520</v>
      </c>
      <c r="DP628" s="988">
        <v>46006</v>
      </c>
      <c r="DQ628" s="152"/>
      <c r="DR628" s="152"/>
      <c r="EO628" s="152"/>
      <c r="EP628" s="151"/>
      <c r="EQ628" s="153"/>
      <c r="ER628" s="153"/>
      <c r="ES628" s="153"/>
      <c r="ET628" s="153"/>
      <c r="EU628" s="152"/>
      <c r="EV628" s="152"/>
      <c r="EW628" s="152"/>
      <c r="EX628" s="152"/>
      <c r="EY628" s="151"/>
    </row>
    <row r="629" spans="1:155" s="264" customFormat="1" ht="14" hidden="1" customHeight="1">
      <c r="A629" s="208" t="str">
        <f>IF(I629=I627,"ok","Hiện")</f>
        <v>Hiện</v>
      </c>
      <c r="B629" s="154" t="str">
        <f t="shared" si="638"/>
        <v>Đủ</v>
      </c>
      <c r="C629" s="154">
        <f t="shared" si="639"/>
        <v>0</v>
      </c>
      <c r="D629" s="154"/>
      <c r="E629" s="154"/>
      <c r="F629" s="344"/>
      <c r="I629" s="164" t="s">
        <v>1807</v>
      </c>
      <c r="J629" s="164" t="s">
        <v>863</v>
      </c>
      <c r="K629" s="171" t="s">
        <v>1808</v>
      </c>
      <c r="L629" s="247"/>
      <c r="M629" s="163" t="s">
        <v>1074</v>
      </c>
      <c r="N629" s="248"/>
      <c r="O629" s="229">
        <v>112</v>
      </c>
      <c r="P629" s="172"/>
      <c r="Q629" s="266"/>
      <c r="BG629" s="162"/>
      <c r="BH629" s="162"/>
      <c r="BI629" s="162"/>
      <c r="BJ629" s="162"/>
      <c r="BK629" s="162"/>
      <c r="BL629" s="162"/>
      <c r="BM629" s="162"/>
      <c r="BN629" s="162"/>
      <c r="BO629" s="162"/>
      <c r="BP629" s="162"/>
      <c r="BQ629" s="162">
        <v>112</v>
      </c>
      <c r="BR629" s="162">
        <v>0</v>
      </c>
      <c r="BS629" s="162">
        <v>0</v>
      </c>
      <c r="BT629" s="162">
        <v>0</v>
      </c>
      <c r="BU629" s="162">
        <v>0</v>
      </c>
      <c r="BV629" s="162">
        <v>0</v>
      </c>
      <c r="BW629" s="162"/>
      <c r="BX629" s="162"/>
      <c r="BY629" s="162">
        <v>0</v>
      </c>
      <c r="BZ629" s="162">
        <v>0</v>
      </c>
      <c r="CA629" s="162">
        <v>0</v>
      </c>
      <c r="CB629" s="162">
        <v>0</v>
      </c>
      <c r="CC629" s="162">
        <v>0</v>
      </c>
      <c r="CD629" s="162">
        <v>0</v>
      </c>
      <c r="CE629" s="162">
        <f>VLOOKUP(I629,[120]REV33!$A:$O,11,0)</f>
        <v>0</v>
      </c>
      <c r="CF629" s="162">
        <f>VLOOKUP(I629,[120]REV33!$A:$O,12,0)</f>
        <v>0</v>
      </c>
      <c r="CG629" s="162"/>
      <c r="CH629" s="162"/>
      <c r="CI629" s="162"/>
      <c r="CJ629" s="162"/>
      <c r="CK629" s="162"/>
      <c r="CL629" s="162"/>
      <c r="CM629" s="162"/>
      <c r="CN629" s="162"/>
      <c r="CO629" s="162">
        <v>0</v>
      </c>
      <c r="CP629" s="162">
        <v>0</v>
      </c>
      <c r="CQ629" s="162">
        <v>0</v>
      </c>
      <c r="CR629" s="162">
        <v>0</v>
      </c>
      <c r="CS629" s="209">
        <f>Q629+S629+U629+W629+Y629+AA629+AC629+AE629+AG629+AI629+AK629+AM629+AO629+AQ629+AS629+AU629+AW629+AY629+BA629+BC629+BE629+BG629+BI629+BK629+BM629+BO629+BQ629+BS629+BU629+BW629+BY629+CA629+CC629+CE629+CG629+CI629+CK629+CM629+CO629+CQ629</f>
        <v>112</v>
      </c>
      <c r="CT629" s="209">
        <f>R629+T629+V629+X629+Z629+AB629+AD629+AF629+AH629+AJ629+AL629+AN629+AP629+AR629+AT629+AV629+AX629+AZ629+BB629+BD629+BF629+BH629+BJ629+BL629+BN629+BP629+BR629+BT629+BV629+BX629+BZ629+CB629+CD629+CF629+CH629+CJ629+CL629+CN629+CP629+CR629</f>
        <v>0</v>
      </c>
      <c r="CU629" s="206" t="s">
        <v>2057</v>
      </c>
      <c r="DA629" s="152">
        <f t="shared" ref="DA629:DA639" si="658">IF(CS629&gt;CW629,CS629-CW629,"0")</f>
        <v>112</v>
      </c>
      <c r="DB629" s="152" t="str">
        <f t="shared" ref="DB629:DB639" si="659">IF(CT629&gt;CX629,CT629-CX629,"0")</f>
        <v>0</v>
      </c>
      <c r="DD629" s="158" t="s">
        <v>2243</v>
      </c>
      <c r="DE629" s="156" t="s">
        <v>2042</v>
      </c>
      <c r="DF629" s="253" t="s">
        <v>2391</v>
      </c>
      <c r="DG629" s="186" t="s">
        <v>2392</v>
      </c>
      <c r="DH629" s="156" t="s">
        <v>477</v>
      </c>
      <c r="DI629" s="187">
        <v>45982</v>
      </c>
      <c r="DJ629" s="717">
        <v>112</v>
      </c>
      <c r="DK629" s="240" t="s">
        <v>477</v>
      </c>
      <c r="DL629" s="189">
        <v>1050</v>
      </c>
      <c r="DM629" s="181">
        <f t="shared" si="647"/>
        <v>127008.00000000001</v>
      </c>
      <c r="DN629" s="446">
        <v>0.08</v>
      </c>
      <c r="DO629" s="160">
        <f t="shared" si="648"/>
        <v>117600</v>
      </c>
      <c r="DP629" s="159">
        <v>45982</v>
      </c>
      <c r="DQ629" s="152">
        <f>SUMIF($I:$I,I629,$DJ:$DJ)</f>
        <v>112</v>
      </c>
      <c r="DR629" s="152">
        <f>SUMIF($I:$I,I629,$DK:$DK)</f>
        <v>0</v>
      </c>
      <c r="EO629" s="152">
        <f>SUMIF($I:$I,I629,$EC:$EC)</f>
        <v>0</v>
      </c>
      <c r="EP629" s="151">
        <f>SUMIF($I:$I,I629,$ED:$ED)</f>
        <v>0</v>
      </c>
      <c r="EQ629" s="153"/>
      <c r="ER629" s="153"/>
      <c r="ES629" s="153"/>
      <c r="ET629" s="153"/>
      <c r="EU629" s="152">
        <f t="shared" ref="EU629:EU639" si="660">DQ629+EO629</f>
        <v>112</v>
      </c>
      <c r="EV629" s="152">
        <f t="shared" ref="EV629:EV639" si="661">DR629+EP629</f>
        <v>0</v>
      </c>
      <c r="EW629" s="152">
        <f t="shared" ref="EW629:EW639" si="662">DA629-EU629</f>
        <v>0</v>
      </c>
      <c r="EX629" s="152">
        <f t="shared" ref="EX629:EX639" si="663">DB629-EV629</f>
        <v>0</v>
      </c>
      <c r="EY629" s="151" t="str">
        <f t="shared" ref="EY629:EY639" si="664">IF(EW629&lt;0,"Thừa",IF(EW629=0,"Đủ","Thiếu"))</f>
        <v>Đủ</v>
      </c>
    </row>
    <row r="630" spans="1:155" s="264" customFormat="1" ht="14" hidden="1" customHeight="1">
      <c r="A630" s="208" t="str">
        <f t="shared" si="573"/>
        <v>Hiện</v>
      </c>
      <c r="B630" s="154" t="str">
        <f t="shared" si="638"/>
        <v>Đủ</v>
      </c>
      <c r="C630" s="154">
        <f t="shared" si="639"/>
        <v>0</v>
      </c>
      <c r="D630" s="154"/>
      <c r="E630" s="154"/>
      <c r="F630" s="344"/>
      <c r="I630" s="164" t="s">
        <v>1809</v>
      </c>
      <c r="J630" s="164" t="s">
        <v>863</v>
      </c>
      <c r="K630" s="171" t="s">
        <v>1810</v>
      </c>
      <c r="L630" s="247"/>
      <c r="M630" s="163" t="s">
        <v>1074</v>
      </c>
      <c r="N630" s="248"/>
      <c r="O630" s="229">
        <v>192</v>
      </c>
      <c r="P630" s="172"/>
      <c r="Q630" s="266"/>
      <c r="BG630" s="162"/>
      <c r="BH630" s="162"/>
      <c r="BI630" s="162"/>
      <c r="BJ630" s="162"/>
      <c r="BK630" s="162"/>
      <c r="BL630" s="162"/>
      <c r="BM630" s="162"/>
      <c r="BN630" s="162"/>
      <c r="BO630" s="162"/>
      <c r="BP630" s="162"/>
      <c r="BQ630" s="162">
        <v>192</v>
      </c>
      <c r="BR630" s="162">
        <v>0</v>
      </c>
      <c r="BS630" s="162">
        <v>0</v>
      </c>
      <c r="BT630" s="162">
        <v>0</v>
      </c>
      <c r="BU630" s="162">
        <v>0</v>
      </c>
      <c r="BV630" s="162">
        <v>0</v>
      </c>
      <c r="BW630" s="162"/>
      <c r="BX630" s="162"/>
      <c r="BY630" s="162">
        <v>0</v>
      </c>
      <c r="BZ630" s="162">
        <v>0</v>
      </c>
      <c r="CA630" s="162">
        <v>0</v>
      </c>
      <c r="CB630" s="162">
        <v>0</v>
      </c>
      <c r="CC630" s="162">
        <v>0</v>
      </c>
      <c r="CD630" s="162">
        <v>0</v>
      </c>
      <c r="CE630" s="162">
        <f>VLOOKUP(I630,[120]REV33!$A:$O,11,0)</f>
        <v>0</v>
      </c>
      <c r="CF630" s="162">
        <f>VLOOKUP(I630,[120]REV33!$A:$O,12,0)</f>
        <v>0</v>
      </c>
      <c r="CG630" s="162"/>
      <c r="CH630" s="162"/>
      <c r="CI630" s="162"/>
      <c r="CJ630" s="162"/>
      <c r="CK630" s="162"/>
      <c r="CL630" s="162"/>
      <c r="CM630" s="162"/>
      <c r="CN630" s="162"/>
      <c r="CO630" s="162">
        <v>0</v>
      </c>
      <c r="CP630" s="162">
        <v>0</v>
      </c>
      <c r="CQ630" s="162">
        <v>0</v>
      </c>
      <c r="CR630" s="162">
        <v>0</v>
      </c>
      <c r="CS630" s="209">
        <f>Q630+S630+U630+W630+Y630+AA630+AC630+AE630+AG630+AI630+AK630+AM630+AO630+AQ630+AS630+AU630+AW630+AY630+BA630+BC630+BE630+BG630+BI630+BK630+BM630+BO630+BQ630+BS630+BU630+BW630+BY630+CA630+CC630+CE630+CG630+CI630+CK630+CM630+CO630+CQ630</f>
        <v>192</v>
      </c>
      <c r="CT630" s="209">
        <f>R630+T630+V630+X630+Z630+AB630+AD630+AF630+AH630+AJ630+AL630+AN630+AP630+AR630+AT630+AV630+AX630+AZ630+BB630+BD630+BF630+BH630+BJ630+BL630+BN630+BP630+BR630+BT630+BV630+BX630+BZ630+CB630+CD630+CF630+CH630+CJ630+CL630+CN630+CP630+CR630</f>
        <v>0</v>
      </c>
      <c r="CU630" s="206" t="s">
        <v>1894</v>
      </c>
      <c r="DA630" s="152">
        <f t="shared" si="658"/>
        <v>192</v>
      </c>
      <c r="DB630" s="152" t="str">
        <f t="shared" si="659"/>
        <v>0</v>
      </c>
      <c r="DD630" s="158" t="s">
        <v>2243</v>
      </c>
      <c r="DE630" s="156" t="s">
        <v>2042</v>
      </c>
      <c r="DF630" s="253" t="s">
        <v>2369</v>
      </c>
      <c r="DG630" s="186" t="s">
        <v>2370</v>
      </c>
      <c r="DH630" s="156" t="s">
        <v>477</v>
      </c>
      <c r="DI630" s="187">
        <v>45982</v>
      </c>
      <c r="DJ630" s="717">
        <v>192</v>
      </c>
      <c r="DK630" s="240" t="s">
        <v>477</v>
      </c>
      <c r="DL630" s="189">
        <v>4900</v>
      </c>
      <c r="DM630" s="181">
        <f t="shared" si="647"/>
        <v>1016064.0000000001</v>
      </c>
      <c r="DN630" s="446">
        <v>0.08</v>
      </c>
      <c r="DO630" s="160">
        <f t="shared" si="648"/>
        <v>940800</v>
      </c>
      <c r="DP630" s="159">
        <v>45982</v>
      </c>
      <c r="DQ630" s="152">
        <f>SUMIF($I:$I,I630,$DJ:$DJ)</f>
        <v>192</v>
      </c>
      <c r="DR630" s="152">
        <f>SUMIF($I:$I,I630,$DK:$DK)</f>
        <v>0</v>
      </c>
      <c r="EO630" s="152">
        <f>SUMIF($I:$I,I630,$EC:$EC)</f>
        <v>0</v>
      </c>
      <c r="EP630" s="151">
        <f>SUMIF($I:$I,I630,$ED:$ED)</f>
        <v>0</v>
      </c>
      <c r="EQ630" s="153"/>
      <c r="ER630" s="153"/>
      <c r="ES630" s="153"/>
      <c r="ET630" s="153"/>
      <c r="EU630" s="152">
        <f t="shared" si="660"/>
        <v>192</v>
      </c>
      <c r="EV630" s="152">
        <f t="shared" si="661"/>
        <v>0</v>
      </c>
      <c r="EW630" s="152">
        <f t="shared" si="662"/>
        <v>0</v>
      </c>
      <c r="EX630" s="152">
        <f t="shared" si="663"/>
        <v>0</v>
      </c>
      <c r="EY630" s="151" t="str">
        <f t="shared" si="664"/>
        <v>Đủ</v>
      </c>
    </row>
    <row r="631" spans="1:155" s="264" customFormat="1" ht="14" hidden="1" customHeight="1">
      <c r="A631" s="208" t="str">
        <f t="shared" si="573"/>
        <v>Hiện</v>
      </c>
      <c r="B631" s="154" t="str">
        <f t="shared" si="638"/>
        <v>Đủ</v>
      </c>
      <c r="C631" s="154">
        <f t="shared" si="639"/>
        <v>0</v>
      </c>
      <c r="D631" s="154"/>
      <c r="E631" s="154"/>
      <c r="F631" s="344"/>
      <c r="I631" s="164" t="s">
        <v>1811</v>
      </c>
      <c r="J631" s="164" t="s">
        <v>863</v>
      </c>
      <c r="K631" s="171" t="s">
        <v>1812</v>
      </c>
      <c r="L631" s="247"/>
      <c r="M631" s="163" t="s">
        <v>1074</v>
      </c>
      <c r="N631" s="248"/>
      <c r="O631" s="229">
        <v>72</v>
      </c>
      <c r="P631" s="172"/>
      <c r="Q631" s="266"/>
      <c r="BG631" s="162"/>
      <c r="BH631" s="162"/>
      <c r="BI631" s="162"/>
      <c r="BJ631" s="162"/>
      <c r="BK631" s="162"/>
      <c r="BL631" s="162"/>
      <c r="BM631" s="162"/>
      <c r="BN631" s="162"/>
      <c r="BO631" s="162"/>
      <c r="BP631" s="162"/>
      <c r="BQ631" s="162">
        <v>72</v>
      </c>
      <c r="BR631" s="162">
        <v>0</v>
      </c>
      <c r="BS631" s="162">
        <v>0</v>
      </c>
      <c r="BT631" s="162">
        <v>0</v>
      </c>
      <c r="BU631" s="162">
        <v>0</v>
      </c>
      <c r="BV631" s="162">
        <v>0</v>
      </c>
      <c r="BW631" s="162"/>
      <c r="BX631" s="162"/>
      <c r="BY631" s="162">
        <v>0</v>
      </c>
      <c r="BZ631" s="162">
        <v>0</v>
      </c>
      <c r="CA631" s="162">
        <v>0</v>
      </c>
      <c r="CB631" s="162">
        <v>0</v>
      </c>
      <c r="CC631" s="162">
        <v>0</v>
      </c>
      <c r="CD631" s="162">
        <v>0</v>
      </c>
      <c r="CE631" s="162">
        <f>VLOOKUP(I631,[120]REV33!$A:$O,11,0)</f>
        <v>0</v>
      </c>
      <c r="CF631" s="162">
        <f>VLOOKUP(I631,[120]REV33!$A:$O,12,0)</f>
        <v>0</v>
      </c>
      <c r="CG631" s="162"/>
      <c r="CH631" s="162"/>
      <c r="CI631" s="162"/>
      <c r="CJ631" s="162"/>
      <c r="CK631" s="162"/>
      <c r="CL631" s="162"/>
      <c r="CM631" s="162"/>
      <c r="CN631" s="162"/>
      <c r="CO631" s="162">
        <v>0</v>
      </c>
      <c r="CP631" s="162">
        <v>0</v>
      </c>
      <c r="CQ631" s="162">
        <v>0</v>
      </c>
      <c r="CR631" s="162">
        <v>0</v>
      </c>
      <c r="CS631" s="209">
        <f>Q631+S631+U631+W631+Y631+AA631+AC631+AE631+AG631+AI631+AK631+AM631+AO631+AQ631+AS631+AU631+AW631+AY631+BA631+BC631+BE631+BG631+BI631+BK631+BM631+BO631+BQ631+BS631+BU631+BW631+BY631+CA631+CC631+CE631+CG631+CI631+CK631+CM631+CO631+CQ631</f>
        <v>72</v>
      </c>
      <c r="CT631" s="209">
        <f>R631+T631+V631+X631+Z631+AB631+AD631+AF631+AH631+AJ631+AL631+AN631+AP631+AR631+AT631+AV631+AX631+AZ631+BB631+BD631+BF631+BH631+BJ631+BL631+BN631+BP631+BR631+BT631+BV631+BX631+BZ631+CB631+CD631+CF631+CH631+CJ631+CL631+CN631+CP631+CR631</f>
        <v>0</v>
      </c>
      <c r="CU631" s="206" t="s">
        <v>1894</v>
      </c>
      <c r="DA631" s="152">
        <f t="shared" si="658"/>
        <v>72</v>
      </c>
      <c r="DB631" s="152" t="str">
        <f t="shared" si="659"/>
        <v>0</v>
      </c>
      <c r="DD631" s="158" t="s">
        <v>2243</v>
      </c>
      <c r="DE631" s="156" t="s">
        <v>2042</v>
      </c>
      <c r="DF631" s="253" t="s">
        <v>2393</v>
      </c>
      <c r="DG631" s="186" t="s">
        <v>2394</v>
      </c>
      <c r="DH631" s="156" t="s">
        <v>477</v>
      </c>
      <c r="DI631" s="187">
        <v>45982</v>
      </c>
      <c r="DJ631" s="717">
        <v>72</v>
      </c>
      <c r="DK631" s="240" t="s">
        <v>477</v>
      </c>
      <c r="DL631" s="189">
        <v>9700</v>
      </c>
      <c r="DM631" s="181">
        <f t="shared" si="647"/>
        <v>754272</v>
      </c>
      <c r="DN631" s="446">
        <v>0.08</v>
      </c>
      <c r="DO631" s="160">
        <f t="shared" si="648"/>
        <v>698400</v>
      </c>
      <c r="DP631" s="159">
        <v>45982</v>
      </c>
      <c r="DQ631" s="152">
        <f>SUMIF($I:$I,I631,$DJ:$DJ)</f>
        <v>72</v>
      </c>
      <c r="DR631" s="152">
        <f>SUMIF($I:$I,I631,$DK:$DK)</f>
        <v>0</v>
      </c>
      <c r="EO631" s="152">
        <f>SUMIF($I:$I,I631,$EC:$EC)</f>
        <v>0</v>
      </c>
      <c r="EP631" s="151">
        <f>SUMIF($I:$I,I631,$ED:$ED)</f>
        <v>0</v>
      </c>
      <c r="EQ631" s="153"/>
      <c r="ER631" s="153"/>
      <c r="ES631" s="153"/>
      <c r="ET631" s="153"/>
      <c r="EU631" s="152">
        <f t="shared" si="660"/>
        <v>72</v>
      </c>
      <c r="EV631" s="152">
        <f t="shared" si="661"/>
        <v>0</v>
      </c>
      <c r="EW631" s="152">
        <f t="shared" si="662"/>
        <v>0</v>
      </c>
      <c r="EX631" s="152">
        <f t="shared" si="663"/>
        <v>0</v>
      </c>
      <c r="EY631" s="151" t="str">
        <f t="shared" si="664"/>
        <v>Đủ</v>
      </c>
    </row>
    <row r="632" spans="1:155" s="264" customFormat="1" ht="14" hidden="1" customHeight="1">
      <c r="A632" s="208" t="str">
        <f t="shared" si="573"/>
        <v>Hiện</v>
      </c>
      <c r="B632" s="154" t="str">
        <f t="shared" si="638"/>
        <v>Đủ</v>
      </c>
      <c r="C632" s="154">
        <f t="shared" si="639"/>
        <v>0</v>
      </c>
      <c r="D632" s="154"/>
      <c r="E632" s="154"/>
      <c r="F632" s="344"/>
      <c r="I632" s="164" t="s">
        <v>1813</v>
      </c>
      <c r="J632" s="164" t="s">
        <v>863</v>
      </c>
      <c r="K632" s="171" t="s">
        <v>1814</v>
      </c>
      <c r="L632" s="247"/>
      <c r="M632" s="163" t="s">
        <v>1074</v>
      </c>
      <c r="N632" s="248"/>
      <c r="O632" s="229">
        <v>96</v>
      </c>
      <c r="P632" s="172"/>
      <c r="Q632" s="266"/>
      <c r="BG632" s="162"/>
      <c r="BH632" s="162"/>
      <c r="BI632" s="162"/>
      <c r="BJ632" s="162"/>
      <c r="BK632" s="162"/>
      <c r="BL632" s="162"/>
      <c r="BM632" s="162"/>
      <c r="BN632" s="162"/>
      <c r="BO632" s="162"/>
      <c r="BP632" s="162"/>
      <c r="BQ632" s="162">
        <v>96</v>
      </c>
      <c r="BR632" s="162">
        <v>0</v>
      </c>
      <c r="BS632" s="162">
        <v>0</v>
      </c>
      <c r="BT632" s="162">
        <v>0</v>
      </c>
      <c r="BU632" s="162">
        <v>0</v>
      </c>
      <c r="BV632" s="162">
        <v>0</v>
      </c>
      <c r="BW632" s="162"/>
      <c r="BX632" s="162"/>
      <c r="BY632" s="162">
        <v>0</v>
      </c>
      <c r="BZ632" s="162">
        <v>0</v>
      </c>
      <c r="CA632" s="162">
        <v>0</v>
      </c>
      <c r="CB632" s="162">
        <v>0</v>
      </c>
      <c r="CC632" s="162">
        <v>0</v>
      </c>
      <c r="CD632" s="162">
        <v>0</v>
      </c>
      <c r="CE632" s="162">
        <f>VLOOKUP(I632,[120]REV33!$A:$O,11,0)</f>
        <v>0</v>
      </c>
      <c r="CF632" s="162">
        <f>VLOOKUP(I632,[120]REV33!$A:$O,12,0)</f>
        <v>0</v>
      </c>
      <c r="CG632" s="162"/>
      <c r="CH632" s="162"/>
      <c r="CI632" s="162"/>
      <c r="CJ632" s="162"/>
      <c r="CK632" s="162"/>
      <c r="CL632" s="162"/>
      <c r="CM632" s="162"/>
      <c r="CN632" s="162"/>
      <c r="CO632" s="162">
        <v>0</v>
      </c>
      <c r="CP632" s="162">
        <v>0</v>
      </c>
      <c r="CQ632" s="162">
        <v>0</v>
      </c>
      <c r="CR632" s="162">
        <v>0</v>
      </c>
      <c r="CS632" s="209">
        <f>Q632+S632+U632+W632+Y632+AA632+AC632+AE632+AG632+AI632+AK632+AM632+AO632+AQ632+AS632+AU632+AW632+AY632+BA632+BC632+BE632+BG632+BI632+BK632+BM632+BO632+BQ632+BS632+BU632+BW632+BY632+CA632+CC632+CE632+CG632+CI632+CK632+CM632+CO632+CQ632</f>
        <v>96</v>
      </c>
      <c r="CT632" s="209">
        <f>R632+T632+V632+X632+Z632+AB632+AD632+AF632+AH632+AJ632+AL632+AN632+AP632+AR632+AT632+AV632+AX632+AZ632+BB632+BD632+BF632+BH632+BJ632+BL632+BN632+BP632+BR632+BT632+BV632+BX632+BZ632+CB632+CD632+CF632+CH632+CJ632+CL632+CN632+CP632+CR632</f>
        <v>0</v>
      </c>
      <c r="CU632" s="206" t="s">
        <v>1894</v>
      </c>
      <c r="DA632" s="152">
        <f t="shared" si="658"/>
        <v>96</v>
      </c>
      <c r="DB632" s="152" t="str">
        <f t="shared" si="659"/>
        <v>0</v>
      </c>
      <c r="DD632" s="158" t="s">
        <v>2243</v>
      </c>
      <c r="DE632" s="156" t="s">
        <v>2042</v>
      </c>
      <c r="DF632" s="253" t="s">
        <v>2393</v>
      </c>
      <c r="DG632" s="186" t="s">
        <v>2394</v>
      </c>
      <c r="DH632" s="156" t="s">
        <v>477</v>
      </c>
      <c r="DI632" s="187">
        <v>45982</v>
      </c>
      <c r="DJ632" s="717">
        <v>96</v>
      </c>
      <c r="DK632" s="240" t="s">
        <v>477</v>
      </c>
      <c r="DL632" s="189">
        <v>9700</v>
      </c>
      <c r="DM632" s="181">
        <f t="shared" si="647"/>
        <v>1005696.0000000001</v>
      </c>
      <c r="DN632" s="446">
        <v>0.08</v>
      </c>
      <c r="DO632" s="160">
        <f t="shared" si="648"/>
        <v>931200</v>
      </c>
      <c r="DP632" s="159">
        <v>45982</v>
      </c>
      <c r="DQ632" s="152">
        <f>SUMIF($I:$I,I632,$DJ:$DJ)</f>
        <v>96</v>
      </c>
      <c r="DR632" s="152">
        <f>SUMIF($I:$I,I632,$DK:$DK)</f>
        <v>0</v>
      </c>
      <c r="EO632" s="152">
        <f>SUMIF($I:$I,I632,$EC:$EC)</f>
        <v>0</v>
      </c>
      <c r="EP632" s="151">
        <f>SUMIF($I:$I,I632,$ED:$ED)</f>
        <v>0</v>
      </c>
      <c r="EQ632" s="153"/>
      <c r="ER632" s="153"/>
      <c r="ES632" s="153"/>
      <c r="ET632" s="153"/>
      <c r="EU632" s="152">
        <f t="shared" si="660"/>
        <v>96</v>
      </c>
      <c r="EV632" s="152">
        <f t="shared" si="661"/>
        <v>0</v>
      </c>
      <c r="EW632" s="152">
        <f t="shared" si="662"/>
        <v>0</v>
      </c>
      <c r="EX632" s="152">
        <f t="shared" si="663"/>
        <v>0</v>
      </c>
      <c r="EY632" s="151" t="str">
        <f t="shared" si="664"/>
        <v>Đủ</v>
      </c>
    </row>
    <row r="633" spans="1:155" s="264" customFormat="1" ht="14" hidden="1" customHeight="1">
      <c r="A633" s="208" t="str">
        <f t="shared" ref="A633:A665" si="665">IF(I633=I632,"ok","Hiện")</f>
        <v>Hiện</v>
      </c>
      <c r="B633" s="154" t="str">
        <f t="shared" si="638"/>
        <v>Đủ</v>
      </c>
      <c r="C633" s="154">
        <f t="shared" si="639"/>
        <v>0</v>
      </c>
      <c r="D633" s="154"/>
      <c r="E633" s="154"/>
      <c r="F633" s="344"/>
      <c r="I633" s="164" t="s">
        <v>1815</v>
      </c>
      <c r="J633" s="164" t="s">
        <v>863</v>
      </c>
      <c r="K633" s="171" t="s">
        <v>1816</v>
      </c>
      <c r="L633" s="247"/>
      <c r="M633" s="163" t="s">
        <v>1074</v>
      </c>
      <c r="N633" s="248"/>
      <c r="O633" s="229">
        <v>48</v>
      </c>
      <c r="P633" s="172"/>
      <c r="Q633" s="266"/>
      <c r="BG633" s="162"/>
      <c r="BH633" s="162"/>
      <c r="BI633" s="162"/>
      <c r="BJ633" s="162"/>
      <c r="BK633" s="162"/>
      <c r="BL633" s="162"/>
      <c r="BM633" s="162"/>
      <c r="BN633" s="162"/>
      <c r="BO633" s="162"/>
      <c r="BP633" s="162"/>
      <c r="BQ633" s="162">
        <v>48</v>
      </c>
      <c r="BR633" s="162">
        <v>0</v>
      </c>
      <c r="BS633" s="162">
        <v>0</v>
      </c>
      <c r="BT633" s="162">
        <v>0</v>
      </c>
      <c r="BU633" s="162">
        <v>0</v>
      </c>
      <c r="BV633" s="162">
        <v>0</v>
      </c>
      <c r="BW633" s="162"/>
      <c r="BX633" s="162"/>
      <c r="BY633" s="162">
        <v>0</v>
      </c>
      <c r="BZ633" s="162">
        <v>0</v>
      </c>
      <c r="CA633" s="162">
        <v>0</v>
      </c>
      <c r="CB633" s="162">
        <v>0</v>
      </c>
      <c r="CC633" s="162">
        <v>0</v>
      </c>
      <c r="CD633" s="162">
        <v>0</v>
      </c>
      <c r="CE633" s="162">
        <f>VLOOKUP(I633,[120]REV33!$A:$O,11,0)</f>
        <v>0</v>
      </c>
      <c r="CF633" s="162">
        <f>VLOOKUP(I633,[120]REV33!$A:$O,12,0)</f>
        <v>0</v>
      </c>
      <c r="CG633" s="162"/>
      <c r="CH633" s="162"/>
      <c r="CI633" s="162"/>
      <c r="CJ633" s="162"/>
      <c r="CK633" s="162"/>
      <c r="CL633" s="162"/>
      <c r="CM633" s="162"/>
      <c r="CN633" s="162"/>
      <c r="CO633" s="162">
        <v>0</v>
      </c>
      <c r="CP633" s="162">
        <v>0</v>
      </c>
      <c r="CQ633" s="162">
        <v>0</v>
      </c>
      <c r="CR633" s="162">
        <v>0</v>
      </c>
      <c r="CS633" s="209">
        <f>Q633+S633+U633+W633+Y633+AA633+AC633+AE633+AG633+AI633+AK633+AM633+AO633+AQ633+AS633+AU633+AW633+AY633+BA633+BC633+BE633+BG633+BI633+BK633+BM633+BO633+BQ633+BS633+BU633+BW633+BY633+CA633+CC633+CE633+CG633+CI633+CK633+CM633+CO633+CQ633</f>
        <v>48</v>
      </c>
      <c r="CT633" s="209">
        <f>R633+T633+V633+X633+Z633+AB633+AD633+AF633+AH633+AJ633+AL633+AN633+AP633+AR633+AT633+AV633+AX633+AZ633+BB633+BD633+BF633+BH633+BJ633+BL633+BN633+BP633+BR633+BT633+BV633+BX633+BZ633+CB633+CD633+CF633+CH633+CJ633+CL633+CN633+CP633+CR633</f>
        <v>0</v>
      </c>
      <c r="CU633" s="206" t="s">
        <v>1894</v>
      </c>
      <c r="DA633" s="152">
        <f t="shared" si="658"/>
        <v>48</v>
      </c>
      <c r="DB633" s="152" t="str">
        <f t="shared" si="659"/>
        <v>0</v>
      </c>
      <c r="DD633" s="158" t="s">
        <v>2243</v>
      </c>
      <c r="DE633" s="156" t="s">
        <v>2042</v>
      </c>
      <c r="DF633" s="253" t="s">
        <v>2395</v>
      </c>
      <c r="DG633" s="186" t="s">
        <v>2396</v>
      </c>
      <c r="DH633" s="156" t="s">
        <v>477</v>
      </c>
      <c r="DI633" s="187">
        <v>45982</v>
      </c>
      <c r="DJ633" s="717">
        <v>48</v>
      </c>
      <c r="DK633" s="240" t="s">
        <v>477</v>
      </c>
      <c r="DL633" s="189">
        <v>16500</v>
      </c>
      <c r="DM633" s="181">
        <f t="shared" si="647"/>
        <v>855360</v>
      </c>
      <c r="DN633" s="446">
        <v>0.08</v>
      </c>
      <c r="DO633" s="160">
        <f t="shared" si="648"/>
        <v>792000</v>
      </c>
      <c r="DP633" s="159">
        <v>45982</v>
      </c>
      <c r="DQ633" s="152">
        <f>SUMIF($I:$I,I633,$DJ:$DJ)</f>
        <v>48</v>
      </c>
      <c r="DR633" s="152">
        <f>SUMIF($I:$I,I633,$DK:$DK)</f>
        <v>0</v>
      </c>
      <c r="EO633" s="152">
        <f>SUMIF($I:$I,I633,$EC:$EC)</f>
        <v>0</v>
      </c>
      <c r="EP633" s="151">
        <f>SUMIF($I:$I,I633,$ED:$ED)</f>
        <v>0</v>
      </c>
      <c r="EQ633" s="153"/>
      <c r="ER633" s="153"/>
      <c r="ES633" s="153"/>
      <c r="ET633" s="153"/>
      <c r="EU633" s="152">
        <f t="shared" si="660"/>
        <v>48</v>
      </c>
      <c r="EV633" s="152">
        <f t="shared" si="661"/>
        <v>0</v>
      </c>
      <c r="EW633" s="152">
        <f t="shared" si="662"/>
        <v>0</v>
      </c>
      <c r="EX633" s="152">
        <f t="shared" si="663"/>
        <v>0</v>
      </c>
      <c r="EY633" s="151" t="str">
        <f t="shared" si="664"/>
        <v>Đủ</v>
      </c>
    </row>
    <row r="634" spans="1:155" s="264" customFormat="1" ht="14" hidden="1" customHeight="1">
      <c r="A634" s="208" t="str">
        <f t="shared" si="665"/>
        <v>Hiện</v>
      </c>
      <c r="B634" s="154" t="str">
        <f t="shared" si="638"/>
        <v>Đủ</v>
      </c>
      <c r="C634" s="154">
        <f t="shared" si="639"/>
        <v>0</v>
      </c>
      <c r="D634" s="154"/>
      <c r="E634" s="154"/>
      <c r="F634" s="344"/>
      <c r="I634" s="164" t="s">
        <v>1817</v>
      </c>
      <c r="J634" s="164" t="s">
        <v>922</v>
      </c>
      <c r="K634" s="171" t="s">
        <v>1818</v>
      </c>
      <c r="L634" s="247"/>
      <c r="M634" s="163" t="s">
        <v>1074</v>
      </c>
      <c r="N634" s="248"/>
      <c r="O634" s="229">
        <v>240</v>
      </c>
      <c r="P634" s="172"/>
      <c r="Q634" s="266"/>
      <c r="BG634" s="162"/>
      <c r="BH634" s="162"/>
      <c r="BI634" s="162"/>
      <c r="BJ634" s="162"/>
      <c r="BK634" s="162"/>
      <c r="BL634" s="162"/>
      <c r="BM634" s="162"/>
      <c r="BN634" s="162"/>
      <c r="BO634" s="162"/>
      <c r="BP634" s="162"/>
      <c r="BQ634" s="162">
        <v>240</v>
      </c>
      <c r="BR634" s="162">
        <v>0</v>
      </c>
      <c r="BS634" s="162">
        <v>0</v>
      </c>
      <c r="BT634" s="162">
        <v>0</v>
      </c>
      <c r="BU634" s="162">
        <v>0</v>
      </c>
      <c r="BV634" s="162">
        <v>0</v>
      </c>
      <c r="BW634" s="162"/>
      <c r="BX634" s="162"/>
      <c r="BY634" s="162">
        <v>0</v>
      </c>
      <c r="BZ634" s="162">
        <v>0</v>
      </c>
      <c r="CA634" s="162">
        <v>0</v>
      </c>
      <c r="CB634" s="162">
        <v>0</v>
      </c>
      <c r="CC634" s="162">
        <v>0</v>
      </c>
      <c r="CD634" s="162">
        <v>0</v>
      </c>
      <c r="CE634" s="162">
        <f>VLOOKUP(I634,[120]REV33!$A:$O,11,0)</f>
        <v>0</v>
      </c>
      <c r="CF634" s="162">
        <f>VLOOKUP(I634,[120]REV33!$A:$O,12,0)</f>
        <v>0</v>
      </c>
      <c r="CG634" s="162"/>
      <c r="CH634" s="162"/>
      <c r="CI634" s="162"/>
      <c r="CJ634" s="162"/>
      <c r="CK634" s="162"/>
      <c r="CL634" s="162"/>
      <c r="CM634" s="162"/>
      <c r="CN634" s="162"/>
      <c r="CO634" s="162">
        <v>0</v>
      </c>
      <c r="CP634" s="162">
        <v>0</v>
      </c>
      <c r="CQ634" s="162">
        <v>0</v>
      </c>
      <c r="CR634" s="162">
        <v>0</v>
      </c>
      <c r="CS634" s="209">
        <f>Q634+S634+U634+W634+Y634+AA634+AC634+AE634+AG634+AI634+AK634+AM634+AO634+AQ634+AS634+AU634+AW634+AY634+BA634+BC634+BE634+BG634+BI634+BK634+BM634+BO634+BQ634+BS634+BU634+BW634+BY634+CA634+CC634+CE634+CG634+CI634+CK634+CM634+CO634+CQ634</f>
        <v>240</v>
      </c>
      <c r="CT634" s="209">
        <f>R634+T634+V634+X634+Z634+AB634+AD634+AF634+AH634+AJ634+AL634+AN634+AP634+AR634+AT634+AV634+AX634+AZ634+BB634+BD634+BF634+BH634+BJ634+BL634+BN634+BP634+BR634+BT634+BV634+BX634+BZ634+CB634+CD634+CF634+CH634+CJ634+CL634+CN634+CP634+CR634</f>
        <v>0</v>
      </c>
      <c r="CU634" s="206" t="s">
        <v>1894</v>
      </c>
      <c r="DA634" s="152">
        <f t="shared" si="658"/>
        <v>240</v>
      </c>
      <c r="DB634" s="152" t="str">
        <f t="shared" si="659"/>
        <v>0</v>
      </c>
      <c r="DD634" s="158" t="s">
        <v>2243</v>
      </c>
      <c r="DE634" s="156" t="s">
        <v>2042</v>
      </c>
      <c r="DF634" s="253" t="s">
        <v>2397</v>
      </c>
      <c r="DG634" s="186" t="s">
        <v>2398</v>
      </c>
      <c r="DH634" s="156" t="s">
        <v>477</v>
      </c>
      <c r="DI634" s="187">
        <v>45982</v>
      </c>
      <c r="DJ634" s="717">
        <v>240</v>
      </c>
      <c r="DK634" s="240" t="s">
        <v>477</v>
      </c>
      <c r="DL634" s="189">
        <v>440</v>
      </c>
      <c r="DM634" s="181">
        <f t="shared" si="647"/>
        <v>114048.00000000001</v>
      </c>
      <c r="DN634" s="446">
        <v>0.08</v>
      </c>
      <c r="DO634" s="160">
        <f t="shared" si="648"/>
        <v>105600</v>
      </c>
      <c r="DP634" s="159">
        <v>45982</v>
      </c>
      <c r="DQ634" s="152">
        <f>SUMIF($I:$I,I634,$DJ:$DJ)</f>
        <v>240</v>
      </c>
      <c r="DR634" s="152">
        <f>SUMIF($I:$I,I634,$DK:$DK)</f>
        <v>0</v>
      </c>
      <c r="EO634" s="152">
        <f>SUMIF($I:$I,I634,$EC:$EC)</f>
        <v>0</v>
      </c>
      <c r="EP634" s="151">
        <f>SUMIF($I:$I,I634,$ED:$ED)</f>
        <v>0</v>
      </c>
      <c r="EQ634" s="153"/>
      <c r="ER634" s="153"/>
      <c r="ES634" s="153"/>
      <c r="ET634" s="153"/>
      <c r="EU634" s="152">
        <f t="shared" si="660"/>
        <v>240</v>
      </c>
      <c r="EV634" s="152">
        <f t="shared" si="661"/>
        <v>0</v>
      </c>
      <c r="EW634" s="152">
        <f t="shared" si="662"/>
        <v>0</v>
      </c>
      <c r="EX634" s="152">
        <f t="shared" si="663"/>
        <v>0</v>
      </c>
      <c r="EY634" s="151" t="str">
        <f t="shared" si="664"/>
        <v>Đủ</v>
      </c>
    </row>
    <row r="635" spans="1:155" s="264" customFormat="1" ht="14" hidden="1" customHeight="1">
      <c r="A635" s="208" t="str">
        <f t="shared" si="665"/>
        <v>Hiện</v>
      </c>
      <c r="B635" s="154" t="str">
        <f t="shared" si="638"/>
        <v>Đủ</v>
      </c>
      <c r="C635" s="154">
        <f t="shared" si="639"/>
        <v>0</v>
      </c>
      <c r="D635" s="154"/>
      <c r="E635" s="154"/>
      <c r="F635" s="344"/>
      <c r="I635" s="164" t="s">
        <v>1819</v>
      </c>
      <c r="J635" s="164" t="s">
        <v>922</v>
      </c>
      <c r="K635" s="171" t="s">
        <v>1820</v>
      </c>
      <c r="L635" s="247"/>
      <c r="M635" s="163" t="s">
        <v>1074</v>
      </c>
      <c r="N635" s="248"/>
      <c r="O635" s="229">
        <v>1926</v>
      </c>
      <c r="P635" s="172"/>
      <c r="Q635" s="266"/>
      <c r="BG635" s="162"/>
      <c r="BH635" s="162"/>
      <c r="BI635" s="162"/>
      <c r="BJ635" s="162"/>
      <c r="BK635" s="162"/>
      <c r="BL635" s="162"/>
      <c r="BM635" s="162"/>
      <c r="BN635" s="162"/>
      <c r="BO635" s="162"/>
      <c r="BP635" s="162"/>
      <c r="BQ635" s="162">
        <v>1926</v>
      </c>
      <c r="BR635" s="162">
        <v>0</v>
      </c>
      <c r="BS635" s="162">
        <v>0</v>
      </c>
      <c r="BT635" s="162">
        <v>0</v>
      </c>
      <c r="BU635" s="162">
        <v>0</v>
      </c>
      <c r="BV635" s="162">
        <v>0</v>
      </c>
      <c r="BW635" s="162"/>
      <c r="BX635" s="162"/>
      <c r="BY635" s="162">
        <v>0</v>
      </c>
      <c r="BZ635" s="162">
        <v>0</v>
      </c>
      <c r="CA635" s="162">
        <v>0</v>
      </c>
      <c r="CB635" s="162">
        <v>0</v>
      </c>
      <c r="CC635" s="162">
        <v>0</v>
      </c>
      <c r="CD635" s="162">
        <v>0</v>
      </c>
      <c r="CE635" s="162">
        <f>VLOOKUP(I635,[120]REV33!$A:$O,11,0)</f>
        <v>0</v>
      </c>
      <c r="CF635" s="162">
        <f>VLOOKUP(I635,[120]REV33!$A:$O,12,0)</f>
        <v>0</v>
      </c>
      <c r="CG635" s="162"/>
      <c r="CH635" s="162"/>
      <c r="CI635" s="162"/>
      <c r="CJ635" s="162"/>
      <c r="CK635" s="162"/>
      <c r="CL635" s="162"/>
      <c r="CM635" s="162"/>
      <c r="CN635" s="162"/>
      <c r="CO635" s="162">
        <v>0</v>
      </c>
      <c r="CP635" s="162">
        <v>0</v>
      </c>
      <c r="CQ635" s="162">
        <v>0</v>
      </c>
      <c r="CR635" s="162">
        <v>0</v>
      </c>
      <c r="CS635" s="209">
        <f>Q635+S635+U635+W635+Y635+AA635+AC635+AE635+AG635+AI635+AK635+AM635+AO635+AQ635+AS635+AU635+AW635+AY635+BA635+BC635+BE635+BG635+BI635+BK635+BM635+BO635+BQ635+BS635+BU635+BW635+BY635+CA635+CC635+CE635+CG635+CI635+CK635+CM635+CO635+CQ635</f>
        <v>1926</v>
      </c>
      <c r="CT635" s="209">
        <f>R635+T635+V635+X635+Z635+AB635+AD635+AF635+AH635+AJ635+AL635+AN635+AP635+AR635+AT635+AV635+AX635+AZ635+BB635+BD635+BF635+BH635+BJ635+BL635+BN635+BP635+BR635+BT635+BV635+BX635+BZ635+CB635+CD635+CF635+CH635+CJ635+CL635+CN635+CP635+CR635</f>
        <v>0</v>
      </c>
      <c r="CU635" s="206" t="s">
        <v>1894</v>
      </c>
      <c r="DA635" s="152">
        <f t="shared" si="658"/>
        <v>1926</v>
      </c>
      <c r="DB635" s="152" t="str">
        <f t="shared" si="659"/>
        <v>0</v>
      </c>
      <c r="DD635" s="158" t="s">
        <v>2243</v>
      </c>
      <c r="DE635" s="156" t="s">
        <v>2042</v>
      </c>
      <c r="DF635" s="253" t="s">
        <v>2371</v>
      </c>
      <c r="DG635" s="186" t="s">
        <v>2372</v>
      </c>
      <c r="DH635" s="156" t="s">
        <v>477</v>
      </c>
      <c r="DI635" s="187">
        <v>45982</v>
      </c>
      <c r="DJ635" s="717">
        <v>1926</v>
      </c>
      <c r="DK635" s="240" t="s">
        <v>477</v>
      </c>
      <c r="DL635" s="189">
        <v>710</v>
      </c>
      <c r="DM635" s="181">
        <f t="shared" si="647"/>
        <v>1476856.8</v>
      </c>
      <c r="DN635" s="446">
        <v>0.08</v>
      </c>
      <c r="DO635" s="160">
        <f t="shared" si="648"/>
        <v>1367460</v>
      </c>
      <c r="DP635" s="159">
        <v>45982</v>
      </c>
      <c r="DQ635" s="152">
        <f>SUMIF($I:$I,I635,$DJ:$DJ)</f>
        <v>1926</v>
      </c>
      <c r="DR635" s="152">
        <f>SUMIF($I:$I,I635,$DK:$DK)</f>
        <v>0</v>
      </c>
      <c r="EO635" s="152">
        <f>SUMIF($I:$I,I635,$EC:$EC)</f>
        <v>0</v>
      </c>
      <c r="EP635" s="151">
        <f>SUMIF($I:$I,I635,$ED:$ED)</f>
        <v>0</v>
      </c>
      <c r="EQ635" s="153"/>
      <c r="ER635" s="153"/>
      <c r="ES635" s="153"/>
      <c r="ET635" s="153"/>
      <c r="EU635" s="152">
        <f t="shared" si="660"/>
        <v>1926</v>
      </c>
      <c r="EV635" s="152">
        <f t="shared" si="661"/>
        <v>0</v>
      </c>
      <c r="EW635" s="152">
        <f t="shared" si="662"/>
        <v>0</v>
      </c>
      <c r="EX635" s="152">
        <f t="shared" si="663"/>
        <v>0</v>
      </c>
      <c r="EY635" s="151" t="str">
        <f t="shared" si="664"/>
        <v>Đủ</v>
      </c>
    </row>
    <row r="636" spans="1:155" s="264" customFormat="1" ht="14" hidden="1" customHeight="1">
      <c r="A636" s="208" t="str">
        <f t="shared" si="665"/>
        <v>Hiện</v>
      </c>
      <c r="B636" s="154" t="str">
        <f t="shared" si="638"/>
        <v>Đủ</v>
      </c>
      <c r="C636" s="154">
        <f t="shared" si="639"/>
        <v>0</v>
      </c>
      <c r="D636" s="154"/>
      <c r="E636" s="154"/>
      <c r="F636" s="344"/>
      <c r="I636" s="164" t="s">
        <v>1821</v>
      </c>
      <c r="J636" s="164" t="s">
        <v>922</v>
      </c>
      <c r="K636" s="171" t="s">
        <v>1822</v>
      </c>
      <c r="L636" s="247"/>
      <c r="M636" s="163" t="s">
        <v>1074</v>
      </c>
      <c r="N636" s="248"/>
      <c r="O636" s="229">
        <v>24</v>
      </c>
      <c r="P636" s="172"/>
      <c r="Q636" s="266"/>
      <c r="BG636" s="162"/>
      <c r="BH636" s="162"/>
      <c r="BI636" s="162"/>
      <c r="BJ636" s="162"/>
      <c r="BK636" s="162"/>
      <c r="BL636" s="162"/>
      <c r="BM636" s="162"/>
      <c r="BN636" s="162"/>
      <c r="BO636" s="162"/>
      <c r="BP636" s="162"/>
      <c r="BQ636" s="162">
        <v>24</v>
      </c>
      <c r="BR636" s="162">
        <v>0</v>
      </c>
      <c r="BS636" s="162">
        <v>0</v>
      </c>
      <c r="BT636" s="162">
        <v>0</v>
      </c>
      <c r="BU636" s="162">
        <v>0</v>
      </c>
      <c r="BV636" s="162">
        <v>0</v>
      </c>
      <c r="BW636" s="162"/>
      <c r="BX636" s="162"/>
      <c r="BY636" s="162">
        <v>0</v>
      </c>
      <c r="BZ636" s="162">
        <v>0</v>
      </c>
      <c r="CA636" s="162">
        <v>0</v>
      </c>
      <c r="CB636" s="162">
        <v>0</v>
      </c>
      <c r="CC636" s="162">
        <v>0</v>
      </c>
      <c r="CD636" s="162">
        <v>0</v>
      </c>
      <c r="CE636" s="162">
        <f>VLOOKUP(I636,[120]REV33!$A:$O,11,0)</f>
        <v>0</v>
      </c>
      <c r="CF636" s="162">
        <f>VLOOKUP(I636,[120]REV33!$A:$O,12,0)</f>
        <v>0</v>
      </c>
      <c r="CG636" s="162"/>
      <c r="CH636" s="162"/>
      <c r="CI636" s="162"/>
      <c r="CJ636" s="162"/>
      <c r="CK636" s="162"/>
      <c r="CL636" s="162"/>
      <c r="CM636" s="162"/>
      <c r="CN636" s="162"/>
      <c r="CO636" s="162">
        <v>0</v>
      </c>
      <c r="CP636" s="162">
        <v>0</v>
      </c>
      <c r="CQ636" s="162">
        <v>0</v>
      </c>
      <c r="CR636" s="162">
        <v>0</v>
      </c>
      <c r="CS636" s="209">
        <f>Q636+S636+U636+W636+Y636+AA636+AC636+AE636+AG636+AI636+AK636+AM636+AO636+AQ636+AS636+AU636+AW636+AY636+BA636+BC636+BE636+BG636+BI636+BK636+BM636+BO636+BQ636+BS636+BU636+BW636+BY636+CA636+CC636+CE636+CG636+CI636+CK636+CM636+CO636+CQ636</f>
        <v>24</v>
      </c>
      <c r="CT636" s="209">
        <f>R636+T636+V636+X636+Z636+AB636+AD636+AF636+AH636+AJ636+AL636+AN636+AP636+AR636+AT636+AV636+AX636+AZ636+BB636+BD636+BF636+BH636+BJ636+BL636+BN636+BP636+BR636+BT636+BV636+BX636+BZ636+CB636+CD636+CF636+CH636+CJ636+CL636+CN636+CP636+CR636</f>
        <v>0</v>
      </c>
      <c r="CU636" s="206" t="s">
        <v>1894</v>
      </c>
      <c r="DA636" s="152">
        <f t="shared" si="658"/>
        <v>24</v>
      </c>
      <c r="DB636" s="152" t="str">
        <f t="shared" si="659"/>
        <v>0</v>
      </c>
      <c r="DD636" s="158" t="s">
        <v>2243</v>
      </c>
      <c r="DE636" s="156" t="s">
        <v>2042</v>
      </c>
      <c r="DF636" s="253" t="s">
        <v>2371</v>
      </c>
      <c r="DG636" s="186" t="s">
        <v>2372</v>
      </c>
      <c r="DH636" s="156" t="s">
        <v>477</v>
      </c>
      <c r="DI636" s="187">
        <v>45982</v>
      </c>
      <c r="DJ636" s="717">
        <v>24</v>
      </c>
      <c r="DK636" s="240" t="s">
        <v>477</v>
      </c>
      <c r="DL636" s="189">
        <v>710</v>
      </c>
      <c r="DM636" s="181">
        <f t="shared" si="647"/>
        <v>18403.2</v>
      </c>
      <c r="DN636" s="446">
        <v>0.08</v>
      </c>
      <c r="DO636" s="160">
        <f t="shared" si="648"/>
        <v>17040</v>
      </c>
      <c r="DP636" s="159">
        <v>45982</v>
      </c>
      <c r="DQ636" s="152">
        <f>SUMIF($I:$I,I636,$DJ:$DJ)</f>
        <v>24</v>
      </c>
      <c r="DR636" s="152">
        <f>SUMIF($I:$I,I636,$DK:$DK)</f>
        <v>0</v>
      </c>
      <c r="EO636" s="152">
        <f>SUMIF($I:$I,I636,$EC:$EC)</f>
        <v>0</v>
      </c>
      <c r="EP636" s="151">
        <f>SUMIF($I:$I,I636,$ED:$ED)</f>
        <v>0</v>
      </c>
      <c r="EQ636" s="153"/>
      <c r="ER636" s="153"/>
      <c r="ES636" s="153"/>
      <c r="ET636" s="153"/>
      <c r="EU636" s="152">
        <f t="shared" si="660"/>
        <v>24</v>
      </c>
      <c r="EV636" s="152">
        <f t="shared" si="661"/>
        <v>0</v>
      </c>
      <c r="EW636" s="152">
        <f t="shared" si="662"/>
        <v>0</v>
      </c>
      <c r="EX636" s="152">
        <f t="shared" si="663"/>
        <v>0</v>
      </c>
      <c r="EY636" s="151" t="str">
        <f t="shared" si="664"/>
        <v>Đủ</v>
      </c>
    </row>
    <row r="637" spans="1:155" s="264" customFormat="1" ht="14" hidden="1" customHeight="1">
      <c r="A637" s="208" t="str">
        <f t="shared" si="665"/>
        <v>Hiện</v>
      </c>
      <c r="B637" s="154" t="str">
        <f t="shared" si="638"/>
        <v>Đủ</v>
      </c>
      <c r="C637" s="154">
        <f t="shared" si="639"/>
        <v>0</v>
      </c>
      <c r="D637" s="154"/>
      <c r="E637" s="154"/>
      <c r="F637" s="344"/>
      <c r="I637" s="164" t="s">
        <v>1823</v>
      </c>
      <c r="J637" s="164" t="s">
        <v>922</v>
      </c>
      <c r="K637" s="171" t="s">
        <v>1434</v>
      </c>
      <c r="L637" s="247"/>
      <c r="M637" s="163" t="s">
        <v>1074</v>
      </c>
      <c r="N637" s="248"/>
      <c r="O637" s="229">
        <v>32</v>
      </c>
      <c r="P637" s="172"/>
      <c r="Q637" s="266"/>
      <c r="BG637" s="162"/>
      <c r="BH637" s="162"/>
      <c r="BI637" s="162"/>
      <c r="BJ637" s="162"/>
      <c r="BK637" s="162"/>
      <c r="BL637" s="162"/>
      <c r="BM637" s="162"/>
      <c r="BN637" s="162"/>
      <c r="BO637" s="162"/>
      <c r="BP637" s="162"/>
      <c r="BQ637" s="162">
        <v>32</v>
      </c>
      <c r="BR637" s="162">
        <v>0</v>
      </c>
      <c r="BS637" s="162">
        <v>0</v>
      </c>
      <c r="BT637" s="162">
        <v>0</v>
      </c>
      <c r="BU637" s="162">
        <v>0</v>
      </c>
      <c r="BV637" s="162">
        <v>0</v>
      </c>
      <c r="BW637" s="162"/>
      <c r="BX637" s="162"/>
      <c r="BY637" s="162">
        <v>0</v>
      </c>
      <c r="BZ637" s="162">
        <v>0</v>
      </c>
      <c r="CA637" s="162">
        <v>0</v>
      </c>
      <c r="CB637" s="162">
        <v>0</v>
      </c>
      <c r="CC637" s="162">
        <v>0</v>
      </c>
      <c r="CD637" s="162">
        <v>0</v>
      </c>
      <c r="CE637" s="162">
        <f>VLOOKUP(I637,[120]REV33!$A:$O,11,0)</f>
        <v>0</v>
      </c>
      <c r="CF637" s="162">
        <f>VLOOKUP(I637,[120]REV33!$A:$O,12,0)</f>
        <v>0</v>
      </c>
      <c r="CG637" s="162"/>
      <c r="CH637" s="162"/>
      <c r="CI637" s="162"/>
      <c r="CJ637" s="162"/>
      <c r="CK637" s="162"/>
      <c r="CL637" s="162"/>
      <c r="CM637" s="162"/>
      <c r="CN637" s="162"/>
      <c r="CO637" s="162">
        <v>0</v>
      </c>
      <c r="CP637" s="162">
        <v>0</v>
      </c>
      <c r="CQ637" s="162">
        <v>0</v>
      </c>
      <c r="CR637" s="162">
        <v>0</v>
      </c>
      <c r="CS637" s="209">
        <f>Q637+S637+U637+W637+Y637+AA637+AC637+AE637+AG637+AI637+AK637+AM637+AO637+AQ637+AS637+AU637+AW637+AY637+BA637+BC637+BE637+BG637+BI637+BK637+BM637+BO637+BQ637+BS637+BU637+BW637+BY637+CA637+CC637+CE637+CG637+CI637+CK637+CM637+CO637+CQ637</f>
        <v>32</v>
      </c>
      <c r="CT637" s="209">
        <f>R637+T637+V637+X637+Z637+AB637+AD637+AF637+AH637+AJ637+AL637+AN637+AP637+AR637+AT637+AV637+AX637+AZ637+BB637+BD637+BF637+BH637+BJ637+BL637+BN637+BP637+BR637+BT637+BV637+BX637+BZ637+CB637+CD637+CF637+CH637+CJ637+CL637+CN637+CP637+CR637</f>
        <v>0</v>
      </c>
      <c r="CU637" s="206" t="s">
        <v>1894</v>
      </c>
      <c r="DA637" s="152">
        <f t="shared" si="658"/>
        <v>32</v>
      </c>
      <c r="DB637" s="152" t="str">
        <f t="shared" si="659"/>
        <v>0</v>
      </c>
      <c r="DD637" s="158" t="s">
        <v>2243</v>
      </c>
      <c r="DE637" s="156" t="s">
        <v>2042</v>
      </c>
      <c r="DF637" s="253" t="s">
        <v>2399</v>
      </c>
      <c r="DG637" s="186" t="s">
        <v>2400</v>
      </c>
      <c r="DH637" s="156" t="s">
        <v>477</v>
      </c>
      <c r="DI637" s="187">
        <v>45982</v>
      </c>
      <c r="DJ637" s="717">
        <v>32</v>
      </c>
      <c r="DK637" s="240" t="s">
        <v>477</v>
      </c>
      <c r="DL637" s="189">
        <v>14300</v>
      </c>
      <c r="DM637" s="181">
        <f t="shared" si="647"/>
        <v>494208.00000000006</v>
      </c>
      <c r="DN637" s="446">
        <v>0.08</v>
      </c>
      <c r="DO637" s="160">
        <f t="shared" si="648"/>
        <v>457600</v>
      </c>
      <c r="DP637" s="159">
        <v>45982</v>
      </c>
      <c r="DQ637" s="152">
        <f>SUMIF($I:$I,I637,$DJ:$DJ)</f>
        <v>32</v>
      </c>
      <c r="DR637" s="152">
        <f>SUMIF($I:$I,I637,$DK:$DK)</f>
        <v>0</v>
      </c>
      <c r="EO637" s="152">
        <f>SUMIF($I:$I,I637,$EC:$EC)</f>
        <v>0</v>
      </c>
      <c r="EP637" s="151">
        <f>SUMIF($I:$I,I637,$ED:$ED)</f>
        <v>0</v>
      </c>
      <c r="EQ637" s="153"/>
      <c r="ER637" s="153"/>
      <c r="ES637" s="153"/>
      <c r="ET637" s="153"/>
      <c r="EU637" s="152">
        <f t="shared" si="660"/>
        <v>32</v>
      </c>
      <c r="EV637" s="152">
        <f t="shared" si="661"/>
        <v>0</v>
      </c>
      <c r="EW637" s="152">
        <f t="shared" si="662"/>
        <v>0</v>
      </c>
      <c r="EX637" s="152">
        <f t="shared" si="663"/>
        <v>0</v>
      </c>
      <c r="EY637" s="151" t="str">
        <f t="shared" si="664"/>
        <v>Đủ</v>
      </c>
    </row>
    <row r="638" spans="1:155" s="264" customFormat="1" ht="14" hidden="1" customHeight="1">
      <c r="A638" s="208" t="str">
        <f t="shared" si="665"/>
        <v>Hiện</v>
      </c>
      <c r="B638" s="154" t="str">
        <f t="shared" si="638"/>
        <v>Đủ</v>
      </c>
      <c r="C638" s="154">
        <f t="shared" si="639"/>
        <v>0</v>
      </c>
      <c r="D638" s="154"/>
      <c r="E638" s="154"/>
      <c r="F638" s="344"/>
      <c r="I638" s="164" t="s">
        <v>1824</v>
      </c>
      <c r="J638" s="164" t="s">
        <v>922</v>
      </c>
      <c r="K638" s="171" t="s">
        <v>1825</v>
      </c>
      <c r="L638" s="247"/>
      <c r="M638" s="163" t="s">
        <v>1074</v>
      </c>
      <c r="N638" s="248"/>
      <c r="O638" s="229">
        <v>32</v>
      </c>
      <c r="P638" s="172"/>
      <c r="Q638" s="266"/>
      <c r="BG638" s="162"/>
      <c r="BH638" s="162"/>
      <c r="BI638" s="162"/>
      <c r="BJ638" s="162"/>
      <c r="BK638" s="162"/>
      <c r="BL638" s="162"/>
      <c r="BM638" s="162"/>
      <c r="BN638" s="162"/>
      <c r="BO638" s="162"/>
      <c r="BP638" s="162"/>
      <c r="BQ638" s="162">
        <v>32</v>
      </c>
      <c r="BR638" s="162">
        <v>0</v>
      </c>
      <c r="BS638" s="162">
        <v>0</v>
      </c>
      <c r="BT638" s="162">
        <v>0</v>
      </c>
      <c r="BU638" s="162">
        <v>0</v>
      </c>
      <c r="BV638" s="162">
        <v>0</v>
      </c>
      <c r="BW638" s="162"/>
      <c r="BX638" s="162"/>
      <c r="BY638" s="162">
        <v>0</v>
      </c>
      <c r="BZ638" s="162">
        <v>0</v>
      </c>
      <c r="CA638" s="162">
        <v>0</v>
      </c>
      <c r="CB638" s="162">
        <v>0</v>
      </c>
      <c r="CC638" s="162">
        <v>0</v>
      </c>
      <c r="CD638" s="162">
        <v>0</v>
      </c>
      <c r="CE638" s="162">
        <f>VLOOKUP(I638,[120]REV33!$A:$O,11,0)</f>
        <v>0</v>
      </c>
      <c r="CF638" s="162">
        <f>VLOOKUP(I638,[120]REV33!$A:$O,12,0)</f>
        <v>0</v>
      </c>
      <c r="CG638" s="162"/>
      <c r="CH638" s="162"/>
      <c r="CI638" s="162"/>
      <c r="CJ638" s="162"/>
      <c r="CK638" s="162"/>
      <c r="CL638" s="162"/>
      <c r="CM638" s="162"/>
      <c r="CN638" s="162"/>
      <c r="CO638" s="162">
        <v>0</v>
      </c>
      <c r="CP638" s="162">
        <v>0</v>
      </c>
      <c r="CQ638" s="162">
        <v>0</v>
      </c>
      <c r="CR638" s="162">
        <v>0</v>
      </c>
      <c r="CS638" s="209">
        <f>Q638+S638+U638+W638+Y638+AA638+AC638+AE638+AG638+AI638+AK638+AM638+AO638+AQ638+AS638+AU638+AW638+AY638+BA638+BC638+BE638+BG638+BI638+BK638+BM638+BO638+BQ638+BS638+BU638+BW638+BY638+CA638+CC638+CE638+CG638+CI638+CK638+CM638+CO638+CQ638</f>
        <v>32</v>
      </c>
      <c r="CT638" s="209">
        <f>R638+T638+V638+X638+Z638+AB638+AD638+AF638+AH638+AJ638+AL638+AN638+AP638+AR638+AT638+AV638+AX638+AZ638+BB638+BD638+BF638+BH638+BJ638+BL638+BN638+BP638+BR638+BT638+BV638+BX638+BZ638+CB638+CD638+CF638+CH638+CJ638+CL638+CN638+CP638+CR638</f>
        <v>0</v>
      </c>
      <c r="CU638" s="206" t="s">
        <v>1894</v>
      </c>
      <c r="DA638" s="152">
        <f t="shared" si="658"/>
        <v>32</v>
      </c>
      <c r="DB638" s="152" t="str">
        <f t="shared" si="659"/>
        <v>0</v>
      </c>
      <c r="DD638" s="158" t="s">
        <v>2243</v>
      </c>
      <c r="DE638" s="156" t="s">
        <v>2042</v>
      </c>
      <c r="DF638" s="253" t="s">
        <v>2399</v>
      </c>
      <c r="DG638" s="186" t="s">
        <v>2400</v>
      </c>
      <c r="DH638" s="156" t="s">
        <v>477</v>
      </c>
      <c r="DI638" s="187">
        <v>45982</v>
      </c>
      <c r="DJ638" s="717">
        <v>32</v>
      </c>
      <c r="DK638" s="240" t="s">
        <v>477</v>
      </c>
      <c r="DL638" s="189">
        <v>14300</v>
      </c>
      <c r="DM638" s="181">
        <f t="shared" si="647"/>
        <v>494208.00000000006</v>
      </c>
      <c r="DN638" s="446">
        <v>0.08</v>
      </c>
      <c r="DO638" s="160">
        <f t="shared" si="648"/>
        <v>457600</v>
      </c>
      <c r="DP638" s="159">
        <v>45982</v>
      </c>
      <c r="DQ638" s="152">
        <f>SUMIF($I:$I,I638,$DJ:$DJ)</f>
        <v>32</v>
      </c>
      <c r="DR638" s="152">
        <f>SUMIF($I:$I,I638,$DK:$DK)</f>
        <v>0</v>
      </c>
      <c r="EO638" s="152">
        <f>SUMIF($I:$I,I638,$EC:$EC)</f>
        <v>0</v>
      </c>
      <c r="EP638" s="151">
        <f>SUMIF($I:$I,I638,$ED:$ED)</f>
        <v>0</v>
      </c>
      <c r="EQ638" s="153"/>
      <c r="ER638" s="153"/>
      <c r="ES638" s="153"/>
      <c r="ET638" s="153"/>
      <c r="EU638" s="152">
        <f t="shared" si="660"/>
        <v>32</v>
      </c>
      <c r="EV638" s="152">
        <f t="shared" si="661"/>
        <v>0</v>
      </c>
      <c r="EW638" s="152">
        <f t="shared" si="662"/>
        <v>0</v>
      </c>
      <c r="EX638" s="152">
        <f t="shared" si="663"/>
        <v>0</v>
      </c>
      <c r="EY638" s="151" t="str">
        <f t="shared" si="664"/>
        <v>Đủ</v>
      </c>
    </row>
    <row r="639" spans="1:155" s="264" customFormat="1" ht="14" hidden="1" customHeight="1">
      <c r="A639" s="208" t="str">
        <f t="shared" si="665"/>
        <v>Hiện</v>
      </c>
      <c r="B639" s="154" t="str">
        <f t="shared" si="638"/>
        <v>Đủ</v>
      </c>
      <c r="C639" s="154">
        <f t="shared" si="639"/>
        <v>0</v>
      </c>
      <c r="D639" s="154"/>
      <c r="E639" s="154"/>
      <c r="F639" s="344"/>
      <c r="G639" s="154"/>
      <c r="I639" s="164" t="s">
        <v>1826</v>
      </c>
      <c r="J639" s="164" t="s">
        <v>922</v>
      </c>
      <c r="K639" s="171" t="s">
        <v>1827</v>
      </c>
      <c r="L639" s="247"/>
      <c r="M639" s="163" t="s">
        <v>1074</v>
      </c>
      <c r="N639" s="248"/>
      <c r="O639" s="229">
        <v>1362</v>
      </c>
      <c r="P639" s="172"/>
      <c r="Q639" s="266"/>
      <c r="BG639" s="162"/>
      <c r="BH639" s="162"/>
      <c r="BI639" s="162"/>
      <c r="BJ639" s="162"/>
      <c r="BK639" s="162"/>
      <c r="BL639" s="162"/>
      <c r="BM639" s="162"/>
      <c r="BN639" s="162"/>
      <c r="BO639" s="162"/>
      <c r="BP639" s="162"/>
      <c r="BQ639" s="162">
        <v>1362</v>
      </c>
      <c r="BR639" s="162">
        <v>0</v>
      </c>
      <c r="BS639" s="162">
        <v>0</v>
      </c>
      <c r="BT639" s="162">
        <v>0</v>
      </c>
      <c r="BU639" s="162">
        <v>0</v>
      </c>
      <c r="BV639" s="162">
        <v>0</v>
      </c>
      <c r="BW639" s="162"/>
      <c r="BX639" s="162"/>
      <c r="BY639" s="162">
        <v>0</v>
      </c>
      <c r="BZ639" s="162">
        <v>0</v>
      </c>
      <c r="CA639" s="162">
        <v>16</v>
      </c>
      <c r="CB639" s="162">
        <v>0</v>
      </c>
      <c r="CC639" s="162">
        <v>0</v>
      </c>
      <c r="CD639" s="162">
        <v>0</v>
      </c>
      <c r="CE639" s="162">
        <f>VLOOKUP(I639,[120]REV33!$A:$O,11,0)</f>
        <v>0</v>
      </c>
      <c r="CF639" s="162">
        <f>VLOOKUP(I639,[120]REV33!$A:$O,12,0)</f>
        <v>0</v>
      </c>
      <c r="CG639" s="162"/>
      <c r="CH639" s="162"/>
      <c r="CI639" s="162"/>
      <c r="CJ639" s="162"/>
      <c r="CK639" s="162"/>
      <c r="CL639" s="162"/>
      <c r="CM639" s="162"/>
      <c r="CN639" s="162"/>
      <c r="CO639" s="162">
        <v>0</v>
      </c>
      <c r="CP639" s="162">
        <v>0</v>
      </c>
      <c r="CQ639" s="162">
        <v>0</v>
      </c>
      <c r="CR639" s="162">
        <v>0</v>
      </c>
      <c r="CS639" s="209">
        <f>Q639+S639+U639+W639+Y639+AA639+AC639+AE639+AG639+AI639+AK639+AM639+AO639+AQ639+AS639+AU639+AW639+AY639+BA639+BC639+BE639+BG639+BI639+BK639+BM639+BO639+BQ639+BS639+BU639+BW639+BY639+CA639+CC639+CE639+CG639+CI639+CK639+CM639+CO639+CQ639</f>
        <v>1378</v>
      </c>
      <c r="CT639" s="209">
        <f>R639+T639+V639+X639+Z639+AB639+AD639+AF639+AH639+AJ639+AL639+AN639+AP639+AR639+AT639+AV639+AX639+AZ639+BB639+BD639+BF639+BH639+BJ639+BL639+BN639+BP639+BR639+BT639+BV639+BX639+BZ639+CB639+CD639+CF639+CH639+CJ639+CL639+CN639+CP639+CR639</f>
        <v>0</v>
      </c>
      <c r="CU639" s="763" t="s">
        <v>2326</v>
      </c>
      <c r="DA639" s="152">
        <f t="shared" si="658"/>
        <v>1378</v>
      </c>
      <c r="DB639" s="152" t="str">
        <f t="shared" si="659"/>
        <v>0</v>
      </c>
      <c r="DD639" s="158" t="s">
        <v>2243</v>
      </c>
      <c r="DE639" s="156" t="s">
        <v>2042</v>
      </c>
      <c r="DF639" s="253" t="s">
        <v>2391</v>
      </c>
      <c r="DG639" s="186" t="s">
        <v>2392</v>
      </c>
      <c r="DH639" s="156" t="s">
        <v>477</v>
      </c>
      <c r="DI639" s="187">
        <v>45982</v>
      </c>
      <c r="DJ639" s="717">
        <v>1362</v>
      </c>
      <c r="DK639" s="240" t="s">
        <v>477</v>
      </c>
      <c r="DL639" s="189">
        <v>550</v>
      </c>
      <c r="DM639" s="181">
        <f t="shared" si="647"/>
        <v>809028</v>
      </c>
      <c r="DN639" s="446">
        <v>0.08</v>
      </c>
      <c r="DO639" s="160">
        <f t="shared" si="648"/>
        <v>749100</v>
      </c>
      <c r="DP639" s="988">
        <v>45982</v>
      </c>
      <c r="DQ639" s="152">
        <f>SUMIF($I:$I,I639,$DJ:$DJ)</f>
        <v>1378</v>
      </c>
      <c r="DR639" s="152">
        <f>SUMIF($I:$I,I639,$DK:$DK)</f>
        <v>0</v>
      </c>
      <c r="EO639" s="152">
        <f>SUMIF($I:$I,I639,$EC:$EC)</f>
        <v>0</v>
      </c>
      <c r="EP639" s="151">
        <f>SUMIF($I:$I,I639,$ED:$ED)</f>
        <v>0</v>
      </c>
      <c r="EQ639" s="153"/>
      <c r="ER639" s="153"/>
      <c r="ES639" s="153"/>
      <c r="ET639" s="153"/>
      <c r="EU639" s="152">
        <f t="shared" si="660"/>
        <v>1378</v>
      </c>
      <c r="EV639" s="152">
        <f t="shared" si="661"/>
        <v>0</v>
      </c>
      <c r="EW639" s="152">
        <f t="shared" si="662"/>
        <v>0</v>
      </c>
      <c r="EX639" s="152">
        <f t="shared" si="663"/>
        <v>0</v>
      </c>
      <c r="EY639" s="151" t="str">
        <f t="shared" si="664"/>
        <v>Đủ</v>
      </c>
    </row>
    <row r="640" spans="1:155" s="264" customFormat="1" ht="14" hidden="1" customHeight="1">
      <c r="A640" s="208" t="str">
        <f t="shared" si="665"/>
        <v>ok</v>
      </c>
      <c r="B640" s="154"/>
      <c r="C640" s="154"/>
      <c r="D640" s="154"/>
      <c r="E640" s="154"/>
      <c r="F640" s="344"/>
      <c r="G640" s="154"/>
      <c r="I640" s="164" t="s">
        <v>1826</v>
      </c>
      <c r="J640" s="164" t="s">
        <v>922</v>
      </c>
      <c r="K640" s="171" t="s">
        <v>1827</v>
      </c>
      <c r="L640" s="247"/>
      <c r="M640" s="163" t="s">
        <v>1074</v>
      </c>
      <c r="N640" s="248"/>
      <c r="O640" s="229"/>
      <c r="P640" s="172"/>
      <c r="Q640" s="266"/>
      <c r="BG640" s="162"/>
      <c r="BH640" s="162"/>
      <c r="BI640" s="162"/>
      <c r="BJ640" s="162"/>
      <c r="BK640" s="162"/>
      <c r="BL640" s="162"/>
      <c r="BM640" s="162"/>
      <c r="BN640" s="162"/>
      <c r="BO640" s="162"/>
      <c r="BP640" s="162"/>
      <c r="BQ640" s="162"/>
      <c r="BR640" s="162"/>
      <c r="BS640" s="162"/>
      <c r="BT640" s="162"/>
      <c r="BU640" s="162"/>
      <c r="BV640" s="162"/>
      <c r="BW640" s="162"/>
      <c r="BX640" s="162"/>
      <c r="BY640" s="162"/>
      <c r="BZ640" s="162"/>
      <c r="CA640" s="162"/>
      <c r="CB640" s="162"/>
      <c r="CC640" s="162"/>
      <c r="CD640" s="162"/>
      <c r="CE640" s="162"/>
      <c r="CF640" s="162"/>
      <c r="CG640" s="162"/>
      <c r="CH640" s="162"/>
      <c r="CI640" s="162"/>
      <c r="CJ640" s="162"/>
      <c r="CK640" s="162"/>
      <c r="CL640" s="162"/>
      <c r="CM640" s="162"/>
      <c r="CN640" s="162"/>
      <c r="CO640" s="162"/>
      <c r="CP640" s="162"/>
      <c r="CQ640" s="162"/>
      <c r="CR640" s="162"/>
      <c r="CS640" s="209"/>
      <c r="CT640" s="209"/>
      <c r="CU640" s="763"/>
      <c r="DA640" s="152"/>
      <c r="DB640" s="152"/>
      <c r="DD640" s="158" t="s">
        <v>2579</v>
      </c>
      <c r="DE640" s="156" t="s">
        <v>2042</v>
      </c>
      <c r="DF640" s="986" t="s">
        <v>2005</v>
      </c>
      <c r="DG640" s="186"/>
      <c r="DH640" s="240" t="s">
        <v>477</v>
      </c>
      <c r="DI640" s="187" t="s">
        <v>374</v>
      </c>
      <c r="DJ640" s="717">
        <v>16</v>
      </c>
      <c r="DK640" s="240" t="s">
        <v>477</v>
      </c>
      <c r="DL640" s="189">
        <v>550</v>
      </c>
      <c r="DM640" s="181">
        <f>DL640*DJ640*1.08</f>
        <v>9504</v>
      </c>
      <c r="DN640" s="446">
        <f t="shared" ref="DN640" si="666">(DM640-DO640)/DO640</f>
        <v>0.08</v>
      </c>
      <c r="DO640" s="160">
        <f>DL640*DJ640</f>
        <v>8800</v>
      </c>
      <c r="DP640" s="988">
        <v>46006</v>
      </c>
      <c r="DQ640" s="152"/>
      <c r="DR640" s="152"/>
      <c r="EO640" s="152"/>
      <c r="EP640" s="151"/>
      <c r="EQ640" s="153"/>
      <c r="ER640" s="153"/>
      <c r="ES640" s="153"/>
      <c r="ET640" s="153"/>
      <c r="EU640" s="152"/>
      <c r="EV640" s="152"/>
      <c r="EW640" s="152"/>
      <c r="EX640" s="152"/>
      <c r="EY640" s="151"/>
    </row>
    <row r="641" spans="1:155" s="264" customFormat="1" ht="14" hidden="1" customHeight="1">
      <c r="A641" s="208" t="str">
        <f t="shared" si="665"/>
        <v>Hiện</v>
      </c>
      <c r="B641" s="154" t="str">
        <f t="shared" si="638"/>
        <v>Đủ</v>
      </c>
      <c r="C641" s="154">
        <f t="shared" si="639"/>
        <v>0</v>
      </c>
      <c r="D641" s="154"/>
      <c r="E641" s="154"/>
      <c r="F641" s="344"/>
      <c r="I641" s="164" t="s">
        <v>1828</v>
      </c>
      <c r="J641" s="164" t="s">
        <v>922</v>
      </c>
      <c r="K641" s="171" t="s">
        <v>1471</v>
      </c>
      <c r="L641" s="247"/>
      <c r="M641" s="163" t="s">
        <v>1074</v>
      </c>
      <c r="N641" s="248"/>
      <c r="O641" s="229">
        <v>16</v>
      </c>
      <c r="P641" s="172"/>
      <c r="Q641" s="266"/>
      <c r="BG641" s="162"/>
      <c r="BH641" s="162"/>
      <c r="BI641" s="162"/>
      <c r="BJ641" s="162"/>
      <c r="BK641" s="162"/>
      <c r="BL641" s="162"/>
      <c r="BM641" s="162"/>
      <c r="BN641" s="162"/>
      <c r="BO641" s="162"/>
      <c r="BP641" s="162"/>
      <c r="BQ641" s="162">
        <v>16</v>
      </c>
      <c r="BR641" s="162">
        <v>0</v>
      </c>
      <c r="BS641" s="162">
        <v>0</v>
      </c>
      <c r="BT641" s="162">
        <v>0</v>
      </c>
      <c r="BU641" s="162">
        <v>0</v>
      </c>
      <c r="BV641" s="162">
        <v>0</v>
      </c>
      <c r="BW641" s="162"/>
      <c r="BX641" s="162"/>
      <c r="BY641" s="162">
        <v>0</v>
      </c>
      <c r="BZ641" s="162">
        <v>0</v>
      </c>
      <c r="CA641" s="162">
        <v>0</v>
      </c>
      <c r="CB641" s="162">
        <v>0</v>
      </c>
      <c r="CC641" s="162">
        <v>0</v>
      </c>
      <c r="CD641" s="162">
        <v>0</v>
      </c>
      <c r="CE641" s="162">
        <f>VLOOKUP(I641,[120]REV33!$A:$O,11,0)</f>
        <v>0</v>
      </c>
      <c r="CF641" s="162">
        <f>VLOOKUP(I641,[120]REV33!$A:$O,12,0)</f>
        <v>0</v>
      </c>
      <c r="CG641" s="162"/>
      <c r="CH641" s="162"/>
      <c r="CI641" s="162"/>
      <c r="CJ641" s="162"/>
      <c r="CK641" s="162"/>
      <c r="CL641" s="162"/>
      <c r="CM641" s="162"/>
      <c r="CN641" s="162"/>
      <c r="CO641" s="162">
        <v>0</v>
      </c>
      <c r="CP641" s="162">
        <v>0</v>
      </c>
      <c r="CQ641" s="162">
        <v>0</v>
      </c>
      <c r="CR641" s="162">
        <v>0</v>
      </c>
      <c r="CS641" s="209">
        <f>Q641+S641+U641+W641+Y641+AA641+AC641+AE641+AG641+AI641+AK641+AM641+AO641+AQ641+AS641+AU641+AW641+AY641+BA641+BC641+BE641+BG641+BI641+BK641+BM641+BO641+BQ641+BS641+BU641+BW641+BY641+CA641+CC641+CE641+CG641+CI641+CK641+CM641+CO641+CQ641</f>
        <v>16</v>
      </c>
      <c r="CT641" s="209">
        <f>R641+T641+V641+X641+Z641+AB641+AD641+AF641+AH641+AJ641+AL641+AN641+AP641+AR641+AT641+AV641+AX641+AZ641+BB641+BD641+BF641+BH641+BJ641+BL641+BN641+BP641+BR641+BT641+BV641+BX641+BZ641+CB641+CD641+CF641+CH641+CJ641+CL641+CN641+CP641+CR641</f>
        <v>0</v>
      </c>
      <c r="CU641" s="206" t="s">
        <v>1894</v>
      </c>
      <c r="DA641" s="152">
        <f t="shared" ref="DA641:DA676" si="667">IF(CS641&gt;CW641,CS641-CW641,"0")</f>
        <v>16</v>
      </c>
      <c r="DB641" s="152" t="str">
        <f t="shared" ref="DB641:DB676" si="668">IF(CT641&gt;CX641,CT641-CX641,"0")</f>
        <v>0</v>
      </c>
      <c r="DD641" s="158" t="s">
        <v>2243</v>
      </c>
      <c r="DE641" s="156" t="s">
        <v>2042</v>
      </c>
      <c r="DF641" s="253" t="s">
        <v>2401</v>
      </c>
      <c r="DG641" s="186" t="s">
        <v>2402</v>
      </c>
      <c r="DH641" s="156" t="s">
        <v>477</v>
      </c>
      <c r="DI641" s="187">
        <v>45982</v>
      </c>
      <c r="DJ641" s="717">
        <v>16</v>
      </c>
      <c r="DK641" s="240" t="s">
        <v>477</v>
      </c>
      <c r="DL641" s="189">
        <v>28800</v>
      </c>
      <c r="DM641" s="181">
        <f t="shared" si="647"/>
        <v>497664.00000000006</v>
      </c>
      <c r="DN641" s="446">
        <v>0.08</v>
      </c>
      <c r="DO641" s="160">
        <f t="shared" si="648"/>
        <v>460800</v>
      </c>
      <c r="DP641" s="159">
        <v>45982</v>
      </c>
      <c r="DQ641" s="152">
        <f>SUMIF($I:$I,I641,$DJ:$DJ)</f>
        <v>16</v>
      </c>
      <c r="DR641" s="152">
        <f>SUMIF($I:$I,I641,$DK:$DK)</f>
        <v>0</v>
      </c>
      <c r="EO641" s="152">
        <f>SUMIF($I:$I,I641,$EC:$EC)</f>
        <v>0</v>
      </c>
      <c r="EP641" s="151">
        <f>SUMIF($I:$I,I641,$ED:$ED)</f>
        <v>0</v>
      </c>
      <c r="EQ641" s="153"/>
      <c r="ER641" s="153"/>
      <c r="ES641" s="153"/>
      <c r="ET641" s="153"/>
      <c r="EU641" s="152">
        <f t="shared" ref="EU641:EU676" si="669">DQ641+EO641</f>
        <v>16</v>
      </c>
      <c r="EV641" s="152">
        <f t="shared" ref="EV641:EV676" si="670">DR641+EP641</f>
        <v>0</v>
      </c>
      <c r="EW641" s="152">
        <f t="shared" ref="EW641:EW676" si="671">DA641-EU641</f>
        <v>0</v>
      </c>
      <c r="EX641" s="152">
        <f t="shared" ref="EX641:EX676" si="672">DB641-EV641</f>
        <v>0</v>
      </c>
      <c r="EY641" s="151" t="str">
        <f t="shared" ref="EY641:EY676" si="673">IF(EW641&lt;0,"Thừa",IF(EW641=0,"Đủ","Thiếu"))</f>
        <v>Đủ</v>
      </c>
    </row>
    <row r="642" spans="1:155" s="264" customFormat="1" ht="14" hidden="1" customHeight="1">
      <c r="A642" s="208" t="str">
        <f t="shared" si="665"/>
        <v>Hiện</v>
      </c>
      <c r="B642" s="154" t="str">
        <f t="shared" si="638"/>
        <v>Đủ</v>
      </c>
      <c r="C642" s="154">
        <f t="shared" si="639"/>
        <v>0</v>
      </c>
      <c r="D642" s="154"/>
      <c r="E642" s="154"/>
      <c r="F642" s="344"/>
      <c r="I642" s="164" t="s">
        <v>1829</v>
      </c>
      <c r="J642" s="164" t="s">
        <v>922</v>
      </c>
      <c r="K642" s="171" t="s">
        <v>1830</v>
      </c>
      <c r="L642" s="247"/>
      <c r="M642" s="163" t="s">
        <v>1074</v>
      </c>
      <c r="N642" s="248"/>
      <c r="O642" s="229">
        <v>12</v>
      </c>
      <c r="P642" s="172"/>
      <c r="Q642" s="266"/>
      <c r="BG642" s="162"/>
      <c r="BH642" s="162"/>
      <c r="BI642" s="162"/>
      <c r="BJ642" s="162"/>
      <c r="BK642" s="162"/>
      <c r="BL642" s="162"/>
      <c r="BM642" s="162"/>
      <c r="BN642" s="162"/>
      <c r="BO642" s="162"/>
      <c r="BP642" s="162"/>
      <c r="BQ642" s="162">
        <v>12</v>
      </c>
      <c r="BR642" s="162">
        <v>0</v>
      </c>
      <c r="BS642" s="162">
        <v>0</v>
      </c>
      <c r="BT642" s="162">
        <v>0</v>
      </c>
      <c r="BU642" s="162">
        <v>0</v>
      </c>
      <c r="BV642" s="162">
        <v>0</v>
      </c>
      <c r="BW642" s="162"/>
      <c r="BX642" s="162"/>
      <c r="BY642" s="162">
        <v>0</v>
      </c>
      <c r="BZ642" s="162">
        <v>0</v>
      </c>
      <c r="CA642" s="162">
        <v>0</v>
      </c>
      <c r="CB642" s="162">
        <v>0</v>
      </c>
      <c r="CC642" s="162">
        <v>0</v>
      </c>
      <c r="CD642" s="162">
        <v>0</v>
      </c>
      <c r="CE642" s="162">
        <f>VLOOKUP(I642,[120]REV33!$A:$O,11,0)</f>
        <v>0</v>
      </c>
      <c r="CF642" s="162">
        <f>VLOOKUP(I642,[120]REV33!$A:$O,12,0)</f>
        <v>0</v>
      </c>
      <c r="CG642" s="162"/>
      <c r="CH642" s="162"/>
      <c r="CI642" s="162"/>
      <c r="CJ642" s="162"/>
      <c r="CK642" s="162"/>
      <c r="CL642" s="162"/>
      <c r="CM642" s="162"/>
      <c r="CN642" s="162"/>
      <c r="CO642" s="162">
        <v>0</v>
      </c>
      <c r="CP642" s="162">
        <v>0</v>
      </c>
      <c r="CQ642" s="162">
        <v>0</v>
      </c>
      <c r="CR642" s="162">
        <v>0</v>
      </c>
      <c r="CS642" s="209">
        <f>Q642+S642+U642+W642+Y642+AA642+AC642+AE642+AG642+AI642+AK642+AM642+AO642+AQ642+AS642+AU642+AW642+AY642+BA642+BC642+BE642+BG642+BI642+BK642+BM642+BO642+BQ642+BS642+BU642+BW642+BY642+CA642+CC642+CE642+CG642+CI642+CK642+CM642+CO642+CQ642</f>
        <v>12</v>
      </c>
      <c r="CT642" s="209">
        <f>R642+T642+V642+X642+Z642+AB642+AD642+AF642+AH642+AJ642+AL642+AN642+AP642+AR642+AT642+AV642+AX642+AZ642+BB642+BD642+BF642+BH642+BJ642+BL642+BN642+BP642+BR642+BT642+BV642+BX642+BZ642+CB642+CD642+CF642+CH642+CJ642+CL642+CN642+CP642+CR642</f>
        <v>0</v>
      </c>
      <c r="CU642" s="206" t="s">
        <v>1894</v>
      </c>
      <c r="DA642" s="152">
        <f t="shared" si="667"/>
        <v>12</v>
      </c>
      <c r="DB642" s="152" t="str">
        <f t="shared" si="668"/>
        <v>0</v>
      </c>
      <c r="DD642" s="158" t="s">
        <v>2243</v>
      </c>
      <c r="DE642" s="156" t="s">
        <v>2042</v>
      </c>
      <c r="DF642" s="253" t="s">
        <v>2401</v>
      </c>
      <c r="DG642" s="186" t="s">
        <v>2402</v>
      </c>
      <c r="DH642" s="156" t="s">
        <v>477</v>
      </c>
      <c r="DI642" s="187">
        <v>45982</v>
      </c>
      <c r="DJ642" s="717">
        <v>12</v>
      </c>
      <c r="DK642" s="240" t="s">
        <v>477</v>
      </c>
      <c r="DL642" s="189">
        <v>28800</v>
      </c>
      <c r="DM642" s="181">
        <f t="shared" si="647"/>
        <v>373248</v>
      </c>
      <c r="DN642" s="446">
        <v>0.08</v>
      </c>
      <c r="DO642" s="160">
        <f t="shared" si="648"/>
        <v>345600</v>
      </c>
      <c r="DP642" s="159">
        <v>45982</v>
      </c>
      <c r="DQ642" s="152">
        <f>SUMIF($I:$I,I642,$DJ:$DJ)</f>
        <v>12</v>
      </c>
      <c r="DR642" s="152">
        <f>SUMIF($I:$I,I642,$DK:$DK)</f>
        <v>0</v>
      </c>
      <c r="EO642" s="152">
        <f>SUMIF($I:$I,I642,$EC:$EC)</f>
        <v>0</v>
      </c>
      <c r="EP642" s="151">
        <f>SUMIF($I:$I,I642,$ED:$ED)</f>
        <v>0</v>
      </c>
      <c r="EQ642" s="153"/>
      <c r="ER642" s="153"/>
      <c r="ES642" s="153"/>
      <c r="ET642" s="153"/>
      <c r="EU642" s="152">
        <f t="shared" si="669"/>
        <v>12</v>
      </c>
      <c r="EV642" s="152">
        <f t="shared" si="670"/>
        <v>0</v>
      </c>
      <c r="EW642" s="152">
        <f t="shared" si="671"/>
        <v>0</v>
      </c>
      <c r="EX642" s="152">
        <f t="shared" si="672"/>
        <v>0</v>
      </c>
      <c r="EY642" s="151" t="str">
        <f t="shared" si="673"/>
        <v>Đủ</v>
      </c>
    </row>
    <row r="643" spans="1:155" s="264" customFormat="1" ht="14" hidden="1" customHeight="1">
      <c r="A643" s="208" t="str">
        <f t="shared" si="665"/>
        <v>Hiện</v>
      </c>
      <c r="B643" s="154" t="str">
        <f t="shared" si="638"/>
        <v>Đủ</v>
      </c>
      <c r="C643" s="154">
        <f t="shared" si="639"/>
        <v>0</v>
      </c>
      <c r="D643" s="154"/>
      <c r="E643" s="154"/>
      <c r="F643" s="344"/>
      <c r="I643" s="164" t="s">
        <v>1831</v>
      </c>
      <c r="J643" s="164" t="s">
        <v>922</v>
      </c>
      <c r="K643" s="171" t="s">
        <v>1832</v>
      </c>
      <c r="L643" s="247"/>
      <c r="M643" s="163" t="s">
        <v>1074</v>
      </c>
      <c r="N643" s="248"/>
      <c r="O643" s="229">
        <v>576</v>
      </c>
      <c r="P643" s="172"/>
      <c r="Q643" s="266"/>
      <c r="BG643" s="162"/>
      <c r="BH643" s="162"/>
      <c r="BI643" s="162"/>
      <c r="BJ643" s="162"/>
      <c r="BK643" s="162"/>
      <c r="BL643" s="162"/>
      <c r="BM643" s="162"/>
      <c r="BN643" s="162"/>
      <c r="BO643" s="162"/>
      <c r="BP643" s="162"/>
      <c r="BQ643" s="162">
        <v>576</v>
      </c>
      <c r="BR643" s="162">
        <v>0</v>
      </c>
      <c r="BS643" s="162">
        <v>0</v>
      </c>
      <c r="BT643" s="162">
        <v>0</v>
      </c>
      <c r="BU643" s="162">
        <v>0</v>
      </c>
      <c r="BV643" s="162">
        <v>0</v>
      </c>
      <c r="BW643" s="162"/>
      <c r="BX643" s="162"/>
      <c r="BY643" s="162">
        <v>0</v>
      </c>
      <c r="BZ643" s="162">
        <v>0</v>
      </c>
      <c r="CA643" s="162">
        <v>0</v>
      </c>
      <c r="CB643" s="162">
        <v>0</v>
      </c>
      <c r="CC643" s="162">
        <v>0</v>
      </c>
      <c r="CD643" s="162">
        <v>0</v>
      </c>
      <c r="CE643" s="162">
        <f>VLOOKUP(I643,[120]REV33!$A:$O,11,0)</f>
        <v>0</v>
      </c>
      <c r="CF643" s="162">
        <f>VLOOKUP(I643,[120]REV33!$A:$O,12,0)</f>
        <v>0</v>
      </c>
      <c r="CG643" s="162"/>
      <c r="CH643" s="162"/>
      <c r="CI643" s="162"/>
      <c r="CJ643" s="162"/>
      <c r="CK643" s="162"/>
      <c r="CL643" s="162"/>
      <c r="CM643" s="162"/>
      <c r="CN643" s="162"/>
      <c r="CO643" s="162">
        <v>0</v>
      </c>
      <c r="CP643" s="162">
        <v>0</v>
      </c>
      <c r="CQ643" s="162">
        <v>0</v>
      </c>
      <c r="CR643" s="162">
        <v>0</v>
      </c>
      <c r="CS643" s="209">
        <f>Q643+S643+U643+W643+Y643+AA643+AC643+AE643+AG643+AI643+AK643+AM643+AO643+AQ643+AS643+AU643+AW643+AY643+BA643+BC643+BE643+BG643+BI643+BK643+BM643+BO643+BQ643+BS643+BU643+BW643+BY643+CA643+CC643+CE643+CG643+CI643+CK643+CM643+CO643+CQ643</f>
        <v>576</v>
      </c>
      <c r="CT643" s="209">
        <f>R643+T643+V643+X643+Z643+AB643+AD643+AF643+AH643+AJ643+AL643+AN643+AP643+AR643+AT643+AV643+AX643+AZ643+BB643+BD643+BF643+BH643+BJ643+BL643+BN643+BP643+BR643+BT643+BV643+BX643+BZ643+CB643+CD643+CF643+CH643+CJ643+CL643+CN643+CP643+CR643</f>
        <v>0</v>
      </c>
      <c r="CU643" s="206" t="s">
        <v>1894</v>
      </c>
      <c r="DA643" s="152">
        <f t="shared" si="667"/>
        <v>576</v>
      </c>
      <c r="DB643" s="152" t="str">
        <f t="shared" si="668"/>
        <v>0</v>
      </c>
      <c r="DD643" s="158" t="s">
        <v>2243</v>
      </c>
      <c r="DE643" s="156" t="s">
        <v>2042</v>
      </c>
      <c r="DF643" s="253" t="s">
        <v>2403</v>
      </c>
      <c r="DG643" s="186" t="s">
        <v>2404</v>
      </c>
      <c r="DH643" s="156" t="s">
        <v>477</v>
      </c>
      <c r="DI643" s="187">
        <v>45982</v>
      </c>
      <c r="DJ643" s="717">
        <v>576</v>
      </c>
      <c r="DK643" s="240" t="s">
        <v>477</v>
      </c>
      <c r="DL643" s="189">
        <v>1150</v>
      </c>
      <c r="DM643" s="181">
        <f t="shared" si="647"/>
        <v>715392</v>
      </c>
      <c r="DN643" s="446">
        <v>0.08</v>
      </c>
      <c r="DO643" s="160">
        <f t="shared" si="648"/>
        <v>662400</v>
      </c>
      <c r="DP643" s="159">
        <v>45982</v>
      </c>
      <c r="DQ643" s="152">
        <f>SUMIF($I:$I,I643,$DJ:$DJ)</f>
        <v>576</v>
      </c>
      <c r="DR643" s="152">
        <f>SUMIF($I:$I,I643,$DK:$DK)</f>
        <v>0</v>
      </c>
      <c r="EO643" s="152">
        <f>SUMIF($I:$I,I643,$EC:$EC)</f>
        <v>0</v>
      </c>
      <c r="EP643" s="151">
        <f>SUMIF($I:$I,I643,$ED:$ED)</f>
        <v>0</v>
      </c>
      <c r="EQ643" s="153"/>
      <c r="ER643" s="153"/>
      <c r="ES643" s="153"/>
      <c r="ET643" s="153"/>
      <c r="EU643" s="152">
        <f t="shared" si="669"/>
        <v>576</v>
      </c>
      <c r="EV643" s="152">
        <f t="shared" si="670"/>
        <v>0</v>
      </c>
      <c r="EW643" s="152">
        <f t="shared" si="671"/>
        <v>0</v>
      </c>
      <c r="EX643" s="152">
        <f t="shared" si="672"/>
        <v>0</v>
      </c>
      <c r="EY643" s="151" t="str">
        <f t="shared" si="673"/>
        <v>Đủ</v>
      </c>
    </row>
    <row r="644" spans="1:155" s="264" customFormat="1" ht="14" hidden="1" customHeight="1">
      <c r="A644" s="208" t="str">
        <f t="shared" si="665"/>
        <v>Hiện</v>
      </c>
      <c r="B644" s="154" t="str">
        <f t="shared" si="638"/>
        <v>Đủ</v>
      </c>
      <c r="C644" s="154">
        <f t="shared" si="639"/>
        <v>0</v>
      </c>
      <c r="D644" s="154"/>
      <c r="E644" s="154"/>
      <c r="F644" s="344"/>
      <c r="I644" s="164" t="s">
        <v>1833</v>
      </c>
      <c r="J644" s="164" t="s">
        <v>922</v>
      </c>
      <c r="K644" s="171" t="s">
        <v>1834</v>
      </c>
      <c r="L644" s="247"/>
      <c r="M644" s="163" t="s">
        <v>1074</v>
      </c>
      <c r="N644" s="248"/>
      <c r="O644" s="229">
        <v>192</v>
      </c>
      <c r="P644" s="172"/>
      <c r="Q644" s="266"/>
      <c r="BG644" s="162"/>
      <c r="BH644" s="162"/>
      <c r="BI644" s="162"/>
      <c r="BJ644" s="162"/>
      <c r="BK644" s="162"/>
      <c r="BL644" s="162"/>
      <c r="BM644" s="162"/>
      <c r="BN644" s="162"/>
      <c r="BO644" s="162"/>
      <c r="BP644" s="162"/>
      <c r="BQ644" s="162">
        <v>192</v>
      </c>
      <c r="BR644" s="162">
        <v>0</v>
      </c>
      <c r="BS644" s="162">
        <v>0</v>
      </c>
      <c r="BT644" s="162">
        <v>0</v>
      </c>
      <c r="BU644" s="162">
        <v>0</v>
      </c>
      <c r="BV644" s="162">
        <v>0</v>
      </c>
      <c r="BW644" s="162"/>
      <c r="BX644" s="162"/>
      <c r="BY644" s="162">
        <v>0</v>
      </c>
      <c r="BZ644" s="162">
        <v>0</v>
      </c>
      <c r="CA644" s="162">
        <v>0</v>
      </c>
      <c r="CB644" s="162">
        <v>0</v>
      </c>
      <c r="CC644" s="162">
        <v>0</v>
      </c>
      <c r="CD644" s="162">
        <v>0</v>
      </c>
      <c r="CE644" s="162">
        <f>VLOOKUP(I644,[120]REV33!$A:$O,11,0)</f>
        <v>0</v>
      </c>
      <c r="CF644" s="162">
        <f>VLOOKUP(I644,[120]REV33!$A:$O,12,0)</f>
        <v>0</v>
      </c>
      <c r="CG644" s="162"/>
      <c r="CH644" s="162"/>
      <c r="CI644" s="162"/>
      <c r="CJ644" s="162"/>
      <c r="CK644" s="162"/>
      <c r="CL644" s="162"/>
      <c r="CM644" s="162"/>
      <c r="CN644" s="162"/>
      <c r="CO644" s="162">
        <v>0</v>
      </c>
      <c r="CP644" s="162">
        <v>0</v>
      </c>
      <c r="CQ644" s="162">
        <v>0</v>
      </c>
      <c r="CR644" s="162">
        <v>0</v>
      </c>
      <c r="CS644" s="209">
        <f>Q644+S644+U644+W644+Y644+AA644+AC644+AE644+AG644+AI644+AK644+AM644+AO644+AQ644+AS644+AU644+AW644+AY644+BA644+BC644+BE644+BG644+BI644+BK644+BM644+BO644+BQ644+BS644+BU644+BW644+BY644+CA644+CC644+CE644+CG644+CI644+CK644+CM644+CO644+CQ644</f>
        <v>192</v>
      </c>
      <c r="CT644" s="209">
        <f>R644+T644+V644+X644+Z644+AB644+AD644+AF644+AH644+AJ644+AL644+AN644+AP644+AR644+AT644+AV644+AX644+AZ644+BB644+BD644+BF644+BH644+BJ644+BL644+BN644+BP644+BR644+BT644+BV644+BX644+BZ644+CB644+CD644+CF644+CH644+CJ644+CL644+CN644+CP644+CR644</f>
        <v>0</v>
      </c>
      <c r="CU644" s="206" t="s">
        <v>1894</v>
      </c>
      <c r="DA644" s="152">
        <f t="shared" si="667"/>
        <v>192</v>
      </c>
      <c r="DB644" s="152" t="str">
        <f t="shared" si="668"/>
        <v>0</v>
      </c>
      <c r="DD644" s="158" t="s">
        <v>2243</v>
      </c>
      <c r="DE644" s="156" t="s">
        <v>2042</v>
      </c>
      <c r="DF644" s="253" t="s">
        <v>2405</v>
      </c>
      <c r="DG644" s="186" t="s">
        <v>2406</v>
      </c>
      <c r="DH644" s="156" t="s">
        <v>477</v>
      </c>
      <c r="DI644" s="187">
        <v>45982</v>
      </c>
      <c r="DJ644" s="717">
        <v>192</v>
      </c>
      <c r="DK644" s="240" t="s">
        <v>477</v>
      </c>
      <c r="DL644" s="189">
        <v>1880</v>
      </c>
      <c r="DM644" s="181">
        <f t="shared" si="647"/>
        <v>389836.80000000005</v>
      </c>
      <c r="DN644" s="446">
        <v>0.08</v>
      </c>
      <c r="DO644" s="160">
        <f t="shared" si="648"/>
        <v>360960</v>
      </c>
      <c r="DP644" s="159">
        <v>45982</v>
      </c>
      <c r="DQ644" s="152">
        <f>SUMIF($I:$I,I644,$DJ:$DJ)</f>
        <v>192</v>
      </c>
      <c r="DR644" s="152">
        <f>SUMIF($I:$I,I644,$DK:$DK)</f>
        <v>0</v>
      </c>
      <c r="EO644" s="152">
        <f>SUMIF($I:$I,I644,$EC:$EC)</f>
        <v>0</v>
      </c>
      <c r="EP644" s="151">
        <f>SUMIF($I:$I,I644,$ED:$ED)</f>
        <v>0</v>
      </c>
      <c r="EQ644" s="153"/>
      <c r="ER644" s="153"/>
      <c r="ES644" s="153"/>
      <c r="ET644" s="153"/>
      <c r="EU644" s="152">
        <f t="shared" si="669"/>
        <v>192</v>
      </c>
      <c r="EV644" s="152">
        <f t="shared" si="670"/>
        <v>0</v>
      </c>
      <c r="EW644" s="152">
        <f t="shared" si="671"/>
        <v>0</v>
      </c>
      <c r="EX644" s="152">
        <f t="shared" si="672"/>
        <v>0</v>
      </c>
      <c r="EY644" s="151" t="str">
        <f t="shared" si="673"/>
        <v>Đủ</v>
      </c>
    </row>
    <row r="645" spans="1:155" s="264" customFormat="1" ht="14" hidden="1" customHeight="1">
      <c r="A645" s="208" t="str">
        <f t="shared" si="665"/>
        <v>Hiện</v>
      </c>
      <c r="B645" s="154" t="str">
        <f t="shared" si="638"/>
        <v>Đủ</v>
      </c>
      <c r="C645" s="154">
        <f t="shared" si="639"/>
        <v>0</v>
      </c>
      <c r="D645" s="154"/>
      <c r="E645" s="154"/>
      <c r="F645" s="344"/>
      <c r="I645" s="164" t="s">
        <v>1835</v>
      </c>
      <c r="J645" s="164" t="s">
        <v>922</v>
      </c>
      <c r="K645" s="171" t="s">
        <v>1836</v>
      </c>
      <c r="L645" s="247"/>
      <c r="M645" s="163" t="s">
        <v>1074</v>
      </c>
      <c r="N645" s="248"/>
      <c r="O645" s="229">
        <v>102</v>
      </c>
      <c r="P645" s="172"/>
      <c r="Q645" s="266"/>
      <c r="BG645" s="162"/>
      <c r="BH645" s="162"/>
      <c r="BI645" s="162"/>
      <c r="BJ645" s="162"/>
      <c r="BK645" s="162"/>
      <c r="BL645" s="162"/>
      <c r="BM645" s="162"/>
      <c r="BN645" s="162"/>
      <c r="BO645" s="162"/>
      <c r="BP645" s="162"/>
      <c r="BQ645" s="162">
        <v>102</v>
      </c>
      <c r="BR645" s="162">
        <v>0</v>
      </c>
      <c r="BS645" s="162">
        <v>0</v>
      </c>
      <c r="BT645" s="162">
        <v>0</v>
      </c>
      <c r="BU645" s="162">
        <v>0</v>
      </c>
      <c r="BV645" s="162">
        <v>0</v>
      </c>
      <c r="BW645" s="162"/>
      <c r="BX645" s="162"/>
      <c r="BY645" s="162">
        <v>0</v>
      </c>
      <c r="BZ645" s="162">
        <v>0</v>
      </c>
      <c r="CA645" s="162">
        <v>0</v>
      </c>
      <c r="CB645" s="162">
        <v>0</v>
      </c>
      <c r="CC645" s="162">
        <v>0</v>
      </c>
      <c r="CD645" s="162">
        <v>0</v>
      </c>
      <c r="CE645" s="162">
        <f>VLOOKUP(I645,[120]REV33!$A:$O,11,0)</f>
        <v>0</v>
      </c>
      <c r="CF645" s="162">
        <f>VLOOKUP(I645,[120]REV33!$A:$O,12,0)</f>
        <v>0</v>
      </c>
      <c r="CG645" s="162"/>
      <c r="CH645" s="162"/>
      <c r="CI645" s="162"/>
      <c r="CJ645" s="162"/>
      <c r="CK645" s="162"/>
      <c r="CL645" s="162"/>
      <c r="CM645" s="162"/>
      <c r="CN645" s="162"/>
      <c r="CO645" s="162">
        <v>0</v>
      </c>
      <c r="CP645" s="162">
        <v>0</v>
      </c>
      <c r="CQ645" s="162">
        <v>0</v>
      </c>
      <c r="CR645" s="162">
        <v>0</v>
      </c>
      <c r="CS645" s="209">
        <f>Q645+S645+U645+W645+Y645+AA645+AC645+AE645+AG645+AI645+AK645+AM645+AO645+AQ645+AS645+AU645+AW645+AY645+BA645+BC645+BE645+BG645+BI645+BK645+BM645+BO645+BQ645+BS645+BU645+BW645+BY645+CA645+CC645+CE645+CG645+CI645+CK645+CM645+CO645+CQ645</f>
        <v>102</v>
      </c>
      <c r="CT645" s="209">
        <f>R645+T645+V645+X645+Z645+AB645+AD645+AF645+AH645+AJ645+AL645+AN645+AP645+AR645+AT645+AV645+AX645+AZ645+BB645+BD645+BF645+BH645+BJ645+BL645+BN645+BP645+BR645+BT645+BV645+BX645+BZ645+CB645+CD645+CF645+CH645+CJ645+CL645+CN645+CP645+CR645</f>
        <v>0</v>
      </c>
      <c r="CU645" s="206" t="s">
        <v>1894</v>
      </c>
      <c r="DA645" s="152">
        <f t="shared" si="667"/>
        <v>102</v>
      </c>
      <c r="DB645" s="152" t="str">
        <f t="shared" si="668"/>
        <v>0</v>
      </c>
      <c r="DD645" s="158" t="s">
        <v>2243</v>
      </c>
      <c r="DE645" s="156" t="s">
        <v>2042</v>
      </c>
      <c r="DF645" s="253" t="s">
        <v>2407</v>
      </c>
      <c r="DG645" s="186" t="s">
        <v>2408</v>
      </c>
      <c r="DH645" s="156" t="s">
        <v>477</v>
      </c>
      <c r="DI645" s="187">
        <v>45982</v>
      </c>
      <c r="DJ645" s="717">
        <v>102</v>
      </c>
      <c r="DK645" s="240" t="s">
        <v>477</v>
      </c>
      <c r="DL645" s="189">
        <v>420</v>
      </c>
      <c r="DM645" s="181">
        <f t="shared" si="647"/>
        <v>46267.200000000004</v>
      </c>
      <c r="DN645" s="446">
        <v>0.08</v>
      </c>
      <c r="DO645" s="160">
        <f t="shared" si="648"/>
        <v>42840</v>
      </c>
      <c r="DP645" s="159">
        <v>45982</v>
      </c>
      <c r="DQ645" s="152">
        <f>SUMIF($I:$I,I645,$DJ:$DJ)</f>
        <v>102</v>
      </c>
      <c r="DR645" s="152">
        <f>SUMIF($I:$I,I645,$DK:$DK)</f>
        <v>0</v>
      </c>
      <c r="EO645" s="152">
        <f>SUMIF($I:$I,I645,$EC:$EC)</f>
        <v>0</v>
      </c>
      <c r="EP645" s="151">
        <f>SUMIF($I:$I,I645,$ED:$ED)</f>
        <v>0</v>
      </c>
      <c r="EQ645" s="153"/>
      <c r="ER645" s="153"/>
      <c r="ES645" s="153"/>
      <c r="ET645" s="153"/>
      <c r="EU645" s="152">
        <f t="shared" si="669"/>
        <v>102</v>
      </c>
      <c r="EV645" s="152">
        <f t="shared" si="670"/>
        <v>0</v>
      </c>
      <c r="EW645" s="152">
        <f t="shared" si="671"/>
        <v>0</v>
      </c>
      <c r="EX645" s="152">
        <f t="shared" si="672"/>
        <v>0</v>
      </c>
      <c r="EY645" s="151" t="str">
        <f t="shared" si="673"/>
        <v>Đủ</v>
      </c>
    </row>
    <row r="646" spans="1:155" s="264" customFormat="1" ht="14" hidden="1" customHeight="1">
      <c r="A646" s="208" t="str">
        <f t="shared" si="665"/>
        <v>Hiện</v>
      </c>
      <c r="B646" s="154" t="str">
        <f t="shared" si="638"/>
        <v>Đủ</v>
      </c>
      <c r="C646" s="154">
        <f t="shared" si="639"/>
        <v>0</v>
      </c>
      <c r="D646" s="154"/>
      <c r="E646" s="154"/>
      <c r="F646" s="344"/>
      <c r="I646" s="164" t="s">
        <v>1837</v>
      </c>
      <c r="J646" s="164" t="s">
        <v>922</v>
      </c>
      <c r="K646" s="171" t="s">
        <v>1838</v>
      </c>
      <c r="L646" s="247"/>
      <c r="M646" s="163" t="s">
        <v>1074</v>
      </c>
      <c r="N646" s="248"/>
      <c r="O646" s="229">
        <v>528</v>
      </c>
      <c r="P646" s="172"/>
      <c r="Q646" s="266"/>
      <c r="BG646" s="162"/>
      <c r="BH646" s="162"/>
      <c r="BI646" s="162"/>
      <c r="BJ646" s="162"/>
      <c r="BK646" s="162"/>
      <c r="BL646" s="162"/>
      <c r="BM646" s="162"/>
      <c r="BN646" s="162"/>
      <c r="BO646" s="162"/>
      <c r="BP646" s="162"/>
      <c r="BQ646" s="162">
        <v>528</v>
      </c>
      <c r="BR646" s="162">
        <v>0</v>
      </c>
      <c r="BS646" s="162">
        <v>0</v>
      </c>
      <c r="BT646" s="162">
        <v>0</v>
      </c>
      <c r="BU646" s="162">
        <v>0</v>
      </c>
      <c r="BV646" s="162">
        <v>0</v>
      </c>
      <c r="BW646" s="162"/>
      <c r="BX646" s="162"/>
      <c r="BY646" s="162">
        <v>0</v>
      </c>
      <c r="BZ646" s="162">
        <v>0</v>
      </c>
      <c r="CA646" s="162">
        <v>0</v>
      </c>
      <c r="CB646" s="162">
        <v>0</v>
      </c>
      <c r="CC646" s="162">
        <v>0</v>
      </c>
      <c r="CD646" s="162">
        <v>0</v>
      </c>
      <c r="CE646" s="162">
        <f>VLOOKUP(I646,[120]REV33!$A:$O,11,0)</f>
        <v>0</v>
      </c>
      <c r="CF646" s="162">
        <f>VLOOKUP(I646,[120]REV33!$A:$O,12,0)</f>
        <v>0</v>
      </c>
      <c r="CG646" s="162"/>
      <c r="CH646" s="162"/>
      <c r="CI646" s="162"/>
      <c r="CJ646" s="162"/>
      <c r="CK646" s="162"/>
      <c r="CL646" s="162"/>
      <c r="CM646" s="162"/>
      <c r="CN646" s="162"/>
      <c r="CO646" s="162">
        <v>0</v>
      </c>
      <c r="CP646" s="162">
        <v>0</v>
      </c>
      <c r="CQ646" s="162">
        <v>0</v>
      </c>
      <c r="CR646" s="162">
        <v>0</v>
      </c>
      <c r="CS646" s="209">
        <f>Q646+S646+U646+W646+Y646+AA646+AC646+AE646+AG646+AI646+AK646+AM646+AO646+AQ646+AS646+AU646+AW646+AY646+BA646+BC646+BE646+BG646+BI646+BK646+BM646+BO646+BQ646+BS646+BU646+BW646+BY646+CA646+CC646+CE646+CG646+CI646+CK646+CM646+CO646+CQ646</f>
        <v>528</v>
      </c>
      <c r="CT646" s="209">
        <f>R646+T646+V646+X646+Z646+AB646+AD646+AF646+AH646+AJ646+AL646+AN646+AP646+AR646+AT646+AV646+AX646+AZ646+BB646+BD646+BF646+BH646+BJ646+BL646+BN646+BP646+BR646+BT646+BV646+BX646+BZ646+CB646+CD646+CF646+CH646+CJ646+CL646+CN646+CP646+CR646</f>
        <v>0</v>
      </c>
      <c r="CU646" s="206" t="s">
        <v>1894</v>
      </c>
      <c r="DA646" s="152">
        <f t="shared" si="667"/>
        <v>528</v>
      </c>
      <c r="DB646" s="152" t="str">
        <f t="shared" si="668"/>
        <v>0</v>
      </c>
      <c r="DD646" s="158" t="s">
        <v>2243</v>
      </c>
      <c r="DE646" s="156" t="s">
        <v>2042</v>
      </c>
      <c r="DF646" s="253" t="s">
        <v>2409</v>
      </c>
      <c r="DG646" s="186" t="s">
        <v>2410</v>
      </c>
      <c r="DH646" s="156" t="s">
        <v>477</v>
      </c>
      <c r="DI646" s="187">
        <v>45982</v>
      </c>
      <c r="DJ646" s="717">
        <v>528</v>
      </c>
      <c r="DK646" s="240" t="s">
        <v>477</v>
      </c>
      <c r="DL646" s="189">
        <v>640</v>
      </c>
      <c r="DM646" s="181">
        <f t="shared" si="647"/>
        <v>364953.60000000003</v>
      </c>
      <c r="DN646" s="446">
        <v>0.08</v>
      </c>
      <c r="DO646" s="160">
        <f t="shared" si="648"/>
        <v>337920</v>
      </c>
      <c r="DP646" s="159">
        <v>45982</v>
      </c>
      <c r="DQ646" s="152">
        <f>SUMIF($I:$I,I646,$DJ:$DJ)</f>
        <v>528</v>
      </c>
      <c r="DR646" s="152">
        <f>SUMIF($I:$I,I646,$DK:$DK)</f>
        <v>0</v>
      </c>
      <c r="EO646" s="152">
        <f>SUMIF($I:$I,I646,$EC:$EC)</f>
        <v>0</v>
      </c>
      <c r="EP646" s="151">
        <f>SUMIF($I:$I,I646,$ED:$ED)</f>
        <v>0</v>
      </c>
      <c r="EQ646" s="153"/>
      <c r="ER646" s="153"/>
      <c r="ES646" s="153"/>
      <c r="ET646" s="153"/>
      <c r="EU646" s="152">
        <f t="shared" si="669"/>
        <v>528</v>
      </c>
      <c r="EV646" s="152">
        <f t="shared" si="670"/>
        <v>0</v>
      </c>
      <c r="EW646" s="152">
        <f t="shared" si="671"/>
        <v>0</v>
      </c>
      <c r="EX646" s="152">
        <f t="shared" si="672"/>
        <v>0</v>
      </c>
      <c r="EY646" s="151" t="str">
        <f t="shared" si="673"/>
        <v>Đủ</v>
      </c>
    </row>
    <row r="647" spans="1:155" s="264" customFormat="1" ht="14" hidden="1" customHeight="1">
      <c r="A647" s="208" t="str">
        <f t="shared" si="665"/>
        <v>Hiện</v>
      </c>
      <c r="B647" s="154" t="str">
        <f t="shared" si="638"/>
        <v>Đủ</v>
      </c>
      <c r="C647" s="154">
        <f t="shared" si="639"/>
        <v>0</v>
      </c>
      <c r="D647" s="154"/>
      <c r="E647" s="154"/>
      <c r="F647" s="344"/>
      <c r="I647" s="164" t="s">
        <v>1839</v>
      </c>
      <c r="J647" s="164" t="s">
        <v>922</v>
      </c>
      <c r="K647" s="171" t="s">
        <v>1840</v>
      </c>
      <c r="L647" s="247"/>
      <c r="M647" s="163" t="s">
        <v>1074</v>
      </c>
      <c r="N647" s="248"/>
      <c r="O647" s="229">
        <v>384</v>
      </c>
      <c r="P647" s="172"/>
      <c r="Q647" s="266"/>
      <c r="BG647" s="162"/>
      <c r="BH647" s="162"/>
      <c r="BI647" s="162"/>
      <c r="BJ647" s="162"/>
      <c r="BK647" s="162"/>
      <c r="BL647" s="162"/>
      <c r="BM647" s="162"/>
      <c r="BN647" s="162"/>
      <c r="BO647" s="162"/>
      <c r="BP647" s="162"/>
      <c r="BQ647" s="162">
        <v>384</v>
      </c>
      <c r="BR647" s="162">
        <v>0</v>
      </c>
      <c r="BS647" s="162">
        <v>0</v>
      </c>
      <c r="BT647" s="162">
        <v>0</v>
      </c>
      <c r="BU647" s="162">
        <v>0</v>
      </c>
      <c r="BV647" s="162">
        <v>0</v>
      </c>
      <c r="BW647" s="162"/>
      <c r="BX647" s="162"/>
      <c r="BY647" s="162">
        <v>0</v>
      </c>
      <c r="BZ647" s="162">
        <v>0</v>
      </c>
      <c r="CA647" s="162">
        <v>0</v>
      </c>
      <c r="CB647" s="162">
        <v>0</v>
      </c>
      <c r="CC647" s="162">
        <v>0</v>
      </c>
      <c r="CD647" s="162">
        <v>0</v>
      </c>
      <c r="CE647" s="162">
        <f>VLOOKUP(I647,[120]REV33!$A:$O,11,0)</f>
        <v>0</v>
      </c>
      <c r="CF647" s="162">
        <f>VLOOKUP(I647,[120]REV33!$A:$O,12,0)</f>
        <v>0</v>
      </c>
      <c r="CG647" s="162"/>
      <c r="CH647" s="162"/>
      <c r="CI647" s="162"/>
      <c r="CJ647" s="162"/>
      <c r="CK647" s="162"/>
      <c r="CL647" s="162"/>
      <c r="CM647" s="162"/>
      <c r="CN647" s="162"/>
      <c r="CO647" s="162">
        <v>0</v>
      </c>
      <c r="CP647" s="162">
        <v>0</v>
      </c>
      <c r="CQ647" s="162">
        <v>0</v>
      </c>
      <c r="CR647" s="162">
        <v>0</v>
      </c>
      <c r="CS647" s="209">
        <f>Q647+S647+U647+W647+Y647+AA647+AC647+AE647+AG647+AI647+AK647+AM647+AO647+AQ647+AS647+AU647+AW647+AY647+BA647+BC647+BE647+BG647+BI647+BK647+BM647+BO647+BQ647+BS647+BU647+BW647+BY647+CA647+CC647+CE647+CG647+CI647+CK647+CM647+CO647+CQ647</f>
        <v>384</v>
      </c>
      <c r="CT647" s="209">
        <f>R647+T647+V647+X647+Z647+AB647+AD647+AF647+AH647+AJ647+AL647+AN647+AP647+AR647+AT647+AV647+AX647+AZ647+BB647+BD647+BF647+BH647+BJ647+BL647+BN647+BP647+BR647+BT647+BV647+BX647+BZ647+CB647+CD647+CF647+CH647+CJ647+CL647+CN647+CP647+CR647</f>
        <v>0</v>
      </c>
      <c r="CU647" s="206" t="s">
        <v>1894</v>
      </c>
      <c r="DA647" s="152">
        <f t="shared" si="667"/>
        <v>384</v>
      </c>
      <c r="DB647" s="152" t="str">
        <f t="shared" si="668"/>
        <v>0</v>
      </c>
      <c r="DD647" s="158" t="s">
        <v>2243</v>
      </c>
      <c r="DE647" s="156" t="s">
        <v>2042</v>
      </c>
      <c r="DF647" s="253" t="s">
        <v>2411</v>
      </c>
      <c r="DG647" s="186" t="s">
        <v>2412</v>
      </c>
      <c r="DH647" s="156" t="s">
        <v>477</v>
      </c>
      <c r="DI647" s="187">
        <v>45982</v>
      </c>
      <c r="DJ647" s="717">
        <v>384</v>
      </c>
      <c r="DK647" s="240" t="s">
        <v>477</v>
      </c>
      <c r="DL647" s="189">
        <v>1220</v>
      </c>
      <c r="DM647" s="181">
        <f t="shared" si="647"/>
        <v>505958.40000000002</v>
      </c>
      <c r="DN647" s="446">
        <v>0.08</v>
      </c>
      <c r="DO647" s="160">
        <f t="shared" si="648"/>
        <v>468480</v>
      </c>
      <c r="DP647" s="159">
        <v>45982</v>
      </c>
      <c r="DQ647" s="152">
        <f>SUMIF($I:$I,I647,$DJ:$DJ)</f>
        <v>384</v>
      </c>
      <c r="DR647" s="152">
        <f>SUMIF($I:$I,I647,$DK:$DK)</f>
        <v>0</v>
      </c>
      <c r="EO647" s="152">
        <f>SUMIF($I:$I,I647,$EC:$EC)</f>
        <v>0</v>
      </c>
      <c r="EP647" s="151">
        <f>SUMIF($I:$I,I647,$ED:$ED)</f>
        <v>0</v>
      </c>
      <c r="EQ647" s="153"/>
      <c r="ER647" s="153"/>
      <c r="ES647" s="153"/>
      <c r="ET647" s="153"/>
      <c r="EU647" s="152">
        <f t="shared" si="669"/>
        <v>384</v>
      </c>
      <c r="EV647" s="152">
        <f t="shared" si="670"/>
        <v>0</v>
      </c>
      <c r="EW647" s="152">
        <f t="shared" si="671"/>
        <v>0</v>
      </c>
      <c r="EX647" s="152">
        <f t="shared" si="672"/>
        <v>0</v>
      </c>
      <c r="EY647" s="151" t="str">
        <f t="shared" si="673"/>
        <v>Đủ</v>
      </c>
    </row>
    <row r="648" spans="1:155" s="264" customFormat="1" ht="14" hidden="1" customHeight="1">
      <c r="A648" s="208" t="str">
        <f t="shared" si="665"/>
        <v>Hiện</v>
      </c>
      <c r="B648" s="154" t="str">
        <f t="shared" si="638"/>
        <v>Đủ</v>
      </c>
      <c r="C648" s="154">
        <f t="shared" si="639"/>
        <v>0</v>
      </c>
      <c r="D648" s="154"/>
      <c r="E648" s="154"/>
      <c r="F648" s="344"/>
      <c r="I648" s="164" t="s">
        <v>1841</v>
      </c>
      <c r="J648" s="164" t="s">
        <v>922</v>
      </c>
      <c r="K648" s="171" t="s">
        <v>1842</v>
      </c>
      <c r="L648" s="247"/>
      <c r="M648" s="163" t="s">
        <v>1074</v>
      </c>
      <c r="N648" s="248"/>
      <c r="O648" s="229">
        <v>144</v>
      </c>
      <c r="P648" s="172"/>
      <c r="Q648" s="266"/>
      <c r="BG648" s="162"/>
      <c r="BH648" s="162"/>
      <c r="BI648" s="162"/>
      <c r="BJ648" s="162"/>
      <c r="BK648" s="162"/>
      <c r="BL648" s="162"/>
      <c r="BM648" s="162"/>
      <c r="BN648" s="162"/>
      <c r="BO648" s="162"/>
      <c r="BP648" s="162"/>
      <c r="BQ648" s="162">
        <v>144</v>
      </c>
      <c r="BR648" s="162">
        <v>0</v>
      </c>
      <c r="BS648" s="162">
        <v>0</v>
      </c>
      <c r="BT648" s="162">
        <v>0</v>
      </c>
      <c r="BU648" s="162">
        <v>0</v>
      </c>
      <c r="BV648" s="162">
        <v>0</v>
      </c>
      <c r="BW648" s="162"/>
      <c r="BX648" s="162"/>
      <c r="BY648" s="162">
        <v>0</v>
      </c>
      <c r="BZ648" s="162">
        <v>0</v>
      </c>
      <c r="CA648" s="162">
        <v>0</v>
      </c>
      <c r="CB648" s="162">
        <v>0</v>
      </c>
      <c r="CC648" s="162">
        <v>0</v>
      </c>
      <c r="CD648" s="162">
        <v>0</v>
      </c>
      <c r="CE648" s="162">
        <f>VLOOKUP(I648,[120]REV33!$A:$O,11,0)</f>
        <v>0</v>
      </c>
      <c r="CF648" s="162">
        <f>VLOOKUP(I648,[120]REV33!$A:$O,12,0)</f>
        <v>0</v>
      </c>
      <c r="CG648" s="162"/>
      <c r="CH648" s="162"/>
      <c r="CI648" s="162"/>
      <c r="CJ648" s="162"/>
      <c r="CK648" s="162"/>
      <c r="CL648" s="162"/>
      <c r="CM648" s="162"/>
      <c r="CN648" s="162"/>
      <c r="CO648" s="162">
        <v>0</v>
      </c>
      <c r="CP648" s="162">
        <v>0</v>
      </c>
      <c r="CQ648" s="162">
        <v>0</v>
      </c>
      <c r="CR648" s="162">
        <v>0</v>
      </c>
      <c r="CS648" s="209">
        <f>Q648+S648+U648+W648+Y648+AA648+AC648+AE648+AG648+AI648+AK648+AM648+AO648+AQ648+AS648+AU648+AW648+AY648+BA648+BC648+BE648+BG648+BI648+BK648+BM648+BO648+BQ648+BS648+BU648+BW648+BY648+CA648+CC648+CE648+CG648+CI648+CK648+CM648+CO648+CQ648</f>
        <v>144</v>
      </c>
      <c r="CT648" s="209">
        <f>R648+T648+V648+X648+Z648+AB648+AD648+AF648+AH648+AJ648+AL648+AN648+AP648+AR648+AT648+AV648+AX648+AZ648+BB648+BD648+BF648+BH648+BJ648+BL648+BN648+BP648+BR648+BT648+BV648+BX648+BZ648+CB648+CD648+CF648+CH648+CJ648+CL648+CN648+CP648+CR648</f>
        <v>0</v>
      </c>
      <c r="CU648" s="206" t="s">
        <v>1894</v>
      </c>
      <c r="DA648" s="152">
        <f t="shared" si="667"/>
        <v>144</v>
      </c>
      <c r="DB648" s="152" t="str">
        <f t="shared" si="668"/>
        <v>0</v>
      </c>
      <c r="DD648" s="158" t="s">
        <v>2243</v>
      </c>
      <c r="DE648" s="156" t="s">
        <v>2042</v>
      </c>
      <c r="DF648" s="253" t="s">
        <v>2413</v>
      </c>
      <c r="DG648" s="186" t="s">
        <v>2414</v>
      </c>
      <c r="DH648" s="156" t="s">
        <v>477</v>
      </c>
      <c r="DI648" s="187">
        <v>45982</v>
      </c>
      <c r="DJ648" s="717">
        <v>144</v>
      </c>
      <c r="DK648" s="240" t="s">
        <v>477</v>
      </c>
      <c r="DL648" s="189">
        <v>1780</v>
      </c>
      <c r="DM648" s="181">
        <f t="shared" si="647"/>
        <v>276825.60000000003</v>
      </c>
      <c r="DN648" s="446">
        <v>0.08</v>
      </c>
      <c r="DO648" s="160">
        <f t="shared" si="648"/>
        <v>256320</v>
      </c>
      <c r="DP648" s="159">
        <v>45982</v>
      </c>
      <c r="DQ648" s="152">
        <f>SUMIF($I:$I,I648,$DJ:$DJ)</f>
        <v>144</v>
      </c>
      <c r="DR648" s="152">
        <f>SUMIF($I:$I,I648,$DK:$DK)</f>
        <v>0</v>
      </c>
      <c r="EO648" s="152">
        <f>SUMIF($I:$I,I648,$EC:$EC)</f>
        <v>0</v>
      </c>
      <c r="EP648" s="151">
        <f>SUMIF($I:$I,I648,$ED:$ED)</f>
        <v>0</v>
      </c>
      <c r="EQ648" s="153"/>
      <c r="ER648" s="153"/>
      <c r="ES648" s="153"/>
      <c r="ET648" s="153"/>
      <c r="EU648" s="152">
        <f t="shared" si="669"/>
        <v>144</v>
      </c>
      <c r="EV648" s="152">
        <f t="shared" si="670"/>
        <v>0</v>
      </c>
      <c r="EW648" s="152">
        <f t="shared" si="671"/>
        <v>0</v>
      </c>
      <c r="EX648" s="152">
        <f t="shared" si="672"/>
        <v>0</v>
      </c>
      <c r="EY648" s="151" t="str">
        <f t="shared" si="673"/>
        <v>Đủ</v>
      </c>
    </row>
    <row r="649" spans="1:155" s="264" customFormat="1" ht="14" hidden="1" customHeight="1">
      <c r="A649" s="208" t="str">
        <f t="shared" si="665"/>
        <v>Hiện</v>
      </c>
      <c r="B649" s="154" t="str">
        <f t="shared" si="638"/>
        <v>Đủ</v>
      </c>
      <c r="C649" s="154">
        <f t="shared" si="639"/>
        <v>0</v>
      </c>
      <c r="D649" s="154"/>
      <c r="E649" s="154"/>
      <c r="F649" s="344"/>
      <c r="I649" s="164" t="s">
        <v>1843</v>
      </c>
      <c r="J649" s="164" t="s">
        <v>922</v>
      </c>
      <c r="K649" s="171" t="s">
        <v>1844</v>
      </c>
      <c r="L649" s="247"/>
      <c r="M649" s="163" t="s">
        <v>1074</v>
      </c>
      <c r="N649" s="248"/>
      <c r="O649" s="229">
        <v>96</v>
      </c>
      <c r="P649" s="172"/>
      <c r="Q649" s="266"/>
      <c r="BG649" s="162"/>
      <c r="BH649" s="162"/>
      <c r="BI649" s="162"/>
      <c r="BJ649" s="162"/>
      <c r="BK649" s="162"/>
      <c r="BL649" s="162"/>
      <c r="BM649" s="162"/>
      <c r="BN649" s="162"/>
      <c r="BO649" s="162"/>
      <c r="BP649" s="162"/>
      <c r="BQ649" s="162">
        <v>96</v>
      </c>
      <c r="BR649" s="162">
        <v>0</v>
      </c>
      <c r="BS649" s="162">
        <v>0</v>
      </c>
      <c r="BT649" s="162">
        <v>0</v>
      </c>
      <c r="BU649" s="162">
        <v>0</v>
      </c>
      <c r="BV649" s="162">
        <v>0</v>
      </c>
      <c r="BW649" s="162"/>
      <c r="BX649" s="162"/>
      <c r="BY649" s="162">
        <v>0</v>
      </c>
      <c r="BZ649" s="162">
        <v>0</v>
      </c>
      <c r="CA649" s="162">
        <v>0</v>
      </c>
      <c r="CB649" s="162">
        <v>0</v>
      </c>
      <c r="CC649" s="162">
        <v>0</v>
      </c>
      <c r="CD649" s="162">
        <v>0</v>
      </c>
      <c r="CE649" s="162">
        <f>VLOOKUP(I649,[120]REV33!$A:$O,11,0)</f>
        <v>0</v>
      </c>
      <c r="CF649" s="162">
        <f>VLOOKUP(I649,[120]REV33!$A:$O,12,0)</f>
        <v>0</v>
      </c>
      <c r="CG649" s="162"/>
      <c r="CH649" s="162"/>
      <c r="CI649" s="162"/>
      <c r="CJ649" s="162"/>
      <c r="CK649" s="162"/>
      <c r="CL649" s="162"/>
      <c r="CM649" s="162"/>
      <c r="CN649" s="162"/>
      <c r="CO649" s="162">
        <v>0</v>
      </c>
      <c r="CP649" s="162">
        <v>0</v>
      </c>
      <c r="CQ649" s="162">
        <v>0</v>
      </c>
      <c r="CR649" s="162">
        <v>0</v>
      </c>
      <c r="CS649" s="209">
        <f>Q649+S649+U649+W649+Y649+AA649+AC649+AE649+AG649+AI649+AK649+AM649+AO649+AQ649+AS649+AU649+AW649+AY649+BA649+BC649+BE649+BG649+BI649+BK649+BM649+BO649+BQ649+BS649+BU649+BW649+BY649+CA649+CC649+CE649+CG649+CI649+CK649+CM649+CO649+CQ649</f>
        <v>96</v>
      </c>
      <c r="CT649" s="209">
        <f>R649+T649+V649+X649+Z649+AB649+AD649+AF649+AH649+AJ649+AL649+AN649+AP649+AR649+AT649+AV649+AX649+AZ649+BB649+BD649+BF649+BH649+BJ649+BL649+BN649+BP649+BR649+BT649+BV649+BX649+BZ649+CB649+CD649+CF649+CH649+CJ649+CL649+CN649+CP649+CR649</f>
        <v>0</v>
      </c>
      <c r="CU649" s="206" t="s">
        <v>1894</v>
      </c>
      <c r="DA649" s="152">
        <f t="shared" si="667"/>
        <v>96</v>
      </c>
      <c r="DB649" s="152" t="str">
        <f t="shared" si="668"/>
        <v>0</v>
      </c>
      <c r="DD649" s="158" t="s">
        <v>2243</v>
      </c>
      <c r="DE649" s="156" t="s">
        <v>2042</v>
      </c>
      <c r="DF649" s="253" t="s">
        <v>2415</v>
      </c>
      <c r="DG649" s="186" t="s">
        <v>2416</v>
      </c>
      <c r="DH649" s="156" t="s">
        <v>477</v>
      </c>
      <c r="DI649" s="187">
        <v>45982</v>
      </c>
      <c r="DJ649" s="717">
        <v>96</v>
      </c>
      <c r="DK649" s="240" t="s">
        <v>477</v>
      </c>
      <c r="DL649" s="189">
        <v>2750</v>
      </c>
      <c r="DM649" s="181">
        <f t="shared" si="647"/>
        <v>285120</v>
      </c>
      <c r="DN649" s="446">
        <v>0.08</v>
      </c>
      <c r="DO649" s="160">
        <f t="shared" si="648"/>
        <v>264000</v>
      </c>
      <c r="DP649" s="159">
        <v>45982</v>
      </c>
      <c r="DQ649" s="152">
        <f>SUMIF($I:$I,I649,$DJ:$DJ)</f>
        <v>96</v>
      </c>
      <c r="DR649" s="152">
        <f>SUMIF($I:$I,I649,$DK:$DK)</f>
        <v>0</v>
      </c>
      <c r="EO649" s="152">
        <f>SUMIF($I:$I,I649,$EC:$EC)</f>
        <v>0</v>
      </c>
      <c r="EP649" s="151">
        <f>SUMIF($I:$I,I649,$ED:$ED)</f>
        <v>0</v>
      </c>
      <c r="EQ649" s="153"/>
      <c r="ER649" s="153"/>
      <c r="ES649" s="153"/>
      <c r="ET649" s="153"/>
      <c r="EU649" s="152">
        <f t="shared" si="669"/>
        <v>96</v>
      </c>
      <c r="EV649" s="152">
        <f t="shared" si="670"/>
        <v>0</v>
      </c>
      <c r="EW649" s="152">
        <f t="shared" si="671"/>
        <v>0</v>
      </c>
      <c r="EX649" s="152">
        <f t="shared" si="672"/>
        <v>0</v>
      </c>
      <c r="EY649" s="151" t="str">
        <f t="shared" si="673"/>
        <v>Đủ</v>
      </c>
    </row>
    <row r="650" spans="1:155" s="264" customFormat="1" ht="14" hidden="1" customHeight="1">
      <c r="A650" s="208" t="str">
        <f t="shared" si="665"/>
        <v>Hiện</v>
      </c>
      <c r="B650" s="154" t="str">
        <f t="shared" si="638"/>
        <v>Đủ</v>
      </c>
      <c r="C650" s="154">
        <f t="shared" si="639"/>
        <v>0</v>
      </c>
      <c r="D650" s="154"/>
      <c r="E650" s="154"/>
      <c r="F650" s="344"/>
      <c r="I650" s="164" t="s">
        <v>1845</v>
      </c>
      <c r="J650" s="164" t="s">
        <v>922</v>
      </c>
      <c r="K650" s="171" t="s">
        <v>1846</v>
      </c>
      <c r="L650" s="247"/>
      <c r="M650" s="163" t="s">
        <v>1074</v>
      </c>
      <c r="N650" s="248"/>
      <c r="O650" s="229">
        <v>320</v>
      </c>
      <c r="P650" s="172"/>
      <c r="Q650" s="266"/>
      <c r="BG650" s="162"/>
      <c r="BH650" s="162"/>
      <c r="BI650" s="162"/>
      <c r="BJ650" s="162"/>
      <c r="BK650" s="162"/>
      <c r="BL650" s="162"/>
      <c r="BM650" s="162"/>
      <c r="BN650" s="162"/>
      <c r="BO650" s="162"/>
      <c r="BP650" s="162"/>
      <c r="BQ650" s="162">
        <v>320</v>
      </c>
      <c r="BR650" s="162">
        <v>0</v>
      </c>
      <c r="BS650" s="162">
        <v>0</v>
      </c>
      <c r="BT650" s="162">
        <v>0</v>
      </c>
      <c r="BU650" s="162">
        <v>0</v>
      </c>
      <c r="BV650" s="162">
        <v>0</v>
      </c>
      <c r="BW650" s="162"/>
      <c r="BX650" s="162"/>
      <c r="BY650" s="162">
        <v>0</v>
      </c>
      <c r="BZ650" s="162">
        <v>0</v>
      </c>
      <c r="CA650" s="162">
        <v>0</v>
      </c>
      <c r="CB650" s="162">
        <v>0</v>
      </c>
      <c r="CC650" s="162">
        <v>0</v>
      </c>
      <c r="CD650" s="162">
        <v>0</v>
      </c>
      <c r="CE650" s="162">
        <f>VLOOKUP(I650,[120]REV33!$A:$O,11,0)</f>
        <v>0</v>
      </c>
      <c r="CF650" s="162">
        <f>VLOOKUP(I650,[120]REV33!$A:$O,12,0)</f>
        <v>0</v>
      </c>
      <c r="CG650" s="162"/>
      <c r="CH650" s="162"/>
      <c r="CI650" s="162"/>
      <c r="CJ650" s="162"/>
      <c r="CK650" s="162"/>
      <c r="CL650" s="162"/>
      <c r="CM650" s="162"/>
      <c r="CN650" s="162"/>
      <c r="CO650" s="162">
        <v>0</v>
      </c>
      <c r="CP650" s="162">
        <v>0</v>
      </c>
      <c r="CQ650" s="162">
        <v>0</v>
      </c>
      <c r="CR650" s="162">
        <v>0</v>
      </c>
      <c r="CS650" s="209">
        <f>Q650+S650+U650+W650+Y650+AA650+AC650+AE650+AG650+AI650+AK650+AM650+AO650+AQ650+AS650+AU650+AW650+AY650+BA650+BC650+BE650+BG650+BI650+BK650+BM650+BO650+BQ650+BS650+BU650+BW650+BY650+CA650+CC650+CE650+CG650+CI650+CK650+CM650+CO650+CQ650</f>
        <v>320</v>
      </c>
      <c r="CT650" s="209">
        <f>R650+T650+V650+X650+Z650+AB650+AD650+AF650+AH650+AJ650+AL650+AN650+AP650+AR650+AT650+AV650+AX650+AZ650+BB650+BD650+BF650+BH650+BJ650+BL650+BN650+BP650+BR650+BT650+BV650+BX650+BZ650+CB650+CD650+CF650+CH650+CJ650+CL650+CN650+CP650+CR650</f>
        <v>0</v>
      </c>
      <c r="CU650" s="206" t="s">
        <v>1894</v>
      </c>
      <c r="DA650" s="152">
        <f t="shared" si="667"/>
        <v>320</v>
      </c>
      <c r="DB650" s="152" t="str">
        <f t="shared" si="668"/>
        <v>0</v>
      </c>
      <c r="DD650" s="158" t="s">
        <v>2243</v>
      </c>
      <c r="DE650" s="156" t="s">
        <v>2042</v>
      </c>
      <c r="DF650" s="253" t="s">
        <v>2417</v>
      </c>
      <c r="DG650" s="186" t="s">
        <v>2418</v>
      </c>
      <c r="DH650" s="156" t="s">
        <v>477</v>
      </c>
      <c r="DI650" s="187">
        <v>45982</v>
      </c>
      <c r="DJ650" s="717">
        <v>320</v>
      </c>
      <c r="DK650" s="240" t="s">
        <v>477</v>
      </c>
      <c r="DL650" s="189">
        <v>230</v>
      </c>
      <c r="DM650" s="181">
        <f t="shared" si="647"/>
        <v>79488</v>
      </c>
      <c r="DN650" s="446">
        <v>0.08</v>
      </c>
      <c r="DO650" s="160">
        <f t="shared" si="648"/>
        <v>73600</v>
      </c>
      <c r="DP650" s="159">
        <v>45982</v>
      </c>
      <c r="DQ650" s="152">
        <f>SUMIF($I:$I,I650,$DJ:$DJ)</f>
        <v>320</v>
      </c>
      <c r="DR650" s="152">
        <f>SUMIF($I:$I,I650,$DK:$DK)</f>
        <v>0</v>
      </c>
      <c r="EO650" s="152">
        <f>SUMIF($I:$I,I650,$EC:$EC)</f>
        <v>0</v>
      </c>
      <c r="EP650" s="151">
        <f>SUMIF($I:$I,I650,$ED:$ED)</f>
        <v>0</v>
      </c>
      <c r="EQ650" s="153"/>
      <c r="ER650" s="153"/>
      <c r="ES650" s="153"/>
      <c r="ET650" s="153"/>
      <c r="EU650" s="152">
        <f t="shared" si="669"/>
        <v>320</v>
      </c>
      <c r="EV650" s="152">
        <f t="shared" si="670"/>
        <v>0</v>
      </c>
      <c r="EW650" s="152">
        <f t="shared" si="671"/>
        <v>0</v>
      </c>
      <c r="EX650" s="152">
        <f t="shared" si="672"/>
        <v>0</v>
      </c>
      <c r="EY650" s="151" t="str">
        <f t="shared" si="673"/>
        <v>Đủ</v>
      </c>
    </row>
    <row r="651" spans="1:155" s="264" customFormat="1" ht="14" hidden="1" customHeight="1">
      <c r="A651" s="208" t="str">
        <f t="shared" si="665"/>
        <v>Hiện</v>
      </c>
      <c r="B651" s="154" t="str">
        <f t="shared" si="638"/>
        <v>Đủ</v>
      </c>
      <c r="C651" s="154">
        <f t="shared" si="639"/>
        <v>0</v>
      </c>
      <c r="D651" s="154"/>
      <c r="E651" s="154"/>
      <c r="F651" s="344"/>
      <c r="I651" s="164" t="s">
        <v>1847</v>
      </c>
      <c r="J651" s="164" t="s">
        <v>922</v>
      </c>
      <c r="K651" s="171" t="s">
        <v>1848</v>
      </c>
      <c r="L651" s="247"/>
      <c r="M651" s="163" t="s">
        <v>1074</v>
      </c>
      <c r="N651" s="248"/>
      <c r="O651" s="229">
        <v>252</v>
      </c>
      <c r="P651" s="172"/>
      <c r="Q651" s="266"/>
      <c r="BG651" s="162"/>
      <c r="BH651" s="162"/>
      <c r="BI651" s="162"/>
      <c r="BJ651" s="162"/>
      <c r="BK651" s="162"/>
      <c r="BL651" s="162"/>
      <c r="BM651" s="162"/>
      <c r="BN651" s="162"/>
      <c r="BO651" s="162"/>
      <c r="BP651" s="162"/>
      <c r="BQ651" s="162">
        <v>252</v>
      </c>
      <c r="BR651" s="162">
        <v>0</v>
      </c>
      <c r="BS651" s="162">
        <v>0</v>
      </c>
      <c r="BT651" s="162">
        <v>0</v>
      </c>
      <c r="BU651" s="162">
        <v>0</v>
      </c>
      <c r="BV651" s="162">
        <v>0</v>
      </c>
      <c r="BW651" s="162"/>
      <c r="BX651" s="162"/>
      <c r="BY651" s="162">
        <v>0</v>
      </c>
      <c r="BZ651" s="162">
        <v>0</v>
      </c>
      <c r="CA651" s="162">
        <v>0</v>
      </c>
      <c r="CB651" s="162">
        <v>0</v>
      </c>
      <c r="CC651" s="162">
        <v>0</v>
      </c>
      <c r="CD651" s="162">
        <v>0</v>
      </c>
      <c r="CE651" s="162">
        <f>VLOOKUP(I651,[120]REV33!$A:$O,11,0)</f>
        <v>0</v>
      </c>
      <c r="CF651" s="162">
        <f>VLOOKUP(I651,[120]REV33!$A:$O,12,0)</f>
        <v>0</v>
      </c>
      <c r="CG651" s="162"/>
      <c r="CH651" s="162"/>
      <c r="CI651" s="162"/>
      <c r="CJ651" s="162"/>
      <c r="CK651" s="162"/>
      <c r="CL651" s="162"/>
      <c r="CM651" s="162"/>
      <c r="CN651" s="162"/>
      <c r="CO651" s="162">
        <v>0</v>
      </c>
      <c r="CP651" s="162">
        <v>0</v>
      </c>
      <c r="CQ651" s="162">
        <v>0</v>
      </c>
      <c r="CR651" s="162">
        <v>0</v>
      </c>
      <c r="CS651" s="209">
        <f>Q651+S651+U651+W651+Y651+AA651+AC651+AE651+AG651+AI651+AK651+AM651+AO651+AQ651+AS651+AU651+AW651+AY651+BA651+BC651+BE651+BG651+BI651+BK651+BM651+BO651+BQ651+BS651+BU651+BW651+BY651+CA651+CC651+CE651+CG651+CI651+CK651+CM651+CO651+CQ651</f>
        <v>252</v>
      </c>
      <c r="CT651" s="209">
        <f>R651+T651+V651+X651+Z651+AB651+AD651+AF651+AH651+AJ651+AL651+AN651+AP651+AR651+AT651+AV651+AX651+AZ651+BB651+BD651+BF651+BH651+BJ651+BL651+BN651+BP651+BR651+BT651+BV651+BX651+BZ651+CB651+CD651+CF651+CH651+CJ651+CL651+CN651+CP651+CR651</f>
        <v>0</v>
      </c>
      <c r="CU651" s="206" t="s">
        <v>1894</v>
      </c>
      <c r="DA651" s="152">
        <f t="shared" si="667"/>
        <v>252</v>
      </c>
      <c r="DB651" s="152" t="str">
        <f t="shared" si="668"/>
        <v>0</v>
      </c>
      <c r="DD651" s="158" t="s">
        <v>2243</v>
      </c>
      <c r="DE651" s="156" t="s">
        <v>2042</v>
      </c>
      <c r="DF651" s="253" t="s">
        <v>2399</v>
      </c>
      <c r="DG651" s="186" t="s">
        <v>2400</v>
      </c>
      <c r="DH651" s="156" t="s">
        <v>477</v>
      </c>
      <c r="DI651" s="187">
        <v>45982</v>
      </c>
      <c r="DJ651" s="717">
        <v>252</v>
      </c>
      <c r="DK651" s="240" t="s">
        <v>477</v>
      </c>
      <c r="DL651" s="189">
        <v>14100</v>
      </c>
      <c r="DM651" s="181">
        <f t="shared" si="647"/>
        <v>3837456.0000000005</v>
      </c>
      <c r="DN651" s="446">
        <v>0.08</v>
      </c>
      <c r="DO651" s="160">
        <f t="shared" si="648"/>
        <v>3553200</v>
      </c>
      <c r="DP651" s="159">
        <v>45982</v>
      </c>
      <c r="DQ651" s="152">
        <f>SUMIF($I:$I,I651,$DJ:$DJ)</f>
        <v>252</v>
      </c>
      <c r="DR651" s="152">
        <f>SUMIF($I:$I,I651,$DK:$DK)</f>
        <v>0</v>
      </c>
      <c r="EO651" s="152">
        <f>SUMIF($I:$I,I651,$EC:$EC)</f>
        <v>0</v>
      </c>
      <c r="EP651" s="151">
        <f>SUMIF($I:$I,I651,$ED:$ED)</f>
        <v>0</v>
      </c>
      <c r="EQ651" s="153"/>
      <c r="ER651" s="153"/>
      <c r="ES651" s="153"/>
      <c r="ET651" s="153"/>
      <c r="EU651" s="152">
        <f t="shared" si="669"/>
        <v>252</v>
      </c>
      <c r="EV651" s="152">
        <f t="shared" si="670"/>
        <v>0</v>
      </c>
      <c r="EW651" s="152">
        <f t="shared" si="671"/>
        <v>0</v>
      </c>
      <c r="EX651" s="152">
        <f t="shared" si="672"/>
        <v>0</v>
      </c>
      <c r="EY651" s="151" t="str">
        <f t="shared" si="673"/>
        <v>Đủ</v>
      </c>
    </row>
    <row r="652" spans="1:155" s="264" customFormat="1" ht="14" hidden="1" customHeight="1">
      <c r="A652" s="208" t="str">
        <f t="shared" si="665"/>
        <v>Hiện</v>
      </c>
      <c r="B652" s="154" t="str">
        <f t="shared" si="638"/>
        <v>Đủ</v>
      </c>
      <c r="C652" s="154">
        <f t="shared" si="639"/>
        <v>0</v>
      </c>
      <c r="D652" s="154"/>
      <c r="E652" s="154"/>
      <c r="F652" s="344"/>
      <c r="I652" s="164" t="s">
        <v>1849</v>
      </c>
      <c r="J652" s="164" t="s">
        <v>1153</v>
      </c>
      <c r="K652" s="171" t="s">
        <v>1850</v>
      </c>
      <c r="L652" s="247"/>
      <c r="M652" s="163" t="s">
        <v>1074</v>
      </c>
      <c r="N652" s="248"/>
      <c r="O652" s="229">
        <v>12</v>
      </c>
      <c r="P652" s="172"/>
      <c r="Q652" s="266"/>
      <c r="BG652" s="162"/>
      <c r="BH652" s="162"/>
      <c r="BI652" s="162"/>
      <c r="BJ652" s="162"/>
      <c r="BK652" s="162"/>
      <c r="BL652" s="162"/>
      <c r="BM652" s="162"/>
      <c r="BN652" s="162"/>
      <c r="BO652" s="162"/>
      <c r="BP652" s="162"/>
      <c r="BQ652" s="162">
        <v>12</v>
      </c>
      <c r="BR652" s="162">
        <v>0</v>
      </c>
      <c r="BS652" s="162">
        <v>0</v>
      </c>
      <c r="BT652" s="162">
        <v>0</v>
      </c>
      <c r="BU652" s="162">
        <v>0</v>
      </c>
      <c r="BV652" s="162">
        <v>0</v>
      </c>
      <c r="BW652" s="162"/>
      <c r="BX652" s="162"/>
      <c r="BY652" s="162">
        <v>0</v>
      </c>
      <c r="BZ652" s="162">
        <v>0</v>
      </c>
      <c r="CA652" s="162">
        <v>0</v>
      </c>
      <c r="CB652" s="162">
        <v>0</v>
      </c>
      <c r="CC652" s="162">
        <v>0</v>
      </c>
      <c r="CD652" s="162">
        <v>0</v>
      </c>
      <c r="CE652" s="162">
        <f>VLOOKUP(I652,[120]REV33!$A:$O,11,0)</f>
        <v>0</v>
      </c>
      <c r="CF652" s="162">
        <f>VLOOKUP(I652,[120]REV33!$A:$O,12,0)</f>
        <v>0</v>
      </c>
      <c r="CG652" s="162"/>
      <c r="CH652" s="162"/>
      <c r="CI652" s="162"/>
      <c r="CJ652" s="162"/>
      <c r="CK652" s="162"/>
      <c r="CL652" s="162"/>
      <c r="CM652" s="162"/>
      <c r="CN652" s="162"/>
      <c r="CO652" s="162">
        <v>0</v>
      </c>
      <c r="CP652" s="162">
        <v>0</v>
      </c>
      <c r="CQ652" s="162">
        <v>0</v>
      </c>
      <c r="CR652" s="162">
        <v>0</v>
      </c>
      <c r="CS652" s="209">
        <f>Q652+S652+U652+W652+Y652+AA652+AC652+AE652+AG652+AI652+AK652+AM652+AO652+AQ652+AS652+AU652+AW652+AY652+BA652+BC652+BE652+BG652+BI652+BK652+BM652+BO652+BQ652+BS652+BU652+BW652+BY652+CA652+CC652+CE652+CG652+CI652+CK652+CM652+CO652+CQ652</f>
        <v>12</v>
      </c>
      <c r="CT652" s="209">
        <f>R652+T652+V652+X652+Z652+AB652+AD652+AF652+AH652+AJ652+AL652+AN652+AP652+AR652+AT652+AV652+AX652+AZ652+BB652+BD652+BF652+BH652+BJ652+BL652+BN652+BP652+BR652+BT652+BV652+BX652+BZ652+CB652+CD652+CF652+CH652+CJ652+CL652+CN652+CP652+CR652</f>
        <v>0</v>
      </c>
      <c r="CU652" s="206" t="s">
        <v>1894</v>
      </c>
      <c r="DA652" s="152">
        <f t="shared" si="667"/>
        <v>12</v>
      </c>
      <c r="DB652" s="152" t="str">
        <f t="shared" si="668"/>
        <v>0</v>
      </c>
      <c r="DD652" s="158" t="s">
        <v>2243</v>
      </c>
      <c r="DE652" s="156" t="s">
        <v>2042</v>
      </c>
      <c r="DF652" s="253" t="s">
        <v>2419</v>
      </c>
      <c r="DG652" s="186" t="s">
        <v>2420</v>
      </c>
      <c r="DH652" s="156" t="s">
        <v>477</v>
      </c>
      <c r="DI652" s="187">
        <v>45982</v>
      </c>
      <c r="DJ652" s="717">
        <v>12</v>
      </c>
      <c r="DK652" s="240" t="s">
        <v>477</v>
      </c>
      <c r="DL652" s="189">
        <v>13700</v>
      </c>
      <c r="DM652" s="181">
        <f t="shared" si="647"/>
        <v>177552</v>
      </c>
      <c r="DN652" s="446">
        <v>0.08</v>
      </c>
      <c r="DO652" s="160">
        <f t="shared" si="648"/>
        <v>164400</v>
      </c>
      <c r="DP652" s="159">
        <v>45982</v>
      </c>
      <c r="DQ652" s="152">
        <f>SUMIF($I:$I,I652,$DJ:$DJ)</f>
        <v>12</v>
      </c>
      <c r="DR652" s="152">
        <f>SUMIF($I:$I,I652,$DK:$DK)</f>
        <v>0</v>
      </c>
      <c r="EO652" s="152">
        <f>SUMIF($I:$I,I652,$EC:$EC)</f>
        <v>0</v>
      </c>
      <c r="EP652" s="151">
        <f>SUMIF($I:$I,I652,$ED:$ED)</f>
        <v>0</v>
      </c>
      <c r="EQ652" s="153"/>
      <c r="ER652" s="153"/>
      <c r="ES652" s="153"/>
      <c r="ET652" s="153"/>
      <c r="EU652" s="152">
        <f t="shared" si="669"/>
        <v>12</v>
      </c>
      <c r="EV652" s="152">
        <f t="shared" si="670"/>
        <v>0</v>
      </c>
      <c r="EW652" s="152">
        <f t="shared" si="671"/>
        <v>0</v>
      </c>
      <c r="EX652" s="152">
        <f t="shared" si="672"/>
        <v>0</v>
      </c>
      <c r="EY652" s="151" t="str">
        <f t="shared" si="673"/>
        <v>Đủ</v>
      </c>
    </row>
    <row r="653" spans="1:155" s="264" customFormat="1" ht="14" hidden="1" customHeight="1">
      <c r="A653" s="208" t="str">
        <f t="shared" si="665"/>
        <v>Hiện</v>
      </c>
      <c r="B653" s="154" t="str">
        <f t="shared" si="638"/>
        <v>Thừa</v>
      </c>
      <c r="C653" s="154">
        <f t="shared" si="639"/>
        <v>-201.75</v>
      </c>
      <c r="D653" s="154"/>
      <c r="F653" s="344"/>
      <c r="I653" s="164" t="s">
        <v>1851</v>
      </c>
      <c r="J653" s="164" t="s">
        <v>1365</v>
      </c>
      <c r="K653" s="171" t="s">
        <v>1852</v>
      </c>
      <c r="L653" s="247" t="s">
        <v>1367</v>
      </c>
      <c r="M653" s="163" t="s">
        <v>1074</v>
      </c>
      <c r="N653" s="248"/>
      <c r="O653" s="229">
        <v>3</v>
      </c>
      <c r="P653" s="172"/>
      <c r="Q653" s="266"/>
      <c r="BG653" s="162"/>
      <c r="BH653" s="162"/>
      <c r="BI653" s="162"/>
      <c r="BJ653" s="162"/>
      <c r="BK653" s="162"/>
      <c r="BL653" s="162"/>
      <c r="BM653" s="162"/>
      <c r="BN653" s="162"/>
      <c r="BO653" s="162"/>
      <c r="BP653" s="162"/>
      <c r="BQ653" s="162">
        <v>3</v>
      </c>
      <c r="BR653" s="162">
        <v>0</v>
      </c>
      <c r="BS653" s="162">
        <v>0</v>
      </c>
      <c r="BT653" s="162">
        <v>0</v>
      </c>
      <c r="BU653" s="162">
        <v>0</v>
      </c>
      <c r="BV653" s="162">
        <v>0</v>
      </c>
      <c r="BW653" s="162"/>
      <c r="BX653" s="162"/>
      <c r="BY653" s="162">
        <v>0</v>
      </c>
      <c r="BZ653" s="162">
        <v>0</v>
      </c>
      <c r="CA653" s="162">
        <v>0</v>
      </c>
      <c r="CB653" s="162">
        <v>0</v>
      </c>
      <c r="CC653" s="162">
        <v>0</v>
      </c>
      <c r="CD653" s="162">
        <v>0</v>
      </c>
      <c r="CE653" s="162">
        <f>VLOOKUP(I653,[120]REV33!$A:$O,11,0)</f>
        <v>0</v>
      </c>
      <c r="CF653" s="162">
        <f>VLOOKUP(I653,[120]REV33!$A:$O,12,0)</f>
        <v>0</v>
      </c>
      <c r="CG653" s="162"/>
      <c r="CH653" s="162"/>
      <c r="CI653" s="162"/>
      <c r="CJ653" s="162"/>
      <c r="CK653" s="162"/>
      <c r="CL653" s="162"/>
      <c r="CM653" s="162"/>
      <c r="CN653" s="162"/>
      <c r="CO653" s="162">
        <v>0</v>
      </c>
      <c r="CP653" s="162">
        <v>0</v>
      </c>
      <c r="CQ653" s="162">
        <v>0</v>
      </c>
      <c r="CR653" s="162">
        <v>0</v>
      </c>
      <c r="CS653" s="209">
        <f>Q653+S653+U653+W653+Y653+AA653+AC653+AE653+AG653+AI653+AK653+AM653+AO653+AQ653+AS653+AU653+AW653+AY653+BA653+BC653+BE653+BG653+BI653+BK653+BM653+BO653+BQ653+BS653+BU653+BW653+BY653+CA653+CC653+CE653+CG653+CI653+CK653+CM653+CO653+CQ653</f>
        <v>3</v>
      </c>
      <c r="CT653" s="209">
        <f>R653+T653+V653+X653+Z653+AB653+AD653+AF653+AH653+AJ653+AL653+AN653+AP653+AR653+AT653+AV653+AX653+AZ653+BB653+BD653+BF653+BH653+BJ653+BL653+BN653+BP653+BR653+BT653+BV653+BX653+BZ653+CB653+CD653+CF653+CH653+CJ653+CL653+CN653+CP653+CR653</f>
        <v>0</v>
      </c>
      <c r="CU653" s="206" t="s">
        <v>2058</v>
      </c>
      <c r="DA653" s="152">
        <f t="shared" si="667"/>
        <v>3</v>
      </c>
      <c r="DB653" s="152" t="str">
        <f t="shared" si="668"/>
        <v>0</v>
      </c>
      <c r="DD653" s="267"/>
      <c r="DE653" s="264" t="s">
        <v>1395</v>
      </c>
      <c r="DF653" s="713" t="s">
        <v>2198</v>
      </c>
      <c r="DG653" s="714" t="s">
        <v>2166</v>
      </c>
      <c r="DH653" s="264" t="s">
        <v>2211</v>
      </c>
      <c r="DI653" s="264" t="s">
        <v>374</v>
      </c>
      <c r="DJ653" s="270">
        <v>204.75</v>
      </c>
      <c r="DK653" s="270" t="s">
        <v>2211</v>
      </c>
      <c r="DL653" s="264">
        <v>50500</v>
      </c>
      <c r="DM653" s="264">
        <f>DJ653*DL653*(1+DN653)</f>
        <v>11167065</v>
      </c>
      <c r="DN653" s="716">
        <v>0.08</v>
      </c>
      <c r="DO653" s="264">
        <f>DJ653*DL653</f>
        <v>10339875</v>
      </c>
      <c r="DP653" s="274">
        <v>45977</v>
      </c>
      <c r="DQ653" s="152">
        <f>SUMIF($I:$I,I653,$DJ:$DJ)</f>
        <v>204.75</v>
      </c>
      <c r="DR653" s="152">
        <f>SUMIF($I:$I,I653,$DK:$DK)</f>
        <v>0</v>
      </c>
      <c r="DY653" s="713"/>
      <c r="DZ653" s="714"/>
      <c r="EO653" s="152">
        <f>SUMIF($I:$I,I653,$EC:$EC)</f>
        <v>0</v>
      </c>
      <c r="EP653" s="151">
        <f>SUMIF($I:$I,I653,$ED:$ED)</f>
        <v>0</v>
      </c>
      <c r="EQ653" s="153"/>
      <c r="ER653" s="153"/>
      <c r="ES653" s="153"/>
      <c r="ET653" s="153"/>
      <c r="EU653" s="152">
        <f t="shared" si="669"/>
        <v>204.75</v>
      </c>
      <c r="EV653" s="152">
        <f t="shared" si="670"/>
        <v>0</v>
      </c>
      <c r="EW653" s="152">
        <f t="shared" si="671"/>
        <v>-201.75</v>
      </c>
      <c r="EX653" s="152">
        <f t="shared" si="672"/>
        <v>0</v>
      </c>
      <c r="EY653" s="151" t="str">
        <f t="shared" si="673"/>
        <v>Thừa</v>
      </c>
    </row>
    <row r="654" spans="1:155" s="264" customFormat="1" ht="14" hidden="1" customHeight="1">
      <c r="A654" s="208" t="str">
        <f t="shared" si="665"/>
        <v>Hiện</v>
      </c>
      <c r="B654" s="154" t="str">
        <f t="shared" si="638"/>
        <v>Thừa</v>
      </c>
      <c r="C654" s="154">
        <f t="shared" si="639"/>
        <v>-285</v>
      </c>
      <c r="D654" s="154"/>
      <c r="F654" s="344"/>
      <c r="I654" s="164" t="s">
        <v>1853</v>
      </c>
      <c r="J654" s="164" t="s">
        <v>1365</v>
      </c>
      <c r="K654" s="171" t="s">
        <v>1854</v>
      </c>
      <c r="L654" s="247"/>
      <c r="M654" s="163" t="s">
        <v>1074</v>
      </c>
      <c r="N654" s="248"/>
      <c r="O654" s="229">
        <v>3</v>
      </c>
      <c r="P654" s="172"/>
      <c r="Q654" s="266"/>
      <c r="BG654" s="162"/>
      <c r="BH654" s="162"/>
      <c r="BI654" s="162"/>
      <c r="BJ654" s="162"/>
      <c r="BK654" s="162"/>
      <c r="BL654" s="162"/>
      <c r="BM654" s="162"/>
      <c r="BN654" s="162"/>
      <c r="BO654" s="162"/>
      <c r="BP654" s="162"/>
      <c r="BQ654" s="162">
        <v>3</v>
      </c>
      <c r="BR654" s="162">
        <v>0</v>
      </c>
      <c r="BS654" s="162">
        <v>0</v>
      </c>
      <c r="BT654" s="162">
        <v>0</v>
      </c>
      <c r="BU654" s="162">
        <v>0</v>
      </c>
      <c r="BV654" s="162">
        <v>0</v>
      </c>
      <c r="BW654" s="162"/>
      <c r="BX654" s="162"/>
      <c r="BY654" s="162">
        <v>0</v>
      </c>
      <c r="BZ654" s="162">
        <v>0</v>
      </c>
      <c r="CA654" s="162">
        <v>0</v>
      </c>
      <c r="CB654" s="162">
        <v>0</v>
      </c>
      <c r="CC654" s="162">
        <v>0</v>
      </c>
      <c r="CD654" s="162">
        <v>0</v>
      </c>
      <c r="CE654" s="162">
        <f>VLOOKUP(I654,[120]REV33!$A:$O,11,0)</f>
        <v>0</v>
      </c>
      <c r="CF654" s="162">
        <f>VLOOKUP(I654,[120]REV33!$A:$O,12,0)</f>
        <v>0</v>
      </c>
      <c r="CG654" s="162"/>
      <c r="CH654" s="162"/>
      <c r="CI654" s="162"/>
      <c r="CJ654" s="162"/>
      <c r="CK654" s="162"/>
      <c r="CL654" s="162"/>
      <c r="CM654" s="162"/>
      <c r="CN654" s="162"/>
      <c r="CO654" s="162">
        <v>0</v>
      </c>
      <c r="CP654" s="162">
        <v>0</v>
      </c>
      <c r="CQ654" s="162">
        <v>0</v>
      </c>
      <c r="CR654" s="162">
        <v>0</v>
      </c>
      <c r="CS654" s="209">
        <f>Q654+S654+U654+W654+Y654+AA654+AC654+AE654+AG654+AI654+AK654+AM654+AO654+AQ654+AS654+AU654+AW654+AY654+BA654+BC654+BE654+BG654+BI654+BK654+BM654+BO654+BQ654+BS654+BU654+BW654+BY654+CA654+CC654+CE654+CG654+CI654+CK654+CM654+CO654+CQ654</f>
        <v>3</v>
      </c>
      <c r="CT654" s="209">
        <f>R654+T654+V654+X654+Z654+AB654+AD654+AF654+AH654+AJ654+AL654+AN654+AP654+AR654+AT654+AV654+AX654+AZ654+BB654+BD654+BF654+BH654+BJ654+BL654+BN654+BP654+BR654+BT654+BV654+BX654+BZ654+CB654+CD654+CF654+CH654+CJ654+CL654+CN654+CP654+CR654</f>
        <v>0</v>
      </c>
      <c r="CU654" s="206" t="s">
        <v>2058</v>
      </c>
      <c r="DA654" s="152">
        <f t="shared" si="667"/>
        <v>3</v>
      </c>
      <c r="DB654" s="152" t="str">
        <f t="shared" si="668"/>
        <v>0</v>
      </c>
      <c r="DD654" s="267"/>
      <c r="DE654" s="264" t="s">
        <v>1395</v>
      </c>
      <c r="DF654" s="713" t="s">
        <v>2199</v>
      </c>
      <c r="DG654" s="714" t="s">
        <v>2166</v>
      </c>
      <c r="DH654" s="264" t="s">
        <v>2211</v>
      </c>
      <c r="DI654" s="264" t="s">
        <v>374</v>
      </c>
      <c r="DJ654" s="270">
        <v>288</v>
      </c>
      <c r="DK654" s="270" t="s">
        <v>2211</v>
      </c>
      <c r="DL654" s="264">
        <v>50500</v>
      </c>
      <c r="DM654" s="264">
        <f t="shared" ref="DM654:DM667" si="674">DJ654*DL654*(1+DN654)</f>
        <v>15707520.000000002</v>
      </c>
      <c r="DN654" s="716">
        <v>0.08</v>
      </c>
      <c r="DO654" s="264">
        <f t="shared" ref="DO654:DO667" si="675">DJ654*DL654</f>
        <v>14544000</v>
      </c>
      <c r="DP654" s="274">
        <v>45977</v>
      </c>
      <c r="DQ654" s="152">
        <f>SUMIF($I:$I,I654,$DJ:$DJ)</f>
        <v>288</v>
      </c>
      <c r="DR654" s="152">
        <f>SUMIF($I:$I,I654,$DK:$DK)</f>
        <v>0</v>
      </c>
      <c r="DY654" s="713"/>
      <c r="DZ654" s="714"/>
      <c r="EO654" s="152">
        <f>SUMIF($I:$I,I654,$EC:$EC)</f>
        <v>0</v>
      </c>
      <c r="EP654" s="151">
        <f>SUMIF($I:$I,I654,$ED:$ED)</f>
        <v>0</v>
      </c>
      <c r="EQ654" s="153"/>
      <c r="ER654" s="153"/>
      <c r="ES654" s="153"/>
      <c r="ET654" s="153"/>
      <c r="EU654" s="152">
        <f t="shared" si="669"/>
        <v>288</v>
      </c>
      <c r="EV654" s="152">
        <f t="shared" si="670"/>
        <v>0</v>
      </c>
      <c r="EW654" s="152">
        <f t="shared" si="671"/>
        <v>-285</v>
      </c>
      <c r="EX654" s="152">
        <f t="shared" si="672"/>
        <v>0</v>
      </c>
      <c r="EY654" s="151" t="str">
        <f t="shared" si="673"/>
        <v>Thừa</v>
      </c>
    </row>
    <row r="655" spans="1:155" s="264" customFormat="1" ht="14" hidden="1" customHeight="1">
      <c r="A655" s="208" t="str">
        <f t="shared" si="665"/>
        <v>Hiện</v>
      </c>
      <c r="B655" s="154" t="str">
        <f t="shared" si="638"/>
        <v>Thừa</v>
      </c>
      <c r="C655" s="154">
        <f t="shared" si="639"/>
        <v>-113</v>
      </c>
      <c r="D655" s="154"/>
      <c r="F655" s="344"/>
      <c r="I655" s="164" t="s">
        <v>1855</v>
      </c>
      <c r="J655" s="164" t="s">
        <v>1365</v>
      </c>
      <c r="K655" s="171" t="s">
        <v>1856</v>
      </c>
      <c r="L655" s="247"/>
      <c r="M655" s="163" t="s">
        <v>1074</v>
      </c>
      <c r="N655" s="248"/>
      <c r="O655" s="229">
        <v>1</v>
      </c>
      <c r="P655" s="172"/>
      <c r="Q655" s="266"/>
      <c r="BG655" s="162"/>
      <c r="BH655" s="162"/>
      <c r="BI655" s="162"/>
      <c r="BJ655" s="162"/>
      <c r="BK655" s="162"/>
      <c r="BL655" s="162"/>
      <c r="BM655" s="162"/>
      <c r="BN655" s="162"/>
      <c r="BO655" s="162"/>
      <c r="BP655" s="162"/>
      <c r="BQ655" s="162">
        <v>1</v>
      </c>
      <c r="BR655" s="162">
        <v>0</v>
      </c>
      <c r="BS655" s="162">
        <v>0</v>
      </c>
      <c r="BT655" s="162">
        <v>0</v>
      </c>
      <c r="BU655" s="162">
        <v>0</v>
      </c>
      <c r="BV655" s="162">
        <v>0</v>
      </c>
      <c r="BW655" s="162"/>
      <c r="BX655" s="162"/>
      <c r="BY655" s="162">
        <v>0</v>
      </c>
      <c r="BZ655" s="162">
        <v>0</v>
      </c>
      <c r="CA655" s="162">
        <v>0</v>
      </c>
      <c r="CB655" s="162">
        <v>0</v>
      </c>
      <c r="CC655" s="162">
        <v>0</v>
      </c>
      <c r="CD655" s="162">
        <v>0</v>
      </c>
      <c r="CE655" s="162">
        <f>VLOOKUP(I655,[120]REV33!$A:$O,11,0)</f>
        <v>0</v>
      </c>
      <c r="CF655" s="162">
        <f>VLOOKUP(I655,[120]REV33!$A:$O,12,0)</f>
        <v>0</v>
      </c>
      <c r="CG655" s="162"/>
      <c r="CH655" s="162"/>
      <c r="CI655" s="162"/>
      <c r="CJ655" s="162"/>
      <c r="CK655" s="162"/>
      <c r="CL655" s="162"/>
      <c r="CM655" s="162"/>
      <c r="CN655" s="162"/>
      <c r="CO655" s="162">
        <v>0</v>
      </c>
      <c r="CP655" s="162">
        <v>0</v>
      </c>
      <c r="CQ655" s="162">
        <v>0</v>
      </c>
      <c r="CR655" s="162">
        <v>0</v>
      </c>
      <c r="CS655" s="209">
        <f>Q655+S655+U655+W655+Y655+AA655+AC655+AE655+AG655+AI655+AK655+AM655+AO655+AQ655+AS655+AU655+AW655+AY655+BA655+BC655+BE655+BG655+BI655+BK655+BM655+BO655+BQ655+BS655+BU655+BW655+BY655+CA655+CC655+CE655+CG655+CI655+CK655+CM655+CO655+CQ655</f>
        <v>1</v>
      </c>
      <c r="CT655" s="209">
        <f>R655+T655+V655+X655+Z655+AB655+AD655+AF655+AH655+AJ655+AL655+AN655+AP655+AR655+AT655+AV655+AX655+AZ655+BB655+BD655+BF655+BH655+BJ655+BL655+BN655+BP655+BR655+BT655+BV655+BX655+BZ655+CB655+CD655+CF655+CH655+CJ655+CL655+CN655+CP655+CR655</f>
        <v>0</v>
      </c>
      <c r="CU655" s="206" t="s">
        <v>2058</v>
      </c>
      <c r="DA655" s="152">
        <f t="shared" si="667"/>
        <v>1</v>
      </c>
      <c r="DB655" s="152" t="str">
        <f t="shared" si="668"/>
        <v>0</v>
      </c>
      <c r="DD655" s="267"/>
      <c r="DE655" s="264" t="s">
        <v>1395</v>
      </c>
      <c r="DF655" s="713" t="s">
        <v>2200</v>
      </c>
      <c r="DG655" s="714" t="s">
        <v>2166</v>
      </c>
      <c r="DH655" s="264" t="s">
        <v>2211</v>
      </c>
      <c r="DI655" s="264" t="s">
        <v>374</v>
      </c>
      <c r="DJ655" s="270">
        <v>114</v>
      </c>
      <c r="DK655" s="270" t="s">
        <v>2211</v>
      </c>
      <c r="DL655" s="264">
        <v>50500</v>
      </c>
      <c r="DM655" s="264">
        <f t="shared" si="674"/>
        <v>6217560</v>
      </c>
      <c r="DN655" s="716">
        <v>0.08</v>
      </c>
      <c r="DO655" s="264">
        <f t="shared" si="675"/>
        <v>5757000</v>
      </c>
      <c r="DP655" s="274">
        <v>45977</v>
      </c>
      <c r="DQ655" s="152">
        <f>SUMIF($I:$I,I655,$DJ:$DJ)</f>
        <v>114</v>
      </c>
      <c r="DR655" s="152">
        <f>SUMIF($I:$I,I655,$DK:$DK)</f>
        <v>0</v>
      </c>
      <c r="DY655" s="713"/>
      <c r="DZ655" s="714"/>
      <c r="EO655" s="152">
        <f>SUMIF($I:$I,I655,$EC:$EC)</f>
        <v>0</v>
      </c>
      <c r="EP655" s="151">
        <f>SUMIF($I:$I,I655,$ED:$ED)</f>
        <v>0</v>
      </c>
      <c r="EQ655" s="153"/>
      <c r="ER655" s="153"/>
      <c r="ES655" s="153"/>
      <c r="ET655" s="153"/>
      <c r="EU655" s="152">
        <f t="shared" si="669"/>
        <v>114</v>
      </c>
      <c r="EV655" s="152">
        <f t="shared" si="670"/>
        <v>0</v>
      </c>
      <c r="EW655" s="152">
        <f t="shared" si="671"/>
        <v>-113</v>
      </c>
      <c r="EX655" s="152">
        <f t="shared" si="672"/>
        <v>0</v>
      </c>
      <c r="EY655" s="151" t="str">
        <f t="shared" si="673"/>
        <v>Thừa</v>
      </c>
    </row>
    <row r="656" spans="1:155" s="264" customFormat="1" ht="14" hidden="1" customHeight="1">
      <c r="A656" s="208" t="str">
        <f t="shared" si="665"/>
        <v>Hiện</v>
      </c>
      <c r="B656" s="154" t="str">
        <f t="shared" si="638"/>
        <v>Thừa</v>
      </c>
      <c r="C656" s="154">
        <f t="shared" si="639"/>
        <v>-582</v>
      </c>
      <c r="F656" s="344"/>
      <c r="I656" s="164" t="s">
        <v>1857</v>
      </c>
      <c r="J656" s="164" t="s">
        <v>1365</v>
      </c>
      <c r="K656" s="171" t="s">
        <v>1858</v>
      </c>
      <c r="L656" s="247"/>
      <c r="M656" s="163" t="s">
        <v>1074</v>
      </c>
      <c r="N656" s="248"/>
      <c r="O656" s="229">
        <v>4</v>
      </c>
      <c r="P656" s="172"/>
      <c r="Q656" s="266"/>
      <c r="BG656" s="162"/>
      <c r="BH656" s="162"/>
      <c r="BI656" s="162"/>
      <c r="BJ656" s="162"/>
      <c r="BK656" s="162"/>
      <c r="BL656" s="162"/>
      <c r="BM656" s="162"/>
      <c r="BN656" s="162"/>
      <c r="BO656" s="162"/>
      <c r="BP656" s="162"/>
      <c r="BQ656" s="162">
        <v>4</v>
      </c>
      <c r="BR656" s="162">
        <v>0</v>
      </c>
      <c r="BS656" s="162">
        <v>2</v>
      </c>
      <c r="BT656" s="162">
        <v>0</v>
      </c>
      <c r="BU656" s="162">
        <v>0</v>
      </c>
      <c r="BV656" s="162">
        <v>0</v>
      </c>
      <c r="BW656" s="162"/>
      <c r="BX656" s="162"/>
      <c r="BY656" s="162">
        <v>0</v>
      </c>
      <c r="BZ656" s="162">
        <v>0</v>
      </c>
      <c r="CA656" s="162">
        <v>0</v>
      </c>
      <c r="CB656" s="162">
        <v>0</v>
      </c>
      <c r="CC656" s="162">
        <v>0</v>
      </c>
      <c r="CD656" s="162">
        <v>0</v>
      </c>
      <c r="CE656" s="162">
        <f>VLOOKUP(I656,[120]REV33!$A:$O,11,0)</f>
        <v>0</v>
      </c>
      <c r="CF656" s="162">
        <f>VLOOKUP(I656,[120]REV33!$A:$O,12,0)</f>
        <v>0</v>
      </c>
      <c r="CG656" s="162"/>
      <c r="CH656" s="162"/>
      <c r="CI656" s="162"/>
      <c r="CJ656" s="162"/>
      <c r="CK656" s="162"/>
      <c r="CL656" s="162"/>
      <c r="CM656" s="162"/>
      <c r="CN656" s="162"/>
      <c r="CO656" s="162">
        <v>0</v>
      </c>
      <c r="CP656" s="162">
        <v>0</v>
      </c>
      <c r="CQ656" s="162">
        <v>0</v>
      </c>
      <c r="CR656" s="162">
        <v>0</v>
      </c>
      <c r="CS656" s="209">
        <f>Q656+S656+U656+W656+Y656+AA656+AC656+AE656+AG656+AI656+AK656+AM656+AO656+AQ656+AS656+AU656+AW656+AY656+BA656+BC656+BE656+BG656+BI656+BK656+BM656+BO656+BQ656+BS656+BU656+BW656+BY656+CA656+CC656+CE656+CG656+CI656+CK656+CM656+CO656+CQ656</f>
        <v>6</v>
      </c>
      <c r="CT656" s="209">
        <f>R656+T656+V656+X656+Z656+AB656+AD656+AF656+AH656+AJ656+AL656+AN656+AP656+AR656+AT656+AV656+AX656+AZ656+BB656+BD656+BF656+BH656+BJ656+BL656+BN656+BP656+BR656+BT656+BV656+BX656+BZ656+CB656+CD656+CF656+CH656+CJ656+CL656+CN656+CP656+CR656</f>
        <v>0</v>
      </c>
      <c r="CU656" s="206" t="s">
        <v>2055</v>
      </c>
      <c r="DA656" s="152">
        <f t="shared" si="667"/>
        <v>6</v>
      </c>
      <c r="DB656" s="152" t="str">
        <f t="shared" si="668"/>
        <v>0</v>
      </c>
      <c r="DD656" s="267"/>
      <c r="DE656" s="264" t="s">
        <v>1395</v>
      </c>
      <c r="DF656" s="713" t="s">
        <v>2201</v>
      </c>
      <c r="DG656" s="714" t="s">
        <v>2166</v>
      </c>
      <c r="DH656" s="264" t="s">
        <v>2211</v>
      </c>
      <c r="DI656" s="264" t="s">
        <v>374</v>
      </c>
      <c r="DJ656" s="270">
        <v>588</v>
      </c>
      <c r="DK656" s="270" t="s">
        <v>2211</v>
      </c>
      <c r="DL656" s="264">
        <v>50500</v>
      </c>
      <c r="DM656" s="264">
        <f t="shared" si="674"/>
        <v>32069520.000000004</v>
      </c>
      <c r="DN656" s="716">
        <v>0.08</v>
      </c>
      <c r="DO656" s="264">
        <f t="shared" si="675"/>
        <v>29694000</v>
      </c>
      <c r="DP656" s="274">
        <v>45977</v>
      </c>
      <c r="DQ656" s="152">
        <f>SUMIF($I:$I,I656,$DJ:$DJ)</f>
        <v>588</v>
      </c>
      <c r="DR656" s="152">
        <f>SUMIF($I:$I,I656,$DK:$DK)</f>
        <v>0</v>
      </c>
      <c r="DY656" s="713"/>
      <c r="DZ656" s="714"/>
      <c r="EO656" s="152">
        <f>SUMIF($I:$I,I656,$EC:$EC)</f>
        <v>0</v>
      </c>
      <c r="EP656" s="151">
        <f>SUMIF($I:$I,I656,$ED:$ED)</f>
        <v>0</v>
      </c>
      <c r="EQ656" s="153"/>
      <c r="ER656" s="153"/>
      <c r="ES656" s="153"/>
      <c r="ET656" s="153"/>
      <c r="EU656" s="152">
        <f t="shared" si="669"/>
        <v>588</v>
      </c>
      <c r="EV656" s="152">
        <f t="shared" si="670"/>
        <v>0</v>
      </c>
      <c r="EW656" s="152">
        <f t="shared" si="671"/>
        <v>-582</v>
      </c>
      <c r="EX656" s="152">
        <f t="shared" si="672"/>
        <v>0</v>
      </c>
      <c r="EY656" s="151" t="str">
        <f t="shared" si="673"/>
        <v>Thừa</v>
      </c>
    </row>
    <row r="657" spans="1:155" s="264" customFormat="1" ht="14" hidden="1" customHeight="1">
      <c r="A657" s="208" t="str">
        <f t="shared" si="665"/>
        <v>Hiện</v>
      </c>
      <c r="B657" s="154" t="str">
        <f t="shared" si="638"/>
        <v>Thừa</v>
      </c>
      <c r="C657" s="154">
        <f t="shared" si="639"/>
        <v>-164</v>
      </c>
      <c r="D657" s="154"/>
      <c r="F657" s="344"/>
      <c r="I657" s="164" t="s">
        <v>1859</v>
      </c>
      <c r="J657" s="164" t="s">
        <v>1365</v>
      </c>
      <c r="K657" s="171" t="s">
        <v>1860</v>
      </c>
      <c r="L657" s="247"/>
      <c r="M657" s="163" t="s">
        <v>1074</v>
      </c>
      <c r="N657" s="248"/>
      <c r="O657" s="229">
        <v>1</v>
      </c>
      <c r="P657" s="172"/>
      <c r="Q657" s="266"/>
      <c r="BG657" s="162"/>
      <c r="BH657" s="162"/>
      <c r="BI657" s="162"/>
      <c r="BJ657" s="162"/>
      <c r="BK657" s="162"/>
      <c r="BL657" s="162"/>
      <c r="BM657" s="162"/>
      <c r="BN657" s="162"/>
      <c r="BO657" s="162"/>
      <c r="BP657" s="162"/>
      <c r="BQ657" s="162">
        <v>1</v>
      </c>
      <c r="BR657" s="162">
        <v>0</v>
      </c>
      <c r="BS657" s="162">
        <v>0</v>
      </c>
      <c r="BT657" s="162">
        <v>0</v>
      </c>
      <c r="BU657" s="162">
        <v>0</v>
      </c>
      <c r="BV657" s="162">
        <v>0</v>
      </c>
      <c r="BW657" s="162"/>
      <c r="BX657" s="162"/>
      <c r="BY657" s="162">
        <v>0</v>
      </c>
      <c r="BZ657" s="162">
        <v>0</v>
      </c>
      <c r="CA657" s="162">
        <v>0</v>
      </c>
      <c r="CB657" s="162">
        <v>0</v>
      </c>
      <c r="CC657" s="162">
        <v>0</v>
      </c>
      <c r="CD657" s="162">
        <v>0</v>
      </c>
      <c r="CE657" s="162">
        <f>VLOOKUP(I657,[120]REV33!$A:$O,11,0)</f>
        <v>0</v>
      </c>
      <c r="CF657" s="162">
        <f>VLOOKUP(I657,[120]REV33!$A:$O,12,0)</f>
        <v>0</v>
      </c>
      <c r="CG657" s="162"/>
      <c r="CH657" s="162"/>
      <c r="CI657" s="162"/>
      <c r="CJ657" s="162"/>
      <c r="CK657" s="162"/>
      <c r="CL657" s="162"/>
      <c r="CM657" s="162"/>
      <c r="CN657" s="162"/>
      <c r="CO657" s="162">
        <v>0</v>
      </c>
      <c r="CP657" s="162">
        <v>0</v>
      </c>
      <c r="CQ657" s="162">
        <v>0</v>
      </c>
      <c r="CR657" s="162">
        <v>0</v>
      </c>
      <c r="CS657" s="209">
        <f>Q657+S657+U657+W657+Y657+AA657+AC657+AE657+AG657+AI657+AK657+AM657+AO657+AQ657+AS657+AU657+AW657+AY657+BA657+BC657+BE657+BG657+BI657+BK657+BM657+BO657+BQ657+BS657+BU657+BW657+BY657+CA657+CC657+CE657+CG657+CI657+CK657+CM657+CO657+CQ657</f>
        <v>1</v>
      </c>
      <c r="CT657" s="209">
        <f>R657+T657+V657+X657+Z657+AB657+AD657+AF657+AH657+AJ657+AL657+AN657+AP657+AR657+AT657+AV657+AX657+AZ657+BB657+BD657+BF657+BH657+BJ657+BL657+BN657+BP657+BR657+BT657+BV657+BX657+BZ657+CB657+CD657+CF657+CH657+CJ657+CL657+CN657+CP657+CR657</f>
        <v>0</v>
      </c>
      <c r="CU657" s="206" t="s">
        <v>2058</v>
      </c>
      <c r="DA657" s="152">
        <f t="shared" si="667"/>
        <v>1</v>
      </c>
      <c r="DB657" s="152" t="str">
        <f t="shared" si="668"/>
        <v>0</v>
      </c>
      <c r="DD657" s="267"/>
      <c r="DE657" s="264" t="s">
        <v>1395</v>
      </c>
      <c r="DF657" s="713" t="s">
        <v>2202</v>
      </c>
      <c r="DG657" s="714" t="s">
        <v>2166</v>
      </c>
      <c r="DH657" s="264" t="s">
        <v>2211</v>
      </c>
      <c r="DI657" s="264" t="s">
        <v>374</v>
      </c>
      <c r="DJ657" s="270">
        <v>165</v>
      </c>
      <c r="DK657" s="270" t="s">
        <v>2211</v>
      </c>
      <c r="DL657" s="264">
        <v>50500</v>
      </c>
      <c r="DM657" s="264">
        <f t="shared" si="674"/>
        <v>8999100</v>
      </c>
      <c r="DN657" s="716">
        <v>0.08</v>
      </c>
      <c r="DO657" s="264">
        <f t="shared" si="675"/>
        <v>8332500</v>
      </c>
      <c r="DP657" s="274">
        <v>45977</v>
      </c>
      <c r="DQ657" s="152">
        <f>SUMIF($I:$I,I657,$DJ:$DJ)</f>
        <v>165</v>
      </c>
      <c r="DR657" s="152">
        <f>SUMIF($I:$I,I657,$DK:$DK)</f>
        <v>0</v>
      </c>
      <c r="DY657" s="713"/>
      <c r="DZ657" s="714"/>
      <c r="EO657" s="152">
        <f>SUMIF($I:$I,I657,$EC:$EC)</f>
        <v>0</v>
      </c>
      <c r="EP657" s="151">
        <f>SUMIF($I:$I,I657,$ED:$ED)</f>
        <v>0</v>
      </c>
      <c r="EQ657" s="153"/>
      <c r="ER657" s="153"/>
      <c r="ES657" s="153"/>
      <c r="ET657" s="153"/>
      <c r="EU657" s="152">
        <f t="shared" si="669"/>
        <v>165</v>
      </c>
      <c r="EV657" s="152">
        <f t="shared" si="670"/>
        <v>0</v>
      </c>
      <c r="EW657" s="152">
        <f t="shared" si="671"/>
        <v>-164</v>
      </c>
      <c r="EX657" s="152">
        <f t="shared" si="672"/>
        <v>0</v>
      </c>
      <c r="EY657" s="151" t="str">
        <f t="shared" si="673"/>
        <v>Thừa</v>
      </c>
    </row>
    <row r="658" spans="1:155" s="264" customFormat="1" ht="14" hidden="1" customHeight="1">
      <c r="A658" s="208" t="str">
        <f t="shared" si="665"/>
        <v>Hiện</v>
      </c>
      <c r="B658" s="154" t="str">
        <f t="shared" si="638"/>
        <v>Thừa</v>
      </c>
      <c r="C658" s="154">
        <f t="shared" si="639"/>
        <v>-312</v>
      </c>
      <c r="D658" s="154"/>
      <c r="F658" s="344"/>
      <c r="I658" s="164" t="s">
        <v>1861</v>
      </c>
      <c r="J658" s="164" t="s">
        <v>1365</v>
      </c>
      <c r="K658" s="171" t="s">
        <v>1862</v>
      </c>
      <c r="L658" s="247"/>
      <c r="M658" s="163" t="s">
        <v>1074</v>
      </c>
      <c r="N658" s="248"/>
      <c r="O658" s="229">
        <v>3</v>
      </c>
      <c r="P658" s="172"/>
      <c r="Q658" s="266"/>
      <c r="BG658" s="162"/>
      <c r="BH658" s="162"/>
      <c r="BI658" s="162"/>
      <c r="BJ658" s="162"/>
      <c r="BK658" s="162"/>
      <c r="BL658" s="162"/>
      <c r="BM658" s="162"/>
      <c r="BN658" s="162"/>
      <c r="BO658" s="162"/>
      <c r="BP658" s="162"/>
      <c r="BQ658" s="162">
        <v>3</v>
      </c>
      <c r="BR658" s="162">
        <v>0</v>
      </c>
      <c r="BS658" s="162">
        <v>0</v>
      </c>
      <c r="BT658" s="162">
        <v>0</v>
      </c>
      <c r="BU658" s="162">
        <v>0</v>
      </c>
      <c r="BV658" s="162">
        <v>0</v>
      </c>
      <c r="BW658" s="162"/>
      <c r="BX658" s="162"/>
      <c r="BY658" s="162">
        <v>0</v>
      </c>
      <c r="BZ658" s="162">
        <v>0</v>
      </c>
      <c r="CA658" s="162">
        <v>0</v>
      </c>
      <c r="CB658" s="162">
        <v>0</v>
      </c>
      <c r="CC658" s="162">
        <v>0</v>
      </c>
      <c r="CD658" s="162">
        <v>0</v>
      </c>
      <c r="CE658" s="162">
        <f>VLOOKUP(I658,[120]REV33!$A:$O,11,0)</f>
        <v>0</v>
      </c>
      <c r="CF658" s="162">
        <f>VLOOKUP(I658,[120]REV33!$A:$O,12,0)</f>
        <v>0</v>
      </c>
      <c r="CG658" s="162"/>
      <c r="CH658" s="162"/>
      <c r="CI658" s="162"/>
      <c r="CJ658" s="162"/>
      <c r="CK658" s="162"/>
      <c r="CL658" s="162"/>
      <c r="CM658" s="162"/>
      <c r="CN658" s="162"/>
      <c r="CO658" s="162">
        <v>0</v>
      </c>
      <c r="CP658" s="162">
        <v>0</v>
      </c>
      <c r="CQ658" s="162">
        <v>0</v>
      </c>
      <c r="CR658" s="162">
        <v>0</v>
      </c>
      <c r="CS658" s="209">
        <f>Q658+S658+U658+W658+Y658+AA658+AC658+AE658+AG658+AI658+AK658+AM658+AO658+AQ658+AS658+AU658+AW658+AY658+BA658+BC658+BE658+BG658+BI658+BK658+BM658+BO658+BQ658+BS658+BU658+BW658+BY658+CA658+CC658+CE658+CG658+CI658+CK658+CM658+CO658+CQ658</f>
        <v>3</v>
      </c>
      <c r="CT658" s="209">
        <f>R658+T658+V658+X658+Z658+AB658+AD658+AF658+AH658+AJ658+AL658+AN658+AP658+AR658+AT658+AV658+AX658+AZ658+BB658+BD658+BF658+BH658+BJ658+BL658+BN658+BP658+BR658+BT658+BV658+BX658+BZ658+CB658+CD658+CF658+CH658+CJ658+CL658+CN658+CP658+CR658</f>
        <v>0</v>
      </c>
      <c r="CU658" s="206" t="s">
        <v>2058</v>
      </c>
      <c r="DA658" s="152">
        <f t="shared" si="667"/>
        <v>3</v>
      </c>
      <c r="DB658" s="152" t="str">
        <f t="shared" si="668"/>
        <v>0</v>
      </c>
      <c r="DD658" s="267"/>
      <c r="DE658" s="264" t="s">
        <v>1395</v>
      </c>
      <c r="DF658" s="713" t="s">
        <v>2203</v>
      </c>
      <c r="DG658" s="714" t="s">
        <v>2166</v>
      </c>
      <c r="DH658" s="264" t="s">
        <v>2211</v>
      </c>
      <c r="DI658" s="264" t="s">
        <v>374</v>
      </c>
      <c r="DJ658" s="270">
        <v>315</v>
      </c>
      <c r="DK658" s="270" t="s">
        <v>2211</v>
      </c>
      <c r="DL658" s="264">
        <v>50500</v>
      </c>
      <c r="DM658" s="264">
        <f t="shared" si="674"/>
        <v>17180100</v>
      </c>
      <c r="DN658" s="716">
        <v>0.08</v>
      </c>
      <c r="DO658" s="264">
        <f t="shared" si="675"/>
        <v>15907500</v>
      </c>
      <c r="DP658" s="274">
        <v>45977</v>
      </c>
      <c r="DQ658" s="152">
        <f>SUMIF($I:$I,I658,$DJ:$DJ)</f>
        <v>315</v>
      </c>
      <c r="DR658" s="152">
        <f>SUMIF($I:$I,I658,$DK:$DK)</f>
        <v>0</v>
      </c>
      <c r="DY658" s="713"/>
      <c r="DZ658" s="714"/>
      <c r="EO658" s="152">
        <f>SUMIF($I:$I,I658,$EC:$EC)</f>
        <v>0</v>
      </c>
      <c r="EP658" s="151">
        <f>SUMIF($I:$I,I658,$ED:$ED)</f>
        <v>0</v>
      </c>
      <c r="EQ658" s="153"/>
      <c r="ER658" s="153"/>
      <c r="ES658" s="153"/>
      <c r="ET658" s="153"/>
      <c r="EU658" s="152">
        <f t="shared" si="669"/>
        <v>315</v>
      </c>
      <c r="EV658" s="152">
        <f t="shared" si="670"/>
        <v>0</v>
      </c>
      <c r="EW658" s="152">
        <f t="shared" si="671"/>
        <v>-312</v>
      </c>
      <c r="EX658" s="152">
        <f t="shared" si="672"/>
        <v>0</v>
      </c>
      <c r="EY658" s="151" t="str">
        <f t="shared" si="673"/>
        <v>Thừa</v>
      </c>
    </row>
    <row r="659" spans="1:155" s="264" customFormat="1" ht="14" hidden="1" customHeight="1">
      <c r="A659" s="208" t="str">
        <f t="shared" si="665"/>
        <v>Hiện</v>
      </c>
      <c r="B659" s="154" t="str">
        <f t="shared" si="638"/>
        <v>Thừa</v>
      </c>
      <c r="C659" s="154">
        <f t="shared" si="639"/>
        <v>-146.25</v>
      </c>
      <c r="D659" s="154"/>
      <c r="F659" s="344"/>
      <c r="I659" s="164" t="s">
        <v>1863</v>
      </c>
      <c r="J659" s="164" t="s">
        <v>1365</v>
      </c>
      <c r="K659" s="171" t="s">
        <v>1864</v>
      </c>
      <c r="L659" s="247"/>
      <c r="M659" s="163" t="s">
        <v>1074</v>
      </c>
      <c r="N659" s="248"/>
      <c r="O659" s="229">
        <v>1</v>
      </c>
      <c r="P659" s="172"/>
      <c r="Q659" s="266"/>
      <c r="BG659" s="162"/>
      <c r="BH659" s="162"/>
      <c r="BI659" s="162"/>
      <c r="BJ659" s="162"/>
      <c r="BK659" s="162"/>
      <c r="BL659" s="162"/>
      <c r="BM659" s="162"/>
      <c r="BN659" s="162"/>
      <c r="BO659" s="162"/>
      <c r="BP659" s="162"/>
      <c r="BQ659" s="162">
        <v>1</v>
      </c>
      <c r="BR659" s="162">
        <v>0</v>
      </c>
      <c r="BS659" s="162">
        <v>0</v>
      </c>
      <c r="BT659" s="162">
        <v>0</v>
      </c>
      <c r="BU659" s="162">
        <v>0</v>
      </c>
      <c r="BV659" s="162">
        <v>0</v>
      </c>
      <c r="BW659" s="162"/>
      <c r="BX659" s="162"/>
      <c r="BY659" s="162">
        <v>0</v>
      </c>
      <c r="BZ659" s="162">
        <v>0</v>
      </c>
      <c r="CA659" s="162">
        <v>0</v>
      </c>
      <c r="CB659" s="162">
        <v>0</v>
      </c>
      <c r="CC659" s="162">
        <v>0</v>
      </c>
      <c r="CD659" s="162">
        <v>0</v>
      </c>
      <c r="CE659" s="162">
        <f>VLOOKUP(I659,[120]REV33!$A:$O,11,0)</f>
        <v>0</v>
      </c>
      <c r="CF659" s="162">
        <f>VLOOKUP(I659,[120]REV33!$A:$O,12,0)</f>
        <v>0</v>
      </c>
      <c r="CG659" s="162"/>
      <c r="CH659" s="162"/>
      <c r="CI659" s="162"/>
      <c r="CJ659" s="162"/>
      <c r="CK659" s="162"/>
      <c r="CL659" s="162"/>
      <c r="CM659" s="162"/>
      <c r="CN659" s="162"/>
      <c r="CO659" s="162">
        <v>0</v>
      </c>
      <c r="CP659" s="162">
        <v>0</v>
      </c>
      <c r="CQ659" s="162">
        <v>0</v>
      </c>
      <c r="CR659" s="162">
        <v>0</v>
      </c>
      <c r="CS659" s="209">
        <f>Q659+S659+U659+W659+Y659+AA659+AC659+AE659+AG659+AI659+AK659+AM659+AO659+AQ659+AS659+AU659+AW659+AY659+BA659+BC659+BE659+BG659+BI659+BK659+BM659+BO659+BQ659+BS659+BU659+BW659+BY659+CA659+CC659+CE659+CG659+CI659+CK659+CM659+CO659+CQ659</f>
        <v>1</v>
      </c>
      <c r="CT659" s="209">
        <f>R659+T659+V659+X659+Z659+AB659+AD659+AF659+AH659+AJ659+AL659+AN659+AP659+AR659+AT659+AV659+AX659+AZ659+BB659+BD659+BF659+BH659+BJ659+BL659+BN659+BP659+BR659+BT659+BV659+BX659+BZ659+CB659+CD659+CF659+CH659+CJ659+CL659+CN659+CP659+CR659</f>
        <v>0</v>
      </c>
      <c r="CU659" s="206" t="s">
        <v>2058</v>
      </c>
      <c r="DA659" s="152">
        <f t="shared" si="667"/>
        <v>1</v>
      </c>
      <c r="DB659" s="152" t="str">
        <f t="shared" si="668"/>
        <v>0</v>
      </c>
      <c r="DD659" s="267"/>
      <c r="DE659" s="264" t="s">
        <v>1395</v>
      </c>
      <c r="DF659" s="713" t="s">
        <v>2204</v>
      </c>
      <c r="DG659" s="714" t="s">
        <v>2166</v>
      </c>
      <c r="DH659" s="264" t="s">
        <v>2211</v>
      </c>
      <c r="DI659" s="264" t="s">
        <v>374</v>
      </c>
      <c r="DJ659" s="270">
        <v>147.25</v>
      </c>
      <c r="DK659" s="270" t="s">
        <v>2211</v>
      </c>
      <c r="DL659" s="264">
        <v>50500</v>
      </c>
      <c r="DM659" s="264">
        <f t="shared" si="674"/>
        <v>8031015.0000000009</v>
      </c>
      <c r="DN659" s="716">
        <v>0.08</v>
      </c>
      <c r="DO659" s="264">
        <f t="shared" si="675"/>
        <v>7436125</v>
      </c>
      <c r="DP659" s="274">
        <v>45977</v>
      </c>
      <c r="DQ659" s="152">
        <f>SUMIF($I:$I,I659,$DJ:$DJ)</f>
        <v>147.25</v>
      </c>
      <c r="DR659" s="152">
        <f>SUMIF($I:$I,I659,$DK:$DK)</f>
        <v>0</v>
      </c>
      <c r="DY659" s="713"/>
      <c r="DZ659" s="714"/>
      <c r="EO659" s="152">
        <f>SUMIF($I:$I,I659,$EC:$EC)</f>
        <v>0</v>
      </c>
      <c r="EP659" s="151">
        <f>SUMIF($I:$I,I659,$ED:$ED)</f>
        <v>0</v>
      </c>
      <c r="EQ659" s="153"/>
      <c r="ER659" s="153"/>
      <c r="ES659" s="153"/>
      <c r="ET659" s="153"/>
      <c r="EU659" s="152">
        <f t="shared" si="669"/>
        <v>147.25</v>
      </c>
      <c r="EV659" s="152">
        <f t="shared" si="670"/>
        <v>0</v>
      </c>
      <c r="EW659" s="152">
        <f t="shared" si="671"/>
        <v>-146.25</v>
      </c>
      <c r="EX659" s="152">
        <f t="shared" si="672"/>
        <v>0</v>
      </c>
      <c r="EY659" s="151" t="str">
        <f t="shared" si="673"/>
        <v>Thừa</v>
      </c>
    </row>
    <row r="660" spans="1:155" s="264" customFormat="1" ht="14" hidden="1" customHeight="1">
      <c r="A660" s="208" t="str">
        <f t="shared" si="665"/>
        <v>Hiện</v>
      </c>
      <c r="B660" s="154" t="str">
        <f t="shared" si="638"/>
        <v>Thừa</v>
      </c>
      <c r="C660" s="154">
        <f t="shared" si="639"/>
        <v>-154</v>
      </c>
      <c r="D660" s="154"/>
      <c r="F660" s="344"/>
      <c r="I660" s="164" t="s">
        <v>1865</v>
      </c>
      <c r="J660" s="164" t="s">
        <v>1365</v>
      </c>
      <c r="K660" s="171" t="s">
        <v>1866</v>
      </c>
      <c r="L660" s="247"/>
      <c r="M660" s="163" t="s">
        <v>1074</v>
      </c>
      <c r="N660" s="248"/>
      <c r="O660" s="229">
        <v>1</v>
      </c>
      <c r="P660" s="172"/>
      <c r="Q660" s="266"/>
      <c r="BG660" s="162"/>
      <c r="BH660" s="162"/>
      <c r="BI660" s="162"/>
      <c r="BJ660" s="162"/>
      <c r="BK660" s="162"/>
      <c r="BL660" s="162"/>
      <c r="BM660" s="162"/>
      <c r="BN660" s="162"/>
      <c r="BO660" s="162"/>
      <c r="BP660" s="162"/>
      <c r="BQ660" s="162">
        <v>1</v>
      </c>
      <c r="BR660" s="162">
        <v>0</v>
      </c>
      <c r="BS660" s="162">
        <v>0</v>
      </c>
      <c r="BT660" s="162">
        <v>0</v>
      </c>
      <c r="BU660" s="162">
        <v>0</v>
      </c>
      <c r="BV660" s="162">
        <v>0</v>
      </c>
      <c r="BW660" s="162"/>
      <c r="BX660" s="162"/>
      <c r="BY660" s="162">
        <v>0</v>
      </c>
      <c r="BZ660" s="162">
        <v>0</v>
      </c>
      <c r="CA660" s="162">
        <v>0</v>
      </c>
      <c r="CB660" s="162">
        <v>0</v>
      </c>
      <c r="CC660" s="162">
        <v>0</v>
      </c>
      <c r="CD660" s="162">
        <v>0</v>
      </c>
      <c r="CE660" s="162">
        <f>VLOOKUP(I660,[120]REV33!$A:$O,11,0)</f>
        <v>0</v>
      </c>
      <c r="CF660" s="162">
        <f>VLOOKUP(I660,[120]REV33!$A:$O,12,0)</f>
        <v>0</v>
      </c>
      <c r="CG660" s="162"/>
      <c r="CH660" s="162"/>
      <c r="CI660" s="162"/>
      <c r="CJ660" s="162"/>
      <c r="CK660" s="162"/>
      <c r="CL660" s="162"/>
      <c r="CM660" s="162"/>
      <c r="CN660" s="162"/>
      <c r="CO660" s="162">
        <v>0</v>
      </c>
      <c r="CP660" s="162">
        <v>0</v>
      </c>
      <c r="CQ660" s="162">
        <v>0</v>
      </c>
      <c r="CR660" s="162">
        <v>0</v>
      </c>
      <c r="CS660" s="209">
        <f>Q660+S660+U660+W660+Y660+AA660+AC660+AE660+AG660+AI660+AK660+AM660+AO660+AQ660+AS660+AU660+AW660+AY660+BA660+BC660+BE660+BG660+BI660+BK660+BM660+BO660+BQ660+BS660+BU660+BW660+BY660+CA660+CC660+CE660+CG660+CI660+CK660+CM660+CO660+CQ660</f>
        <v>1</v>
      </c>
      <c r="CT660" s="209">
        <f>R660+T660+V660+X660+Z660+AB660+AD660+AF660+AH660+AJ660+AL660+AN660+AP660+AR660+AT660+AV660+AX660+AZ660+BB660+BD660+BF660+BH660+BJ660+BL660+BN660+BP660+BR660+BT660+BV660+BX660+BZ660+CB660+CD660+CF660+CH660+CJ660+CL660+CN660+CP660+CR660</f>
        <v>0</v>
      </c>
      <c r="CU660" s="206" t="s">
        <v>2058</v>
      </c>
      <c r="DA660" s="152">
        <f t="shared" si="667"/>
        <v>1</v>
      </c>
      <c r="DB660" s="152" t="str">
        <f t="shared" si="668"/>
        <v>0</v>
      </c>
      <c r="DD660" s="267"/>
      <c r="DE660" s="264" t="s">
        <v>1395</v>
      </c>
      <c r="DF660" s="713" t="s">
        <v>2205</v>
      </c>
      <c r="DG660" s="714" t="s">
        <v>2166</v>
      </c>
      <c r="DH660" s="264" t="s">
        <v>2211</v>
      </c>
      <c r="DI660" s="264" t="s">
        <v>374</v>
      </c>
      <c r="DJ660" s="270">
        <v>155</v>
      </c>
      <c r="DK660" s="270" t="s">
        <v>2211</v>
      </c>
      <c r="DL660" s="264">
        <v>50500</v>
      </c>
      <c r="DM660" s="264">
        <f t="shared" si="674"/>
        <v>8453700</v>
      </c>
      <c r="DN660" s="716">
        <v>0.08</v>
      </c>
      <c r="DO660" s="264">
        <f t="shared" si="675"/>
        <v>7827500</v>
      </c>
      <c r="DP660" s="274">
        <v>45977</v>
      </c>
      <c r="DQ660" s="152">
        <f>SUMIF($I:$I,I660,$DJ:$DJ)</f>
        <v>155</v>
      </c>
      <c r="DR660" s="152">
        <f>SUMIF($I:$I,I660,$DK:$DK)</f>
        <v>0</v>
      </c>
      <c r="DY660" s="713"/>
      <c r="DZ660" s="714"/>
      <c r="EO660" s="152">
        <f>SUMIF($I:$I,I660,$EC:$EC)</f>
        <v>0</v>
      </c>
      <c r="EP660" s="151">
        <f>SUMIF($I:$I,I660,$ED:$ED)</f>
        <v>0</v>
      </c>
      <c r="EQ660" s="153"/>
      <c r="ER660" s="153"/>
      <c r="ES660" s="153"/>
      <c r="ET660" s="153"/>
      <c r="EU660" s="152">
        <f t="shared" si="669"/>
        <v>155</v>
      </c>
      <c r="EV660" s="152">
        <f t="shared" si="670"/>
        <v>0</v>
      </c>
      <c r="EW660" s="152">
        <f t="shared" si="671"/>
        <v>-154</v>
      </c>
      <c r="EX660" s="152">
        <f t="shared" si="672"/>
        <v>0</v>
      </c>
      <c r="EY660" s="151" t="str">
        <f t="shared" si="673"/>
        <v>Thừa</v>
      </c>
    </row>
    <row r="661" spans="1:155" s="264" customFormat="1" ht="14" hidden="1" customHeight="1">
      <c r="A661" s="208" t="str">
        <f t="shared" si="665"/>
        <v>Hiện</v>
      </c>
      <c r="B661" s="154" t="str">
        <f t="shared" si="638"/>
        <v>Thừa</v>
      </c>
      <c r="C661" s="154">
        <f t="shared" si="639"/>
        <v>-812</v>
      </c>
      <c r="D661" s="154"/>
      <c r="F661" s="344"/>
      <c r="I661" s="164" t="s">
        <v>1867</v>
      </c>
      <c r="J661" s="164" t="s">
        <v>1365</v>
      </c>
      <c r="K661" s="171" t="s">
        <v>1868</v>
      </c>
      <c r="L661" s="247"/>
      <c r="M661" s="163" t="s">
        <v>1074</v>
      </c>
      <c r="N661" s="248"/>
      <c r="O661" s="229">
        <v>4</v>
      </c>
      <c r="P661" s="172"/>
      <c r="Q661" s="266"/>
      <c r="BG661" s="162"/>
      <c r="BH661" s="162"/>
      <c r="BI661" s="162"/>
      <c r="BJ661" s="162"/>
      <c r="BK661" s="162"/>
      <c r="BL661" s="162"/>
      <c r="BM661" s="162"/>
      <c r="BN661" s="162"/>
      <c r="BO661" s="162"/>
      <c r="BP661" s="162"/>
      <c r="BQ661" s="162">
        <v>4</v>
      </c>
      <c r="BR661" s="162">
        <v>0</v>
      </c>
      <c r="BS661" s="162">
        <v>0</v>
      </c>
      <c r="BT661" s="162">
        <v>0</v>
      </c>
      <c r="BU661" s="162">
        <v>0</v>
      </c>
      <c r="BV661" s="162">
        <v>0</v>
      </c>
      <c r="BW661" s="162"/>
      <c r="BX661" s="162"/>
      <c r="BY661" s="162">
        <v>0</v>
      </c>
      <c r="BZ661" s="162">
        <v>0</v>
      </c>
      <c r="CA661" s="162">
        <v>0</v>
      </c>
      <c r="CB661" s="162">
        <v>0</v>
      </c>
      <c r="CC661" s="162">
        <v>0</v>
      </c>
      <c r="CD661" s="162">
        <v>0</v>
      </c>
      <c r="CE661" s="162">
        <f>VLOOKUP(I661,[120]REV33!$A:$O,11,0)</f>
        <v>0</v>
      </c>
      <c r="CF661" s="162">
        <f>VLOOKUP(I661,[120]REV33!$A:$O,12,0)</f>
        <v>0</v>
      </c>
      <c r="CG661" s="162"/>
      <c r="CH661" s="162"/>
      <c r="CI661" s="162"/>
      <c r="CJ661" s="162"/>
      <c r="CK661" s="162"/>
      <c r="CL661" s="162"/>
      <c r="CM661" s="162"/>
      <c r="CN661" s="162"/>
      <c r="CO661" s="162">
        <v>0</v>
      </c>
      <c r="CP661" s="162">
        <v>0</v>
      </c>
      <c r="CQ661" s="162">
        <v>0</v>
      </c>
      <c r="CR661" s="162">
        <v>0</v>
      </c>
      <c r="CS661" s="209">
        <f>Q661+S661+U661+W661+Y661+AA661+AC661+AE661+AG661+AI661+AK661+AM661+AO661+AQ661+AS661+AU661+AW661+AY661+BA661+BC661+BE661+BG661+BI661+BK661+BM661+BO661+BQ661+BS661+BU661+BW661+BY661+CA661+CC661+CE661+CG661+CI661+CK661+CM661+CO661+CQ661</f>
        <v>4</v>
      </c>
      <c r="CT661" s="209">
        <f>R661+T661+V661+X661+Z661+AB661+AD661+AF661+AH661+AJ661+AL661+AN661+AP661+AR661+AT661+AV661+AX661+AZ661+BB661+BD661+BF661+BH661+BJ661+BL661+BN661+BP661+BR661+BT661+BV661+BX661+BZ661+CB661+CD661+CF661+CH661+CJ661+CL661+CN661+CP661+CR661</f>
        <v>0</v>
      </c>
      <c r="CU661" s="206" t="s">
        <v>2058</v>
      </c>
      <c r="DA661" s="152">
        <f t="shared" si="667"/>
        <v>4</v>
      </c>
      <c r="DB661" s="152" t="str">
        <f t="shared" si="668"/>
        <v>0</v>
      </c>
      <c r="DD661" s="267"/>
      <c r="DE661" s="264" t="s">
        <v>1395</v>
      </c>
      <c r="DF661" s="713" t="s">
        <v>2206</v>
      </c>
      <c r="DG661" s="714" t="s">
        <v>2166</v>
      </c>
      <c r="DH661" s="264" t="s">
        <v>2211</v>
      </c>
      <c r="DI661" s="264" t="s">
        <v>374</v>
      </c>
      <c r="DJ661" s="270">
        <v>816</v>
      </c>
      <c r="DK661" s="270" t="s">
        <v>2211</v>
      </c>
      <c r="DL661" s="264">
        <v>50500</v>
      </c>
      <c r="DM661" s="264">
        <f t="shared" si="674"/>
        <v>44504640</v>
      </c>
      <c r="DN661" s="716">
        <v>0.08</v>
      </c>
      <c r="DO661" s="264">
        <f t="shared" si="675"/>
        <v>41208000</v>
      </c>
      <c r="DP661" s="274">
        <v>45977</v>
      </c>
      <c r="DQ661" s="152">
        <f>SUMIF($I:$I,I661,$DJ:$DJ)</f>
        <v>816</v>
      </c>
      <c r="DR661" s="152">
        <f>SUMIF($I:$I,I661,$DK:$DK)</f>
        <v>0</v>
      </c>
      <c r="DY661" s="713"/>
      <c r="DZ661" s="714"/>
      <c r="EO661" s="152">
        <f>SUMIF($I:$I,I661,$EC:$EC)</f>
        <v>0</v>
      </c>
      <c r="EP661" s="151">
        <f>SUMIF($I:$I,I661,$ED:$ED)</f>
        <v>0</v>
      </c>
      <c r="EQ661" s="153"/>
      <c r="ER661" s="153"/>
      <c r="ES661" s="153"/>
      <c r="ET661" s="153"/>
      <c r="EU661" s="152">
        <f t="shared" si="669"/>
        <v>816</v>
      </c>
      <c r="EV661" s="152">
        <f t="shared" si="670"/>
        <v>0</v>
      </c>
      <c r="EW661" s="152">
        <f t="shared" si="671"/>
        <v>-812</v>
      </c>
      <c r="EX661" s="152">
        <f t="shared" si="672"/>
        <v>0</v>
      </c>
      <c r="EY661" s="151" t="str">
        <f t="shared" si="673"/>
        <v>Thừa</v>
      </c>
    </row>
    <row r="662" spans="1:155" s="264" customFormat="1" ht="14" hidden="1" customHeight="1">
      <c r="A662" s="208" t="str">
        <f t="shared" si="665"/>
        <v>Hiện</v>
      </c>
      <c r="B662" s="154" t="str">
        <f t="shared" si="638"/>
        <v>Thừa</v>
      </c>
      <c r="C662" s="154">
        <f t="shared" si="639"/>
        <v>-442.5</v>
      </c>
      <c r="D662" s="154"/>
      <c r="F662" s="344"/>
      <c r="I662" s="164" t="s">
        <v>1869</v>
      </c>
      <c r="J662" s="164" t="s">
        <v>1365</v>
      </c>
      <c r="K662" s="171" t="s">
        <v>1870</v>
      </c>
      <c r="L662" s="247"/>
      <c r="M662" s="163" t="s">
        <v>1074</v>
      </c>
      <c r="N662" s="248"/>
      <c r="O662" s="229">
        <v>3</v>
      </c>
      <c r="P662" s="172"/>
      <c r="Q662" s="266"/>
      <c r="BG662" s="162"/>
      <c r="BH662" s="162"/>
      <c r="BI662" s="162"/>
      <c r="BJ662" s="162"/>
      <c r="BK662" s="162"/>
      <c r="BL662" s="162"/>
      <c r="BM662" s="162"/>
      <c r="BN662" s="162"/>
      <c r="BO662" s="162"/>
      <c r="BP662" s="162"/>
      <c r="BQ662" s="162">
        <v>3</v>
      </c>
      <c r="BR662" s="162">
        <v>0</v>
      </c>
      <c r="BS662" s="162">
        <v>0</v>
      </c>
      <c r="BT662" s="162">
        <v>0</v>
      </c>
      <c r="BU662" s="162">
        <v>0</v>
      </c>
      <c r="BV662" s="162">
        <v>0</v>
      </c>
      <c r="BW662" s="162"/>
      <c r="BX662" s="162"/>
      <c r="BY662" s="162">
        <v>0</v>
      </c>
      <c r="BZ662" s="162">
        <v>0</v>
      </c>
      <c r="CA662" s="162">
        <v>0</v>
      </c>
      <c r="CB662" s="162">
        <v>0</v>
      </c>
      <c r="CC662" s="162">
        <v>0</v>
      </c>
      <c r="CD662" s="162">
        <v>0</v>
      </c>
      <c r="CE662" s="162">
        <f>VLOOKUP(I662,[120]REV33!$A:$O,11,0)</f>
        <v>0</v>
      </c>
      <c r="CF662" s="162">
        <f>VLOOKUP(I662,[120]REV33!$A:$O,12,0)</f>
        <v>0</v>
      </c>
      <c r="CG662" s="162"/>
      <c r="CH662" s="162"/>
      <c r="CI662" s="162"/>
      <c r="CJ662" s="162"/>
      <c r="CK662" s="162"/>
      <c r="CL662" s="162"/>
      <c r="CM662" s="162"/>
      <c r="CN662" s="162"/>
      <c r="CO662" s="162">
        <v>0</v>
      </c>
      <c r="CP662" s="162">
        <v>0</v>
      </c>
      <c r="CQ662" s="162">
        <v>0</v>
      </c>
      <c r="CR662" s="162">
        <v>0</v>
      </c>
      <c r="CS662" s="209">
        <f>Q662+S662+U662+W662+Y662+AA662+AC662+AE662+AG662+AI662+AK662+AM662+AO662+AQ662+AS662+AU662+AW662+AY662+BA662+BC662+BE662+BG662+BI662+BK662+BM662+BO662+BQ662+BS662+BU662+BW662+BY662+CA662+CC662+CE662+CG662+CI662+CK662+CM662+CO662+CQ662</f>
        <v>3</v>
      </c>
      <c r="CT662" s="209">
        <f>R662+T662+V662+X662+Z662+AB662+AD662+AF662+AH662+AJ662+AL662+AN662+AP662+AR662+AT662+AV662+AX662+AZ662+BB662+BD662+BF662+BH662+BJ662+BL662+BN662+BP662+BR662+BT662+BV662+BX662+BZ662+CB662+CD662+CF662+CH662+CJ662+CL662+CN662+CP662+CR662</f>
        <v>0</v>
      </c>
      <c r="CU662" s="206" t="s">
        <v>2058</v>
      </c>
      <c r="DA662" s="152">
        <f t="shared" si="667"/>
        <v>3</v>
      </c>
      <c r="DB662" s="152" t="str">
        <f t="shared" si="668"/>
        <v>0</v>
      </c>
      <c r="DD662" s="267"/>
      <c r="DE662" s="264" t="s">
        <v>1395</v>
      </c>
      <c r="DF662" s="713" t="s">
        <v>2207</v>
      </c>
      <c r="DG662" s="714" t="s">
        <v>2166</v>
      </c>
      <c r="DH662" s="264" t="s">
        <v>2211</v>
      </c>
      <c r="DI662" s="264" t="s">
        <v>374</v>
      </c>
      <c r="DJ662" s="270">
        <v>445.5</v>
      </c>
      <c r="DK662" s="270" t="s">
        <v>2211</v>
      </c>
      <c r="DL662" s="264">
        <v>50500</v>
      </c>
      <c r="DM662" s="264">
        <f t="shared" si="674"/>
        <v>24297570</v>
      </c>
      <c r="DN662" s="716">
        <v>0.08</v>
      </c>
      <c r="DO662" s="264">
        <f t="shared" si="675"/>
        <v>22497750</v>
      </c>
      <c r="DP662" s="274">
        <v>45977</v>
      </c>
      <c r="DQ662" s="152">
        <f>SUMIF($I:$I,I662,$DJ:$DJ)</f>
        <v>445.5</v>
      </c>
      <c r="DR662" s="152">
        <f>SUMIF($I:$I,I662,$DK:$DK)</f>
        <v>0</v>
      </c>
      <c r="DY662" s="713"/>
      <c r="DZ662" s="714"/>
      <c r="EO662" s="152">
        <f>SUMIF($I:$I,I662,$EC:$EC)</f>
        <v>0</v>
      </c>
      <c r="EP662" s="151">
        <f>SUMIF($I:$I,I662,$ED:$ED)</f>
        <v>0</v>
      </c>
      <c r="EQ662" s="153"/>
      <c r="ER662" s="153"/>
      <c r="ES662" s="153"/>
      <c r="ET662" s="153"/>
      <c r="EU662" s="152">
        <f t="shared" si="669"/>
        <v>445.5</v>
      </c>
      <c r="EV662" s="152">
        <f t="shared" si="670"/>
        <v>0</v>
      </c>
      <c r="EW662" s="152">
        <f t="shared" si="671"/>
        <v>-442.5</v>
      </c>
      <c r="EX662" s="152">
        <f t="shared" si="672"/>
        <v>0</v>
      </c>
      <c r="EY662" s="151" t="str">
        <f t="shared" si="673"/>
        <v>Thừa</v>
      </c>
    </row>
    <row r="663" spans="1:155" s="264" customFormat="1" ht="14" hidden="1" customHeight="1">
      <c r="A663" s="208" t="str">
        <f t="shared" si="665"/>
        <v>Hiện</v>
      </c>
      <c r="B663" s="154" t="str">
        <f t="shared" si="638"/>
        <v>Thừa</v>
      </c>
      <c r="C663" s="154">
        <f t="shared" si="639"/>
        <v>-492</v>
      </c>
      <c r="D663" s="154"/>
      <c r="F663" s="344"/>
      <c r="I663" s="164" t="s">
        <v>1871</v>
      </c>
      <c r="J663" s="164" t="s">
        <v>1365</v>
      </c>
      <c r="K663" s="171" t="s">
        <v>1872</v>
      </c>
      <c r="L663" s="247"/>
      <c r="M663" s="163" t="s">
        <v>1074</v>
      </c>
      <c r="N663" s="248"/>
      <c r="O663" s="229">
        <v>3</v>
      </c>
      <c r="P663" s="172"/>
      <c r="Q663" s="266"/>
      <c r="BG663" s="162"/>
      <c r="BH663" s="162"/>
      <c r="BI663" s="162"/>
      <c r="BJ663" s="162"/>
      <c r="BK663" s="162"/>
      <c r="BL663" s="162"/>
      <c r="BM663" s="162"/>
      <c r="BN663" s="162"/>
      <c r="BO663" s="162"/>
      <c r="BP663" s="162"/>
      <c r="BQ663" s="162">
        <v>3</v>
      </c>
      <c r="BR663" s="162">
        <v>0</v>
      </c>
      <c r="BS663" s="162">
        <v>0</v>
      </c>
      <c r="BT663" s="162">
        <v>0</v>
      </c>
      <c r="BU663" s="162">
        <v>0</v>
      </c>
      <c r="BV663" s="162">
        <v>0</v>
      </c>
      <c r="BW663" s="162"/>
      <c r="BX663" s="162"/>
      <c r="BY663" s="162">
        <v>0</v>
      </c>
      <c r="BZ663" s="162">
        <v>0</v>
      </c>
      <c r="CA663" s="162">
        <v>0</v>
      </c>
      <c r="CB663" s="162">
        <v>0</v>
      </c>
      <c r="CC663" s="162">
        <v>0</v>
      </c>
      <c r="CD663" s="162">
        <v>0</v>
      </c>
      <c r="CE663" s="162">
        <f>VLOOKUP(I663,[120]REV33!$A:$O,11,0)</f>
        <v>0</v>
      </c>
      <c r="CF663" s="162">
        <f>VLOOKUP(I663,[120]REV33!$A:$O,12,0)</f>
        <v>0</v>
      </c>
      <c r="CG663" s="162"/>
      <c r="CH663" s="162"/>
      <c r="CI663" s="162"/>
      <c r="CJ663" s="162"/>
      <c r="CK663" s="162"/>
      <c r="CL663" s="162"/>
      <c r="CM663" s="162"/>
      <c r="CN663" s="162"/>
      <c r="CO663" s="162">
        <v>0</v>
      </c>
      <c r="CP663" s="162">
        <v>0</v>
      </c>
      <c r="CQ663" s="162">
        <v>0</v>
      </c>
      <c r="CR663" s="162">
        <v>0</v>
      </c>
      <c r="CS663" s="209">
        <f>Q663+S663+U663+W663+Y663+AA663+AC663+AE663+AG663+AI663+AK663+AM663+AO663+AQ663+AS663+AU663+AW663+AY663+BA663+BC663+BE663+BG663+BI663+BK663+BM663+BO663+BQ663+BS663+BU663+BW663+BY663+CA663+CC663+CE663+CG663+CI663+CK663+CM663+CO663+CQ663</f>
        <v>3</v>
      </c>
      <c r="CT663" s="209">
        <f>R663+T663+V663+X663+Z663+AB663+AD663+AF663+AH663+AJ663+AL663+AN663+AP663+AR663+AT663+AV663+AX663+AZ663+BB663+BD663+BF663+BH663+BJ663+BL663+BN663+BP663+BR663+BT663+BV663+BX663+BZ663+CB663+CD663+CF663+CH663+CJ663+CL663+CN663+CP663+CR663</f>
        <v>0</v>
      </c>
      <c r="CU663" s="206" t="s">
        <v>2058</v>
      </c>
      <c r="DA663" s="152">
        <f t="shared" si="667"/>
        <v>3</v>
      </c>
      <c r="DB663" s="152" t="str">
        <f t="shared" si="668"/>
        <v>0</v>
      </c>
      <c r="DD663" s="267"/>
      <c r="DE663" s="264" t="s">
        <v>1395</v>
      </c>
      <c r="DF663" s="713" t="s">
        <v>2208</v>
      </c>
      <c r="DG663" s="714" t="s">
        <v>2166</v>
      </c>
      <c r="DH663" s="264" t="s">
        <v>2211</v>
      </c>
      <c r="DI663" s="264" t="s">
        <v>374</v>
      </c>
      <c r="DJ663" s="270">
        <v>495</v>
      </c>
      <c r="DK663" s="270" t="s">
        <v>2211</v>
      </c>
      <c r="DL663" s="264">
        <v>50500</v>
      </c>
      <c r="DM663" s="264">
        <f t="shared" si="674"/>
        <v>26997300</v>
      </c>
      <c r="DN663" s="716">
        <v>0.08</v>
      </c>
      <c r="DO663" s="264">
        <f t="shared" si="675"/>
        <v>24997500</v>
      </c>
      <c r="DP663" s="274">
        <v>45977</v>
      </c>
      <c r="DQ663" s="152">
        <f>SUMIF($I:$I,I663,$DJ:$DJ)</f>
        <v>495</v>
      </c>
      <c r="DR663" s="152">
        <f>SUMIF($I:$I,I663,$DK:$DK)</f>
        <v>0</v>
      </c>
      <c r="DY663" s="713"/>
      <c r="DZ663" s="714"/>
      <c r="EO663" s="152">
        <f>SUMIF($I:$I,I663,$EC:$EC)</f>
        <v>0</v>
      </c>
      <c r="EP663" s="151">
        <f>SUMIF($I:$I,I663,$ED:$ED)</f>
        <v>0</v>
      </c>
      <c r="EQ663" s="153"/>
      <c r="ER663" s="153"/>
      <c r="ES663" s="153"/>
      <c r="ET663" s="153"/>
      <c r="EU663" s="152">
        <f t="shared" si="669"/>
        <v>495</v>
      </c>
      <c r="EV663" s="152">
        <f t="shared" si="670"/>
        <v>0</v>
      </c>
      <c r="EW663" s="152">
        <f t="shared" si="671"/>
        <v>-492</v>
      </c>
      <c r="EX663" s="152">
        <f t="shared" si="672"/>
        <v>0</v>
      </c>
      <c r="EY663" s="151" t="str">
        <f t="shared" si="673"/>
        <v>Thừa</v>
      </c>
    </row>
    <row r="664" spans="1:155" s="264" customFormat="1" ht="14" hidden="1" customHeight="1">
      <c r="A664" s="208" t="str">
        <f t="shared" si="665"/>
        <v>Hiện</v>
      </c>
      <c r="B664" s="154" t="str">
        <f t="shared" si="638"/>
        <v>Thừa</v>
      </c>
      <c r="C664" s="154">
        <f t="shared" si="639"/>
        <v>-600.75</v>
      </c>
      <c r="D664" s="154"/>
      <c r="F664" s="344"/>
      <c r="I664" s="164" t="s">
        <v>1873</v>
      </c>
      <c r="J664" s="164" t="s">
        <v>1365</v>
      </c>
      <c r="K664" s="171" t="s">
        <v>1874</v>
      </c>
      <c r="L664" s="247"/>
      <c r="M664" s="163" t="s">
        <v>1074</v>
      </c>
      <c r="N664" s="248"/>
      <c r="O664" s="229">
        <v>3</v>
      </c>
      <c r="P664" s="172"/>
      <c r="Q664" s="266"/>
      <c r="BG664" s="162"/>
      <c r="BH664" s="162"/>
      <c r="BI664" s="162"/>
      <c r="BJ664" s="162"/>
      <c r="BK664" s="162"/>
      <c r="BL664" s="162"/>
      <c r="BM664" s="162"/>
      <c r="BN664" s="162"/>
      <c r="BO664" s="162"/>
      <c r="BP664" s="162"/>
      <c r="BQ664" s="162">
        <v>3</v>
      </c>
      <c r="BR664" s="162">
        <v>0</v>
      </c>
      <c r="BS664" s="162">
        <v>0</v>
      </c>
      <c r="BT664" s="162">
        <v>0</v>
      </c>
      <c r="BU664" s="162">
        <v>0</v>
      </c>
      <c r="BV664" s="162">
        <v>0</v>
      </c>
      <c r="BW664" s="162"/>
      <c r="BX664" s="162"/>
      <c r="BY664" s="162">
        <v>0</v>
      </c>
      <c r="BZ664" s="162">
        <v>0</v>
      </c>
      <c r="CA664" s="162">
        <v>0</v>
      </c>
      <c r="CB664" s="162">
        <v>0</v>
      </c>
      <c r="CC664" s="162">
        <v>0</v>
      </c>
      <c r="CD664" s="162">
        <v>0</v>
      </c>
      <c r="CE664" s="162">
        <f>VLOOKUP(I664,[120]REV33!$A:$O,11,0)</f>
        <v>0</v>
      </c>
      <c r="CF664" s="162">
        <f>VLOOKUP(I664,[120]REV33!$A:$O,12,0)</f>
        <v>0</v>
      </c>
      <c r="CG664" s="162"/>
      <c r="CH664" s="162"/>
      <c r="CI664" s="162"/>
      <c r="CJ664" s="162"/>
      <c r="CK664" s="162"/>
      <c r="CL664" s="162"/>
      <c r="CM664" s="162"/>
      <c r="CN664" s="162"/>
      <c r="CO664" s="162">
        <v>0</v>
      </c>
      <c r="CP664" s="162">
        <v>0</v>
      </c>
      <c r="CQ664" s="162">
        <v>0</v>
      </c>
      <c r="CR664" s="162">
        <v>0</v>
      </c>
      <c r="CS664" s="209">
        <f>Q664+S664+U664+W664+Y664+AA664+AC664+AE664+AG664+AI664+AK664+AM664+AO664+AQ664+AS664+AU664+AW664+AY664+BA664+BC664+BE664+BG664+BI664+BK664+BM664+BO664+BQ664+BS664+BU664+BW664+BY664+CA664+CC664+CE664+CG664+CI664+CK664+CM664+CO664+CQ664</f>
        <v>3</v>
      </c>
      <c r="CT664" s="209">
        <f>R664+T664+V664+X664+Z664+AB664+AD664+AF664+AH664+AJ664+AL664+AN664+AP664+AR664+AT664+AV664+AX664+AZ664+BB664+BD664+BF664+BH664+BJ664+BL664+BN664+BP664+BR664+BT664+BV664+BX664+BZ664+CB664+CD664+CF664+CH664+CJ664+CL664+CN664+CP664+CR664</f>
        <v>0</v>
      </c>
      <c r="CU664" s="206" t="s">
        <v>2058</v>
      </c>
      <c r="DA664" s="152">
        <f t="shared" si="667"/>
        <v>3</v>
      </c>
      <c r="DB664" s="152" t="str">
        <f t="shared" si="668"/>
        <v>0</v>
      </c>
      <c r="DD664" s="267"/>
      <c r="DE664" s="264" t="s">
        <v>1395</v>
      </c>
      <c r="DF664" s="715" t="s">
        <v>2209</v>
      </c>
      <c r="DG664" s="714" t="s">
        <v>2166</v>
      </c>
      <c r="DH664" s="264" t="s">
        <v>2211</v>
      </c>
      <c r="DI664" s="264" t="s">
        <v>374</v>
      </c>
      <c r="DJ664" s="270">
        <v>603.75</v>
      </c>
      <c r="DK664" s="270" t="s">
        <v>2211</v>
      </c>
      <c r="DL664" s="264">
        <v>50500</v>
      </c>
      <c r="DM664" s="264">
        <f t="shared" si="674"/>
        <v>32928525.000000004</v>
      </c>
      <c r="DN664" s="716">
        <v>0.08</v>
      </c>
      <c r="DO664" s="264">
        <f t="shared" si="675"/>
        <v>30489375</v>
      </c>
      <c r="DP664" s="274">
        <v>45977</v>
      </c>
      <c r="DQ664" s="152">
        <f>SUMIF($I:$I,I664,$DJ:$DJ)</f>
        <v>603.75</v>
      </c>
      <c r="DR664" s="152">
        <f>SUMIF($I:$I,I664,$DK:$DK)</f>
        <v>0</v>
      </c>
      <c r="DY664" s="715"/>
      <c r="DZ664" s="714"/>
      <c r="EO664" s="152">
        <f>SUMIF($I:$I,I664,$EC:$EC)</f>
        <v>0</v>
      </c>
      <c r="EP664" s="151">
        <f>SUMIF($I:$I,I664,$ED:$ED)</f>
        <v>0</v>
      </c>
      <c r="EQ664" s="153"/>
      <c r="ER664" s="153"/>
      <c r="ES664" s="153"/>
      <c r="ET664" s="153"/>
      <c r="EU664" s="152">
        <f t="shared" si="669"/>
        <v>603.75</v>
      </c>
      <c r="EV664" s="152">
        <f t="shared" si="670"/>
        <v>0</v>
      </c>
      <c r="EW664" s="152">
        <f t="shared" si="671"/>
        <v>-600.75</v>
      </c>
      <c r="EX664" s="152">
        <f t="shared" si="672"/>
        <v>0</v>
      </c>
      <c r="EY664" s="151" t="str">
        <f t="shared" si="673"/>
        <v>Thừa</v>
      </c>
    </row>
    <row r="665" spans="1:155" s="264" customFormat="1" ht="14" hidden="1" customHeight="1">
      <c r="A665" s="208" t="str">
        <f t="shared" si="665"/>
        <v>Hiện</v>
      </c>
      <c r="B665" s="154" t="str">
        <f t="shared" si="638"/>
        <v>Thừa</v>
      </c>
      <c r="C665" s="154">
        <f t="shared" si="639"/>
        <v>-199.5</v>
      </c>
      <c r="D665" s="154"/>
      <c r="F665" s="344"/>
      <c r="I665" s="164" t="s">
        <v>1875</v>
      </c>
      <c r="J665" s="164" t="s">
        <v>1365</v>
      </c>
      <c r="K665" s="171" t="s">
        <v>1876</v>
      </c>
      <c r="L665" s="247"/>
      <c r="M665" s="163" t="s">
        <v>1074</v>
      </c>
      <c r="N665" s="248"/>
      <c r="O665" s="229">
        <v>3</v>
      </c>
      <c r="P665" s="172"/>
      <c r="Q665" s="266"/>
      <c r="BG665" s="162"/>
      <c r="BH665" s="162"/>
      <c r="BI665" s="162"/>
      <c r="BJ665" s="162"/>
      <c r="BK665" s="162"/>
      <c r="BL665" s="162"/>
      <c r="BM665" s="162"/>
      <c r="BN665" s="162"/>
      <c r="BO665" s="162"/>
      <c r="BP665" s="162"/>
      <c r="BQ665" s="162">
        <v>3</v>
      </c>
      <c r="BR665" s="162">
        <v>0</v>
      </c>
      <c r="BS665" s="162">
        <v>0</v>
      </c>
      <c r="BT665" s="162">
        <v>0</v>
      </c>
      <c r="BU665" s="162">
        <v>0</v>
      </c>
      <c r="BV665" s="162">
        <v>0</v>
      </c>
      <c r="BW665" s="162"/>
      <c r="BX665" s="162"/>
      <c r="BY665" s="162">
        <v>0</v>
      </c>
      <c r="BZ665" s="162">
        <v>0</v>
      </c>
      <c r="CA665" s="162">
        <v>0</v>
      </c>
      <c r="CB665" s="162">
        <v>0</v>
      </c>
      <c r="CC665" s="162">
        <v>0</v>
      </c>
      <c r="CD665" s="162">
        <v>0</v>
      </c>
      <c r="CE665" s="162">
        <f>VLOOKUP(I665,[120]REV33!$A:$O,11,0)</f>
        <v>0</v>
      </c>
      <c r="CF665" s="162">
        <f>VLOOKUP(I665,[120]REV33!$A:$O,12,0)</f>
        <v>0</v>
      </c>
      <c r="CG665" s="162"/>
      <c r="CH665" s="162"/>
      <c r="CI665" s="162"/>
      <c r="CJ665" s="162"/>
      <c r="CK665" s="162"/>
      <c r="CL665" s="162"/>
      <c r="CM665" s="162"/>
      <c r="CN665" s="162"/>
      <c r="CO665" s="162">
        <v>0</v>
      </c>
      <c r="CP665" s="162">
        <v>0</v>
      </c>
      <c r="CQ665" s="162">
        <v>0</v>
      </c>
      <c r="CR665" s="162">
        <v>0</v>
      </c>
      <c r="CS665" s="209">
        <f>Q665+S665+U665+W665+Y665+AA665+AC665+AE665+AG665+AI665+AK665+AM665+AO665+AQ665+AS665+AU665+AW665+AY665+BA665+BC665+BE665+BG665+BI665+BK665+BM665+BO665+BQ665+BS665+BU665+BW665+BY665+CA665+CC665+CE665+CG665+CI665+CK665+CM665+CO665+CQ665</f>
        <v>3</v>
      </c>
      <c r="CT665" s="209">
        <f>R665+T665+V665+X665+Z665+AB665+AD665+AF665+AH665+AJ665+AL665+AN665+AP665+AR665+AT665+AV665+AX665+AZ665+BB665+BD665+BF665+BH665+BJ665+BL665+BN665+BP665+BR665+BT665+BV665+BX665+BZ665+CB665+CD665+CF665+CH665+CJ665+CL665+CN665+CP665+CR665</f>
        <v>0</v>
      </c>
      <c r="CU665" s="206" t="s">
        <v>2058</v>
      </c>
      <c r="DA665" s="152">
        <f t="shared" si="667"/>
        <v>3</v>
      </c>
      <c r="DB665" s="152" t="str">
        <f t="shared" si="668"/>
        <v>0</v>
      </c>
      <c r="DD665" s="267"/>
      <c r="DE665" s="264" t="s">
        <v>1395</v>
      </c>
      <c r="DF665" s="713" t="s">
        <v>2210</v>
      </c>
      <c r="DG665" s="714" t="s">
        <v>2166</v>
      </c>
      <c r="DH665" s="264" t="s">
        <v>2211</v>
      </c>
      <c r="DI665" s="264" t="s">
        <v>374</v>
      </c>
      <c r="DJ665" s="270">
        <v>202.5</v>
      </c>
      <c r="DK665" s="270" t="s">
        <v>2211</v>
      </c>
      <c r="DL665" s="264">
        <v>50500</v>
      </c>
      <c r="DM665" s="264">
        <f t="shared" si="674"/>
        <v>11044350</v>
      </c>
      <c r="DN665" s="716">
        <v>0.08</v>
      </c>
      <c r="DO665" s="264">
        <f t="shared" si="675"/>
        <v>10226250</v>
      </c>
      <c r="DP665" s="274">
        <v>45977</v>
      </c>
      <c r="DQ665" s="152">
        <f>SUMIF($I:$I,I665,$DJ:$DJ)</f>
        <v>202.5</v>
      </c>
      <c r="DR665" s="152">
        <f>SUMIF($I:$I,I665,$DK:$DK)</f>
        <v>0</v>
      </c>
      <c r="DY665" s="713"/>
      <c r="DZ665" s="714"/>
      <c r="EO665" s="152">
        <f>SUMIF($I:$I,I665,$EC:$EC)</f>
        <v>0</v>
      </c>
      <c r="EP665" s="151">
        <f>SUMIF($I:$I,I665,$ED:$ED)</f>
        <v>0</v>
      </c>
      <c r="EQ665" s="153"/>
      <c r="ER665" s="153"/>
      <c r="ES665" s="153"/>
      <c r="ET665" s="153"/>
      <c r="EU665" s="152">
        <f t="shared" si="669"/>
        <v>202.5</v>
      </c>
      <c r="EV665" s="152">
        <f t="shared" si="670"/>
        <v>0</v>
      </c>
      <c r="EW665" s="152">
        <f t="shared" si="671"/>
        <v>-199.5</v>
      </c>
      <c r="EX665" s="152">
        <f t="shared" si="672"/>
        <v>0</v>
      </c>
      <c r="EY665" s="151" t="str">
        <f t="shared" si="673"/>
        <v>Thừa</v>
      </c>
    </row>
    <row r="666" spans="1:155" s="264" customFormat="1" ht="23" hidden="1" customHeight="1">
      <c r="A666" s="208" t="str">
        <f t="shared" ref="A666" si="676">IF(I666=I665,"ok","Hiện")</f>
        <v>Hiện</v>
      </c>
      <c r="B666" s="154" t="str">
        <f t="shared" ref="B666" si="677">EY666</f>
        <v>Đủ</v>
      </c>
      <c r="C666" s="154">
        <f t="shared" ref="C666" si="678">EW666</f>
        <v>0</v>
      </c>
      <c r="D666" s="154"/>
      <c r="E666" s="154"/>
      <c r="F666" s="344"/>
      <c r="I666" s="164" t="s">
        <v>1877</v>
      </c>
      <c r="J666" s="164" t="s">
        <v>1293</v>
      </c>
      <c r="K666" s="171" t="s">
        <v>1878</v>
      </c>
      <c r="L666" s="247" t="s">
        <v>535</v>
      </c>
      <c r="M666" s="163" t="s">
        <v>1074</v>
      </c>
      <c r="N666" s="248"/>
      <c r="O666" s="229">
        <v>24</v>
      </c>
      <c r="P666" s="172"/>
      <c r="Q666" s="266"/>
      <c r="BG666" s="162"/>
      <c r="BH666" s="162"/>
      <c r="BI666" s="162"/>
      <c r="BJ666" s="162"/>
      <c r="BK666" s="162"/>
      <c r="BL666" s="162"/>
      <c r="BM666" s="162"/>
      <c r="BN666" s="162"/>
      <c r="BO666" s="162"/>
      <c r="BP666" s="162"/>
      <c r="BQ666" s="162">
        <v>24</v>
      </c>
      <c r="BR666" s="162">
        <v>0</v>
      </c>
      <c r="BS666" s="162">
        <v>0</v>
      </c>
      <c r="BT666" s="162">
        <v>0</v>
      </c>
      <c r="BU666" s="162">
        <v>0</v>
      </c>
      <c r="BV666" s="162">
        <v>0</v>
      </c>
      <c r="BW666" s="162"/>
      <c r="BX666" s="162"/>
      <c r="BY666" s="162">
        <v>0</v>
      </c>
      <c r="BZ666" s="162">
        <v>0</v>
      </c>
      <c r="CA666" s="162">
        <v>0</v>
      </c>
      <c r="CB666" s="162">
        <v>0</v>
      </c>
      <c r="CC666" s="162">
        <v>0</v>
      </c>
      <c r="CD666" s="162">
        <v>0</v>
      </c>
      <c r="CE666" s="162">
        <f>VLOOKUP(I666,[120]REV33!$A:$O,11,0)</f>
        <v>0</v>
      </c>
      <c r="CF666" s="162">
        <f>VLOOKUP(I666,[120]REV33!$A:$O,12,0)</f>
        <v>0</v>
      </c>
      <c r="CG666" s="162"/>
      <c r="CH666" s="162"/>
      <c r="CI666" s="162"/>
      <c r="CJ666" s="162"/>
      <c r="CK666" s="162"/>
      <c r="CL666" s="162"/>
      <c r="CM666" s="162"/>
      <c r="CN666" s="162"/>
      <c r="CO666" s="162">
        <v>0</v>
      </c>
      <c r="CP666" s="162">
        <v>0</v>
      </c>
      <c r="CQ666" s="162">
        <v>0</v>
      </c>
      <c r="CR666" s="162">
        <v>0</v>
      </c>
      <c r="CS666" s="209">
        <f>Q666+S666+U666+W666+Y666+AA666+AC666+AE666+AG666+AI666+AK666+AM666+AO666+AQ666+AS666+AU666+AW666+AY666+BA666+BC666+BE666+BG666+BI666+BK666+BM666+BO666+BQ666+BS666+BU666+BW666+BY666+CA666+CC666+CE666+CG666+CI666+CK666+CM666+CO666+CQ666</f>
        <v>24</v>
      </c>
      <c r="CT666" s="209">
        <f>R666+T666+V666+X666+Z666+AB666+AD666+AF666+AH666+AJ666+AL666+AN666+AP666+AR666+AT666+AV666+AX666+AZ666+BB666+BD666+BF666+BH666+BJ666+BL666+BN666+BP666+BR666+BT666+BV666+BX666+BZ666+CB666+CD666+CF666+CH666+CJ666+CL666+CN666+CP666+CR666</f>
        <v>0</v>
      </c>
      <c r="CU666" s="206" t="s">
        <v>2238</v>
      </c>
      <c r="DA666" s="152">
        <f t="shared" si="667"/>
        <v>24</v>
      </c>
      <c r="DB666" s="152" t="str">
        <f t="shared" si="668"/>
        <v>0</v>
      </c>
      <c r="DD666" s="267" t="s">
        <v>374</v>
      </c>
      <c r="DE666" s="154" t="s">
        <v>2042</v>
      </c>
      <c r="DF666" s="713" t="s">
        <v>2320</v>
      </c>
      <c r="DG666" s="714"/>
      <c r="DH666" s="240" t="s">
        <v>477</v>
      </c>
      <c r="DI666" s="187" t="s">
        <v>374</v>
      </c>
      <c r="DJ666" s="270">
        <v>24</v>
      </c>
      <c r="DK666" s="240" t="s">
        <v>477</v>
      </c>
      <c r="DL666" s="264">
        <v>3680000</v>
      </c>
      <c r="DM666" s="181">
        <f>DL666*DJ666*1.08</f>
        <v>95385600</v>
      </c>
      <c r="DN666" s="446">
        <f t="shared" ref="DN666" si="679">(DM666-DO666)/DO666</f>
        <v>0.08</v>
      </c>
      <c r="DO666" s="160">
        <f>DL666*DJ666</f>
        <v>88320000</v>
      </c>
      <c r="DP666" s="159">
        <v>45992</v>
      </c>
      <c r="DQ666" s="152">
        <f>SUMIF($I:$I,I666,$DJ:$DJ)</f>
        <v>24</v>
      </c>
      <c r="DR666" s="152">
        <f>SUMIF($I:$I,I666,$DK:$DK)</f>
        <v>0</v>
      </c>
      <c r="DY666" s="713"/>
      <c r="DZ666" s="714"/>
      <c r="EO666" s="152">
        <f>SUMIF($I:$I,I666,$EC:$EC)</f>
        <v>0</v>
      </c>
      <c r="EP666" s="151">
        <f>SUMIF($I:$I,I666,$ED:$ED)</f>
        <v>0</v>
      </c>
      <c r="EQ666" s="153"/>
      <c r="ER666" s="153"/>
      <c r="ES666" s="153"/>
      <c r="ET666" s="153"/>
      <c r="EU666" s="152">
        <f t="shared" si="669"/>
        <v>24</v>
      </c>
      <c r="EV666" s="152">
        <f t="shared" si="670"/>
        <v>0</v>
      </c>
      <c r="EW666" s="152">
        <f t="shared" si="671"/>
        <v>0</v>
      </c>
      <c r="EX666" s="152">
        <f t="shared" si="672"/>
        <v>0</v>
      </c>
      <c r="EY666" s="151" t="str">
        <f t="shared" si="673"/>
        <v>Đủ</v>
      </c>
    </row>
    <row r="667" spans="1:155" s="264" customFormat="1" ht="14" hidden="1" customHeight="1">
      <c r="A667" s="208" t="str">
        <f t="shared" ref="A667:A668" si="680">IF(I667=I666,"ok","Hiện")</f>
        <v>Hiện</v>
      </c>
      <c r="B667" s="154" t="str">
        <f t="shared" ref="B667:B668" si="681">EY667</f>
        <v>Thừa</v>
      </c>
      <c r="C667" s="154">
        <f t="shared" ref="C667:C668" si="682">EW667</f>
        <v>-2990</v>
      </c>
      <c r="D667" s="154"/>
      <c r="F667" s="344"/>
      <c r="I667" s="164" t="s">
        <v>2043</v>
      </c>
      <c r="J667" s="164" t="s">
        <v>2044</v>
      </c>
      <c r="K667" s="171" t="s">
        <v>2045</v>
      </c>
      <c r="L667" s="247" t="s">
        <v>2046</v>
      </c>
      <c r="M667" s="163" t="s">
        <v>1074</v>
      </c>
      <c r="N667" s="248"/>
      <c r="O667" s="229">
        <v>10</v>
      </c>
      <c r="P667" s="172"/>
      <c r="Q667" s="266"/>
      <c r="BG667" s="162"/>
      <c r="BH667" s="162"/>
      <c r="BI667" s="162"/>
      <c r="BJ667" s="162"/>
      <c r="BK667" s="162"/>
      <c r="BL667" s="162"/>
      <c r="BM667" s="162"/>
      <c r="BN667" s="162"/>
      <c r="BO667" s="162"/>
      <c r="BP667" s="162"/>
      <c r="BQ667" s="162"/>
      <c r="BR667" s="162"/>
      <c r="BS667" s="162">
        <v>10</v>
      </c>
      <c r="BT667" s="162">
        <v>0</v>
      </c>
      <c r="BU667" s="162">
        <v>0</v>
      </c>
      <c r="BV667" s="162">
        <v>0</v>
      </c>
      <c r="BW667" s="162"/>
      <c r="BX667" s="162"/>
      <c r="BY667" s="162">
        <v>0</v>
      </c>
      <c r="BZ667" s="162">
        <v>0</v>
      </c>
      <c r="CA667" s="162">
        <v>0</v>
      </c>
      <c r="CB667" s="162">
        <v>0</v>
      </c>
      <c r="CC667" s="162">
        <v>0</v>
      </c>
      <c r="CD667" s="162">
        <v>0</v>
      </c>
      <c r="CE667" s="162">
        <f>VLOOKUP(I667,[120]REV33!$A:$O,11,0)</f>
        <v>0</v>
      </c>
      <c r="CF667" s="162">
        <f>VLOOKUP(I667,[120]REV33!$A:$O,12,0)</f>
        <v>0</v>
      </c>
      <c r="CG667" s="162"/>
      <c r="CH667" s="162"/>
      <c r="CI667" s="162"/>
      <c r="CJ667" s="162"/>
      <c r="CK667" s="162"/>
      <c r="CL667" s="162"/>
      <c r="CM667" s="162"/>
      <c r="CN667" s="162"/>
      <c r="CO667" s="162">
        <v>0</v>
      </c>
      <c r="CP667" s="162">
        <v>0</v>
      </c>
      <c r="CQ667" s="162">
        <v>0</v>
      </c>
      <c r="CR667" s="162">
        <v>0</v>
      </c>
      <c r="CS667" s="209">
        <f>Q667+S667+U667+W667+Y667+AA667+AC667+AE667+AG667+AI667+AK667+AM667+AO667+AQ667+AS667+AU667+AW667+AY667+BA667+BC667+BE667+BG667+BI667+BK667+BM667+BO667+BQ667+BS667+BU667+BW667+BY667+CA667+CC667+CE667+CG667+CI667+CK667+CM667+CO667+CQ667</f>
        <v>10</v>
      </c>
      <c r="CT667" s="209">
        <f>R667+T667+V667+X667+Z667+AB667+AD667+AF667+AH667+AJ667+AL667+AN667+AP667+AR667+AT667+AV667+AX667+AZ667+BB667+BD667+BF667+BH667+BJ667+BL667+BN667+BP667+BR667+BT667+BV667+BX667+BZ667+CB667+CD667+CF667+CH667+CJ667+CL667+CN667+CP667+CR667</f>
        <v>0</v>
      </c>
      <c r="CU667" s="206" t="s">
        <v>2059</v>
      </c>
      <c r="DA667" s="152">
        <f t="shared" si="667"/>
        <v>10</v>
      </c>
      <c r="DB667" s="152" t="str">
        <f t="shared" si="668"/>
        <v>0</v>
      </c>
      <c r="DD667" s="267"/>
      <c r="DE667" s="264" t="s">
        <v>1395</v>
      </c>
      <c r="DF667" s="268" t="s">
        <v>2163</v>
      </c>
      <c r="DG667" s="714" t="s">
        <v>2165</v>
      </c>
      <c r="DH667" s="264" t="s">
        <v>2211</v>
      </c>
      <c r="DI667" s="264" t="s">
        <v>374</v>
      </c>
      <c r="DJ667" s="270">
        <v>3000</v>
      </c>
      <c r="DK667" s="270" t="s">
        <v>2211</v>
      </c>
      <c r="DL667" s="269">
        <v>11000</v>
      </c>
      <c r="DM667" s="264">
        <f t="shared" si="674"/>
        <v>35640000</v>
      </c>
      <c r="DN667" s="716">
        <v>0.08</v>
      </c>
      <c r="DO667" s="264">
        <f t="shared" si="675"/>
        <v>33000000</v>
      </c>
      <c r="DP667" s="274">
        <v>45977</v>
      </c>
      <c r="DQ667" s="152">
        <f>SUMIF($I:$I,I667,$DJ:$DJ)</f>
        <v>3000</v>
      </c>
      <c r="DR667" s="152">
        <f>SUMIF($I:$I,I667,$DK:$DK)</f>
        <v>0</v>
      </c>
      <c r="EO667" s="152">
        <f>SUMIF($I:$I,I667,$EC:$EC)</f>
        <v>0</v>
      </c>
      <c r="EP667" s="151">
        <f>SUMIF($I:$I,I667,$ED:$ED)</f>
        <v>0</v>
      </c>
      <c r="EQ667" s="153"/>
      <c r="ER667" s="153"/>
      <c r="ES667" s="153"/>
      <c r="ET667" s="153"/>
      <c r="EU667" s="152">
        <f t="shared" si="669"/>
        <v>3000</v>
      </c>
      <c r="EV667" s="152">
        <f t="shared" si="670"/>
        <v>0</v>
      </c>
      <c r="EW667" s="152">
        <f t="shared" si="671"/>
        <v>-2990</v>
      </c>
      <c r="EX667" s="152">
        <f t="shared" si="672"/>
        <v>0</v>
      </c>
      <c r="EY667" s="151" t="str">
        <f t="shared" si="673"/>
        <v>Thừa</v>
      </c>
    </row>
    <row r="668" spans="1:155" s="264" customFormat="1" ht="14" hidden="1" customHeight="1">
      <c r="A668" s="208" t="str">
        <f t="shared" si="680"/>
        <v>Hiện</v>
      </c>
      <c r="B668" s="154" t="str">
        <f t="shared" si="681"/>
        <v>Đủ</v>
      </c>
      <c r="C668" s="154">
        <f t="shared" si="682"/>
        <v>0</v>
      </c>
      <c r="D668" s="154"/>
      <c r="E668" s="264" t="s">
        <v>1490</v>
      </c>
      <c r="F668" s="344"/>
      <c r="I668" s="164" t="s">
        <v>2047</v>
      </c>
      <c r="J668" s="164" t="s">
        <v>2048</v>
      </c>
      <c r="K668" s="171" t="s">
        <v>2049</v>
      </c>
      <c r="L668" s="247" t="s">
        <v>2049</v>
      </c>
      <c r="M668" s="163" t="s">
        <v>61</v>
      </c>
      <c r="N668" s="248"/>
      <c r="O668" s="229">
        <v>4000</v>
      </c>
      <c r="P668" s="172"/>
      <c r="Q668" s="266"/>
      <c r="BG668" s="162"/>
      <c r="BH668" s="162"/>
      <c r="BI668" s="162"/>
      <c r="BJ668" s="162"/>
      <c r="BK668" s="162"/>
      <c r="BL668" s="162"/>
      <c r="BM668" s="162"/>
      <c r="BN668" s="162"/>
      <c r="BO668" s="162"/>
      <c r="BP668" s="162"/>
      <c r="BQ668" s="162"/>
      <c r="BR668" s="162"/>
      <c r="BS668" s="162">
        <v>4000</v>
      </c>
      <c r="BT668" s="162">
        <v>0</v>
      </c>
      <c r="BU668" s="162">
        <v>0</v>
      </c>
      <c r="BV668" s="162">
        <v>0</v>
      </c>
      <c r="BW668" s="162"/>
      <c r="BX668" s="162"/>
      <c r="BY668" s="162">
        <v>0</v>
      </c>
      <c r="BZ668" s="162">
        <v>0</v>
      </c>
      <c r="CA668" s="162">
        <v>0</v>
      </c>
      <c r="CB668" s="162">
        <v>0</v>
      </c>
      <c r="CC668" s="162">
        <v>0</v>
      </c>
      <c r="CD668" s="162">
        <v>0</v>
      </c>
      <c r="CE668" s="162">
        <f>VLOOKUP(I668,[120]REV33!$A:$O,11,0)</f>
        <v>0</v>
      </c>
      <c r="CF668" s="162">
        <f>VLOOKUP(I668,[120]REV33!$A:$O,12,0)</f>
        <v>0</v>
      </c>
      <c r="CG668" s="162"/>
      <c r="CH668" s="162"/>
      <c r="CI668" s="162"/>
      <c r="CJ668" s="162"/>
      <c r="CK668" s="162"/>
      <c r="CL668" s="162"/>
      <c r="CM668" s="162"/>
      <c r="CN668" s="162"/>
      <c r="CO668" s="162">
        <v>0</v>
      </c>
      <c r="CP668" s="162">
        <v>0</v>
      </c>
      <c r="CQ668" s="162">
        <v>0</v>
      </c>
      <c r="CR668" s="162">
        <v>0</v>
      </c>
      <c r="CS668" s="209">
        <f>Q668+S668+U668+W668+Y668+AA668+AC668+AE668+AG668+AI668+AK668+AM668+AO668+AQ668+AS668+AU668+AW668+AY668+BA668+BC668+BE668+BG668+BI668+BK668+BM668+BO668+BQ668+BS668+BU668+BW668+BY668+CA668+CC668+CE668+CG668+CI668+CK668+CM668+CO668+CQ668</f>
        <v>4000</v>
      </c>
      <c r="CT668" s="209">
        <f>R668+T668+V668+X668+Z668+AB668+AD668+AF668+AH668+AJ668+AL668+AN668+AP668+AR668+AT668+AV668+AX668+AZ668+BB668+BD668+BF668+BH668+BJ668+BL668+BN668+BP668+BR668+BT668+BV668+BX668+BZ668+CB668+CD668+CF668+CH668+CJ668+CL668+CN668+CP668+CR668</f>
        <v>0</v>
      </c>
      <c r="CU668" s="206" t="s">
        <v>2059</v>
      </c>
      <c r="CW668" s="264">
        <v>4000</v>
      </c>
      <c r="CZ668" s="264" t="s">
        <v>2244</v>
      </c>
      <c r="DA668" s="152" t="str">
        <f t="shared" si="667"/>
        <v>0</v>
      </c>
      <c r="DB668" s="152" t="str">
        <f t="shared" si="668"/>
        <v>0</v>
      </c>
      <c r="DD668" s="267"/>
      <c r="DE668" s="267"/>
      <c r="DJ668" s="270"/>
      <c r="DK668" s="270"/>
      <c r="DQ668" s="152">
        <f>SUMIF($I:$I,I668,$DJ:$DJ)</f>
        <v>0</v>
      </c>
      <c r="DR668" s="152">
        <f>SUMIF($I:$I,I668,$DK:$DK)</f>
        <v>0</v>
      </c>
      <c r="EO668" s="152">
        <f>SUMIF($I:$I,I668,$EC:$EC)</f>
        <v>0</v>
      </c>
      <c r="EP668" s="151">
        <f>SUMIF($I:$I,I668,$ED:$ED)</f>
        <v>0</v>
      </c>
      <c r="EQ668" s="153"/>
      <c r="ER668" s="153"/>
      <c r="ES668" s="153"/>
      <c r="ET668" s="153"/>
      <c r="EU668" s="152">
        <f t="shared" si="669"/>
        <v>0</v>
      </c>
      <c r="EV668" s="152">
        <f t="shared" si="670"/>
        <v>0</v>
      </c>
      <c r="EW668" s="152">
        <f t="shared" si="671"/>
        <v>0</v>
      </c>
      <c r="EX668" s="152">
        <f t="shared" si="672"/>
        <v>0</v>
      </c>
      <c r="EY668" s="151" t="str">
        <f t="shared" si="673"/>
        <v>Đủ</v>
      </c>
    </row>
    <row r="669" spans="1:155" s="264" customFormat="1" ht="14" hidden="1" customHeight="1">
      <c r="A669" s="208" t="str">
        <f t="shared" ref="A669:A670" si="683">IF(I669=I668,"ok","Hiện")</f>
        <v>Hiện</v>
      </c>
      <c r="B669" s="154" t="str">
        <f t="shared" ref="B669:B670" si="684">EY669</f>
        <v>Đủ</v>
      </c>
      <c r="C669" s="154">
        <f t="shared" ref="C669:C670" si="685">EW669</f>
        <v>0</v>
      </c>
      <c r="D669" s="154"/>
      <c r="F669" s="344"/>
      <c r="I669" s="164" t="s">
        <v>2312</v>
      </c>
      <c r="J669" s="164" t="s">
        <v>344</v>
      </c>
      <c r="K669" s="171" t="s">
        <v>344</v>
      </c>
      <c r="L669" s="247" t="s">
        <v>720</v>
      </c>
      <c r="M669" s="163" t="s">
        <v>345</v>
      </c>
      <c r="N669" s="248"/>
      <c r="O669" s="229">
        <v>6</v>
      </c>
      <c r="P669" s="172"/>
      <c r="Q669" s="266"/>
      <c r="BG669" s="162"/>
      <c r="BH669" s="162"/>
      <c r="BI669" s="162"/>
      <c r="BJ669" s="162"/>
      <c r="BK669" s="162"/>
      <c r="BL669" s="162"/>
      <c r="BM669" s="162"/>
      <c r="BN669" s="162"/>
      <c r="BO669" s="162"/>
      <c r="BP669" s="162"/>
      <c r="BQ669" s="162"/>
      <c r="BR669" s="162"/>
      <c r="BS669" s="162"/>
      <c r="BT669" s="162"/>
      <c r="BU669" s="162"/>
      <c r="BV669" s="162"/>
      <c r="BW669" s="162">
        <v>6</v>
      </c>
      <c r="BX669" s="162"/>
      <c r="BY669" s="162">
        <v>0</v>
      </c>
      <c r="BZ669" s="162">
        <v>0</v>
      </c>
      <c r="CA669" s="162">
        <v>0</v>
      </c>
      <c r="CB669" s="162">
        <v>0</v>
      </c>
      <c r="CC669" s="162">
        <v>0</v>
      </c>
      <c r="CD669" s="162">
        <v>0</v>
      </c>
      <c r="CE669" s="162">
        <f>VLOOKUP(I669,[120]REV33!$A:$O,11,0)</f>
        <v>0</v>
      </c>
      <c r="CF669" s="162">
        <f>VLOOKUP(I669,[120]REV33!$A:$O,12,0)</f>
        <v>0</v>
      </c>
      <c r="CG669" s="162"/>
      <c r="CH669" s="162"/>
      <c r="CI669" s="162"/>
      <c r="CJ669" s="162"/>
      <c r="CK669" s="162"/>
      <c r="CL669" s="162"/>
      <c r="CM669" s="162"/>
      <c r="CN669" s="162"/>
      <c r="CO669" s="162">
        <v>0</v>
      </c>
      <c r="CP669" s="162">
        <v>0</v>
      </c>
      <c r="CQ669" s="162">
        <v>0</v>
      </c>
      <c r="CR669" s="162">
        <v>0</v>
      </c>
      <c r="CS669" s="209">
        <f>Q669+S669+U669+W669+Y669+AA669+AC669+AE669+AG669+AI669+AK669+AM669+AO669+AQ669+AS669+AU669+AW669+AY669+BA669+BC669+BE669+BG669+BI669+BK669+BM669+BO669+BQ669+BS669+BU669+BW669+BY669+CA669+CC669+CE669+CG669+CI669+CK669+CM669+CO669+CQ669</f>
        <v>6</v>
      </c>
      <c r="CT669" s="209">
        <f>R669+T669+V669+X669+Z669+AB669+AD669+AF669+AH669+AJ669+AL669+AN669+AP669+AR669+AT669+AV669+AX669+AZ669+BB669+BD669+BF669+BH669+BJ669+BL669+BN669+BP669+BR669+BT669+BV669+BX669+BZ669+CB669+CD669+CF669+CH669+CJ669+CL669+CN669+CP669+CR669</f>
        <v>0</v>
      </c>
      <c r="CU669" s="162" t="s">
        <v>2314</v>
      </c>
      <c r="DA669" s="152">
        <f t="shared" si="667"/>
        <v>6</v>
      </c>
      <c r="DB669" s="152" t="str">
        <f t="shared" si="668"/>
        <v>0</v>
      </c>
      <c r="DD669" s="267"/>
      <c r="DE669" s="267" t="s">
        <v>1678</v>
      </c>
      <c r="DF669" s="264" t="s">
        <v>2422</v>
      </c>
      <c r="DH669" s="264" t="s">
        <v>2211</v>
      </c>
      <c r="DI669" s="264" t="s">
        <v>374</v>
      </c>
      <c r="DJ669" s="270">
        <v>6</v>
      </c>
      <c r="DK669" s="240" t="s">
        <v>477</v>
      </c>
      <c r="DL669" s="797">
        <v>2800000</v>
      </c>
      <c r="DM669" s="264">
        <f t="shared" ref="DM669:DM670" si="686">DL669*DJ669*(1+DN669)</f>
        <v>18144000</v>
      </c>
      <c r="DN669" s="716">
        <v>0.08</v>
      </c>
      <c r="DO669" s="270">
        <f t="shared" ref="DO669:DO670" si="687">DJ669*DL669</f>
        <v>16800000</v>
      </c>
      <c r="DP669" s="274">
        <v>46001</v>
      </c>
      <c r="DQ669" s="152">
        <f>SUMIF($I:$I,I669,$DJ:$DJ)</f>
        <v>6</v>
      </c>
      <c r="DR669" s="152">
        <f>SUMIF($I:$I,I669,$DK:$DK)</f>
        <v>0</v>
      </c>
      <c r="EO669" s="152">
        <f>SUMIF($I:$I,I669,$EC:$EC)</f>
        <v>0</v>
      </c>
      <c r="EP669" s="151">
        <f>SUMIF($I:$I,I669,$ED:$ED)</f>
        <v>0</v>
      </c>
      <c r="EQ669" s="153"/>
      <c r="ER669" s="153"/>
      <c r="ES669" s="153"/>
      <c r="ET669" s="153"/>
      <c r="EU669" s="152">
        <f t="shared" si="669"/>
        <v>6</v>
      </c>
      <c r="EV669" s="152">
        <f t="shared" si="670"/>
        <v>0</v>
      </c>
      <c r="EW669" s="152">
        <f t="shared" si="671"/>
        <v>0</v>
      </c>
      <c r="EX669" s="152">
        <f t="shared" si="672"/>
        <v>0</v>
      </c>
      <c r="EY669" s="151" t="str">
        <f t="shared" si="673"/>
        <v>Đủ</v>
      </c>
    </row>
    <row r="670" spans="1:155" s="264" customFormat="1" ht="14" hidden="1" customHeight="1">
      <c r="A670" s="208" t="str">
        <f t="shared" si="683"/>
        <v>Hiện</v>
      </c>
      <c r="B670" s="154" t="str">
        <f t="shared" si="684"/>
        <v>Đủ</v>
      </c>
      <c r="C670" s="154">
        <f t="shared" si="685"/>
        <v>0</v>
      </c>
      <c r="D670" s="154"/>
      <c r="F670" s="344"/>
      <c r="I670" s="164" t="s">
        <v>2313</v>
      </c>
      <c r="J670" s="164" t="s">
        <v>344</v>
      </c>
      <c r="K670" s="171" t="s">
        <v>344</v>
      </c>
      <c r="L670" s="247" t="s">
        <v>720</v>
      </c>
      <c r="M670" s="163" t="s">
        <v>345</v>
      </c>
      <c r="N670" s="248"/>
      <c r="O670" s="229">
        <v>3</v>
      </c>
      <c r="P670" s="172"/>
      <c r="Q670" s="266"/>
      <c r="BG670" s="162"/>
      <c r="BH670" s="162"/>
      <c r="BI670" s="162"/>
      <c r="BJ670" s="162"/>
      <c r="BK670" s="162"/>
      <c r="BL670" s="162"/>
      <c r="BM670" s="162"/>
      <c r="BN670" s="162"/>
      <c r="BO670" s="162"/>
      <c r="BP670" s="162"/>
      <c r="BQ670" s="162"/>
      <c r="BR670" s="162"/>
      <c r="BS670" s="162"/>
      <c r="BT670" s="162"/>
      <c r="BU670" s="162"/>
      <c r="BV670" s="162"/>
      <c r="BW670" s="162">
        <v>3</v>
      </c>
      <c r="BX670" s="162"/>
      <c r="BY670" s="162">
        <v>0</v>
      </c>
      <c r="BZ670" s="162">
        <v>0</v>
      </c>
      <c r="CA670" s="162">
        <v>0</v>
      </c>
      <c r="CB670" s="162">
        <v>0</v>
      </c>
      <c r="CC670" s="162">
        <v>0</v>
      </c>
      <c r="CD670" s="162">
        <v>0</v>
      </c>
      <c r="CE670" s="162">
        <f>VLOOKUP(I670,[120]REV33!$A:$O,11,0)</f>
        <v>0</v>
      </c>
      <c r="CF670" s="162">
        <f>VLOOKUP(I670,[120]REV33!$A:$O,12,0)</f>
        <v>0</v>
      </c>
      <c r="CG670" s="162"/>
      <c r="CH670" s="162"/>
      <c r="CI670" s="162"/>
      <c r="CJ670" s="162"/>
      <c r="CK670" s="162"/>
      <c r="CL670" s="162"/>
      <c r="CM670" s="162"/>
      <c r="CN670" s="162"/>
      <c r="CO670" s="162">
        <v>0</v>
      </c>
      <c r="CP670" s="162">
        <v>0</v>
      </c>
      <c r="CQ670" s="162">
        <v>0</v>
      </c>
      <c r="CR670" s="162">
        <v>0</v>
      </c>
      <c r="CS670" s="209">
        <f>Q670+S670+U670+W670+Y670+AA670+AC670+AE670+AG670+AI670+AK670+AM670+AO670+AQ670+AS670+AU670+AW670+AY670+BA670+BC670+BE670+BG670+BI670+BK670+BM670+BO670+BQ670+BS670+BU670+BW670+BY670+CA670+CC670+CE670+CG670+CI670+CK670+CM670+CO670+CQ670</f>
        <v>3</v>
      </c>
      <c r="CT670" s="209">
        <f>R670+T670+V670+X670+Z670+AB670+AD670+AF670+AH670+AJ670+AL670+AN670+AP670+AR670+AT670+AV670+AX670+AZ670+BB670+BD670+BF670+BH670+BJ670+BL670+BN670+BP670+BR670+BT670+BV670+BX670+BZ670+CB670+CD670+CF670+CH670+CJ670+CL670+CN670+CP670+CR670</f>
        <v>0</v>
      </c>
      <c r="CU670" s="162" t="s">
        <v>2315</v>
      </c>
      <c r="DA670" s="152">
        <f t="shared" si="667"/>
        <v>3</v>
      </c>
      <c r="DB670" s="152" t="str">
        <f t="shared" si="668"/>
        <v>0</v>
      </c>
      <c r="DD670" s="267"/>
      <c r="DE670" s="267" t="s">
        <v>1678</v>
      </c>
      <c r="DF670" s="264" t="s">
        <v>2421</v>
      </c>
      <c r="DH670" s="264" t="s">
        <v>2211</v>
      </c>
      <c r="DI670" s="264" t="s">
        <v>374</v>
      </c>
      <c r="DJ670" s="270">
        <v>3</v>
      </c>
      <c r="DK670" s="240" t="s">
        <v>477</v>
      </c>
      <c r="DL670" s="797">
        <v>2100000</v>
      </c>
      <c r="DM670" s="264">
        <f t="shared" si="686"/>
        <v>6804000</v>
      </c>
      <c r="DN670" s="716">
        <v>0.08</v>
      </c>
      <c r="DO670" s="270">
        <f t="shared" si="687"/>
        <v>6300000</v>
      </c>
      <c r="DP670" s="274">
        <v>46001</v>
      </c>
      <c r="DQ670" s="152">
        <f>SUMIF($I:$I,I670,$DJ:$DJ)</f>
        <v>3</v>
      </c>
      <c r="DR670" s="152">
        <f>SUMIF($I:$I,I670,$DK:$DK)</f>
        <v>0</v>
      </c>
      <c r="EO670" s="152">
        <f>SUMIF($I:$I,I670,$EC:$EC)</f>
        <v>0</v>
      </c>
      <c r="EP670" s="151">
        <f>SUMIF($I:$I,I670,$ED:$ED)</f>
        <v>0</v>
      </c>
      <c r="EQ670" s="153"/>
      <c r="ER670" s="153"/>
      <c r="ES670" s="153"/>
      <c r="ET670" s="153"/>
      <c r="EU670" s="152">
        <f t="shared" si="669"/>
        <v>3</v>
      </c>
      <c r="EV670" s="152">
        <f t="shared" si="670"/>
        <v>0</v>
      </c>
      <c r="EW670" s="152">
        <f t="shared" si="671"/>
        <v>0</v>
      </c>
      <c r="EX670" s="152">
        <f t="shared" si="672"/>
        <v>0</v>
      </c>
      <c r="EY670" s="151" t="str">
        <f t="shared" si="673"/>
        <v>Đủ</v>
      </c>
    </row>
    <row r="671" spans="1:155" s="264" customFormat="1" ht="14" hidden="1" customHeight="1">
      <c r="A671" s="208" t="str">
        <f t="shared" ref="A671:A674" si="688">IF(I671=I670,"ok","Hiện")</f>
        <v>Hiện</v>
      </c>
      <c r="B671" s="154" t="str">
        <f t="shared" ref="B671:B674" si="689">EY671</f>
        <v>Đủ</v>
      </c>
      <c r="C671" s="154">
        <f t="shared" ref="C671:C674" si="690">EW671</f>
        <v>0</v>
      </c>
      <c r="D671" s="154"/>
      <c r="F671" s="344"/>
      <c r="G671" s="154"/>
      <c r="I671" s="164" t="s">
        <v>2536</v>
      </c>
      <c r="J671" s="164" t="s">
        <v>2537</v>
      </c>
      <c r="K671" s="171" t="s">
        <v>2538</v>
      </c>
      <c r="L671" s="247" t="s">
        <v>2539</v>
      </c>
      <c r="M671" s="163" t="s">
        <v>61</v>
      </c>
      <c r="N671" s="248"/>
      <c r="O671" s="229"/>
      <c r="P671" s="172"/>
      <c r="Q671" s="266"/>
      <c r="BG671" s="162"/>
      <c r="BH671" s="162"/>
      <c r="BI671" s="162"/>
      <c r="BJ671" s="162"/>
      <c r="BK671" s="162"/>
      <c r="BL671" s="162"/>
      <c r="BM671" s="162"/>
      <c r="BN671" s="162"/>
      <c r="BO671" s="162"/>
      <c r="BP671" s="162"/>
      <c r="BQ671" s="162"/>
      <c r="BR671" s="162"/>
      <c r="BS671" s="162"/>
      <c r="BT671" s="162"/>
      <c r="BU671" s="162"/>
      <c r="BV671" s="162"/>
      <c r="BW671" s="162"/>
      <c r="BX671" s="162"/>
      <c r="BY671" s="162"/>
      <c r="BZ671" s="162"/>
      <c r="CA671" s="162"/>
      <c r="CB671" s="162"/>
      <c r="CC671" s="162"/>
      <c r="CD671" s="162"/>
      <c r="CE671" s="162">
        <f>VLOOKUP(I671,[120]REV33!$A:$O,11,0)</f>
        <v>300</v>
      </c>
      <c r="CF671" s="162">
        <f>VLOOKUP(I671,[120]REV33!$A:$O,12,0)</f>
        <v>0</v>
      </c>
      <c r="CG671" s="162"/>
      <c r="CH671" s="162"/>
      <c r="CI671" s="162"/>
      <c r="CJ671" s="162"/>
      <c r="CK671" s="162"/>
      <c r="CL671" s="162"/>
      <c r="CM671" s="162"/>
      <c r="CN671" s="162"/>
      <c r="CO671" s="162">
        <v>0</v>
      </c>
      <c r="CP671" s="162">
        <v>0</v>
      </c>
      <c r="CQ671" s="162">
        <v>0</v>
      </c>
      <c r="CR671" s="162">
        <v>0</v>
      </c>
      <c r="CS671" s="209">
        <f>Q671+S671+U671+W671+Y671+AA671+AC671+AE671+AG671+AI671+AK671+AM671+AO671+AQ671+AS671+AU671+AW671+AY671+BA671+BC671+BE671+BG671+BI671+BK671+BM671+BO671+BQ671+BS671+BU671+BW671+BY671+CA671+CC671+CE671+CG671+CI671+CK671+CM671+CO671+CQ671</f>
        <v>300</v>
      </c>
      <c r="CT671" s="209">
        <f>R671+T671+V671+X671+Z671+AB671+AD671+AF671+AH671+AJ671+AL671+AN671+AP671+AR671+AT671+AV671+AX671+AZ671+BB671+BD671+BF671+BH671+BJ671+BL671+BN671+BP671+BR671+BT671+BV671+BX671+BZ671+CB671+CD671+CF671+CH671+CJ671+CL671+CN671+CP671+CR671</f>
        <v>0</v>
      </c>
      <c r="CU671" s="206" t="s">
        <v>2551</v>
      </c>
      <c r="CW671" s="264">
        <v>300</v>
      </c>
      <c r="CZ671" s="264" t="s">
        <v>2552</v>
      </c>
      <c r="DA671" s="152" t="str">
        <f t="shared" si="667"/>
        <v>0</v>
      </c>
      <c r="DB671" s="152" t="str">
        <f t="shared" si="668"/>
        <v>0</v>
      </c>
      <c r="DD671" s="267"/>
      <c r="DE671" s="267"/>
      <c r="DJ671" s="270"/>
      <c r="DK671" s="240"/>
      <c r="DL671" s="797"/>
      <c r="DN671" s="716"/>
      <c r="DO671" s="270"/>
      <c r="DP671" s="274"/>
      <c r="DQ671" s="152">
        <f>SUMIF($I:$I,I671,$DJ:$DJ)</f>
        <v>0</v>
      </c>
      <c r="DR671" s="152">
        <f>SUMIF($I:$I,I671,$DK:$DK)</f>
        <v>0</v>
      </c>
      <c r="EO671" s="152">
        <f>SUMIF($I:$I,I671,$EC:$EC)</f>
        <v>0</v>
      </c>
      <c r="EP671" s="151">
        <f>SUMIF($I:$I,I671,$ED:$ED)</f>
        <v>0</v>
      </c>
      <c r="EQ671" s="153"/>
      <c r="ER671" s="153"/>
      <c r="ES671" s="153"/>
      <c r="ET671" s="153"/>
      <c r="EU671" s="152">
        <f t="shared" si="669"/>
        <v>0</v>
      </c>
      <c r="EV671" s="152">
        <f t="shared" si="670"/>
        <v>0</v>
      </c>
      <c r="EW671" s="152">
        <f t="shared" si="671"/>
        <v>0</v>
      </c>
      <c r="EX671" s="152">
        <f t="shared" si="672"/>
        <v>0</v>
      </c>
      <c r="EY671" s="151" t="str">
        <f t="shared" si="673"/>
        <v>Đủ</v>
      </c>
    </row>
    <row r="672" spans="1:155" s="264" customFormat="1" ht="14" hidden="1" customHeight="1">
      <c r="A672" s="208" t="str">
        <f t="shared" si="688"/>
        <v>Hiện</v>
      </c>
      <c r="B672" s="154" t="str">
        <f t="shared" si="689"/>
        <v>Đủ</v>
      </c>
      <c r="C672" s="154">
        <f t="shared" si="690"/>
        <v>0</v>
      </c>
      <c r="D672" s="154"/>
      <c r="F672" s="344"/>
      <c r="G672" s="154"/>
      <c r="I672" s="164" t="s">
        <v>2540</v>
      </c>
      <c r="J672" s="164" t="s">
        <v>2541</v>
      </c>
      <c r="K672" s="171" t="s">
        <v>2542</v>
      </c>
      <c r="L672" s="247" t="s">
        <v>2543</v>
      </c>
      <c r="M672" s="163" t="s">
        <v>345</v>
      </c>
      <c r="N672" s="248"/>
      <c r="O672" s="229"/>
      <c r="P672" s="172"/>
      <c r="Q672" s="266"/>
      <c r="BG672" s="162"/>
      <c r="BH672" s="162"/>
      <c r="BI672" s="162"/>
      <c r="BJ672" s="162"/>
      <c r="BK672" s="162"/>
      <c r="BL672" s="162"/>
      <c r="BM672" s="162"/>
      <c r="BN672" s="162"/>
      <c r="BO672" s="162"/>
      <c r="BP672" s="162"/>
      <c r="BQ672" s="162"/>
      <c r="BR672" s="162"/>
      <c r="BS672" s="162"/>
      <c r="BT672" s="162"/>
      <c r="BU672" s="162"/>
      <c r="BV672" s="162"/>
      <c r="BW672" s="162"/>
      <c r="BX672" s="162"/>
      <c r="BY672" s="162"/>
      <c r="BZ672" s="162"/>
      <c r="CA672" s="162"/>
      <c r="CB672" s="162"/>
      <c r="CC672" s="162"/>
      <c r="CD672" s="162"/>
      <c r="CE672" s="162">
        <f>VLOOKUP(I672,[120]REV33!$A:$O,11,0)</f>
        <v>200</v>
      </c>
      <c r="CF672" s="162">
        <f>VLOOKUP(I672,[120]REV33!$A:$O,12,0)</f>
        <v>0</v>
      </c>
      <c r="CG672" s="162"/>
      <c r="CH672" s="162"/>
      <c r="CI672" s="162"/>
      <c r="CJ672" s="162"/>
      <c r="CK672" s="162"/>
      <c r="CL672" s="162"/>
      <c r="CM672" s="162"/>
      <c r="CN672" s="162"/>
      <c r="CO672" s="162">
        <v>0</v>
      </c>
      <c r="CP672" s="162">
        <v>0</v>
      </c>
      <c r="CQ672" s="162">
        <v>0</v>
      </c>
      <c r="CR672" s="162">
        <v>0</v>
      </c>
      <c r="CS672" s="209">
        <f>Q672+S672+U672+W672+Y672+AA672+AC672+AE672+AG672+AI672+AK672+AM672+AO672+AQ672+AS672+AU672+AW672+AY672+BA672+BC672+BE672+BG672+BI672+BK672+BM672+BO672+BQ672+BS672+BU672+BW672+BY672+CA672+CC672+CE672+CG672+CI672+CK672+CM672+CO672+CQ672</f>
        <v>200</v>
      </c>
      <c r="CT672" s="209">
        <f>R672+T672+V672+X672+Z672+AB672+AD672+AF672+AH672+AJ672+AL672+AN672+AP672+AR672+AT672+AV672+AX672+AZ672+BB672+BD672+BF672+BH672+BJ672+BL672+BN672+BP672+BR672+BT672+BV672+BX672+BZ672+CB672+CD672+CF672+CH672+CJ672+CL672+CN672+CP672+CR672</f>
        <v>0</v>
      </c>
      <c r="CU672" s="206" t="s">
        <v>2551</v>
      </c>
      <c r="CW672" s="264">
        <v>200</v>
      </c>
      <c r="CZ672" s="264" t="s">
        <v>2552</v>
      </c>
      <c r="DA672" s="152" t="str">
        <f t="shared" si="667"/>
        <v>0</v>
      </c>
      <c r="DB672" s="152" t="str">
        <f t="shared" si="668"/>
        <v>0</v>
      </c>
      <c r="DD672" s="267"/>
      <c r="DE672" s="267"/>
      <c r="DJ672" s="270"/>
      <c r="DK672" s="240"/>
      <c r="DL672" s="797"/>
      <c r="DN672" s="716"/>
      <c r="DO672" s="270"/>
      <c r="DP672" s="274"/>
      <c r="DQ672" s="152">
        <f>SUMIF($I:$I,I672,$DJ:$DJ)</f>
        <v>0</v>
      </c>
      <c r="DR672" s="152">
        <f>SUMIF($I:$I,I672,$DK:$DK)</f>
        <v>0</v>
      </c>
      <c r="EO672" s="152">
        <f>SUMIF($I:$I,I672,$EC:$EC)</f>
        <v>0</v>
      </c>
      <c r="EP672" s="151">
        <f>SUMIF($I:$I,I672,$ED:$ED)</f>
        <v>0</v>
      </c>
      <c r="EQ672" s="153"/>
      <c r="ER672" s="153"/>
      <c r="ES672" s="153"/>
      <c r="ET672" s="153"/>
      <c r="EU672" s="152">
        <f t="shared" si="669"/>
        <v>0</v>
      </c>
      <c r="EV672" s="152">
        <f t="shared" si="670"/>
        <v>0</v>
      </c>
      <c r="EW672" s="152">
        <f t="shared" si="671"/>
        <v>0</v>
      </c>
      <c r="EX672" s="152">
        <f t="shared" si="672"/>
        <v>0</v>
      </c>
      <c r="EY672" s="151" t="str">
        <f t="shared" si="673"/>
        <v>Đủ</v>
      </c>
    </row>
    <row r="673" spans="1:155" s="264" customFormat="1" ht="14" hidden="1" customHeight="1">
      <c r="A673" s="208" t="str">
        <f t="shared" si="688"/>
        <v>Hiện</v>
      </c>
      <c r="B673" s="154" t="str">
        <f t="shared" si="689"/>
        <v>Đủ</v>
      </c>
      <c r="C673" s="154">
        <f t="shared" si="690"/>
        <v>0</v>
      </c>
      <c r="D673" s="154"/>
      <c r="F673" s="344"/>
      <c r="G673" s="154"/>
      <c r="I673" s="164" t="s">
        <v>2544</v>
      </c>
      <c r="J673" s="164" t="s">
        <v>2545</v>
      </c>
      <c r="K673" s="171" t="s">
        <v>2546</v>
      </c>
      <c r="L673" s="247" t="s">
        <v>2543</v>
      </c>
      <c r="M673" s="163" t="s">
        <v>345</v>
      </c>
      <c r="N673" s="248"/>
      <c r="O673" s="229"/>
      <c r="P673" s="172"/>
      <c r="Q673" s="266"/>
      <c r="BG673" s="162"/>
      <c r="BH673" s="162"/>
      <c r="BI673" s="162"/>
      <c r="BJ673" s="162"/>
      <c r="BK673" s="162"/>
      <c r="BL673" s="162"/>
      <c r="BM673" s="162"/>
      <c r="BN673" s="162"/>
      <c r="BO673" s="162"/>
      <c r="BP673" s="162"/>
      <c r="BQ673" s="162"/>
      <c r="BR673" s="162"/>
      <c r="BS673" s="162"/>
      <c r="BT673" s="162"/>
      <c r="BU673" s="162"/>
      <c r="BV673" s="162"/>
      <c r="BW673" s="162"/>
      <c r="BX673" s="162"/>
      <c r="BY673" s="162"/>
      <c r="BZ673" s="162"/>
      <c r="CA673" s="162"/>
      <c r="CB673" s="162"/>
      <c r="CC673" s="162"/>
      <c r="CD673" s="162"/>
      <c r="CE673" s="162">
        <f>VLOOKUP(I673,[120]REV33!$A:$O,11,0)</f>
        <v>150</v>
      </c>
      <c r="CF673" s="162">
        <f>VLOOKUP(I673,[120]REV33!$A:$O,12,0)</f>
        <v>0</v>
      </c>
      <c r="CG673" s="162"/>
      <c r="CH673" s="162"/>
      <c r="CI673" s="162"/>
      <c r="CJ673" s="162"/>
      <c r="CK673" s="162"/>
      <c r="CL673" s="162"/>
      <c r="CM673" s="162"/>
      <c r="CN673" s="162"/>
      <c r="CO673" s="162">
        <v>0</v>
      </c>
      <c r="CP673" s="162">
        <v>0</v>
      </c>
      <c r="CQ673" s="162">
        <v>0</v>
      </c>
      <c r="CR673" s="162">
        <v>0</v>
      </c>
      <c r="CS673" s="209">
        <f>Q673+S673+U673+W673+Y673+AA673+AC673+AE673+AG673+AI673+AK673+AM673+AO673+AQ673+AS673+AU673+AW673+AY673+BA673+BC673+BE673+BG673+BI673+BK673+BM673+BO673+BQ673+BS673+BU673+BW673+BY673+CA673+CC673+CE673+CG673+CI673+CK673+CM673+CO673+CQ673</f>
        <v>150</v>
      </c>
      <c r="CT673" s="209">
        <f>R673+T673+V673+X673+Z673+AB673+AD673+AF673+AH673+AJ673+AL673+AN673+AP673+AR673+AT673+AV673+AX673+AZ673+BB673+BD673+BF673+BH673+BJ673+BL673+BN673+BP673+BR673+BT673+BV673+BX673+BZ673+CB673+CD673+CF673+CH673+CJ673+CL673+CN673+CP673+CR673</f>
        <v>0</v>
      </c>
      <c r="CU673" s="206" t="s">
        <v>2551</v>
      </c>
      <c r="CW673" s="264">
        <v>150</v>
      </c>
      <c r="CZ673" s="264" t="s">
        <v>2552</v>
      </c>
      <c r="DA673" s="152" t="str">
        <f t="shared" si="667"/>
        <v>0</v>
      </c>
      <c r="DB673" s="152" t="str">
        <f t="shared" si="668"/>
        <v>0</v>
      </c>
      <c r="DD673" s="267"/>
      <c r="DE673" s="267"/>
      <c r="DJ673" s="270"/>
      <c r="DK673" s="240"/>
      <c r="DL673" s="797"/>
      <c r="DN673" s="716"/>
      <c r="DO673" s="270"/>
      <c r="DP673" s="274"/>
      <c r="DQ673" s="152">
        <f>SUMIF($I:$I,I673,$DJ:$DJ)</f>
        <v>0</v>
      </c>
      <c r="DR673" s="152">
        <f>SUMIF($I:$I,I673,$DK:$DK)</f>
        <v>0</v>
      </c>
      <c r="EO673" s="152">
        <f>SUMIF($I:$I,I673,$EC:$EC)</f>
        <v>0</v>
      </c>
      <c r="EP673" s="151">
        <f>SUMIF($I:$I,I673,$ED:$ED)</f>
        <v>0</v>
      </c>
      <c r="EQ673" s="153"/>
      <c r="ER673" s="153"/>
      <c r="ES673" s="153"/>
      <c r="ET673" s="153"/>
      <c r="EU673" s="152">
        <f t="shared" si="669"/>
        <v>0</v>
      </c>
      <c r="EV673" s="152">
        <f t="shared" si="670"/>
        <v>0</v>
      </c>
      <c r="EW673" s="152">
        <f t="shared" si="671"/>
        <v>0</v>
      </c>
      <c r="EX673" s="152">
        <f t="shared" si="672"/>
        <v>0</v>
      </c>
      <c r="EY673" s="151" t="str">
        <f t="shared" si="673"/>
        <v>Đủ</v>
      </c>
    </row>
    <row r="674" spans="1:155" s="264" customFormat="1" ht="14" hidden="1" customHeight="1">
      <c r="A674" s="208" t="str">
        <f t="shared" si="688"/>
        <v>Hiện</v>
      </c>
      <c r="B674" s="154" t="str">
        <f t="shared" si="689"/>
        <v>Đủ</v>
      </c>
      <c r="C674" s="154">
        <f t="shared" si="690"/>
        <v>0</v>
      </c>
      <c r="D674" s="154"/>
      <c r="F674" s="344"/>
      <c r="G674" s="154"/>
      <c r="I674" s="164" t="s">
        <v>2547</v>
      </c>
      <c r="J674" s="164" t="s">
        <v>2548</v>
      </c>
      <c r="K674" s="171" t="s">
        <v>2549</v>
      </c>
      <c r="L674" s="247"/>
      <c r="M674" s="163" t="s">
        <v>77</v>
      </c>
      <c r="N674" s="248"/>
      <c r="O674" s="229"/>
      <c r="P674" s="172"/>
      <c r="Q674" s="266"/>
      <c r="BG674" s="162"/>
      <c r="BH674" s="162"/>
      <c r="BI674" s="162"/>
      <c r="BJ674" s="162"/>
      <c r="BK674" s="162"/>
      <c r="BL674" s="162"/>
      <c r="BM674" s="162"/>
      <c r="BN674" s="162"/>
      <c r="BO674" s="162"/>
      <c r="BP674" s="162"/>
      <c r="BQ674" s="162"/>
      <c r="BR674" s="162"/>
      <c r="BS674" s="162"/>
      <c r="BT674" s="162"/>
      <c r="BU674" s="162"/>
      <c r="BV674" s="162"/>
      <c r="BW674" s="162"/>
      <c r="BX674" s="162"/>
      <c r="BY674" s="162"/>
      <c r="BZ674" s="162"/>
      <c r="CA674" s="162"/>
      <c r="CB674" s="162"/>
      <c r="CC674" s="162"/>
      <c r="CD674" s="162"/>
      <c r="CE674" s="162">
        <f>VLOOKUP(I674,[120]REV33!$A:$O,11,0)</f>
        <v>150</v>
      </c>
      <c r="CF674" s="162">
        <f>VLOOKUP(I674,[120]REV33!$A:$O,12,0)</f>
        <v>0</v>
      </c>
      <c r="CG674" s="162"/>
      <c r="CH674" s="162"/>
      <c r="CI674" s="162"/>
      <c r="CJ674" s="162"/>
      <c r="CK674" s="162"/>
      <c r="CL674" s="162"/>
      <c r="CM674" s="162"/>
      <c r="CN674" s="162"/>
      <c r="CO674" s="162">
        <v>0</v>
      </c>
      <c r="CP674" s="162">
        <v>0</v>
      </c>
      <c r="CQ674" s="162">
        <v>0</v>
      </c>
      <c r="CR674" s="162">
        <v>0</v>
      </c>
      <c r="CS674" s="209">
        <f>Q674+S674+U674+W674+Y674+AA674+AC674+AE674+AG674+AI674+AK674+AM674+AO674+AQ674+AS674+AU674+AW674+AY674+BA674+BC674+BE674+BG674+BI674+BK674+BM674+BO674+BQ674+BS674+BU674+BW674+BY674+CA674+CC674+CE674+CG674+CI674+CK674+CM674+CO674+CQ674</f>
        <v>150</v>
      </c>
      <c r="CT674" s="209">
        <f>R674+T674+V674+X674+Z674+AB674+AD674+AF674+AH674+AJ674+AL674+AN674+AP674+AR674+AT674+AV674+AX674+AZ674+BB674+BD674+BF674+BH674+BJ674+BL674+BN674+BP674+BR674+BT674+BV674+BX674+BZ674+CB674+CD674+CF674+CH674+CJ674+CL674+CN674+CP674+CR674</f>
        <v>0</v>
      </c>
      <c r="CU674" s="206" t="s">
        <v>2551</v>
      </c>
      <c r="CW674" s="264">
        <v>150</v>
      </c>
      <c r="CZ674" s="264" t="s">
        <v>2552</v>
      </c>
      <c r="DA674" s="152" t="str">
        <f t="shared" si="667"/>
        <v>0</v>
      </c>
      <c r="DB674" s="152" t="str">
        <f t="shared" si="668"/>
        <v>0</v>
      </c>
      <c r="DD674" s="267"/>
      <c r="DE674" s="267"/>
      <c r="DJ674" s="270"/>
      <c r="DK674" s="240"/>
      <c r="DL674" s="797"/>
      <c r="DN674" s="716"/>
      <c r="DO674" s="270"/>
      <c r="DP674" s="274"/>
      <c r="DQ674" s="152">
        <f>SUMIF($I:$I,I674,$DJ:$DJ)</f>
        <v>0</v>
      </c>
      <c r="DR674" s="152">
        <f>SUMIF($I:$I,I674,$DK:$DK)</f>
        <v>0</v>
      </c>
      <c r="EO674" s="152">
        <f>SUMIF($I:$I,I674,$EC:$EC)</f>
        <v>0</v>
      </c>
      <c r="EP674" s="151">
        <f>SUMIF($I:$I,I674,$ED:$ED)</f>
        <v>0</v>
      </c>
      <c r="EQ674" s="153"/>
      <c r="ER674" s="153"/>
      <c r="ES674" s="153"/>
      <c r="ET674" s="153"/>
      <c r="EU674" s="152">
        <f t="shared" si="669"/>
        <v>0</v>
      </c>
      <c r="EV674" s="152">
        <f t="shared" si="670"/>
        <v>0</v>
      </c>
      <c r="EW674" s="152">
        <f t="shared" si="671"/>
        <v>0</v>
      </c>
      <c r="EX674" s="152">
        <f t="shared" si="672"/>
        <v>0</v>
      </c>
      <c r="EY674" s="151" t="str">
        <f t="shared" si="673"/>
        <v>Đủ</v>
      </c>
    </row>
    <row r="675" spans="1:155" s="264" customFormat="1" ht="14" hidden="1" customHeight="1">
      <c r="A675" s="208" t="str">
        <f t="shared" ref="A675:A676" si="691">IF(I675=I674,"ok","Hiện")</f>
        <v>Hiện</v>
      </c>
      <c r="B675" s="154" t="str">
        <f t="shared" ref="B675:B676" si="692">EY675</f>
        <v>Đủ</v>
      </c>
      <c r="C675" s="154">
        <f t="shared" ref="C675:C676" si="693">EW675</f>
        <v>0</v>
      </c>
      <c r="D675" s="154"/>
      <c r="F675" s="344"/>
      <c r="G675" s="154"/>
      <c r="I675" s="164" t="s">
        <v>2573</v>
      </c>
      <c r="J675" s="164" t="s">
        <v>2574</v>
      </c>
      <c r="K675" s="171" t="s">
        <v>2574</v>
      </c>
      <c r="L675" s="247" t="s">
        <v>2575</v>
      </c>
      <c r="M675" s="163" t="s">
        <v>345</v>
      </c>
      <c r="N675" s="248"/>
      <c r="O675" s="229">
        <v>2000</v>
      </c>
      <c r="P675" s="172"/>
      <c r="Q675" s="266"/>
      <c r="BG675" s="162"/>
      <c r="BH675" s="162"/>
      <c r="BI675" s="162"/>
      <c r="BJ675" s="162"/>
      <c r="BK675" s="162"/>
      <c r="BL675" s="162"/>
      <c r="BM675" s="162"/>
      <c r="BN675" s="162"/>
      <c r="BO675" s="162"/>
      <c r="BP675" s="162"/>
      <c r="BQ675" s="162"/>
      <c r="BR675" s="162"/>
      <c r="BS675" s="162"/>
      <c r="BT675" s="162"/>
      <c r="BU675" s="162"/>
      <c r="BV675" s="162"/>
      <c r="BW675" s="162"/>
      <c r="BX675" s="162"/>
      <c r="BY675" s="162"/>
      <c r="BZ675" s="162"/>
      <c r="CA675" s="162"/>
      <c r="CB675" s="162"/>
      <c r="CC675" s="162"/>
      <c r="CD675" s="162"/>
      <c r="CE675" s="162"/>
      <c r="CF675" s="162"/>
      <c r="CG675" s="162"/>
      <c r="CH675" s="162"/>
      <c r="CI675" s="162"/>
      <c r="CJ675" s="162"/>
      <c r="CK675" s="162">
        <v>3000</v>
      </c>
      <c r="CL675" s="162"/>
      <c r="CM675" s="162"/>
      <c r="CN675" s="162"/>
      <c r="CO675" s="162">
        <v>0</v>
      </c>
      <c r="CP675" s="162">
        <v>0</v>
      </c>
      <c r="CQ675" s="162">
        <v>0</v>
      </c>
      <c r="CR675" s="162">
        <v>0</v>
      </c>
      <c r="CS675" s="209">
        <f>Q675+S675+U675+W675+Y675+AA675+AC675+AE675+AG675+AI675+AK675+AM675+AO675+AQ675+AS675+AU675+AW675+AY675+BA675+BC675+BE675+BG675+BI675+BK675+BM675+BO675+BQ675+BS675+BU675+BW675+BY675+CA675+CC675+CE675+CG675+CI675+CK675+CM675+CO675+CQ675</f>
        <v>3000</v>
      </c>
      <c r="CT675" s="209">
        <f>R675+T675+V675+X675+Z675+AB675+AD675+AF675+AH675+AJ675+AL675+AN675+AP675+AR675+AT675+AV675+AX675+AZ675+BB675+BD675+BF675+BH675+BJ675+BL675+BN675+BP675+BR675+BT675+BV675+BX675+BZ675+CB675+CD675+CF675+CH675+CJ675+CL675+CN675+CP675+CR675</f>
        <v>0</v>
      </c>
      <c r="CU675" s="763" t="s">
        <v>2578</v>
      </c>
      <c r="CW675" s="264">
        <v>3000</v>
      </c>
      <c r="CZ675" s="264" t="s">
        <v>383</v>
      </c>
      <c r="DA675" s="152" t="str">
        <f t="shared" si="667"/>
        <v>0</v>
      </c>
      <c r="DB675" s="152" t="str">
        <f t="shared" si="668"/>
        <v>0</v>
      </c>
      <c r="DD675" s="267"/>
      <c r="DE675" s="267"/>
      <c r="DJ675" s="270"/>
      <c r="DK675" s="240"/>
      <c r="DL675" s="797"/>
      <c r="DN675" s="716"/>
      <c r="DO675" s="270"/>
      <c r="DP675" s="274"/>
      <c r="DQ675" s="152">
        <f>SUMIF($I:$I,I675,$DJ:$DJ)</f>
        <v>0</v>
      </c>
      <c r="DR675" s="152">
        <f>SUMIF($I:$I,I675,$DK:$DK)</f>
        <v>0</v>
      </c>
      <c r="EO675" s="152">
        <f>SUMIF($I:$I,I675,$EC:$EC)</f>
        <v>0</v>
      </c>
      <c r="EP675" s="151">
        <f>SUMIF($I:$I,I675,$ED:$ED)</f>
        <v>0</v>
      </c>
      <c r="EQ675" s="153"/>
      <c r="ER675" s="153"/>
      <c r="ES675" s="153"/>
      <c r="ET675" s="153"/>
      <c r="EU675" s="152">
        <f t="shared" si="669"/>
        <v>0</v>
      </c>
      <c r="EV675" s="152">
        <f t="shared" si="670"/>
        <v>0</v>
      </c>
      <c r="EW675" s="152">
        <f t="shared" si="671"/>
        <v>0</v>
      </c>
      <c r="EX675" s="152">
        <f t="shared" si="672"/>
        <v>0</v>
      </c>
      <c r="EY675" s="151" t="str">
        <f t="shared" si="673"/>
        <v>Đủ</v>
      </c>
    </row>
    <row r="676" spans="1:155" s="264" customFormat="1" ht="14" hidden="1" customHeight="1">
      <c r="A676" s="208" t="str">
        <f t="shared" si="691"/>
        <v>Hiện</v>
      </c>
      <c r="B676" s="154" t="str">
        <f t="shared" si="692"/>
        <v>Đủ</v>
      </c>
      <c r="C676" s="154">
        <f t="shared" si="693"/>
        <v>0</v>
      </c>
      <c r="D676" s="154"/>
      <c r="F676" s="344"/>
      <c r="G676" s="154"/>
      <c r="I676" s="164" t="s">
        <v>2576</v>
      </c>
      <c r="J676" s="164" t="s">
        <v>2577</v>
      </c>
      <c r="K676" s="171" t="s">
        <v>2577</v>
      </c>
      <c r="L676" s="247" t="s">
        <v>2575</v>
      </c>
      <c r="M676" s="163" t="s">
        <v>345</v>
      </c>
      <c r="N676" s="248"/>
      <c r="O676" s="229">
        <v>2000</v>
      </c>
      <c r="P676" s="172"/>
      <c r="Q676" s="266"/>
      <c r="BG676" s="162"/>
      <c r="BH676" s="162"/>
      <c r="BI676" s="162"/>
      <c r="BJ676" s="162"/>
      <c r="BK676" s="162"/>
      <c r="BL676" s="162"/>
      <c r="BM676" s="162"/>
      <c r="BN676" s="162"/>
      <c r="BO676" s="162"/>
      <c r="BP676" s="162"/>
      <c r="BQ676" s="162"/>
      <c r="BR676" s="162"/>
      <c r="BS676" s="162"/>
      <c r="BT676" s="162"/>
      <c r="BU676" s="162"/>
      <c r="BV676" s="162"/>
      <c r="BW676" s="162"/>
      <c r="BX676" s="162"/>
      <c r="BY676" s="162"/>
      <c r="BZ676" s="162"/>
      <c r="CA676" s="162"/>
      <c r="CB676" s="162"/>
      <c r="CC676" s="162"/>
      <c r="CD676" s="162"/>
      <c r="CE676" s="162"/>
      <c r="CF676" s="162"/>
      <c r="CG676" s="162"/>
      <c r="CH676" s="162"/>
      <c r="CI676" s="162"/>
      <c r="CJ676" s="162"/>
      <c r="CK676" s="162">
        <v>2000</v>
      </c>
      <c r="CL676" s="162"/>
      <c r="CM676" s="162"/>
      <c r="CN676" s="162"/>
      <c r="CO676" s="162">
        <v>0</v>
      </c>
      <c r="CP676" s="162">
        <v>0</v>
      </c>
      <c r="CQ676" s="162">
        <v>0</v>
      </c>
      <c r="CR676" s="162">
        <v>0</v>
      </c>
      <c r="CS676" s="209">
        <f>Q676+S676+U676+W676+Y676+AA676+AC676+AE676+AG676+AI676+AK676+AM676+AO676+AQ676+AS676+AU676+AW676+AY676+BA676+BC676+BE676+BG676+BI676+BK676+BM676+BO676+BQ676+BS676+BU676+BW676+BY676+CA676+CC676+CE676+CG676+CI676+CK676+CM676+CO676+CQ676</f>
        <v>2000</v>
      </c>
      <c r="CT676" s="209">
        <f>R676+T676+V676+X676+Z676+AB676+AD676+AF676+AH676+AJ676+AL676+AN676+AP676+AR676+AT676+AV676+AX676+AZ676+BB676+BD676+BF676+BH676+BJ676+BL676+BN676+BP676+BR676+BT676+BV676+BX676+BZ676+CB676+CD676+CF676+CH676+CJ676+CL676+CN676+CP676+CR676</f>
        <v>0</v>
      </c>
      <c r="CU676" s="763" t="s">
        <v>2578</v>
      </c>
      <c r="DA676" s="152">
        <f t="shared" si="667"/>
        <v>2000</v>
      </c>
      <c r="DB676" s="152" t="str">
        <f t="shared" si="668"/>
        <v>0</v>
      </c>
      <c r="DD676" s="267"/>
      <c r="DE676" s="267" t="s">
        <v>1303</v>
      </c>
      <c r="DF676" s="171" t="s">
        <v>2577</v>
      </c>
      <c r="DH676" s="264" t="s">
        <v>477</v>
      </c>
      <c r="DI676" s="264" t="s">
        <v>374</v>
      </c>
      <c r="DJ676" s="270">
        <v>2000</v>
      </c>
      <c r="DK676" s="270" t="s">
        <v>477</v>
      </c>
      <c r="DL676" s="797">
        <f>336/2</f>
        <v>168</v>
      </c>
      <c r="DM676" s="265">
        <f>DL676*DJ676*(1+DN676)</f>
        <v>362880</v>
      </c>
      <c r="DN676" s="716">
        <v>0.08</v>
      </c>
      <c r="DO676" s="441">
        <f>DL676*DJ676</f>
        <v>336000</v>
      </c>
      <c r="DP676" s="274">
        <v>46016</v>
      </c>
      <c r="DQ676" s="152">
        <f>SUMIF($I:$I,I676,$DJ:$DJ)</f>
        <v>2000</v>
      </c>
      <c r="DR676" s="152">
        <f>SUMIF($I:$I,I676,$DK:$DK)</f>
        <v>0</v>
      </c>
      <c r="EO676" s="152">
        <f>SUMIF($I:$I,I676,$EC:$EC)</f>
        <v>0</v>
      </c>
      <c r="EP676" s="151">
        <f>SUMIF($I:$I,I676,$ED:$ED)</f>
        <v>0</v>
      </c>
      <c r="EQ676" s="153"/>
      <c r="ER676" s="153"/>
      <c r="ES676" s="153"/>
      <c r="ET676" s="153"/>
      <c r="EU676" s="152">
        <f t="shared" si="669"/>
        <v>2000</v>
      </c>
      <c r="EV676" s="152">
        <f t="shared" si="670"/>
        <v>0</v>
      </c>
      <c r="EW676" s="152">
        <f t="shared" si="671"/>
        <v>0</v>
      </c>
      <c r="EX676" s="152">
        <f t="shared" si="672"/>
        <v>0</v>
      </c>
      <c r="EY676" s="151" t="str">
        <f t="shared" si="673"/>
        <v>Đủ</v>
      </c>
    </row>
  </sheetData>
  <autoFilter ref="A6:EZ676" xr:uid="{00000000-0001-0000-0000-000000000000}">
    <filterColumn colId="1">
      <filters>
        <filter val="Thiếu"/>
      </filters>
    </filterColumn>
  </autoFilter>
  <mergeCells count="72">
    <mergeCell ref="CQ4:CR4"/>
    <mergeCell ref="F6:G6"/>
    <mergeCell ref="O26:O34"/>
    <mergeCell ref="P26:P34"/>
    <mergeCell ref="G4:H5"/>
    <mergeCell ref="AM4:AN4"/>
    <mergeCell ref="AK4:AL4"/>
    <mergeCell ref="AI4:AJ4"/>
    <mergeCell ref="Q4:R4"/>
    <mergeCell ref="S4:T4"/>
    <mergeCell ref="U4:V4"/>
    <mergeCell ref="AG4:AH4"/>
    <mergeCell ref="AE4:AF4"/>
    <mergeCell ref="W4:X4"/>
    <mergeCell ref="Y4:Z4"/>
    <mergeCell ref="AA4:AB4"/>
    <mergeCell ref="B4:D5"/>
    <mergeCell ref="N4:N5"/>
    <mergeCell ref="I4:I5"/>
    <mergeCell ref="J4:J5"/>
    <mergeCell ref="K4:K5"/>
    <mergeCell ref="L4:L5"/>
    <mergeCell ref="M4:M5"/>
    <mergeCell ref="FB5:FC5"/>
    <mergeCell ref="FA1:FH4"/>
    <mergeCell ref="EW4:EY4"/>
    <mergeCell ref="DD4:DP4"/>
    <mergeCell ref="DW4:EN4"/>
    <mergeCell ref="DS4:DV4"/>
    <mergeCell ref="EQ4:ET4"/>
    <mergeCell ref="DQ4:DR4"/>
    <mergeCell ref="EO4:EP4"/>
    <mergeCell ref="EU4:EV4"/>
    <mergeCell ref="DC4:DC5"/>
    <mergeCell ref="DA4:DB4"/>
    <mergeCell ref="CV4:CZ4"/>
    <mergeCell ref="CS4:CT4"/>
    <mergeCell ref="CU4:CU5"/>
    <mergeCell ref="AY4:AZ4"/>
    <mergeCell ref="BY4:BZ4"/>
    <mergeCell ref="BG4:BH4"/>
    <mergeCell ref="L581:L589"/>
    <mergeCell ref="AU4:AV4"/>
    <mergeCell ref="AO4:AP4"/>
    <mergeCell ref="AQ4:AR4"/>
    <mergeCell ref="AS4:AT4"/>
    <mergeCell ref="O75:O76"/>
    <mergeCell ref="P75:P76"/>
    <mergeCell ref="O4:P4"/>
    <mergeCell ref="O64:O67"/>
    <mergeCell ref="P64:P67"/>
    <mergeCell ref="AW4:AX4"/>
    <mergeCell ref="AC4:AD4"/>
    <mergeCell ref="BK4:BL4"/>
    <mergeCell ref="BE4:BF4"/>
    <mergeCell ref="BS4:BT4"/>
    <mergeCell ref="BU4:BV4"/>
    <mergeCell ref="BW4:BX4"/>
    <mergeCell ref="BA4:BB4"/>
    <mergeCell ref="BC4:BD4"/>
    <mergeCell ref="BO4:BP4"/>
    <mergeCell ref="BM4:BN4"/>
    <mergeCell ref="BQ4:BR4"/>
    <mergeCell ref="BI4:BJ4"/>
    <mergeCell ref="CO4:CP4"/>
    <mergeCell ref="CG4:CH4"/>
    <mergeCell ref="CE4:CF4"/>
    <mergeCell ref="CA4:CB4"/>
    <mergeCell ref="CC4:CD4"/>
    <mergeCell ref="CM4:CN4"/>
    <mergeCell ref="CK4:CL4"/>
    <mergeCell ref="CI4:CJ4"/>
  </mergeCells>
  <phoneticPr fontId="37" type="noConversion"/>
  <conditionalFormatting sqref="B1:C1048576 EY8:EY314 EY316:EY452 EY454:EY1048576">
    <cfRule type="cellIs" dxfId="41" priority="56" operator="equal">
      <formula>"Thiếu"</formula>
    </cfRule>
  </conditionalFormatting>
  <conditionalFormatting sqref="D485">
    <cfRule type="cellIs" dxfId="40" priority="29" operator="equal">
      <formula>"Thiếu"</formula>
    </cfRule>
  </conditionalFormatting>
  <conditionalFormatting sqref="E3:F3">
    <cfRule type="cellIs" dxfId="39" priority="43" operator="equal">
      <formula>"Thiếu"</formula>
    </cfRule>
  </conditionalFormatting>
  <conditionalFormatting sqref="G470:G497 G500:G504">
    <cfRule type="duplicateValues" dxfId="38" priority="525"/>
  </conditionalFormatting>
  <conditionalFormatting sqref="G498:G499">
    <cfRule type="duplicateValues" dxfId="37" priority="11"/>
  </conditionalFormatting>
  <conditionalFormatting sqref="G611">
    <cfRule type="duplicateValues" dxfId="36" priority="9"/>
  </conditionalFormatting>
  <conditionalFormatting sqref="H485">
    <cfRule type="duplicateValues" dxfId="35" priority="518"/>
  </conditionalFormatting>
  <conditionalFormatting sqref="H489:H490">
    <cfRule type="duplicateValues" dxfId="34" priority="519"/>
  </conditionalFormatting>
  <conditionalFormatting sqref="H493:H494">
    <cfRule type="duplicateValues" dxfId="33" priority="520"/>
  </conditionalFormatting>
  <conditionalFormatting sqref="H497">
    <cfRule type="duplicateValues" dxfId="32" priority="545"/>
  </conditionalFormatting>
  <conditionalFormatting sqref="I608:I610">
    <cfRule type="duplicateValues" dxfId="31" priority="1"/>
  </conditionalFormatting>
  <conditionalFormatting sqref="I677:I1048576 I591:I593 I315:I439 I1:I215 I453:I589">
    <cfRule type="duplicateValues" dxfId="30" priority="30"/>
  </conditionalFormatting>
  <conditionalFormatting sqref="DC4">
    <cfRule type="duplicateValues" dxfId="29" priority="455"/>
  </conditionalFormatting>
  <conditionalFormatting sqref="DF158">
    <cfRule type="duplicateValues" dxfId="28" priority="40"/>
  </conditionalFormatting>
  <conditionalFormatting sqref="DF160">
    <cfRule type="duplicateValues" dxfId="27" priority="39"/>
  </conditionalFormatting>
  <conditionalFormatting sqref="DF316:DF434 DF436:DF440">
    <cfRule type="duplicateValues" dxfId="26" priority="585"/>
  </conditionalFormatting>
  <conditionalFormatting sqref="DF454:DF455">
    <cfRule type="duplicateValues" dxfId="25" priority="37"/>
  </conditionalFormatting>
  <conditionalFormatting sqref="DF456">
    <cfRule type="duplicateValues" dxfId="24" priority="50"/>
  </conditionalFormatting>
  <conditionalFormatting sqref="DF457">
    <cfRule type="duplicateValues" dxfId="23" priority="471"/>
  </conditionalFormatting>
  <conditionalFormatting sqref="DF514 DF476 DF479 DF498 DF488:DF489 DF528:DF529 DF532:DF533 DF550:DF551 DF554:DF556 DF567 DF569:DF572 DF493 DF468:DF470 DF504 DF472:DF473 DF481 DF483:DF485 DF491 DF500:DF501 DF506:DF507 DF509 DF516 DF518 DF520 DF522:DF524 DF535:DF536 DF538:DF539 DF542 DF544:DF545 DF547 DF559:DF563 DF565 DF574:DF577">
    <cfRule type="duplicateValues" dxfId="22" priority="54"/>
  </conditionalFormatting>
  <conditionalFormatting sqref="DF595:DF597">
    <cfRule type="duplicateValues" dxfId="21" priority="16"/>
  </conditionalFormatting>
  <conditionalFormatting sqref="DF598:DF599">
    <cfRule type="duplicateValues" dxfId="20" priority="15"/>
  </conditionalFormatting>
  <conditionalFormatting sqref="DF600">
    <cfRule type="duplicateValues" dxfId="19" priority="14"/>
  </conditionalFormatting>
  <conditionalFormatting sqref="DF606">
    <cfRule type="duplicateValues" dxfId="18" priority="13"/>
  </conditionalFormatting>
  <conditionalFormatting sqref="DF607">
    <cfRule type="duplicateValues" dxfId="17" priority="12"/>
  </conditionalFormatting>
  <conditionalFormatting sqref="DH460">
    <cfRule type="expression" dxfId="16" priority="3" stopIfTrue="1">
      <formula>DO460&lt;0</formula>
    </cfRule>
    <cfRule type="expression" dxfId="15" priority="4" stopIfTrue="1">
      <formula>DO1227&lt;0</formula>
    </cfRule>
    <cfRule type="expression" dxfId="14" priority="5" stopIfTrue="1">
      <formula>DO1228&lt;0</formula>
    </cfRule>
  </conditionalFormatting>
  <conditionalFormatting sqref="DK460">
    <cfRule type="expression" dxfId="13" priority="6" stopIfTrue="1">
      <formula>DR460&lt;0</formula>
    </cfRule>
    <cfRule type="expression" dxfId="12" priority="7" stopIfTrue="1">
      <formula>DR1227&lt;0</formula>
    </cfRule>
    <cfRule type="expression" dxfId="11" priority="8" stopIfTrue="1">
      <formula>DR1228&lt;0</formula>
    </cfRule>
  </conditionalFormatting>
  <conditionalFormatting sqref="EY1:EY5">
    <cfRule type="cellIs" dxfId="10" priority="93" operator="equal">
      <formula>"Thiếu"</formula>
    </cfRule>
  </conditionalFormatting>
  <printOptions horizontalCentered="1"/>
  <pageMargins left="0.23622047244094499" right="0" top="0.39370078740157499" bottom="0.39370078740157499" header="0" footer="0"/>
  <pageSetup paperSize="8" scale="14" fitToHeight="11111" orientation="landscape" r:id="rId1"/>
  <headerFooter>
    <oddFooter>&amp;CPage &amp;P of &amp;R&amp;F</oddFooter>
  </headerFooter>
  <colBreaks count="1" manualBreakCount="1">
    <brk id="156" max="9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9D98-F40A-409D-B0DA-6DA29632DFB0}">
  <dimension ref="A1:S21"/>
  <sheetViews>
    <sheetView topLeftCell="A10" zoomScale="55" zoomScaleNormal="55" workbookViewId="0">
      <selection activeCell="C14" sqref="C14:M16"/>
    </sheetView>
  </sheetViews>
  <sheetFormatPr defaultColWidth="8.796875" defaultRowHeight="48.5" customHeight="1"/>
  <cols>
    <col min="1" max="1" width="8.796875" style="122"/>
    <col min="2" max="2" width="17.8984375" style="122" customWidth="1"/>
    <col min="3" max="3" width="15.69921875" style="122" customWidth="1"/>
    <col min="4" max="4" width="15.796875" style="122" customWidth="1"/>
    <col min="5" max="5" width="14.59765625" style="122" customWidth="1"/>
    <col min="6" max="7" width="16.296875" style="122" customWidth="1"/>
    <col min="8" max="8" width="20.59765625" style="122" customWidth="1"/>
    <col min="9" max="9" width="25.796875" style="122" customWidth="1"/>
    <col min="10" max="10" width="23.19921875" style="122" customWidth="1"/>
    <col min="11" max="11" width="24.3984375" style="122" customWidth="1"/>
    <col min="12" max="12" width="19.69921875" style="122" customWidth="1"/>
    <col min="13" max="13" width="24.3984375" style="122" customWidth="1"/>
    <col min="14" max="14" width="32" style="122" customWidth="1"/>
    <col min="15" max="15" width="23.296875" style="122" customWidth="1"/>
    <col min="16" max="16" width="23.796875" style="122" customWidth="1"/>
    <col min="17" max="17" width="17.19921875" style="122" customWidth="1"/>
    <col min="18" max="18" width="6.3984375" style="122" customWidth="1"/>
    <col min="19" max="19" width="23.59765625" style="122" customWidth="1"/>
    <col min="20" max="16384" width="8.796875" style="122"/>
  </cols>
  <sheetData>
    <row r="1" spans="1:19" ht="48.5" customHeight="1">
      <c r="A1" s="1434" t="s">
        <v>10</v>
      </c>
      <c r="B1" s="1434" t="s">
        <v>17</v>
      </c>
      <c r="C1" s="1434"/>
      <c r="D1" s="1437" t="s">
        <v>18</v>
      </c>
      <c r="E1" s="1437"/>
      <c r="F1" s="1437"/>
      <c r="G1" s="1435" t="s">
        <v>19</v>
      </c>
      <c r="H1" s="1436"/>
      <c r="I1" s="1437" t="s">
        <v>94</v>
      </c>
      <c r="J1" s="1437"/>
      <c r="K1" s="1437"/>
      <c r="L1" s="1435" t="s">
        <v>375</v>
      </c>
      <c r="M1" s="1435"/>
      <c r="N1" s="1435"/>
      <c r="O1" s="1438" t="s">
        <v>224</v>
      </c>
      <c r="P1" s="1439"/>
      <c r="Q1" s="1432" t="s">
        <v>225</v>
      </c>
      <c r="R1" s="1433"/>
    </row>
    <row r="2" spans="1:19" ht="48.5" customHeight="1">
      <c r="A2" s="1434"/>
      <c r="B2" s="119" t="s">
        <v>219</v>
      </c>
      <c r="C2" s="119" t="s">
        <v>218</v>
      </c>
      <c r="D2" s="120" t="s">
        <v>219</v>
      </c>
      <c r="E2" s="120" t="s">
        <v>218</v>
      </c>
      <c r="F2" s="120" t="s">
        <v>220</v>
      </c>
      <c r="G2" s="121" t="s">
        <v>98</v>
      </c>
      <c r="H2" s="121" t="s">
        <v>97</v>
      </c>
      <c r="I2" s="120" t="s">
        <v>100</v>
      </c>
      <c r="J2" s="120" t="s">
        <v>101</v>
      </c>
      <c r="K2" s="120" t="s">
        <v>30</v>
      </c>
      <c r="L2" s="120" t="s">
        <v>100</v>
      </c>
      <c r="M2" s="120" t="s">
        <v>101</v>
      </c>
      <c r="N2" s="120" t="s">
        <v>30</v>
      </c>
      <c r="O2" s="133" t="s">
        <v>219</v>
      </c>
      <c r="P2" s="133" t="s">
        <v>97</v>
      </c>
      <c r="Q2" s="134" t="s">
        <v>219</v>
      </c>
      <c r="R2" s="134" t="s">
        <v>97</v>
      </c>
    </row>
    <row r="3" spans="1:19" s="126" customFormat="1" ht="48.5" customHeight="1">
      <c r="A3" s="123" t="s">
        <v>41</v>
      </c>
      <c r="B3" s="124" t="s">
        <v>42</v>
      </c>
      <c r="C3" s="125"/>
      <c r="D3" s="125"/>
      <c r="E3" s="125"/>
      <c r="F3" s="125"/>
      <c r="G3" s="125"/>
      <c r="H3" s="125"/>
      <c r="I3" s="125"/>
      <c r="J3" s="125"/>
      <c r="K3" s="125"/>
      <c r="L3" s="125"/>
      <c r="M3" s="125"/>
      <c r="N3" s="125"/>
      <c r="O3" s="125"/>
      <c r="P3" s="125"/>
      <c r="Q3" s="125"/>
      <c r="R3" s="125"/>
    </row>
    <row r="4" spans="1:19" s="129" customFormat="1" ht="48.5" customHeight="1">
      <c r="A4" s="127">
        <v>1</v>
      </c>
      <c r="B4" s="127">
        <f>'25-BRA-I-090'!CS7</f>
        <v>31484.409059999984</v>
      </c>
      <c r="C4" s="127">
        <f>'25-BRA-I-090'!CT7</f>
        <v>1394826.6609322391</v>
      </c>
      <c r="D4" s="127">
        <f>'25-BRA-I-090'!CW7</f>
        <v>141.974895</v>
      </c>
      <c r="E4" s="127">
        <f>'25-BRA-I-090'!CX7</f>
        <v>11796.060064946912</v>
      </c>
      <c r="F4" s="127">
        <f>E4</f>
        <v>11796.060064946912</v>
      </c>
      <c r="G4" s="127">
        <f>'25-BRA-I-090'!DA7</f>
        <v>31343.434164999991</v>
      </c>
      <c r="H4" s="127">
        <f>'25-BRA-I-090'!DB7</f>
        <v>1383047.6008672924</v>
      </c>
      <c r="I4" s="127">
        <f>'25-BRA-I-090'!DJ7</f>
        <v>22632.762749999998</v>
      </c>
      <c r="J4" s="127">
        <f>'25-BRA-I-090'!DK7</f>
        <v>899567.85000000021</v>
      </c>
      <c r="K4" s="127">
        <f>'25-BRA-I-090'!DU7</f>
        <v>0</v>
      </c>
      <c r="L4" s="127">
        <f>'25-BRA-I-090'!EC7</f>
        <v>10590</v>
      </c>
      <c r="M4" s="127">
        <f>'25-BRA-I-090'!ED7</f>
        <v>471928.89999999997</v>
      </c>
      <c r="N4" s="127"/>
      <c r="O4" s="128">
        <f>B4-I4-L4</f>
        <v>-1738.3536900000145</v>
      </c>
      <c r="P4" s="170">
        <f>C4-J4-M4</f>
        <v>23329.91093223897</v>
      </c>
      <c r="Q4" s="127">
        <f>'25-BRA-I-090'!EW7</f>
        <v>-1879.3285850000002</v>
      </c>
      <c r="R4" s="127">
        <f>'25-BRA-I-090'!EX7</f>
        <v>11550.850867292436</v>
      </c>
    </row>
    <row r="5" spans="1:19" s="126" customFormat="1" ht="48.5" customHeight="1">
      <c r="A5" s="123" t="s">
        <v>84</v>
      </c>
      <c r="B5" s="124" t="s">
        <v>103</v>
      </c>
      <c r="C5" s="125"/>
      <c r="D5" s="125"/>
      <c r="E5" s="125"/>
      <c r="F5" s="125"/>
      <c r="G5" s="125"/>
      <c r="H5" s="125"/>
      <c r="I5" s="125"/>
      <c r="J5" s="125"/>
      <c r="K5" s="125"/>
      <c r="L5" s="125"/>
      <c r="M5" s="125"/>
      <c r="N5" s="125"/>
      <c r="O5" s="125"/>
      <c r="P5" s="125"/>
      <c r="Q5" s="125"/>
      <c r="R5" s="125"/>
    </row>
    <row r="6" spans="1:19" s="129" customFormat="1" ht="48.5" customHeight="1">
      <c r="A6" s="130">
        <v>1</v>
      </c>
      <c r="B6" s="130">
        <f>'25-BRA-I-090'!CS315</f>
        <v>180990.102724</v>
      </c>
      <c r="C6" s="130">
        <f>'25-BRA-I-090'!CT315</f>
        <v>167233.81346800004</v>
      </c>
      <c r="D6" s="132">
        <f>'25-BRA-I-090'!CW315</f>
        <v>14559.671200000001</v>
      </c>
      <c r="E6" s="130">
        <f>'25-BRA-I-090'!CX315</f>
        <v>6861.4896000000008</v>
      </c>
      <c r="F6" s="130">
        <f>E6</f>
        <v>6861.4896000000008</v>
      </c>
      <c r="G6" s="130">
        <f>'25-BRA-I-090'!DA315</f>
        <v>166430.43152400001</v>
      </c>
      <c r="H6" s="127">
        <f>'25-BRA-I-090'!DB315</f>
        <v>160372.32386799998</v>
      </c>
      <c r="I6" s="130">
        <f>'25-BRA-I-090'!DJ315</f>
        <v>169496.55</v>
      </c>
      <c r="J6" s="130">
        <f>'25-BRA-I-090'!DK315</f>
        <v>174616.49999999994</v>
      </c>
      <c r="K6" s="127">
        <f>'25-BRA-I-090'!DU315</f>
        <v>0</v>
      </c>
      <c r="L6" s="127"/>
      <c r="M6" s="127"/>
      <c r="N6" s="127"/>
      <c r="O6" s="128">
        <f>B6-I6</f>
        <v>11493.552724000008</v>
      </c>
      <c r="P6" s="71">
        <f>C6-J6</f>
        <v>-7382.6865319999051</v>
      </c>
      <c r="Q6" s="127">
        <f>'25-BRA-I-090'!EW315</f>
        <v>-3066.1184759999996</v>
      </c>
      <c r="R6" s="127">
        <f>'25-BRA-I-090'!EX315</f>
        <v>-14244.176132000008</v>
      </c>
    </row>
    <row r="7" spans="1:19" s="126" customFormat="1" ht="48.5" customHeight="1">
      <c r="A7" s="123" t="s">
        <v>222</v>
      </c>
      <c r="B7" s="124" t="s">
        <v>223</v>
      </c>
      <c r="C7" s="125"/>
      <c r="D7" s="125"/>
      <c r="E7" s="125"/>
      <c r="F7" s="125"/>
      <c r="G7" s="125"/>
      <c r="H7" s="125"/>
      <c r="I7" s="125"/>
      <c r="J7" s="125"/>
      <c r="K7" s="125"/>
      <c r="L7" s="125"/>
      <c r="M7" s="125"/>
      <c r="N7" s="125"/>
      <c r="O7" s="125"/>
      <c r="P7" s="125"/>
      <c r="Q7" s="125"/>
      <c r="R7" s="125"/>
    </row>
    <row r="8" spans="1:19" s="129" customFormat="1" ht="48.5" customHeight="1">
      <c r="A8" s="130">
        <v>1</v>
      </c>
      <c r="B8" s="131">
        <f>'25-BRA-I-090'!CS453</f>
        <v>53806.102723999997</v>
      </c>
      <c r="C8" s="127">
        <f>'25-BRA-I-090'!CT453</f>
        <v>167233.81346800004</v>
      </c>
      <c r="D8" s="130">
        <f>'25-BRA-I-090'!CW453</f>
        <v>14559.671200000001</v>
      </c>
      <c r="E8" s="130">
        <f>'25-BRA-I-090'!CX453</f>
        <v>6861.4896000000008</v>
      </c>
      <c r="F8" s="130">
        <f>E8</f>
        <v>6861.4896000000008</v>
      </c>
      <c r="G8" s="130">
        <f>'25-BRA-I-090'!DA453</f>
        <v>39246.431524</v>
      </c>
      <c r="H8" s="127">
        <f>'25-BRA-I-090'!DB453</f>
        <v>160372.32386799998</v>
      </c>
      <c r="I8" s="130">
        <f>'25-BRA-I-090'!DJ453</f>
        <v>48456.55</v>
      </c>
      <c r="J8" s="127">
        <f>'25-BRA-I-090'!DK453</f>
        <v>174616.49999999994</v>
      </c>
      <c r="K8" s="127">
        <f>'25-BRA-I-090'!DU453</f>
        <v>0</v>
      </c>
      <c r="L8" s="127"/>
      <c r="M8" s="127"/>
      <c r="N8" s="127"/>
      <c r="O8" s="128">
        <f>B8-I8</f>
        <v>5349.5527239999938</v>
      </c>
      <c r="P8" s="71">
        <f>C8-J8</f>
        <v>-7382.6865319999051</v>
      </c>
      <c r="Q8" s="127">
        <f>'25-BRA-I-090'!EW453</f>
        <v>-9210.1184759999996</v>
      </c>
      <c r="R8" s="127">
        <f>'25-BRA-I-090'!EX453</f>
        <v>-14244.176132000008</v>
      </c>
    </row>
    <row r="9" spans="1:19" ht="48.5" customHeight="1">
      <c r="M9"/>
      <c r="N9"/>
      <c r="O9"/>
    </row>
    <row r="10" spans="1:19" ht="48.5" customHeight="1">
      <c r="M10"/>
      <c r="N10"/>
      <c r="O10"/>
    </row>
    <row r="11" spans="1:19" customFormat="1" ht="45" customHeight="1">
      <c r="A11" s="1440" t="s">
        <v>376</v>
      </c>
      <c r="B11" s="1440" t="s">
        <v>377</v>
      </c>
      <c r="C11" s="1440" t="s">
        <v>378</v>
      </c>
      <c r="D11" s="1440"/>
      <c r="E11" s="1440"/>
      <c r="F11" s="165" t="s">
        <v>379</v>
      </c>
      <c r="G11" s="165"/>
      <c r="H11" s="165"/>
      <c r="I11" s="165"/>
      <c r="J11" s="165"/>
      <c r="K11" s="1428" t="s">
        <v>389</v>
      </c>
      <c r="L11" s="1429"/>
      <c r="M11" s="1429"/>
      <c r="N11" s="1429"/>
    </row>
    <row r="12" spans="1:19" customFormat="1" ht="52.5" customHeight="1">
      <c r="A12" s="1440"/>
      <c r="B12" s="1440"/>
      <c r="C12" s="1440"/>
      <c r="D12" s="1440"/>
      <c r="E12" s="1440"/>
      <c r="F12" s="1441" t="s">
        <v>382</v>
      </c>
      <c r="G12" s="1441"/>
      <c r="H12" s="1442" t="s">
        <v>383</v>
      </c>
      <c r="I12" s="1442"/>
      <c r="J12" s="165"/>
      <c r="K12" s="1430"/>
      <c r="L12" s="1431"/>
      <c r="M12" s="1431"/>
      <c r="N12" s="1431"/>
      <c r="P12" s="122"/>
      <c r="Q12" s="122"/>
      <c r="R12" s="122"/>
      <c r="S12" s="122"/>
    </row>
    <row r="13" spans="1:19" customFormat="1" ht="75">
      <c r="A13" s="1440"/>
      <c r="B13" s="1440"/>
      <c r="C13" s="166" t="s">
        <v>384</v>
      </c>
      <c r="D13" s="166" t="s">
        <v>385</v>
      </c>
      <c r="E13" s="166" t="s">
        <v>386</v>
      </c>
      <c r="F13" s="166" t="s">
        <v>384</v>
      </c>
      <c r="G13" s="166" t="s">
        <v>385</v>
      </c>
      <c r="H13" s="166" t="s">
        <v>387</v>
      </c>
      <c r="I13" s="166" t="s">
        <v>388</v>
      </c>
      <c r="J13" s="166" t="s">
        <v>389</v>
      </c>
      <c r="K13" s="718" t="s">
        <v>2214</v>
      </c>
      <c r="L13" s="719" t="s">
        <v>2215</v>
      </c>
      <c r="M13" s="719" t="s">
        <v>380</v>
      </c>
      <c r="N13" s="719" t="s">
        <v>381</v>
      </c>
      <c r="O13" s="122"/>
      <c r="P13" s="122"/>
      <c r="Q13" s="122"/>
      <c r="R13" s="122"/>
      <c r="S13" s="122"/>
    </row>
    <row r="14" spans="1:19" customFormat="1" ht="46.5" customHeight="1">
      <c r="A14" s="167">
        <v>1.1000000000000001</v>
      </c>
      <c r="B14" s="167" t="s">
        <v>390</v>
      </c>
      <c r="C14" s="720">
        <f>C4</f>
        <v>1394826.6609322391</v>
      </c>
      <c r="D14" s="720">
        <f>B4</f>
        <v>31484.409059999984</v>
      </c>
      <c r="E14" s="720"/>
      <c r="F14" s="720">
        <f>J4+M4</f>
        <v>1371496.7500000002</v>
      </c>
      <c r="G14" s="720">
        <f>I4+L4</f>
        <v>33222.762749999994</v>
      </c>
      <c r="H14" s="720">
        <f>E4</f>
        <v>11796.060064946912</v>
      </c>
      <c r="I14" s="720">
        <f>D4</f>
        <v>141.974895</v>
      </c>
      <c r="J14" s="720">
        <f>'25-BRA-I-090'!DO7+'25-BRA-I-090'!EF7*26300</f>
        <v>28199092950.43084</v>
      </c>
      <c r="K14" s="721">
        <f>'DT04 (TM) 1 '!L8+'DT04 (TM) 1 '!L10</f>
        <v>27375766652.707893</v>
      </c>
      <c r="L14" s="721"/>
      <c r="M14" s="722">
        <f>K14-J14-L14</f>
        <v>-823326297.72294617</v>
      </c>
      <c r="N14" s="723" t="str">
        <f>IF(M14&lt;=0,"VƯỢT DỰ TOÁN","ĐẢM BẢO")</f>
        <v>VƯỢT DỰ TOÁN</v>
      </c>
      <c r="O14" s="122"/>
      <c r="P14" s="122"/>
      <c r="Q14" s="122"/>
      <c r="R14" s="122"/>
      <c r="S14" s="122"/>
    </row>
    <row r="15" spans="1:19" customFormat="1" ht="59" customHeight="1">
      <c r="A15" s="167">
        <v>1.2</v>
      </c>
      <c r="B15" s="167" t="s">
        <v>391</v>
      </c>
      <c r="C15" s="720">
        <f>C6</f>
        <v>167233.81346800004</v>
      </c>
      <c r="D15" s="720">
        <f>B6</f>
        <v>180990.102724</v>
      </c>
      <c r="E15" s="720"/>
      <c r="F15" s="720">
        <f>J6+M6</f>
        <v>174616.49999999994</v>
      </c>
      <c r="G15" s="720">
        <f>I6+L6</f>
        <v>169496.55</v>
      </c>
      <c r="H15" s="720">
        <f>E6</f>
        <v>6861.4896000000008</v>
      </c>
      <c r="I15" s="720">
        <f>D6</f>
        <v>14559.671200000001</v>
      </c>
      <c r="J15" s="720">
        <f>'25-BRA-I-090'!DO315</f>
        <v>4949333931.8798904</v>
      </c>
      <c r="K15" s="721">
        <f>'DT04 (TM) 1 '!L13</f>
        <v>1703348999.9999998</v>
      </c>
      <c r="L15" s="721"/>
      <c r="M15" s="722">
        <f t="shared" ref="M15:M16" si="0">K15-J15-L15</f>
        <v>-3245984931.8798904</v>
      </c>
      <c r="N15" s="723" t="str">
        <f t="shared" ref="N15:N16" si="1">IF(M15&lt;=0,"VƯỢT DỰ TOÁN","ĐẢM BẢO")</f>
        <v>VƯỢT DỰ TOÁN</v>
      </c>
      <c r="O15" s="122"/>
      <c r="P15" s="122"/>
      <c r="Q15" s="122"/>
      <c r="R15" s="122"/>
      <c r="S15" s="122"/>
    </row>
    <row r="16" spans="1:19" customFormat="1" ht="30" customHeight="1">
      <c r="A16" s="167">
        <v>1.3</v>
      </c>
      <c r="B16" s="167" t="s">
        <v>392</v>
      </c>
      <c r="C16" s="720">
        <f>C8</f>
        <v>167233.81346800004</v>
      </c>
      <c r="D16" s="720">
        <f>B8</f>
        <v>53806.102723999997</v>
      </c>
      <c r="E16" s="720"/>
      <c r="F16" s="720">
        <f>J8+M8</f>
        <v>174616.49999999994</v>
      </c>
      <c r="G16" s="720">
        <f>I8+L8</f>
        <v>48456.55</v>
      </c>
      <c r="H16" s="720">
        <f>E8</f>
        <v>6861.4896000000008</v>
      </c>
      <c r="I16" s="720">
        <f>D8</f>
        <v>14559.671200000001</v>
      </c>
      <c r="J16" s="720">
        <f>'25-BRA-I-090'!DO453</f>
        <v>4227979301.8798904</v>
      </c>
      <c r="K16" s="721">
        <f>'DT04 (TM) 1 '!L17</f>
        <v>2538751590</v>
      </c>
      <c r="L16" s="721"/>
      <c r="M16" s="722">
        <f t="shared" si="0"/>
        <v>-1689227711.8798904</v>
      </c>
      <c r="N16" s="723" t="str">
        <f t="shared" si="1"/>
        <v>VƯỢT DỰ TOÁN</v>
      </c>
      <c r="O16" s="122"/>
      <c r="P16" s="122"/>
      <c r="Q16" s="122"/>
      <c r="R16" s="122"/>
      <c r="S16" s="122"/>
    </row>
    <row r="21" ht="66.5" customHeight="1"/>
  </sheetData>
  <mergeCells count="14">
    <mergeCell ref="K11:N12"/>
    <mergeCell ref="Q1:R1"/>
    <mergeCell ref="B1:C1"/>
    <mergeCell ref="A1:A2"/>
    <mergeCell ref="G1:H1"/>
    <mergeCell ref="D1:F1"/>
    <mergeCell ref="I1:K1"/>
    <mergeCell ref="O1:P1"/>
    <mergeCell ref="L1:N1"/>
    <mergeCell ref="A11:A13"/>
    <mergeCell ref="B11:B13"/>
    <mergeCell ref="C11:E12"/>
    <mergeCell ref="F12:G12"/>
    <mergeCell ref="H12:I12"/>
  </mergeCells>
  <conditionalFormatting sqref="L13">
    <cfRule type="cellIs" dxfId="9" priority="1" operator="equal">
      <formula>"vượt dự toán"</formula>
    </cfRule>
  </conditionalFormatting>
  <conditionalFormatting sqref="M14:M16">
    <cfRule type="cellIs" dxfId="8" priority="3" operator="equal">
      <formula>"vượt dự toán"</formula>
    </cfRule>
  </conditionalFormatting>
  <conditionalFormatting sqref="N13:N16">
    <cfRule type="cellIs" dxfId="7" priority="2" operator="equal">
      <formula>"vượt dự toán"</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24CF-76CB-4CF5-8193-EF5140FC3CD1}">
  <sheetPr>
    <tabColor theme="3"/>
    <pageSetUpPr fitToPage="1"/>
  </sheetPr>
  <dimension ref="A1:AV587"/>
  <sheetViews>
    <sheetView view="pageBreakPreview" topLeftCell="A481" zoomScale="70" zoomScaleNormal="100" zoomScaleSheetLayoutView="70" workbookViewId="0">
      <selection activeCell="C516" sqref="C516"/>
    </sheetView>
  </sheetViews>
  <sheetFormatPr defaultColWidth="10" defaultRowHeight="15.5"/>
  <cols>
    <col min="1" max="1" width="8.69921875" style="1169" customWidth="1"/>
    <col min="2" max="2" width="54.3984375" style="1170" customWidth="1"/>
    <col min="3" max="3" width="34.59765625" style="1170" customWidth="1"/>
    <col min="4" max="4" width="14.19921875" style="1169" customWidth="1"/>
    <col min="5" max="5" width="10.59765625" style="1171" customWidth="1"/>
    <col min="6" max="6" width="12.19921875" style="1171" customWidth="1"/>
    <col min="7" max="7" width="14" style="1172" customWidth="1"/>
    <col min="8" max="9" width="15" style="1172" customWidth="1"/>
    <col min="10" max="10" width="19.296875" style="1173" customWidth="1"/>
    <col min="11" max="11" width="22.09765625" style="1173" customWidth="1"/>
    <col min="12" max="12" width="25.796875" style="1182" customWidth="1"/>
    <col min="13" max="14" width="18.19921875" style="1174" hidden="1" customWidth="1"/>
    <col min="15" max="15" width="41.3984375" style="1169" hidden="1" customWidth="1"/>
    <col min="16" max="18" width="14.296875" style="1169" hidden="1" customWidth="1"/>
    <col min="19" max="19" width="22.69921875" style="1169" hidden="1" customWidth="1"/>
    <col min="20" max="20" width="12.59765625" style="1011" hidden="1" customWidth="1"/>
    <col min="21" max="21" width="20.5" style="1012" hidden="1" customWidth="1"/>
    <col min="22" max="22" width="13.59765625" style="1012" hidden="1" customWidth="1"/>
    <col min="23" max="23" width="16.09765625" style="1169" hidden="1" customWidth="1"/>
    <col min="24" max="24" width="25.69921875" style="1169" hidden="1" customWidth="1"/>
    <col min="25" max="25" width="11" style="1169" hidden="1" customWidth="1"/>
    <col min="26" max="26" width="10.296875" style="1169" hidden="1" customWidth="1"/>
    <col min="27" max="27" width="14.8984375" style="1169" hidden="1" customWidth="1"/>
    <col min="28" max="28" width="20.8984375" style="1169" hidden="1" customWidth="1"/>
    <col min="29" max="36" width="20.5" style="1169" hidden="1" customWidth="1"/>
    <col min="37" max="37" width="14.09765625" style="1169" hidden="1" customWidth="1"/>
    <col min="38" max="38" width="35" style="1169" bestFit="1" customWidth="1"/>
    <col min="39" max="39" width="14" style="1169" customWidth="1"/>
    <col min="40" max="40" width="10" style="1169"/>
    <col min="41" max="41" width="17.8984375" style="1169" customWidth="1"/>
    <col min="42" max="45" width="10" style="1169"/>
    <col min="46" max="46" width="19.8984375" style="1169" customWidth="1"/>
    <col min="47" max="16384" width="10" style="1169"/>
  </cols>
  <sheetData>
    <row r="1" spans="1:48" s="1010" customFormat="1" ht="28" customHeight="1">
      <c r="A1" s="1008" t="s">
        <v>2604</v>
      </c>
      <c r="B1" s="1008"/>
      <c r="C1" s="1008"/>
      <c r="D1" s="1008"/>
      <c r="E1" s="1008"/>
      <c r="F1" s="1008"/>
      <c r="G1" s="1008"/>
      <c r="H1" s="1008"/>
      <c r="I1" s="1008"/>
      <c r="J1" s="1008"/>
      <c r="K1" s="1008"/>
      <c r="L1" s="1013"/>
      <c r="M1" s="1009"/>
      <c r="N1" s="1009"/>
      <c r="T1" s="1011"/>
      <c r="U1" s="1012"/>
      <c r="V1" s="1012"/>
    </row>
    <row r="2" spans="1:48" s="1010" customFormat="1">
      <c r="A2" s="1013"/>
      <c r="B2" s="1014"/>
      <c r="C2" s="1014"/>
      <c r="D2" s="1013"/>
      <c r="E2" s="1015"/>
      <c r="F2" s="1015"/>
      <c r="G2" s="1009"/>
      <c r="H2" s="1009"/>
      <c r="I2" s="1009"/>
      <c r="J2" s="1016"/>
      <c r="K2" s="1016"/>
      <c r="L2" s="1177"/>
      <c r="M2" s="1017"/>
      <c r="N2" s="1017"/>
      <c r="T2" s="1011"/>
      <c r="U2" s="1012"/>
      <c r="V2" s="1012"/>
    </row>
    <row r="3" spans="1:48" s="1021" customFormat="1">
      <c r="A3" s="1018"/>
      <c r="B3" s="1019" t="s">
        <v>2605</v>
      </c>
      <c r="C3" s="1019"/>
      <c r="D3" s="1019"/>
      <c r="E3" s="1019"/>
      <c r="F3" s="1019"/>
      <c r="G3" s="1019"/>
      <c r="H3" s="1019"/>
      <c r="I3" s="1019"/>
      <c r="J3" s="1019"/>
      <c r="K3" s="1019"/>
      <c r="L3" s="1178"/>
      <c r="M3" s="1020"/>
      <c r="N3" s="1020"/>
      <c r="T3" s="1011"/>
      <c r="U3" s="1012"/>
      <c r="V3" s="1012"/>
    </row>
    <row r="4" spans="1:48" s="1010" customFormat="1">
      <c r="A4" s="1022"/>
      <c r="B4" s="1019" t="s">
        <v>2606</v>
      </c>
      <c r="C4" s="1019"/>
      <c r="D4" s="1019"/>
      <c r="E4" s="1019"/>
      <c r="F4" s="1019"/>
      <c r="G4" s="1019"/>
      <c r="H4" s="1019"/>
      <c r="I4" s="1019"/>
      <c r="J4" s="1019"/>
      <c r="K4" s="1019"/>
      <c r="L4" s="1179"/>
      <c r="M4" s="1023"/>
      <c r="N4" s="1023"/>
      <c r="T4" s="1011"/>
      <c r="U4" s="1012"/>
      <c r="V4" s="1012"/>
    </row>
    <row r="5" spans="1:48" s="1029" customFormat="1">
      <c r="A5" s="1024"/>
      <c r="B5" s="1025"/>
      <c r="C5" s="1025"/>
      <c r="D5" s="1024"/>
      <c r="E5" s="1015"/>
      <c r="F5" s="1015"/>
      <c r="G5" s="1026"/>
      <c r="H5" s="1026"/>
      <c r="I5" s="1026"/>
      <c r="J5" s="1016"/>
      <c r="K5" s="1027" t="s">
        <v>2607</v>
      </c>
      <c r="L5" s="1180" t="s">
        <v>2608</v>
      </c>
      <c r="M5" s="1028"/>
      <c r="N5" s="1028"/>
      <c r="T5" s="1011"/>
      <c r="U5" s="1030"/>
      <c r="V5" s="1030"/>
      <c r="AD5" s="1443" t="s">
        <v>17</v>
      </c>
      <c r="AE5" s="1443"/>
      <c r="AF5" s="1444" t="s">
        <v>18</v>
      </c>
      <c r="AG5" s="1444"/>
      <c r="AH5" s="1444" t="s">
        <v>2074</v>
      </c>
      <c r="AI5" s="1444"/>
      <c r="AJ5" s="1024"/>
    </row>
    <row r="6" spans="1:48" s="1039" customFormat="1" ht="60">
      <c r="A6" s="1031" t="s">
        <v>376</v>
      </c>
      <c r="B6" s="1032" t="s">
        <v>2609</v>
      </c>
      <c r="C6" s="1033" t="s">
        <v>2610</v>
      </c>
      <c r="D6" s="1034" t="s">
        <v>2611</v>
      </c>
      <c r="E6" s="1035" t="s">
        <v>228</v>
      </c>
      <c r="F6" s="1035" t="s">
        <v>2612</v>
      </c>
      <c r="G6" s="1035" t="s">
        <v>2613</v>
      </c>
      <c r="H6" s="1036" t="s">
        <v>2614</v>
      </c>
      <c r="I6" s="1035" t="s">
        <v>2615</v>
      </c>
      <c r="J6" s="1037" t="s">
        <v>2616</v>
      </c>
      <c r="K6" s="1037" t="s">
        <v>2617</v>
      </c>
      <c r="L6" s="1037" t="s">
        <v>381</v>
      </c>
      <c r="M6" s="1038"/>
      <c r="N6" s="1038"/>
      <c r="S6" s="1040" t="e">
        <f>G7-#REF!</f>
        <v>#REF!</v>
      </c>
      <c r="T6" s="1041"/>
      <c r="U6" s="1042"/>
      <c r="V6" s="1042"/>
      <c r="AD6" s="1039" t="s">
        <v>98</v>
      </c>
      <c r="AE6" s="1039" t="s">
        <v>97</v>
      </c>
      <c r="AF6" s="1043" t="s">
        <v>98</v>
      </c>
      <c r="AG6" s="1043" t="s">
        <v>97</v>
      </c>
      <c r="AH6" s="1044" t="s">
        <v>98</v>
      </c>
      <c r="AI6" s="1044" t="s">
        <v>97</v>
      </c>
      <c r="AJ6" s="1045" t="s">
        <v>2618</v>
      </c>
    </row>
    <row r="7" spans="1:48" s="1039" customFormat="1" ht="29.5" customHeight="1">
      <c r="A7" s="1046" t="s">
        <v>232</v>
      </c>
      <c r="B7" s="1047" t="s">
        <v>2619</v>
      </c>
      <c r="C7" s="1048"/>
      <c r="D7" s="1049" t="s">
        <v>2620</v>
      </c>
      <c r="E7" s="1050">
        <v>0.09</v>
      </c>
      <c r="F7" s="1050"/>
      <c r="G7" s="1051">
        <f>SUBTOTAL(9,G8:G280)/1000</f>
        <v>1297.1887946669824</v>
      </c>
      <c r="H7" s="1051"/>
      <c r="I7" s="1051">
        <f>SUBTOTAL(9,I8:I280)/1000</f>
        <v>1496.2869499999997</v>
      </c>
      <c r="J7" s="1052">
        <v>20718447.0247031</v>
      </c>
      <c r="K7" s="1052">
        <f>SUBTOTAL(9,K8:K279)</f>
        <v>28974314279.620625</v>
      </c>
      <c r="L7" s="1053"/>
      <c r="M7" s="1017"/>
      <c r="N7" s="1017"/>
      <c r="P7" s="1054">
        <f>SUM(P8:P278)</f>
        <v>0</v>
      </c>
      <c r="Q7" s="1054">
        <f>SUM(Q8:Q278)</f>
        <v>0</v>
      </c>
      <c r="R7" s="1054">
        <f>Q7+P7</f>
        <v>0</v>
      </c>
      <c r="T7" s="1055"/>
      <c r="U7" s="1042"/>
      <c r="V7" s="1042"/>
      <c r="AL7" s="1056"/>
    </row>
    <row r="8" spans="1:48" s="1039" customFormat="1" ht="30">
      <c r="A8" s="372">
        <v>1</v>
      </c>
      <c r="B8" s="1057" t="s">
        <v>238</v>
      </c>
      <c r="C8" s="1058">
        <f>VLOOKUP(L8,'25-BRA-I-090'!$I:$EZ,4,0)</f>
        <v>0</v>
      </c>
      <c r="D8" s="374" t="str">
        <f>AC8</f>
        <v>sets</v>
      </c>
      <c r="E8" s="183"/>
      <c r="F8" s="184">
        <f>AD8</f>
        <v>320</v>
      </c>
      <c r="G8" s="185">
        <f>AE8</f>
        <v>3404</v>
      </c>
      <c r="H8" s="185">
        <f>AF8</f>
        <v>0</v>
      </c>
      <c r="I8" s="185">
        <f>AH8</f>
        <v>320</v>
      </c>
      <c r="J8" s="185">
        <f>K8/I8</f>
        <v>635930</v>
      </c>
      <c r="K8" s="185">
        <f>AJ8</f>
        <v>203497600</v>
      </c>
      <c r="L8" s="1183" t="s">
        <v>236</v>
      </c>
      <c r="M8" s="1059" t="e">
        <f>+VLOOKUP(L8,'[121]PR (2)'!$A$12:$M$253,13,FALSE)</f>
        <v>#N/A</v>
      </c>
      <c r="N8" s="1059" t="e">
        <f>+VLOOKUP(L8,'[121]PR (2)'!$A$12:$AQ$253,12,FALSE)</f>
        <v>#N/A</v>
      </c>
      <c r="O8" s="1038"/>
      <c r="P8" s="1054"/>
      <c r="Q8" s="1054"/>
      <c r="T8" s="1041"/>
      <c r="U8" s="1042"/>
      <c r="V8" s="1042"/>
      <c r="AA8" s="1039" t="str">
        <f>VLOOKUP(L8,'25-BRA-I-090'!$I:$EZ,2,0)</f>
        <v>Bulong móng</v>
      </c>
      <c r="AB8" s="1039" t="str">
        <f>VLOOKUP(L8,'25-BRA-I-090'!$I:$EZ,3,0)</f>
        <v>ANCHOR BOLT M42</v>
      </c>
      <c r="AC8" s="1039" t="str">
        <f>VLOOKUP(L8,'25-BRA-I-090'!$I:$EZ,5,0)</f>
        <v>sets</v>
      </c>
      <c r="AD8" s="1039">
        <f>SUMIFS('25-BRA-I-090'!$CS:$CS,'25-BRA-I-090'!$I:$I,L8)</f>
        <v>320</v>
      </c>
      <c r="AE8" s="1039">
        <f>SUMIFS('25-BRA-I-090'!$CT:$CT,'25-BRA-I-090'!$I:$I,L8)</f>
        <v>3404</v>
      </c>
      <c r="AF8" s="1039">
        <f>SUMIFS('25-BRA-I-090'!$CW:$CW,'25-BRA-I-090'!$I:$I,L8)</f>
        <v>0</v>
      </c>
      <c r="AG8" s="1039">
        <f>SUMIFS('25-BRA-I-090'!$CX:$CX,'25-BRA-I-090'!$I:$I,L8)</f>
        <v>0</v>
      </c>
      <c r="AH8" s="1040">
        <f>SUMIFS('25-BRA-I-090'!$DJ:$DJ,'25-BRA-I-090'!$I:$I,L8)+SUMIFS('25-BRA-I-090'!$EC:$EC,'25-BRA-I-090'!$I:$I,L8)</f>
        <v>320</v>
      </c>
      <c r="AI8" s="1040">
        <f>SUMIFS('25-BRA-I-090'!$DK:$DK,'25-BRA-I-090'!$I:$I,L8)+SUMIFS('25-BRA-I-090'!$ED:$ED,'25-BRA-I-090'!$I:$I,L8)</f>
        <v>0</v>
      </c>
      <c r="AJ8" s="1040">
        <f>SUMIFS('25-BRA-I-090'!$DO:$DO,'25-BRA-I-090'!$I:$I,L8)+26400*SUMIFS('25-BRA-I-090'!$EF:$EF,'25-BRA-I-090'!$I:$I,L8)</f>
        <v>203497600</v>
      </c>
      <c r="AK8" s="185">
        <f>J8*1.08</f>
        <v>686804.4</v>
      </c>
      <c r="AO8" s="185">
        <v>635930</v>
      </c>
      <c r="AR8" s="1060" t="s">
        <v>236</v>
      </c>
      <c r="AS8" s="1061" t="s">
        <v>237</v>
      </c>
      <c r="AT8" s="1062" t="s">
        <v>238</v>
      </c>
      <c r="AU8" s="1063"/>
      <c r="AV8" s="1060" t="s">
        <v>239</v>
      </c>
    </row>
    <row r="9" spans="1:48" s="1039" customFormat="1">
      <c r="A9" s="372">
        <v>2</v>
      </c>
      <c r="B9" s="1057" t="s">
        <v>338</v>
      </c>
      <c r="C9" s="1058" t="s">
        <v>339</v>
      </c>
      <c r="D9" s="374" t="str">
        <f t="shared" ref="D9:D72" si="0">AC9</f>
        <v>Kg</v>
      </c>
      <c r="E9" s="183"/>
      <c r="F9" s="184">
        <f>AD9</f>
        <v>48</v>
      </c>
      <c r="G9" s="185">
        <f>AE9</f>
        <v>3768</v>
      </c>
      <c r="H9" s="185">
        <f>AG9</f>
        <v>0</v>
      </c>
      <c r="I9" s="185">
        <f>AI9</f>
        <v>3768</v>
      </c>
      <c r="J9" s="185">
        <f>K9/I9</f>
        <v>13545.45</v>
      </c>
      <c r="K9" s="185">
        <f>AJ9</f>
        <v>51039255.600000001</v>
      </c>
      <c r="L9" s="1183" t="s">
        <v>240</v>
      </c>
      <c r="M9" s="1059" t="e">
        <f>+VLOOKUP(L9,'[121]PR (2)'!$A$12:$M$253,13,FALSE)</f>
        <v>#N/A</v>
      </c>
      <c r="N9" s="1059" t="e">
        <f>+VLOOKUP(L9,'[121]PR (2)'!$A$12:$AQ$253,12,FALSE)</f>
        <v>#N/A</v>
      </c>
      <c r="O9" s="1038"/>
      <c r="P9" s="1054"/>
      <c r="Q9" s="1054"/>
      <c r="T9" s="1041"/>
      <c r="U9" s="1042"/>
      <c r="V9" s="1042"/>
      <c r="AA9" s="1039" t="str">
        <f>VLOOKUP(L9,'25-BRA-I-090'!$I:$EZ,2,0)</f>
        <v>Tôn tấm</v>
      </c>
      <c r="AB9" s="1039" t="str">
        <f>VLOOKUP(L9,'25-BRA-I-090'!$I:$EZ,3,0)</f>
        <v>PL10x2000x6000</v>
      </c>
      <c r="AC9" s="1039" t="s">
        <v>2620</v>
      </c>
      <c r="AD9" s="1039">
        <f>SUMIFS('25-BRA-I-090'!$CS:$CS,'25-BRA-I-090'!$I:$I,L9)</f>
        <v>48</v>
      </c>
      <c r="AE9" s="1039">
        <f>SUMIFS('25-BRA-I-090'!$CT:$CT,'25-BRA-I-090'!$I:$I,L9)</f>
        <v>3768</v>
      </c>
      <c r="AF9" s="1039">
        <f>SUMIFS('25-BRA-I-090'!$CW:$CW,'25-BRA-I-090'!$I:$I,L9)</f>
        <v>0</v>
      </c>
      <c r="AG9" s="1039">
        <f>SUMIFS('25-BRA-I-090'!$CX:$CX,'25-BRA-I-090'!$I:$I,L9)</f>
        <v>0</v>
      </c>
      <c r="AH9" s="1040">
        <f>SUMIFS('25-BRA-I-090'!$DJ:$DJ,'25-BRA-I-090'!$I:$I,L9)+SUMIFS('25-BRA-I-090'!$EC:$EC,'25-BRA-I-090'!$I:$I,L9)</f>
        <v>48</v>
      </c>
      <c r="AI9" s="1040">
        <f>SUMIFS('25-BRA-I-090'!$DK:$DK,'25-BRA-I-090'!$I:$I,L9)+SUMIFS('25-BRA-I-090'!$ED:$ED,'25-BRA-I-090'!$I:$I,L9)</f>
        <v>3768</v>
      </c>
      <c r="AJ9" s="1040">
        <f>SUMIFS('25-BRA-I-090'!$DO:$DO,'25-BRA-I-090'!$I:$I,L9)+26400*SUMIFS('25-BRA-I-090'!$EF:$EF,'25-BRA-I-090'!$I:$I,L9)</f>
        <v>51039255.600000001</v>
      </c>
      <c r="AK9" s="185">
        <f t="shared" ref="AK9:AK72" si="1">J9*1.08</f>
        <v>14629.086000000001</v>
      </c>
      <c r="AO9" s="185">
        <v>13545.45</v>
      </c>
      <c r="AR9" s="1062" t="s">
        <v>240</v>
      </c>
      <c r="AS9" s="1061" t="s">
        <v>235</v>
      </c>
      <c r="AT9" s="1062" t="s">
        <v>338</v>
      </c>
      <c r="AU9" s="1063" t="s">
        <v>339</v>
      </c>
      <c r="AV9" s="1060" t="s">
        <v>44</v>
      </c>
    </row>
    <row r="10" spans="1:48" s="1039" customFormat="1">
      <c r="A10" s="372">
        <v>3</v>
      </c>
      <c r="B10" s="1057" t="s">
        <v>288</v>
      </c>
      <c r="C10" s="1058" t="s">
        <v>289</v>
      </c>
      <c r="D10" s="374" t="str">
        <f t="shared" si="0"/>
        <v>Kg</v>
      </c>
      <c r="E10" s="183"/>
      <c r="F10" s="184">
        <f t="shared" ref="F10:G65" si="2">AD10</f>
        <v>3.64</v>
      </c>
      <c r="G10" s="185">
        <f t="shared" si="2"/>
        <v>42.860999999999997</v>
      </c>
      <c r="H10" s="185">
        <f t="shared" ref="H10:H65" si="3">AG10</f>
        <v>42.860999999999997</v>
      </c>
      <c r="I10" s="185">
        <f t="shared" ref="I10:I65" si="4">AI10</f>
        <v>0</v>
      </c>
      <c r="J10" s="185" t="e">
        <f t="shared" ref="J10:J73" si="5">K10/I10</f>
        <v>#DIV/0!</v>
      </c>
      <c r="K10" s="185">
        <f t="shared" ref="K10:K73" si="6">AJ10</f>
        <v>0</v>
      </c>
      <c r="L10" s="1184" t="s">
        <v>243</v>
      </c>
      <c r="M10" s="1059" t="e">
        <f>+VLOOKUP(L10,'[121]PR (2)'!$A$12:$M$253,13,FALSE)</f>
        <v>#N/A</v>
      </c>
      <c r="N10" s="1059" t="e">
        <f>+VLOOKUP(L10,'[121]PR (2)'!$A$12:$AQ$253,12,FALSE)</f>
        <v>#N/A</v>
      </c>
      <c r="O10" s="1038"/>
      <c r="P10" s="1054"/>
      <c r="Q10" s="1054"/>
      <c r="T10" s="1041"/>
      <c r="U10" s="1042"/>
      <c r="V10" s="1042"/>
      <c r="AA10" s="1039" t="str">
        <f>VLOOKUP(L10,'25-BRA-I-090'!$I:$EZ,2,0)</f>
        <v>Tôn tấm</v>
      </c>
      <c r="AB10" s="1039" t="str">
        <f>VLOOKUP(L10,'25-BRA-I-090'!$I:$EZ,3,0)</f>
        <v>PL1.5x800x800</v>
      </c>
      <c r="AC10" s="1039" t="s">
        <v>2620</v>
      </c>
      <c r="AD10" s="1039">
        <f>SUMIFS('25-BRA-I-090'!$CS:$CS,'25-BRA-I-090'!$I:$I,L10)</f>
        <v>3.64</v>
      </c>
      <c r="AE10" s="1039">
        <f>SUMIFS('25-BRA-I-090'!$CT:$CT,'25-BRA-I-090'!$I:$I,L10)</f>
        <v>42.860999999999997</v>
      </c>
      <c r="AF10" s="1039">
        <f>SUMIFS('25-BRA-I-090'!$CW:$CW,'25-BRA-I-090'!$I:$I,L10)</f>
        <v>3.64</v>
      </c>
      <c r="AG10" s="1039">
        <f>SUMIFS('25-BRA-I-090'!$CX:$CX,'25-BRA-I-090'!$I:$I,L10)</f>
        <v>42.860999999999997</v>
      </c>
      <c r="AH10" s="1040">
        <f>SUMIFS('25-BRA-I-090'!$DJ:$DJ,'25-BRA-I-090'!$I:$I,L10)+SUMIFS('25-BRA-I-090'!$EC:$EC,'25-BRA-I-090'!$I:$I,L10)</f>
        <v>0</v>
      </c>
      <c r="AI10" s="1040">
        <f>SUMIFS('25-BRA-I-090'!$DK:$DK,'25-BRA-I-090'!$I:$I,L10)+SUMIFS('25-BRA-I-090'!$ED:$ED,'25-BRA-I-090'!$I:$I,L10)</f>
        <v>0</v>
      </c>
      <c r="AJ10" s="1040">
        <f>SUMIFS('25-BRA-I-090'!$DO:$DO,'25-BRA-I-090'!$I:$I,L10)+26400*SUMIFS('25-BRA-I-090'!$EF:$EF,'25-BRA-I-090'!$I:$I,L10)</f>
        <v>0</v>
      </c>
      <c r="AK10" s="185" t="e">
        <f t="shared" si="1"/>
        <v>#DIV/0!</v>
      </c>
      <c r="AO10" s="185">
        <v>17000</v>
      </c>
      <c r="AR10" s="1064" t="s">
        <v>243</v>
      </c>
      <c r="AS10" s="1065" t="s">
        <v>235</v>
      </c>
      <c r="AT10" s="1064" t="s">
        <v>288</v>
      </c>
      <c r="AU10" s="1066" t="s">
        <v>289</v>
      </c>
      <c r="AV10" s="1067" t="s">
        <v>44</v>
      </c>
    </row>
    <row r="11" spans="1:48" s="1039" customFormat="1">
      <c r="A11" s="372">
        <v>4</v>
      </c>
      <c r="B11" s="1057" t="s">
        <v>290</v>
      </c>
      <c r="C11" s="1058" t="s">
        <v>289</v>
      </c>
      <c r="D11" s="374" t="str">
        <f t="shared" si="0"/>
        <v>Kg</v>
      </c>
      <c r="E11" s="183"/>
      <c r="F11" s="184">
        <f t="shared" si="2"/>
        <v>1260</v>
      </c>
      <c r="G11" s="185">
        <f t="shared" si="2"/>
        <v>29921.956050955414</v>
      </c>
      <c r="H11" s="185">
        <f t="shared" si="3"/>
        <v>0</v>
      </c>
      <c r="I11" s="185">
        <f t="shared" si="4"/>
        <v>28825.200000000004</v>
      </c>
      <c r="J11" s="185">
        <f t="shared" si="5"/>
        <v>14018.719999999996</v>
      </c>
      <c r="K11" s="185">
        <f t="shared" si="6"/>
        <v>404092407.74399996</v>
      </c>
      <c r="L11" s="1184" t="s">
        <v>244</v>
      </c>
      <c r="M11" s="1059" t="e">
        <f>+VLOOKUP(L11,'[121]PR (2)'!$A$12:$M$253,13,FALSE)</f>
        <v>#N/A</v>
      </c>
      <c r="N11" s="1059" t="e">
        <f>+VLOOKUP(L11,'[121]PR (2)'!$A$12:$AQ$253,12,FALSE)</f>
        <v>#N/A</v>
      </c>
      <c r="O11" s="1038"/>
      <c r="P11" s="1054"/>
      <c r="Q11" s="1054"/>
      <c r="T11" s="1041"/>
      <c r="U11" s="1042"/>
      <c r="V11" s="1042"/>
      <c r="AA11" s="1039" t="str">
        <f>VLOOKUP(L11,'25-BRA-I-090'!$I:$EZ,2,0)</f>
        <v>Tôn tấm</v>
      </c>
      <c r="AB11" s="1039" t="str">
        <f>VLOOKUP(L11,'25-BRA-I-090'!$I:$EZ,3,0)</f>
        <v>PL3x1500x6000</v>
      </c>
      <c r="AC11" s="1039" t="s">
        <v>2620</v>
      </c>
      <c r="AD11" s="1039">
        <f>SUMIFS('25-BRA-I-090'!$CS:$CS,'25-BRA-I-090'!$I:$I,L11)</f>
        <v>1260</v>
      </c>
      <c r="AE11" s="1039">
        <f>SUMIFS('25-BRA-I-090'!$CT:$CT,'25-BRA-I-090'!$I:$I,L11)</f>
        <v>29921.956050955414</v>
      </c>
      <c r="AF11" s="1039">
        <f>SUMIFS('25-BRA-I-090'!$CW:$CW,'25-BRA-I-090'!$I:$I,L11)</f>
        <v>0</v>
      </c>
      <c r="AG11" s="1039">
        <f>SUMIFS('25-BRA-I-090'!$CX:$CX,'25-BRA-I-090'!$I:$I,L11)</f>
        <v>0</v>
      </c>
      <c r="AH11" s="1040">
        <f>SUMIFS('25-BRA-I-090'!$DJ:$DJ,'25-BRA-I-090'!$I:$I,L11)+SUMIFS('25-BRA-I-090'!$EC:$EC,'25-BRA-I-090'!$I:$I,L11)</f>
        <v>1224</v>
      </c>
      <c r="AI11" s="1040">
        <f>SUMIFS('25-BRA-I-090'!$DK:$DK,'25-BRA-I-090'!$I:$I,L11)+SUMIFS('25-BRA-I-090'!$ED:$ED,'25-BRA-I-090'!$I:$I,L11)</f>
        <v>28825.200000000004</v>
      </c>
      <c r="AJ11" s="1040">
        <f>SUMIFS('25-BRA-I-090'!$DO:$DO,'25-BRA-I-090'!$I:$I,L11)+26400*SUMIFS('25-BRA-I-090'!$EF:$EF,'25-BRA-I-090'!$I:$I,L11)</f>
        <v>404092407.74399996</v>
      </c>
      <c r="AK11" s="185">
        <f t="shared" si="1"/>
        <v>15140.217599999996</v>
      </c>
      <c r="AO11" s="185">
        <v>13090.91</v>
      </c>
      <c r="AR11" s="1064" t="s">
        <v>244</v>
      </c>
      <c r="AS11" s="1065" t="s">
        <v>235</v>
      </c>
      <c r="AT11" s="1064" t="s">
        <v>290</v>
      </c>
      <c r="AU11" s="1066" t="s">
        <v>289</v>
      </c>
      <c r="AV11" s="1067" t="s">
        <v>44</v>
      </c>
    </row>
    <row r="12" spans="1:48" s="1039" customFormat="1">
      <c r="A12" s="372">
        <v>5</v>
      </c>
      <c r="B12" s="1057" t="s">
        <v>291</v>
      </c>
      <c r="C12" s="1058" t="s">
        <v>289</v>
      </c>
      <c r="D12" s="374" t="str">
        <f t="shared" si="0"/>
        <v>Kg</v>
      </c>
      <c r="E12" s="183"/>
      <c r="F12" s="184">
        <f t="shared" si="2"/>
        <v>36</v>
      </c>
      <c r="G12" s="185">
        <f t="shared" si="2"/>
        <v>1413</v>
      </c>
      <c r="H12" s="185">
        <f t="shared" si="3"/>
        <v>0</v>
      </c>
      <c r="I12" s="185">
        <f t="shared" si="4"/>
        <v>1530.75</v>
      </c>
      <c r="J12" s="185">
        <f t="shared" si="5"/>
        <v>13580.42</v>
      </c>
      <c r="K12" s="185">
        <f t="shared" si="6"/>
        <v>20788227.914999999</v>
      </c>
      <c r="L12" s="1184" t="s">
        <v>245</v>
      </c>
      <c r="M12" s="1059" t="e">
        <f>+VLOOKUP(L12,'[121]PR (2)'!$A$12:$M$253,13,FALSE)</f>
        <v>#N/A</v>
      </c>
      <c r="N12" s="1059" t="e">
        <f>+VLOOKUP(L12,'[121]PR (2)'!$A$12:$AQ$253,12,FALSE)</f>
        <v>#N/A</v>
      </c>
      <c r="O12" s="1038"/>
      <c r="P12" s="1054"/>
      <c r="Q12" s="1054"/>
      <c r="T12" s="1041"/>
      <c r="U12" s="1042"/>
      <c r="V12" s="1042"/>
      <c r="AA12" s="1039" t="str">
        <f>VLOOKUP(L12,'25-BRA-I-090'!$I:$EZ,2,0)</f>
        <v>Tôn tấm</v>
      </c>
      <c r="AB12" s="1039" t="str">
        <f>VLOOKUP(L12,'25-BRA-I-090'!$I:$EZ,3,0)</f>
        <v>PL5x1500x6000</v>
      </c>
      <c r="AC12" s="1039" t="s">
        <v>2620</v>
      </c>
      <c r="AD12" s="1039">
        <f>SUMIFS('25-BRA-I-090'!$CS:$CS,'25-BRA-I-090'!$I:$I,L12)</f>
        <v>36</v>
      </c>
      <c r="AE12" s="1039">
        <f>SUMIFS('25-BRA-I-090'!$CT:$CT,'25-BRA-I-090'!$I:$I,L12)</f>
        <v>1413</v>
      </c>
      <c r="AF12" s="1039">
        <f>SUMIFS('25-BRA-I-090'!$CW:$CW,'25-BRA-I-090'!$I:$I,L12)</f>
        <v>0</v>
      </c>
      <c r="AG12" s="1039">
        <f>SUMIFS('25-BRA-I-090'!$CX:$CX,'25-BRA-I-090'!$I:$I,L12)</f>
        <v>0</v>
      </c>
      <c r="AH12" s="1040">
        <f>SUMIFS('25-BRA-I-090'!$DJ:$DJ,'25-BRA-I-090'!$I:$I,L12)+SUMIFS('25-BRA-I-090'!$EC:$EC,'25-BRA-I-090'!$I:$I,L12)</f>
        <v>39</v>
      </c>
      <c r="AI12" s="1040">
        <f>SUMIFS('25-BRA-I-090'!$DK:$DK,'25-BRA-I-090'!$I:$I,L12)+SUMIFS('25-BRA-I-090'!$ED:$ED,'25-BRA-I-090'!$I:$I,L12)</f>
        <v>1530.75</v>
      </c>
      <c r="AJ12" s="1040">
        <f>SUMIFS('25-BRA-I-090'!$DO:$DO,'25-BRA-I-090'!$I:$I,L12)+26400*SUMIFS('25-BRA-I-090'!$EF:$EF,'25-BRA-I-090'!$I:$I,L12)</f>
        <v>20788227.914999999</v>
      </c>
      <c r="AK12" s="185">
        <f t="shared" si="1"/>
        <v>14666.8536</v>
      </c>
      <c r="AO12" s="185">
        <v>13090.91</v>
      </c>
      <c r="AR12" s="1065" t="s">
        <v>245</v>
      </c>
      <c r="AS12" s="1065" t="s">
        <v>235</v>
      </c>
      <c r="AT12" s="1064" t="s">
        <v>291</v>
      </c>
      <c r="AU12" s="1066" t="s">
        <v>289</v>
      </c>
      <c r="AV12" s="1067" t="s">
        <v>44</v>
      </c>
    </row>
    <row r="13" spans="1:48" s="1039" customFormat="1">
      <c r="A13" s="372"/>
      <c r="B13" s="1057" t="str">
        <f>AB13</f>
        <v>PL5x2000X12000</v>
      </c>
      <c r="C13" s="1058" t="str">
        <f>VLOOKUP(L13,'25-BRA-I-090'!$I:$EZ,4,0)</f>
        <v>ASTM A36</v>
      </c>
      <c r="D13" s="374" t="str">
        <f t="shared" si="0"/>
        <v>Kg</v>
      </c>
      <c r="E13" s="183"/>
      <c r="F13" s="184">
        <f t="shared" si="2"/>
        <v>192</v>
      </c>
      <c r="G13" s="185">
        <f t="shared" si="2"/>
        <v>7536</v>
      </c>
      <c r="H13" s="185">
        <f t="shared" si="3"/>
        <v>0</v>
      </c>
      <c r="I13" s="185">
        <f t="shared" si="4"/>
        <v>7536</v>
      </c>
      <c r="J13" s="185">
        <f t="shared" si="5"/>
        <v>13181.82</v>
      </c>
      <c r="K13" s="185">
        <f t="shared" si="6"/>
        <v>99338195.519999996</v>
      </c>
      <c r="L13" s="1184" t="s">
        <v>562</v>
      </c>
      <c r="M13" s="1059"/>
      <c r="N13" s="1059"/>
      <c r="O13" s="1038"/>
      <c r="P13" s="1054"/>
      <c r="Q13" s="1054"/>
      <c r="T13" s="1041"/>
      <c r="U13" s="1042"/>
      <c r="V13" s="1042"/>
      <c r="AA13" s="1039" t="str">
        <f>VLOOKUP(L13,'25-BRA-I-090'!$I:$EZ,2,0)</f>
        <v>Tôn tấm</v>
      </c>
      <c r="AB13" s="1039" t="str">
        <f>VLOOKUP(L13,'25-BRA-I-090'!$I:$EZ,3,0)</f>
        <v>PL5x2000X12000</v>
      </c>
      <c r="AC13" s="1039" t="s">
        <v>2620</v>
      </c>
      <c r="AD13" s="1039">
        <f>SUMIFS('25-BRA-I-090'!$CS:$CS,'25-BRA-I-090'!$I:$I,L13)</f>
        <v>192</v>
      </c>
      <c r="AE13" s="1039">
        <f>SUMIFS('25-BRA-I-090'!$CT:$CT,'25-BRA-I-090'!$I:$I,L13)</f>
        <v>7536</v>
      </c>
      <c r="AF13" s="1039">
        <f>SUMIFS('25-BRA-I-090'!$CW:$CW,'25-BRA-I-090'!$I:$I,L13)</f>
        <v>0</v>
      </c>
      <c r="AG13" s="1039">
        <f>SUMIFS('25-BRA-I-090'!$CX:$CX,'25-BRA-I-090'!$I:$I,L13)</f>
        <v>0</v>
      </c>
      <c r="AH13" s="1040">
        <f>SUMIFS('25-BRA-I-090'!$DJ:$DJ,'25-BRA-I-090'!$I:$I,L13)+SUMIFS('25-BRA-I-090'!$EC:$EC,'25-BRA-I-090'!$I:$I,L13)</f>
        <v>192</v>
      </c>
      <c r="AI13" s="1040">
        <f>SUMIFS('25-BRA-I-090'!$DK:$DK,'25-BRA-I-090'!$I:$I,L13)+SUMIFS('25-BRA-I-090'!$ED:$ED,'25-BRA-I-090'!$I:$I,L13)</f>
        <v>7536</v>
      </c>
      <c r="AJ13" s="1040">
        <f>SUMIFS('25-BRA-I-090'!$DO:$DO,'25-BRA-I-090'!$I:$I,L13)+26400*SUMIFS('25-BRA-I-090'!$EF:$EF,'25-BRA-I-090'!$I:$I,L13)</f>
        <v>99338195.519999996</v>
      </c>
      <c r="AK13" s="185"/>
      <c r="AO13" s="185"/>
      <c r="AR13" s="1064" t="s">
        <v>562</v>
      </c>
      <c r="AS13" s="1065" t="s">
        <v>235</v>
      </c>
      <c r="AT13" s="1064" t="s">
        <v>563</v>
      </c>
      <c r="AU13" s="1066" t="s">
        <v>289</v>
      </c>
      <c r="AV13" s="1067" t="s">
        <v>44</v>
      </c>
    </row>
    <row r="14" spans="1:48" s="1039" customFormat="1" ht="75">
      <c r="A14" s="372">
        <v>6</v>
      </c>
      <c r="B14" s="1057" t="s">
        <v>2621</v>
      </c>
      <c r="C14" s="1058" t="s">
        <v>289</v>
      </c>
      <c r="D14" s="374" t="str">
        <f t="shared" si="0"/>
        <v>Kg</v>
      </c>
      <c r="E14" s="183"/>
      <c r="F14" s="184">
        <f t="shared" si="2"/>
        <v>204</v>
      </c>
      <c r="G14" s="185">
        <f t="shared" si="2"/>
        <v>9608.4</v>
      </c>
      <c r="H14" s="185">
        <f t="shared" si="3"/>
        <v>0</v>
      </c>
      <c r="I14" s="185">
        <f t="shared" si="4"/>
        <v>9608.4</v>
      </c>
      <c r="J14" s="185">
        <f t="shared" si="5"/>
        <v>13120.321470588236</v>
      </c>
      <c r="K14" s="185">
        <f t="shared" si="6"/>
        <v>126065296.818</v>
      </c>
      <c r="L14" s="1184" t="s">
        <v>246</v>
      </c>
      <c r="M14" s="1059" t="e">
        <f>+VLOOKUP(L14,'[121]PR (2)'!$A$12:$M$253,13,FALSE)</f>
        <v>#N/A</v>
      </c>
      <c r="N14" s="1059" t="e">
        <f>+VLOOKUP(L14,'[121]PR (2)'!$A$12:$AQ$253,12,FALSE)</f>
        <v>#N/A</v>
      </c>
      <c r="O14" s="1038"/>
      <c r="P14" s="1054"/>
      <c r="Q14" s="1054"/>
      <c r="T14" s="1041"/>
      <c r="U14" s="1042"/>
      <c r="V14" s="1042"/>
      <c r="AA14" s="1039" t="str">
        <f>VLOOKUP(L14,'25-BRA-I-090'!$I:$EZ,2,0)</f>
        <v>Tôn tấm</v>
      </c>
      <c r="AB14" s="1039" t="str">
        <f>VLOOKUP(L14,'25-BRA-I-090'!$I:$EZ,3,0)</f>
        <v>PL6x1500x12000; PL6x2000x12000 (2 tờ); PL6x2000x3000(1 tờ)</v>
      </c>
      <c r="AC14" s="1039" t="s">
        <v>2620</v>
      </c>
      <c r="AD14" s="1039">
        <f>SUMIFS('25-BRA-I-090'!$CS:$CS,'25-BRA-I-090'!$I:$I,L14)</f>
        <v>204</v>
      </c>
      <c r="AE14" s="1039">
        <f>SUMIFS('25-BRA-I-090'!$CT:$CT,'25-BRA-I-090'!$I:$I,L14)</f>
        <v>9608.4</v>
      </c>
      <c r="AF14" s="1039">
        <f>SUMIFS('25-BRA-I-090'!$CW:$CW,'25-BRA-I-090'!$I:$I,L14)</f>
        <v>0</v>
      </c>
      <c r="AG14" s="1039">
        <f>SUMIFS('25-BRA-I-090'!$CX:$CX,'25-BRA-I-090'!$I:$I,L14)</f>
        <v>0</v>
      </c>
      <c r="AH14" s="1040">
        <f>SUMIFS('25-BRA-I-090'!$DJ:$DJ,'25-BRA-I-090'!$I:$I,L14)+SUMIFS('25-BRA-I-090'!$EC:$EC,'25-BRA-I-090'!$I:$I,L14)</f>
        <v>204</v>
      </c>
      <c r="AI14" s="1040">
        <f>SUMIFS('25-BRA-I-090'!$DK:$DK,'25-BRA-I-090'!$I:$I,L14)+SUMIFS('25-BRA-I-090'!$ED:$ED,'25-BRA-I-090'!$I:$I,L14)</f>
        <v>9608.4</v>
      </c>
      <c r="AJ14" s="1040">
        <f>SUMIFS('25-BRA-I-090'!$DO:$DO,'25-BRA-I-090'!$I:$I,L14)+26400*SUMIFS('25-BRA-I-090'!$EF:$EF,'25-BRA-I-090'!$I:$I,L14)</f>
        <v>126065296.818</v>
      </c>
      <c r="AK14" s="185">
        <f t="shared" si="1"/>
        <v>14169.947188235295</v>
      </c>
      <c r="AO14" s="185">
        <v>13090.91</v>
      </c>
      <c r="AR14" s="1064" t="s">
        <v>246</v>
      </c>
      <c r="AS14" s="1065" t="s">
        <v>235</v>
      </c>
      <c r="AT14" s="1064" t="s">
        <v>712</v>
      </c>
      <c r="AU14" s="1066" t="s">
        <v>289</v>
      </c>
      <c r="AV14" s="1067" t="s">
        <v>44</v>
      </c>
    </row>
    <row r="15" spans="1:48" s="1039" customFormat="1">
      <c r="A15" s="372">
        <v>7</v>
      </c>
      <c r="B15" s="1057" t="s">
        <v>292</v>
      </c>
      <c r="C15" s="1058" t="s">
        <v>289</v>
      </c>
      <c r="D15" s="374" t="str">
        <f t="shared" si="0"/>
        <v>Kg</v>
      </c>
      <c r="E15" s="183"/>
      <c r="F15" s="184">
        <f t="shared" si="2"/>
        <v>163.08000000000001</v>
      </c>
      <c r="G15" s="185">
        <f t="shared" si="2"/>
        <v>10241.424000000001</v>
      </c>
      <c r="H15" s="185">
        <f t="shared" si="3"/>
        <v>0</v>
      </c>
      <c r="I15" s="185">
        <f t="shared" si="4"/>
        <v>10241.42</v>
      </c>
      <c r="J15" s="185">
        <f t="shared" si="5"/>
        <v>13090.91</v>
      </c>
      <c r="K15" s="185">
        <f t="shared" si="6"/>
        <v>134069507.4922</v>
      </c>
      <c r="L15" s="1184" t="s">
        <v>247</v>
      </c>
      <c r="M15" s="1059" t="e">
        <f>+VLOOKUP(L15,'[121]PR (2)'!$A$12:$M$253,13,FALSE)</f>
        <v>#N/A</v>
      </c>
      <c r="N15" s="1059" t="e">
        <f>+VLOOKUP(L15,'[121]PR (2)'!$A$12:$AQ$253,12,FALSE)</f>
        <v>#N/A</v>
      </c>
      <c r="O15" s="1038"/>
      <c r="P15" s="1054"/>
      <c r="Q15" s="1054"/>
      <c r="T15" s="1041"/>
      <c r="U15" s="1042"/>
      <c r="V15" s="1042"/>
      <c r="AA15" s="1039" t="str">
        <f>VLOOKUP(L15,'25-BRA-I-090'!$I:$EZ,2,0)</f>
        <v>Tôn tấm</v>
      </c>
      <c r="AB15" s="1039" t="str">
        <f>VLOOKUP(L15,'25-BRA-I-090'!$I:$EZ,3,0)</f>
        <v>PL8x1500x9060</v>
      </c>
      <c r="AC15" s="1039" t="s">
        <v>2620</v>
      </c>
      <c r="AD15" s="1039">
        <f>SUMIFS('25-BRA-I-090'!$CS:$CS,'25-BRA-I-090'!$I:$I,L15)</f>
        <v>163.08000000000001</v>
      </c>
      <c r="AE15" s="1039">
        <f>SUMIFS('25-BRA-I-090'!$CT:$CT,'25-BRA-I-090'!$I:$I,L15)</f>
        <v>10241.424000000001</v>
      </c>
      <c r="AF15" s="1039">
        <f>SUMIFS('25-BRA-I-090'!$CW:$CW,'25-BRA-I-090'!$I:$I,L15)</f>
        <v>0</v>
      </c>
      <c r="AG15" s="1039">
        <f>SUMIFS('25-BRA-I-090'!$CX:$CX,'25-BRA-I-090'!$I:$I,L15)</f>
        <v>0</v>
      </c>
      <c r="AH15" s="1040">
        <f>SUMIFS('25-BRA-I-090'!$DJ:$DJ,'25-BRA-I-090'!$I:$I,L15)+SUMIFS('25-BRA-I-090'!$EC:$EC,'25-BRA-I-090'!$I:$I,L15)</f>
        <v>163.07999999999998</v>
      </c>
      <c r="AI15" s="1040">
        <f>SUMIFS('25-BRA-I-090'!$DK:$DK,'25-BRA-I-090'!$I:$I,L15)+SUMIFS('25-BRA-I-090'!$ED:$ED,'25-BRA-I-090'!$I:$I,L15)</f>
        <v>10241.42</v>
      </c>
      <c r="AJ15" s="1040">
        <f>SUMIFS('25-BRA-I-090'!$DO:$DO,'25-BRA-I-090'!$I:$I,L15)+26400*SUMIFS('25-BRA-I-090'!$EF:$EF,'25-BRA-I-090'!$I:$I,L15)</f>
        <v>134069507.4922</v>
      </c>
      <c r="AK15" s="185">
        <f t="shared" si="1"/>
        <v>14138.1828</v>
      </c>
      <c r="AO15" s="185">
        <v>13090.91</v>
      </c>
      <c r="AR15" s="1064" t="s">
        <v>247</v>
      </c>
      <c r="AS15" s="1065" t="s">
        <v>235</v>
      </c>
      <c r="AT15" s="1064" t="s">
        <v>292</v>
      </c>
      <c r="AU15" s="1066" t="s">
        <v>289</v>
      </c>
      <c r="AV15" s="1067" t="s">
        <v>44</v>
      </c>
    </row>
    <row r="16" spans="1:48" s="1039" customFormat="1">
      <c r="A16" s="372">
        <v>8</v>
      </c>
      <c r="B16" s="1057" t="s">
        <v>293</v>
      </c>
      <c r="C16" s="1058" t="s">
        <v>289</v>
      </c>
      <c r="D16" s="374" t="str">
        <f t="shared" si="0"/>
        <v>Kg</v>
      </c>
      <c r="E16" s="183"/>
      <c r="F16" s="184">
        <f t="shared" si="2"/>
        <v>460.8</v>
      </c>
      <c r="G16" s="185">
        <f t="shared" si="2"/>
        <v>28938.239999999998</v>
      </c>
      <c r="H16" s="185">
        <f t="shared" si="3"/>
        <v>0</v>
      </c>
      <c r="I16" s="185">
        <f t="shared" si="4"/>
        <v>28938.240000000002</v>
      </c>
      <c r="J16" s="185">
        <f t="shared" si="5"/>
        <v>13090.91</v>
      </c>
      <c r="K16" s="185">
        <f t="shared" si="6"/>
        <v>378827895.39840001</v>
      </c>
      <c r="L16" s="1184" t="s">
        <v>248</v>
      </c>
      <c r="M16" s="1059" t="e">
        <f>+VLOOKUP(L16,'[121]PR (2)'!$A$12:$M$253,13,FALSE)</f>
        <v>#N/A</v>
      </c>
      <c r="N16" s="1059" t="e">
        <f>+VLOOKUP(L16,'[121]PR (2)'!$A$12:$AQ$253,12,FALSE)</f>
        <v>#N/A</v>
      </c>
      <c r="O16" s="1038"/>
      <c r="P16" s="1054"/>
      <c r="Q16" s="1054"/>
      <c r="T16" s="1041"/>
      <c r="U16" s="1042"/>
      <c r="V16" s="1042"/>
      <c r="AA16" s="1039" t="str">
        <f>VLOOKUP(L16,'25-BRA-I-090'!$I:$EZ,2,0)</f>
        <v>Tôn tấm</v>
      </c>
      <c r="AB16" s="1039" t="str">
        <f>VLOOKUP(L16,'25-BRA-I-090'!$I:$EZ,3,0)</f>
        <v>PL8x2000x7200</v>
      </c>
      <c r="AC16" s="1039" t="s">
        <v>2620</v>
      </c>
      <c r="AD16" s="1039">
        <f>SUMIFS('25-BRA-I-090'!$CS:$CS,'25-BRA-I-090'!$I:$I,L16)</f>
        <v>460.8</v>
      </c>
      <c r="AE16" s="1039">
        <f>SUMIFS('25-BRA-I-090'!$CT:$CT,'25-BRA-I-090'!$I:$I,L16)</f>
        <v>28938.239999999998</v>
      </c>
      <c r="AF16" s="1039">
        <f>SUMIFS('25-BRA-I-090'!$CW:$CW,'25-BRA-I-090'!$I:$I,L16)</f>
        <v>0</v>
      </c>
      <c r="AG16" s="1039">
        <f>SUMIFS('25-BRA-I-090'!$CX:$CX,'25-BRA-I-090'!$I:$I,L16)</f>
        <v>0</v>
      </c>
      <c r="AH16" s="1040">
        <f>SUMIFS('25-BRA-I-090'!$DJ:$DJ,'25-BRA-I-090'!$I:$I,L16)+SUMIFS('25-BRA-I-090'!$EC:$EC,'25-BRA-I-090'!$I:$I,L16)</f>
        <v>460.8</v>
      </c>
      <c r="AI16" s="1040">
        <f>SUMIFS('25-BRA-I-090'!$DK:$DK,'25-BRA-I-090'!$I:$I,L16)+SUMIFS('25-BRA-I-090'!$ED:$ED,'25-BRA-I-090'!$I:$I,L16)</f>
        <v>28938.240000000002</v>
      </c>
      <c r="AJ16" s="1040">
        <f>SUMIFS('25-BRA-I-090'!$DO:$DO,'25-BRA-I-090'!$I:$I,L16)+26400*SUMIFS('25-BRA-I-090'!$EF:$EF,'25-BRA-I-090'!$I:$I,L16)</f>
        <v>378827895.39840001</v>
      </c>
      <c r="AK16" s="185">
        <f t="shared" si="1"/>
        <v>14138.1828</v>
      </c>
      <c r="AO16" s="185">
        <v>13090.91</v>
      </c>
      <c r="AR16" s="1064" t="s">
        <v>248</v>
      </c>
      <c r="AS16" s="1065" t="s">
        <v>235</v>
      </c>
      <c r="AT16" s="1064" t="s">
        <v>293</v>
      </c>
      <c r="AU16" s="1066" t="s">
        <v>289</v>
      </c>
      <c r="AV16" s="1067" t="s">
        <v>44</v>
      </c>
    </row>
    <row r="17" spans="1:48" s="1039" customFormat="1">
      <c r="A17" s="372">
        <v>9</v>
      </c>
      <c r="B17" s="1057" t="s">
        <v>294</v>
      </c>
      <c r="C17" s="1058" t="s">
        <v>289</v>
      </c>
      <c r="D17" s="374" t="str">
        <f t="shared" si="0"/>
        <v>Kg</v>
      </c>
      <c r="E17" s="183"/>
      <c r="F17" s="184">
        <f t="shared" si="2"/>
        <v>748.8</v>
      </c>
      <c r="G17" s="185">
        <f t="shared" si="2"/>
        <v>47024.639999999992</v>
      </c>
      <c r="H17" s="185">
        <f t="shared" si="3"/>
        <v>0</v>
      </c>
      <c r="I17" s="185">
        <f t="shared" si="4"/>
        <v>47024.639999999999</v>
      </c>
      <c r="J17" s="185">
        <f t="shared" si="5"/>
        <v>13090.91</v>
      </c>
      <c r="K17" s="185">
        <f t="shared" si="6"/>
        <v>615595330.02240002</v>
      </c>
      <c r="L17" s="1184" t="s">
        <v>249</v>
      </c>
      <c r="M17" s="1059"/>
      <c r="N17" s="1059"/>
      <c r="O17" s="1038"/>
      <c r="P17" s="1054"/>
      <c r="Q17" s="1054"/>
      <c r="T17" s="1041"/>
      <c r="U17" s="1042"/>
      <c r="V17" s="1042"/>
      <c r="AA17" s="1039" t="str">
        <f>VLOOKUP(L17,'25-BRA-I-090'!$I:$EZ,2,0)</f>
        <v>Tôn tấm</v>
      </c>
      <c r="AB17" s="1039" t="str">
        <f>VLOOKUP(L17,'25-BRA-I-090'!$I:$EZ,3,0)</f>
        <v>PL8x2000x7800</v>
      </c>
      <c r="AC17" s="1039" t="s">
        <v>2620</v>
      </c>
      <c r="AD17" s="1039">
        <f>SUMIFS('25-BRA-I-090'!$CS:$CS,'25-BRA-I-090'!$I:$I,L17)</f>
        <v>748.8</v>
      </c>
      <c r="AE17" s="1039">
        <f>SUMIFS('25-BRA-I-090'!$CT:$CT,'25-BRA-I-090'!$I:$I,L17)</f>
        <v>47024.639999999992</v>
      </c>
      <c r="AF17" s="1039">
        <f>SUMIFS('25-BRA-I-090'!$CW:$CW,'25-BRA-I-090'!$I:$I,L17)</f>
        <v>0</v>
      </c>
      <c r="AG17" s="1039">
        <f>SUMIFS('25-BRA-I-090'!$CX:$CX,'25-BRA-I-090'!$I:$I,L17)</f>
        <v>0</v>
      </c>
      <c r="AH17" s="1040">
        <f>SUMIFS('25-BRA-I-090'!$DJ:$DJ,'25-BRA-I-090'!$I:$I,L17)+SUMIFS('25-BRA-I-090'!$EC:$EC,'25-BRA-I-090'!$I:$I,L17)</f>
        <v>748.8</v>
      </c>
      <c r="AI17" s="1040">
        <f>SUMIFS('25-BRA-I-090'!$DK:$DK,'25-BRA-I-090'!$I:$I,L17)+SUMIFS('25-BRA-I-090'!$ED:$ED,'25-BRA-I-090'!$I:$I,L17)</f>
        <v>47024.639999999999</v>
      </c>
      <c r="AJ17" s="1040">
        <f>SUMIFS('25-BRA-I-090'!$DO:$DO,'25-BRA-I-090'!$I:$I,L17)+26400*SUMIFS('25-BRA-I-090'!$EF:$EF,'25-BRA-I-090'!$I:$I,L17)</f>
        <v>615595330.02240002</v>
      </c>
      <c r="AK17" s="185">
        <f t="shared" si="1"/>
        <v>14138.1828</v>
      </c>
      <c r="AO17" s="185">
        <v>13090.91</v>
      </c>
      <c r="AR17" s="1064" t="s">
        <v>249</v>
      </c>
      <c r="AS17" s="1065" t="s">
        <v>235</v>
      </c>
      <c r="AT17" s="1064" t="s">
        <v>294</v>
      </c>
      <c r="AU17" s="1066" t="s">
        <v>289</v>
      </c>
      <c r="AV17" s="1067" t="s">
        <v>44</v>
      </c>
    </row>
    <row r="18" spans="1:48" s="1039" customFormat="1">
      <c r="A18" s="372">
        <v>10</v>
      </c>
      <c r="B18" s="1057" t="s">
        <v>295</v>
      </c>
      <c r="C18" s="1058" t="s">
        <v>289</v>
      </c>
      <c r="D18" s="374" t="str">
        <f t="shared" si="0"/>
        <v>Kg</v>
      </c>
      <c r="E18" s="183"/>
      <c r="F18" s="184">
        <f t="shared" si="2"/>
        <v>797.28</v>
      </c>
      <c r="G18" s="185">
        <f t="shared" si="2"/>
        <v>50069.183999999994</v>
      </c>
      <c r="H18" s="185">
        <f t="shared" si="3"/>
        <v>0</v>
      </c>
      <c r="I18" s="185">
        <f t="shared" si="4"/>
        <v>50069.18</v>
      </c>
      <c r="J18" s="185">
        <f t="shared" si="5"/>
        <v>13090.91</v>
      </c>
      <c r="K18" s="185">
        <f t="shared" si="6"/>
        <v>655451129.15380001</v>
      </c>
      <c r="L18" s="1184" t="s">
        <v>250</v>
      </c>
      <c r="M18" s="1059"/>
      <c r="N18" s="1059"/>
      <c r="O18" s="1038"/>
      <c r="P18" s="1054"/>
      <c r="Q18" s="1054"/>
      <c r="T18" s="1041"/>
      <c r="U18" s="1042"/>
      <c r="V18" s="1042"/>
      <c r="AA18" s="1039" t="str">
        <f>VLOOKUP(L18,'25-BRA-I-090'!$I:$EZ,2,0)</f>
        <v>Tôn tấm</v>
      </c>
      <c r="AB18" s="1039" t="str">
        <f>VLOOKUP(L18,'25-BRA-I-090'!$I:$EZ,3,0)</f>
        <v>PL8x2000x9060</v>
      </c>
      <c r="AC18" s="1039" t="s">
        <v>2620</v>
      </c>
      <c r="AD18" s="1039">
        <f>SUMIFS('25-BRA-I-090'!$CS:$CS,'25-BRA-I-090'!$I:$I,L18)</f>
        <v>797.28</v>
      </c>
      <c r="AE18" s="1039">
        <f>SUMIFS('25-BRA-I-090'!$CT:$CT,'25-BRA-I-090'!$I:$I,L18)</f>
        <v>50069.183999999994</v>
      </c>
      <c r="AF18" s="1039">
        <f>SUMIFS('25-BRA-I-090'!$CW:$CW,'25-BRA-I-090'!$I:$I,L18)</f>
        <v>0</v>
      </c>
      <c r="AG18" s="1039">
        <f>SUMIFS('25-BRA-I-090'!$CX:$CX,'25-BRA-I-090'!$I:$I,L18)</f>
        <v>0</v>
      </c>
      <c r="AH18" s="1040">
        <f>SUMIFS('25-BRA-I-090'!$DJ:$DJ,'25-BRA-I-090'!$I:$I,L18)+SUMIFS('25-BRA-I-090'!$EC:$EC,'25-BRA-I-090'!$I:$I,L18)</f>
        <v>797.28</v>
      </c>
      <c r="AI18" s="1040">
        <f>SUMIFS('25-BRA-I-090'!$DK:$DK,'25-BRA-I-090'!$I:$I,L18)+SUMIFS('25-BRA-I-090'!$ED:$ED,'25-BRA-I-090'!$I:$I,L18)</f>
        <v>50069.18</v>
      </c>
      <c r="AJ18" s="1040">
        <f>SUMIFS('25-BRA-I-090'!$DO:$DO,'25-BRA-I-090'!$I:$I,L18)+26400*SUMIFS('25-BRA-I-090'!$EF:$EF,'25-BRA-I-090'!$I:$I,L18)</f>
        <v>655451129.15380001</v>
      </c>
      <c r="AK18" s="185">
        <f t="shared" si="1"/>
        <v>14138.1828</v>
      </c>
      <c r="AO18" s="185">
        <v>13090.91</v>
      </c>
      <c r="AR18" s="1064" t="s">
        <v>250</v>
      </c>
      <c r="AS18" s="1065" t="s">
        <v>235</v>
      </c>
      <c r="AT18" s="1064" t="s">
        <v>295</v>
      </c>
      <c r="AU18" s="1066" t="s">
        <v>289</v>
      </c>
      <c r="AV18" s="1067" t="s">
        <v>44</v>
      </c>
    </row>
    <row r="19" spans="1:48" s="1039" customFormat="1">
      <c r="A19" s="372">
        <v>11</v>
      </c>
      <c r="B19" s="1057" t="s">
        <v>296</v>
      </c>
      <c r="C19" s="1058" t="s">
        <v>289</v>
      </c>
      <c r="D19" s="374" t="str">
        <f t="shared" si="0"/>
        <v>Kg</v>
      </c>
      <c r="E19" s="183"/>
      <c r="F19" s="184">
        <f t="shared" si="2"/>
        <v>3216</v>
      </c>
      <c r="G19" s="185">
        <f t="shared" si="2"/>
        <v>201964.79999999999</v>
      </c>
      <c r="H19" s="185">
        <f t="shared" si="3"/>
        <v>0</v>
      </c>
      <c r="I19" s="185">
        <f t="shared" si="4"/>
        <v>201964.79999999999</v>
      </c>
      <c r="J19" s="185">
        <f t="shared" si="5"/>
        <v>13095.658507462687</v>
      </c>
      <c r="K19" s="185">
        <f t="shared" si="6"/>
        <v>2644862051.3280001</v>
      </c>
      <c r="L19" s="1184" t="s">
        <v>251</v>
      </c>
      <c r="M19" s="1059"/>
      <c r="N19" s="1059"/>
      <c r="O19" s="1038"/>
      <c r="P19" s="1054"/>
      <c r="Q19" s="1054"/>
      <c r="T19" s="1041"/>
      <c r="U19" s="1042"/>
      <c r="V19" s="1042"/>
      <c r="AA19" s="1039" t="str">
        <f>VLOOKUP(L19,'25-BRA-I-090'!$I:$EZ,2,0)</f>
        <v>Tôn tấm</v>
      </c>
      <c r="AB19" s="1039" t="str">
        <f>VLOOKUP(L19,'25-BRA-I-090'!$I:$EZ,3,0)</f>
        <v>PL8x2000x12000</v>
      </c>
      <c r="AC19" s="1039" t="s">
        <v>2620</v>
      </c>
      <c r="AD19" s="1039">
        <f>SUMIFS('25-BRA-I-090'!$CS:$CS,'25-BRA-I-090'!$I:$I,L19)</f>
        <v>3216</v>
      </c>
      <c r="AE19" s="1039">
        <f>SUMIFS('25-BRA-I-090'!$CT:$CT,'25-BRA-I-090'!$I:$I,L19)</f>
        <v>201964.79999999999</v>
      </c>
      <c r="AF19" s="1039">
        <f>SUMIFS('25-BRA-I-090'!$CW:$CW,'25-BRA-I-090'!$I:$I,L19)</f>
        <v>0</v>
      </c>
      <c r="AG19" s="1039">
        <f>SUMIFS('25-BRA-I-090'!$CX:$CX,'25-BRA-I-090'!$I:$I,L19)</f>
        <v>0</v>
      </c>
      <c r="AH19" s="1040">
        <f>SUMIFS('25-BRA-I-090'!$DJ:$DJ,'25-BRA-I-090'!$I:$I,L19)+SUMIFS('25-BRA-I-090'!$EC:$EC,'25-BRA-I-090'!$I:$I,L19)</f>
        <v>3216</v>
      </c>
      <c r="AI19" s="1040">
        <f>SUMIFS('25-BRA-I-090'!$DK:$DK,'25-BRA-I-090'!$I:$I,L19)+SUMIFS('25-BRA-I-090'!$ED:$ED,'25-BRA-I-090'!$I:$I,L19)</f>
        <v>201964.79999999999</v>
      </c>
      <c r="AJ19" s="1040">
        <f>SUMIFS('25-BRA-I-090'!$DO:$DO,'25-BRA-I-090'!$I:$I,L19)+26400*SUMIFS('25-BRA-I-090'!$EF:$EF,'25-BRA-I-090'!$I:$I,L19)</f>
        <v>2644862051.3280001</v>
      </c>
      <c r="AK19" s="185">
        <f t="shared" si="1"/>
        <v>14143.311188059703</v>
      </c>
      <c r="AO19" s="185">
        <v>13090.91</v>
      </c>
      <c r="AR19" s="1064" t="s">
        <v>251</v>
      </c>
      <c r="AS19" s="1065" t="s">
        <v>235</v>
      </c>
      <c r="AT19" s="1064" t="s">
        <v>296</v>
      </c>
      <c r="AU19" s="1066" t="s">
        <v>289</v>
      </c>
      <c r="AV19" s="1067" t="s">
        <v>44</v>
      </c>
    </row>
    <row r="20" spans="1:48" s="1039" customFormat="1">
      <c r="A20" s="372"/>
      <c r="B20" s="1057" t="str">
        <f>AB20</f>
        <v>PL8x2000x9650</v>
      </c>
      <c r="C20" s="1058"/>
      <c r="D20" s="374" t="str">
        <f t="shared" si="0"/>
        <v>Kg</v>
      </c>
      <c r="E20" s="183"/>
      <c r="F20" s="184">
        <f t="shared" si="2"/>
        <v>1737</v>
      </c>
      <c r="G20" s="185">
        <f t="shared" si="2"/>
        <v>109083.59999999999</v>
      </c>
      <c r="H20" s="185">
        <f t="shared" si="3"/>
        <v>0</v>
      </c>
      <c r="I20" s="185">
        <f t="shared" si="4"/>
        <v>109083.6</v>
      </c>
      <c r="J20" s="185">
        <f t="shared" si="5"/>
        <v>13181.82</v>
      </c>
      <c r="K20" s="185">
        <f t="shared" si="6"/>
        <v>1437920380.152</v>
      </c>
      <c r="L20" s="1184" t="s">
        <v>478</v>
      </c>
      <c r="M20" s="1059"/>
      <c r="N20" s="1059"/>
      <c r="O20" s="1038"/>
      <c r="P20" s="1054"/>
      <c r="Q20" s="1054"/>
      <c r="T20" s="1041"/>
      <c r="U20" s="1042"/>
      <c r="V20" s="1042"/>
      <c r="AA20" s="1039" t="str">
        <f>VLOOKUP(L20,'25-BRA-I-090'!$I:$EZ,2,0)</f>
        <v>Tôn tấm</v>
      </c>
      <c r="AB20" s="1039" t="str">
        <f>VLOOKUP(L20,'25-BRA-I-090'!$I:$EZ,3,0)</f>
        <v>PL8x2000x9650</v>
      </c>
      <c r="AC20" s="1039" t="s">
        <v>2620</v>
      </c>
      <c r="AD20" s="1039">
        <f>SUMIFS('25-BRA-I-090'!$CS:$CS,'25-BRA-I-090'!$I:$I,L20)</f>
        <v>1737</v>
      </c>
      <c r="AE20" s="1039">
        <f>SUMIFS('25-BRA-I-090'!$CT:$CT,'25-BRA-I-090'!$I:$I,L20)</f>
        <v>109083.59999999999</v>
      </c>
      <c r="AF20" s="1039">
        <f>SUMIFS('25-BRA-I-090'!$CW:$CW,'25-BRA-I-090'!$I:$I,L20)</f>
        <v>0</v>
      </c>
      <c r="AG20" s="1039">
        <f>SUMIFS('25-BRA-I-090'!$CX:$CX,'25-BRA-I-090'!$I:$I,L20)</f>
        <v>0</v>
      </c>
      <c r="AH20" s="1040">
        <f>SUMIFS('25-BRA-I-090'!$DJ:$DJ,'25-BRA-I-090'!$I:$I,L20)+SUMIFS('25-BRA-I-090'!$EC:$EC,'25-BRA-I-090'!$I:$I,L20)</f>
        <v>1737</v>
      </c>
      <c r="AI20" s="1040">
        <f>SUMIFS('25-BRA-I-090'!$DK:$DK,'25-BRA-I-090'!$I:$I,L20)+SUMIFS('25-BRA-I-090'!$ED:$ED,'25-BRA-I-090'!$I:$I,L20)</f>
        <v>109083.6</v>
      </c>
      <c r="AJ20" s="1040">
        <f>SUMIFS('25-BRA-I-090'!$DO:$DO,'25-BRA-I-090'!$I:$I,L20)+26400*SUMIFS('25-BRA-I-090'!$EF:$EF,'25-BRA-I-090'!$I:$I,L20)</f>
        <v>1437920380.152</v>
      </c>
      <c r="AK20" s="185"/>
      <c r="AO20" s="185"/>
      <c r="AR20" s="1064" t="s">
        <v>478</v>
      </c>
      <c r="AS20" s="1065" t="s">
        <v>235</v>
      </c>
      <c r="AT20" s="1064" t="s">
        <v>479</v>
      </c>
      <c r="AU20" s="1066" t="s">
        <v>289</v>
      </c>
      <c r="AV20" s="1067" t="s">
        <v>44</v>
      </c>
    </row>
    <row r="21" spans="1:48" s="1039" customFormat="1" ht="60">
      <c r="A21" s="372">
        <v>12</v>
      </c>
      <c r="B21" s="1057" t="s">
        <v>2622</v>
      </c>
      <c r="C21" s="1058" t="s">
        <v>289</v>
      </c>
      <c r="D21" s="374" t="str">
        <f t="shared" si="0"/>
        <v>Kg</v>
      </c>
      <c r="E21" s="183"/>
      <c r="F21" s="184">
        <f t="shared" si="2"/>
        <v>714</v>
      </c>
      <c r="G21" s="185">
        <f t="shared" si="2"/>
        <v>56049</v>
      </c>
      <c r="H21" s="185">
        <f t="shared" si="3"/>
        <v>0</v>
      </c>
      <c r="I21" s="185">
        <f t="shared" si="4"/>
        <v>56049</v>
      </c>
      <c r="J21" s="185">
        <f t="shared" si="5"/>
        <v>13167.304300993124</v>
      </c>
      <c r="K21" s="185">
        <f t="shared" si="6"/>
        <v>738014238.76636362</v>
      </c>
      <c r="L21" s="1184" t="s">
        <v>252</v>
      </c>
      <c r="M21" s="1059"/>
      <c r="N21" s="1059"/>
      <c r="O21" s="1038"/>
      <c r="P21" s="1054"/>
      <c r="Q21" s="1054"/>
      <c r="T21" s="1041"/>
      <c r="U21" s="1042"/>
      <c r="V21" s="1042"/>
      <c r="AA21" s="1039" t="str">
        <f>VLOOKUP(L21,'25-BRA-I-090'!$I:$EZ,2,0)</f>
        <v>Tôn tấm</v>
      </c>
      <c r="AB21" s="1039" t="str">
        <f>VLOOKUP(L21,'25-BRA-I-090'!$I:$EZ,3,0)</f>
        <v>PL10x1500x12000; PL10x2000x12000 (12 tờ)</v>
      </c>
      <c r="AC21" s="1039" t="s">
        <v>2620</v>
      </c>
      <c r="AD21" s="1039">
        <f>SUMIFS('25-BRA-I-090'!$CS:$CS,'25-BRA-I-090'!$I:$I,L21)</f>
        <v>714</v>
      </c>
      <c r="AE21" s="1039">
        <f>SUMIFS('25-BRA-I-090'!$CT:$CT,'25-BRA-I-090'!$I:$I,L21)</f>
        <v>56049</v>
      </c>
      <c r="AF21" s="1039">
        <f>SUMIFS('25-BRA-I-090'!$CW:$CW,'25-BRA-I-090'!$I:$I,L21)</f>
        <v>0</v>
      </c>
      <c r="AG21" s="1039">
        <f>SUMIFS('25-BRA-I-090'!$CX:$CX,'25-BRA-I-090'!$I:$I,L21)</f>
        <v>0</v>
      </c>
      <c r="AH21" s="1040">
        <f>SUMIFS('25-BRA-I-090'!$DJ:$DJ,'25-BRA-I-090'!$I:$I,L21)+SUMIFS('25-BRA-I-090'!$EC:$EC,'25-BRA-I-090'!$I:$I,L21)</f>
        <v>714</v>
      </c>
      <c r="AI21" s="1040">
        <f>SUMIFS('25-BRA-I-090'!$DK:$DK,'25-BRA-I-090'!$I:$I,L21)+SUMIFS('25-BRA-I-090'!$ED:$ED,'25-BRA-I-090'!$I:$I,L21)</f>
        <v>56049</v>
      </c>
      <c r="AJ21" s="1040">
        <f>SUMIFS('25-BRA-I-090'!$DO:$DO,'25-BRA-I-090'!$I:$I,L21)+26400*SUMIFS('25-BRA-I-090'!$EF:$EF,'25-BRA-I-090'!$I:$I,L21)</f>
        <v>738014238.76636362</v>
      </c>
      <c r="AK21" s="185">
        <f t="shared" si="1"/>
        <v>14220.688645072576</v>
      </c>
      <c r="AO21" s="185">
        <v>13090.91</v>
      </c>
      <c r="AR21" s="1064" t="s">
        <v>252</v>
      </c>
      <c r="AS21" s="1065" t="s">
        <v>235</v>
      </c>
      <c r="AT21" s="1064" t="s">
        <v>713</v>
      </c>
      <c r="AU21" s="1066" t="s">
        <v>289</v>
      </c>
      <c r="AV21" s="1067" t="s">
        <v>44</v>
      </c>
    </row>
    <row r="22" spans="1:48" s="1039" customFormat="1" ht="60">
      <c r="A22" s="372">
        <v>13</v>
      </c>
      <c r="B22" s="1057" t="s">
        <v>2623</v>
      </c>
      <c r="C22" s="1058" t="s">
        <v>289</v>
      </c>
      <c r="D22" s="374" t="str">
        <f t="shared" si="0"/>
        <v>Kg</v>
      </c>
      <c r="E22" s="183"/>
      <c r="F22" s="184">
        <f t="shared" si="2"/>
        <v>264</v>
      </c>
      <c r="G22" s="185">
        <f t="shared" si="2"/>
        <v>24868.799999999996</v>
      </c>
      <c r="H22" s="185">
        <f t="shared" si="3"/>
        <v>0</v>
      </c>
      <c r="I22" s="185">
        <f t="shared" si="4"/>
        <v>24868.800000000003</v>
      </c>
      <c r="J22" s="185">
        <f t="shared" si="5"/>
        <v>13138.430227272727</v>
      </c>
      <c r="K22" s="185">
        <f t="shared" si="6"/>
        <v>326736993.63600004</v>
      </c>
      <c r="L22" s="1184" t="s">
        <v>253</v>
      </c>
      <c r="M22" s="1059"/>
      <c r="N22" s="1059"/>
      <c r="O22" s="1038"/>
      <c r="P22" s="1054"/>
      <c r="Q22" s="1054"/>
      <c r="T22" s="1041"/>
      <c r="U22" s="1042"/>
      <c r="V22" s="1042"/>
      <c r="AA22" s="1039" t="str">
        <f>VLOOKUP(L22,'25-BRA-I-090'!$I:$EZ,2,0)</f>
        <v>Tôn tấm</v>
      </c>
      <c r="AB22" s="1039" t="str">
        <f>VLOOKUP(L22,'25-BRA-I-090'!$I:$EZ,3,0)</f>
        <v>PL12x1500x12000; PL12x2000x12000; PL12x2000x9000.</v>
      </c>
      <c r="AC22" s="1039" t="s">
        <v>2620</v>
      </c>
      <c r="AD22" s="1039">
        <f>SUMIFS('25-BRA-I-090'!$CS:$CS,'25-BRA-I-090'!$I:$I,L22)</f>
        <v>264</v>
      </c>
      <c r="AE22" s="1039">
        <f>SUMIFS('25-BRA-I-090'!$CT:$CT,'25-BRA-I-090'!$I:$I,L22)</f>
        <v>24868.799999999996</v>
      </c>
      <c r="AF22" s="1039">
        <f>SUMIFS('25-BRA-I-090'!$CW:$CW,'25-BRA-I-090'!$I:$I,L22)</f>
        <v>0</v>
      </c>
      <c r="AG22" s="1039">
        <f>SUMIFS('25-BRA-I-090'!$CX:$CX,'25-BRA-I-090'!$I:$I,L22)</f>
        <v>0</v>
      </c>
      <c r="AH22" s="1040">
        <f>SUMIFS('25-BRA-I-090'!$DJ:$DJ,'25-BRA-I-090'!$I:$I,L22)+SUMIFS('25-BRA-I-090'!$EC:$EC,'25-BRA-I-090'!$I:$I,L22)</f>
        <v>264</v>
      </c>
      <c r="AI22" s="1040">
        <f>SUMIFS('25-BRA-I-090'!$DK:$DK,'25-BRA-I-090'!$I:$I,L22)+SUMIFS('25-BRA-I-090'!$ED:$ED,'25-BRA-I-090'!$I:$I,L22)</f>
        <v>24868.800000000003</v>
      </c>
      <c r="AJ22" s="1040">
        <f>SUMIFS('25-BRA-I-090'!$DO:$DO,'25-BRA-I-090'!$I:$I,L22)+26400*SUMIFS('25-BRA-I-090'!$EF:$EF,'25-BRA-I-090'!$I:$I,L22)</f>
        <v>326736993.63600004</v>
      </c>
      <c r="AK22" s="185">
        <f t="shared" si="1"/>
        <v>14189.504645454546</v>
      </c>
      <c r="AO22" s="185">
        <v>13090.91</v>
      </c>
      <c r="AR22" s="1064" t="s">
        <v>253</v>
      </c>
      <c r="AS22" s="1065" t="s">
        <v>235</v>
      </c>
      <c r="AT22" s="1064" t="s">
        <v>714</v>
      </c>
      <c r="AU22" s="1066" t="s">
        <v>289</v>
      </c>
      <c r="AV22" s="1067" t="s">
        <v>44</v>
      </c>
    </row>
    <row r="23" spans="1:48" s="1039" customFormat="1">
      <c r="A23" s="372">
        <v>14</v>
      </c>
      <c r="B23" s="1057" t="s">
        <v>297</v>
      </c>
      <c r="C23" s="1058" t="s">
        <v>289</v>
      </c>
      <c r="D23" s="374" t="str">
        <f t="shared" si="0"/>
        <v>Kg</v>
      </c>
      <c r="E23" s="183"/>
      <c r="F23" s="184">
        <f t="shared" si="2"/>
        <v>882</v>
      </c>
      <c r="G23" s="185">
        <f t="shared" si="2"/>
        <v>103855.5</v>
      </c>
      <c r="H23" s="185">
        <f t="shared" si="3"/>
        <v>0</v>
      </c>
      <c r="I23" s="185">
        <f t="shared" si="4"/>
        <v>109272</v>
      </c>
      <c r="J23" s="185">
        <f t="shared" si="5"/>
        <v>13366.147862068965</v>
      </c>
      <c r="K23" s="185">
        <f t="shared" si="6"/>
        <v>1460545709.184</v>
      </c>
      <c r="L23" s="1184" t="s">
        <v>254</v>
      </c>
      <c r="M23" s="1059"/>
      <c r="N23" s="1059"/>
      <c r="O23" s="1038"/>
      <c r="P23" s="1054"/>
      <c r="Q23" s="1054"/>
      <c r="T23" s="1041"/>
      <c r="U23" s="1042"/>
      <c r="V23" s="1042"/>
      <c r="AA23" s="1039" t="str">
        <f>VLOOKUP(L23,'25-BRA-I-090'!$I:$EZ,2,0)</f>
        <v>Tôn tấm</v>
      </c>
      <c r="AB23" s="1039" t="str">
        <f>VLOOKUP(L23,'25-BRA-I-090'!$I:$EZ,3,0)</f>
        <v>PL15x1500x12000</v>
      </c>
      <c r="AC23" s="1039" t="s">
        <v>2620</v>
      </c>
      <c r="AD23" s="1039">
        <f>SUMIFS('25-BRA-I-090'!$CS:$CS,'25-BRA-I-090'!$I:$I,L23)</f>
        <v>882</v>
      </c>
      <c r="AE23" s="1039">
        <f>SUMIFS('25-BRA-I-090'!$CT:$CT,'25-BRA-I-090'!$I:$I,L23)</f>
        <v>103855.5</v>
      </c>
      <c r="AF23" s="1039">
        <f>SUMIFS('25-BRA-I-090'!$CW:$CW,'25-BRA-I-090'!$I:$I,L23)</f>
        <v>0</v>
      </c>
      <c r="AG23" s="1039">
        <f>SUMIFS('25-BRA-I-090'!$CX:$CX,'25-BRA-I-090'!$I:$I,L23)</f>
        <v>0</v>
      </c>
      <c r="AH23" s="1040">
        <f>SUMIFS('25-BRA-I-090'!$DJ:$DJ,'25-BRA-I-090'!$I:$I,L23)+SUMIFS('25-BRA-I-090'!$EC:$EC,'25-BRA-I-090'!$I:$I,L23)</f>
        <v>870</v>
      </c>
      <c r="AI23" s="1040">
        <f>SUMIFS('25-BRA-I-090'!$DK:$DK,'25-BRA-I-090'!$I:$I,L23)+SUMIFS('25-BRA-I-090'!$ED:$ED,'25-BRA-I-090'!$I:$I,L23)</f>
        <v>109272</v>
      </c>
      <c r="AJ23" s="1040">
        <f>SUMIFS('25-BRA-I-090'!$DO:$DO,'25-BRA-I-090'!$I:$I,L23)+26400*SUMIFS('25-BRA-I-090'!$EF:$EF,'25-BRA-I-090'!$I:$I,L23)</f>
        <v>1460545709.184</v>
      </c>
      <c r="AK23" s="185">
        <f t="shared" si="1"/>
        <v>14435.439691034484</v>
      </c>
      <c r="AO23" s="185">
        <v>13363.64</v>
      </c>
      <c r="AR23" s="1064" t="s">
        <v>254</v>
      </c>
      <c r="AS23" s="1065" t="s">
        <v>235</v>
      </c>
      <c r="AT23" s="1064" t="s">
        <v>297</v>
      </c>
      <c r="AU23" s="1066" t="s">
        <v>289</v>
      </c>
      <c r="AV23" s="1067" t="s">
        <v>44</v>
      </c>
    </row>
    <row r="24" spans="1:48" s="1039" customFormat="1">
      <c r="A24" s="372">
        <v>15</v>
      </c>
      <c r="B24" s="1057" t="s">
        <v>298</v>
      </c>
      <c r="C24" s="1058" t="s">
        <v>289</v>
      </c>
      <c r="D24" s="374" t="str">
        <f t="shared" si="0"/>
        <v>Kg</v>
      </c>
      <c r="E24" s="183"/>
      <c r="F24" s="184">
        <f t="shared" si="2"/>
        <v>9</v>
      </c>
      <c r="G24" s="185">
        <f t="shared" si="2"/>
        <v>1271.6999999999998</v>
      </c>
      <c r="H24" s="185">
        <f t="shared" si="3"/>
        <v>0</v>
      </c>
      <c r="I24" s="185">
        <f t="shared" si="4"/>
        <v>1271.7</v>
      </c>
      <c r="J24" s="185">
        <f t="shared" si="5"/>
        <v>13545.45</v>
      </c>
      <c r="K24" s="185">
        <f t="shared" si="6"/>
        <v>17225748.765000001</v>
      </c>
      <c r="L24" s="1184" t="s">
        <v>255</v>
      </c>
      <c r="M24" s="1059"/>
      <c r="N24" s="1059"/>
      <c r="O24" s="1038"/>
      <c r="P24" s="1054"/>
      <c r="Q24" s="1054"/>
      <c r="T24" s="1041"/>
      <c r="U24" s="1042"/>
      <c r="V24" s="1042"/>
      <c r="AA24" s="1039" t="str">
        <f>VLOOKUP(L24,'25-BRA-I-090'!$I:$EZ,2,0)</f>
        <v>Tôn tấm</v>
      </c>
      <c r="AB24" s="1039" t="str">
        <f>VLOOKUP(L24,'25-BRA-I-090'!$I:$EZ,3,0)</f>
        <v>PL18x1500x6000</v>
      </c>
      <c r="AC24" s="1039" t="s">
        <v>2620</v>
      </c>
      <c r="AD24" s="1039">
        <f>SUMIFS('25-BRA-I-090'!$CS:$CS,'25-BRA-I-090'!$I:$I,L24)</f>
        <v>9</v>
      </c>
      <c r="AE24" s="1039">
        <f>SUMIFS('25-BRA-I-090'!$CT:$CT,'25-BRA-I-090'!$I:$I,L24)</f>
        <v>1271.6999999999998</v>
      </c>
      <c r="AF24" s="1039">
        <f>SUMIFS('25-BRA-I-090'!$CW:$CW,'25-BRA-I-090'!$I:$I,L24)</f>
        <v>0</v>
      </c>
      <c r="AG24" s="1039">
        <f>SUMIFS('25-BRA-I-090'!$CX:$CX,'25-BRA-I-090'!$I:$I,L24)</f>
        <v>0</v>
      </c>
      <c r="AH24" s="1040">
        <f>SUMIFS('25-BRA-I-090'!$DJ:$DJ,'25-BRA-I-090'!$I:$I,L24)+SUMIFS('25-BRA-I-090'!$EC:$EC,'25-BRA-I-090'!$I:$I,L24)</f>
        <v>9</v>
      </c>
      <c r="AI24" s="1040">
        <f>SUMIFS('25-BRA-I-090'!$DK:$DK,'25-BRA-I-090'!$I:$I,L24)+SUMIFS('25-BRA-I-090'!$ED:$ED,'25-BRA-I-090'!$I:$I,L24)</f>
        <v>1271.7</v>
      </c>
      <c r="AJ24" s="1040">
        <f>SUMIFS('25-BRA-I-090'!$DO:$DO,'25-BRA-I-090'!$I:$I,L24)+26400*SUMIFS('25-BRA-I-090'!$EF:$EF,'25-BRA-I-090'!$I:$I,L24)</f>
        <v>17225748.765000001</v>
      </c>
      <c r="AK24" s="185">
        <f t="shared" si="1"/>
        <v>14629.086000000001</v>
      </c>
      <c r="AO24" s="185">
        <v>13545.45</v>
      </c>
      <c r="AR24" s="1064" t="s">
        <v>255</v>
      </c>
      <c r="AS24" s="1065" t="s">
        <v>235</v>
      </c>
      <c r="AT24" s="1064" t="s">
        <v>298</v>
      </c>
      <c r="AU24" s="1066" t="s">
        <v>289</v>
      </c>
      <c r="AV24" s="1067" t="s">
        <v>44</v>
      </c>
    </row>
    <row r="25" spans="1:48" s="1039" customFormat="1">
      <c r="A25" s="372">
        <v>16</v>
      </c>
      <c r="B25" s="1057" t="s">
        <v>299</v>
      </c>
      <c r="C25" s="1058" t="s">
        <v>289</v>
      </c>
      <c r="D25" s="374" t="str">
        <f t="shared" si="0"/>
        <v>Kg</v>
      </c>
      <c r="E25" s="183"/>
      <c r="F25" s="184">
        <f t="shared" si="2"/>
        <v>270</v>
      </c>
      <c r="G25" s="185">
        <f t="shared" si="2"/>
        <v>42390</v>
      </c>
      <c r="H25" s="185">
        <f t="shared" si="3"/>
        <v>0</v>
      </c>
      <c r="I25" s="185">
        <f t="shared" si="4"/>
        <v>43332</v>
      </c>
      <c r="J25" s="185">
        <f t="shared" si="5"/>
        <v>13667.983913043479</v>
      </c>
      <c r="K25" s="185">
        <f t="shared" si="6"/>
        <v>592261078.92000008</v>
      </c>
      <c r="L25" s="1184" t="s">
        <v>256</v>
      </c>
      <c r="M25" s="1059"/>
      <c r="N25" s="1059"/>
      <c r="O25" s="1038"/>
      <c r="P25" s="1054"/>
      <c r="Q25" s="1054"/>
      <c r="T25" s="1041"/>
      <c r="U25" s="1042"/>
      <c r="V25" s="1042"/>
      <c r="AA25" s="1039" t="str">
        <f>VLOOKUP(L25,'25-BRA-I-090'!$I:$EZ,2,0)</f>
        <v>Tôn tấm</v>
      </c>
      <c r="AB25" s="1039" t="str">
        <f>VLOOKUP(L25,'25-BRA-I-090'!$I:$EZ,3,0)</f>
        <v>PL20x1500x12000</v>
      </c>
      <c r="AC25" s="1039" t="s">
        <v>2620</v>
      </c>
      <c r="AD25" s="1039">
        <f>SUMIFS('25-BRA-I-090'!$CS:$CS,'25-BRA-I-090'!$I:$I,L25)</f>
        <v>270</v>
      </c>
      <c r="AE25" s="1039">
        <f>SUMIFS('25-BRA-I-090'!$CT:$CT,'25-BRA-I-090'!$I:$I,L25)</f>
        <v>42390</v>
      </c>
      <c r="AF25" s="1039">
        <f>SUMIFS('25-BRA-I-090'!$CW:$CW,'25-BRA-I-090'!$I:$I,L25)</f>
        <v>0</v>
      </c>
      <c r="AG25" s="1039">
        <f>SUMIFS('25-BRA-I-090'!$CX:$CX,'25-BRA-I-090'!$I:$I,L25)</f>
        <v>0</v>
      </c>
      <c r="AH25" s="1040">
        <f>SUMIFS('25-BRA-I-090'!$DJ:$DJ,'25-BRA-I-090'!$I:$I,L25)+SUMIFS('25-BRA-I-090'!$EC:$EC,'25-BRA-I-090'!$I:$I,L25)</f>
        <v>276</v>
      </c>
      <c r="AI25" s="1040">
        <f>SUMIFS('25-BRA-I-090'!$DK:$DK,'25-BRA-I-090'!$I:$I,L25)+SUMIFS('25-BRA-I-090'!$ED:$ED,'25-BRA-I-090'!$I:$I,L25)</f>
        <v>43332</v>
      </c>
      <c r="AJ25" s="1040">
        <f>SUMIFS('25-BRA-I-090'!$DO:$DO,'25-BRA-I-090'!$I:$I,L25)+26400*SUMIFS('25-BRA-I-090'!$EF:$EF,'25-BRA-I-090'!$I:$I,L25)</f>
        <v>592261078.92000008</v>
      </c>
      <c r="AK25" s="185">
        <f t="shared" si="1"/>
        <v>14761.422626086958</v>
      </c>
      <c r="AO25" s="185">
        <v>13545.45</v>
      </c>
      <c r="AR25" s="1064" t="s">
        <v>256</v>
      </c>
      <c r="AS25" s="1065" t="s">
        <v>235</v>
      </c>
      <c r="AT25" s="1064" t="s">
        <v>299</v>
      </c>
      <c r="AU25" s="1066" t="s">
        <v>289</v>
      </c>
      <c r="AV25" s="1067" t="s">
        <v>44</v>
      </c>
    </row>
    <row r="26" spans="1:48" s="1039" customFormat="1">
      <c r="A26" s="372">
        <v>17</v>
      </c>
      <c r="B26" s="1057" t="s">
        <v>300</v>
      </c>
      <c r="C26" s="1058" t="s">
        <v>289</v>
      </c>
      <c r="D26" s="374" t="str">
        <f t="shared" si="0"/>
        <v>Kg</v>
      </c>
      <c r="E26" s="183"/>
      <c r="F26" s="184">
        <f t="shared" si="2"/>
        <v>156</v>
      </c>
      <c r="G26" s="185">
        <f t="shared" si="2"/>
        <v>30615</v>
      </c>
      <c r="H26" s="185">
        <f t="shared" si="3"/>
        <v>7850</v>
      </c>
      <c r="I26" s="185">
        <f t="shared" si="4"/>
        <v>23550</v>
      </c>
      <c r="J26" s="185">
        <f t="shared" si="5"/>
        <v>14390.907999999999</v>
      </c>
      <c r="K26" s="185">
        <f t="shared" si="6"/>
        <v>338905883.39999998</v>
      </c>
      <c r="L26" s="1184" t="s">
        <v>257</v>
      </c>
      <c r="M26" s="1059"/>
      <c r="N26" s="1059"/>
      <c r="O26" s="1038"/>
      <c r="P26" s="1054"/>
      <c r="Q26" s="1054"/>
      <c r="T26" s="1041"/>
      <c r="U26" s="1042"/>
      <c r="V26" s="1042"/>
      <c r="AA26" s="1039" t="str">
        <f>VLOOKUP(L26,'25-BRA-I-090'!$I:$EZ,2,0)</f>
        <v>Tôn tấm</v>
      </c>
      <c r="AB26" s="1039" t="str">
        <f>VLOOKUP(L26,'25-BRA-I-090'!$I:$EZ,3,0)</f>
        <v>PL25x1500x12000</v>
      </c>
      <c r="AC26" s="1039" t="s">
        <v>2620</v>
      </c>
      <c r="AD26" s="1039">
        <f>SUMIFS('25-BRA-I-090'!$CS:$CS,'25-BRA-I-090'!$I:$I,L26)</f>
        <v>156</v>
      </c>
      <c r="AE26" s="1039">
        <f>SUMIFS('25-BRA-I-090'!$CT:$CT,'25-BRA-I-090'!$I:$I,L26)</f>
        <v>30615</v>
      </c>
      <c r="AF26" s="1039">
        <f>SUMIFS('25-BRA-I-090'!$CW:$CW,'25-BRA-I-090'!$I:$I,L26)</f>
        <v>40</v>
      </c>
      <c r="AG26" s="1039">
        <f>SUMIFS('25-BRA-I-090'!$CX:$CX,'25-BRA-I-090'!$I:$I,L26)</f>
        <v>7850</v>
      </c>
      <c r="AH26" s="1040">
        <f>SUMIFS('25-BRA-I-090'!$DJ:$DJ,'25-BRA-I-090'!$I:$I,L26)+SUMIFS('25-BRA-I-090'!$EC:$EC,'25-BRA-I-090'!$I:$I,L26)</f>
        <v>120</v>
      </c>
      <c r="AI26" s="1040">
        <f>SUMIFS('25-BRA-I-090'!$DK:$DK,'25-BRA-I-090'!$I:$I,L26)+SUMIFS('25-BRA-I-090'!$ED:$ED,'25-BRA-I-090'!$I:$I,L26)</f>
        <v>23550</v>
      </c>
      <c r="AJ26" s="1040">
        <f>SUMIFS('25-BRA-I-090'!$DO:$DO,'25-BRA-I-090'!$I:$I,L26)+26400*SUMIFS('25-BRA-I-090'!$EF:$EF,'25-BRA-I-090'!$I:$I,L26)</f>
        <v>338905883.39999998</v>
      </c>
      <c r="AK26" s="185">
        <f t="shared" si="1"/>
        <v>15542.18064</v>
      </c>
      <c r="AO26" s="185">
        <v>13090.91</v>
      </c>
      <c r="AR26" s="1064" t="s">
        <v>257</v>
      </c>
      <c r="AS26" s="1065" t="s">
        <v>235</v>
      </c>
      <c r="AT26" s="1064" t="s">
        <v>300</v>
      </c>
      <c r="AU26" s="1066" t="s">
        <v>289</v>
      </c>
      <c r="AV26" s="1067" t="s">
        <v>44</v>
      </c>
    </row>
    <row r="27" spans="1:48" s="1039" customFormat="1">
      <c r="A27" s="372">
        <v>18</v>
      </c>
      <c r="B27" s="1057" t="s">
        <v>1038</v>
      </c>
      <c r="C27" s="1058" t="s">
        <v>289</v>
      </c>
      <c r="D27" s="374" t="str">
        <f t="shared" si="0"/>
        <v>Kg</v>
      </c>
      <c r="E27" s="183"/>
      <c r="F27" s="184">
        <f t="shared" si="2"/>
        <v>156</v>
      </c>
      <c r="G27" s="185">
        <f t="shared" si="2"/>
        <v>36738</v>
      </c>
      <c r="H27" s="185">
        <f t="shared" si="3"/>
        <v>0</v>
      </c>
      <c r="I27" s="185">
        <f t="shared" si="4"/>
        <v>36738</v>
      </c>
      <c r="J27" s="185">
        <f t="shared" si="5"/>
        <v>14104.894615384615</v>
      </c>
      <c r="K27" s="185">
        <f t="shared" si="6"/>
        <v>518185618.38</v>
      </c>
      <c r="L27" s="1184" t="s">
        <v>258</v>
      </c>
      <c r="M27" s="1059"/>
      <c r="N27" s="1059"/>
      <c r="O27" s="1038"/>
      <c r="P27" s="1054"/>
      <c r="Q27" s="1054"/>
      <c r="T27" s="1041"/>
      <c r="U27" s="1042"/>
      <c r="V27" s="1042"/>
      <c r="AA27" s="1039" t="str">
        <f>VLOOKUP(L27,'25-BRA-I-090'!$I:$EZ,2,0)</f>
        <v>Tôn tấm</v>
      </c>
      <c r="AB27" s="1039" t="str">
        <f>VLOOKUP(L27,'25-BRA-I-090'!$I:$EZ,3,0)</f>
        <v>PL30x2000x6000</v>
      </c>
      <c r="AC27" s="1039" t="s">
        <v>2620</v>
      </c>
      <c r="AD27" s="1039">
        <f>SUMIFS('25-BRA-I-090'!$CS:$CS,'25-BRA-I-090'!$I:$I,L27)</f>
        <v>156</v>
      </c>
      <c r="AE27" s="1039">
        <f>SUMIFS('25-BRA-I-090'!$CT:$CT,'25-BRA-I-090'!$I:$I,L27)</f>
        <v>36738</v>
      </c>
      <c r="AF27" s="1039">
        <f>SUMIFS('25-BRA-I-090'!$CW:$CW,'25-BRA-I-090'!$I:$I,L27)</f>
        <v>0</v>
      </c>
      <c r="AG27" s="1039">
        <f>SUMIFS('25-BRA-I-090'!$CX:$CX,'25-BRA-I-090'!$I:$I,L27)</f>
        <v>0</v>
      </c>
      <c r="AH27" s="1040">
        <f>SUMIFS('25-BRA-I-090'!$DJ:$DJ,'25-BRA-I-090'!$I:$I,L27)+SUMIFS('25-BRA-I-090'!$EC:$EC,'25-BRA-I-090'!$I:$I,L27)</f>
        <v>156</v>
      </c>
      <c r="AI27" s="1040">
        <f>SUMIFS('25-BRA-I-090'!$DK:$DK,'25-BRA-I-090'!$I:$I,L27)+SUMIFS('25-BRA-I-090'!$ED:$ED,'25-BRA-I-090'!$I:$I,L27)</f>
        <v>36738</v>
      </c>
      <c r="AJ27" s="1040">
        <f>SUMIFS('25-BRA-I-090'!$DO:$DO,'25-BRA-I-090'!$I:$I,L27)+26400*SUMIFS('25-BRA-I-090'!$EF:$EF,'25-BRA-I-090'!$I:$I,L27)</f>
        <v>518185618.38</v>
      </c>
      <c r="AK27" s="185">
        <f t="shared" si="1"/>
        <v>15233.286184615386</v>
      </c>
      <c r="AO27" s="185">
        <v>14090.91</v>
      </c>
      <c r="AR27" s="1064" t="s">
        <v>258</v>
      </c>
      <c r="AS27" s="1065" t="s">
        <v>235</v>
      </c>
      <c r="AT27" s="1064" t="s">
        <v>301</v>
      </c>
      <c r="AU27" s="1066" t="s">
        <v>289</v>
      </c>
      <c r="AV27" s="1067" t="s">
        <v>44</v>
      </c>
    </row>
    <row r="28" spans="1:48" s="1039" customFormat="1" ht="30">
      <c r="A28" s="372">
        <v>19</v>
      </c>
      <c r="B28" s="1057" t="s">
        <v>301</v>
      </c>
      <c r="C28" s="1058" t="s">
        <v>289</v>
      </c>
      <c r="D28" s="374" t="str">
        <f t="shared" si="0"/>
        <v>Kg</v>
      </c>
      <c r="E28" s="183"/>
      <c r="F28" s="184">
        <f t="shared" si="2"/>
        <v>36</v>
      </c>
      <c r="G28" s="185">
        <f t="shared" si="2"/>
        <v>8478</v>
      </c>
      <c r="H28" s="185">
        <f t="shared" si="3"/>
        <v>0</v>
      </c>
      <c r="I28" s="185">
        <f t="shared" si="4"/>
        <v>8478</v>
      </c>
      <c r="J28" s="185">
        <f t="shared" si="5"/>
        <v>14090.909999999998</v>
      </c>
      <c r="K28" s="185">
        <f t="shared" si="6"/>
        <v>119462734.97999999</v>
      </c>
      <c r="L28" s="1184" t="s">
        <v>259</v>
      </c>
      <c r="M28" s="1059"/>
      <c r="N28" s="1059"/>
      <c r="O28" s="1038"/>
      <c r="P28" s="1054"/>
      <c r="Q28" s="1054"/>
      <c r="T28" s="1041"/>
      <c r="U28" s="1042"/>
      <c r="V28" s="1042"/>
      <c r="AA28" s="1039" t="str">
        <f>VLOOKUP(L28,'25-BRA-I-090'!$I:$EZ,2,0)</f>
        <v>Tôn tấm</v>
      </c>
      <c r="AB28" s="1039" t="str">
        <f>VLOOKUP(L28,'25-BRA-I-090'!$I:$EZ,3,0)</f>
        <v>PL30x2000x6000; PL30x2000x12000</v>
      </c>
      <c r="AC28" s="1039" t="s">
        <v>2620</v>
      </c>
      <c r="AD28" s="1039">
        <f>SUMIFS('25-BRA-I-090'!$CS:$CS,'25-BRA-I-090'!$I:$I,L28)</f>
        <v>36</v>
      </c>
      <c r="AE28" s="1039">
        <f>SUMIFS('25-BRA-I-090'!$CT:$CT,'25-BRA-I-090'!$I:$I,L28)</f>
        <v>8478</v>
      </c>
      <c r="AF28" s="1039">
        <f>SUMIFS('25-BRA-I-090'!$CW:$CW,'25-BRA-I-090'!$I:$I,L28)</f>
        <v>0</v>
      </c>
      <c r="AG28" s="1039">
        <f>SUMIFS('25-BRA-I-090'!$CX:$CX,'25-BRA-I-090'!$I:$I,L28)</f>
        <v>0</v>
      </c>
      <c r="AH28" s="1040">
        <f>SUMIFS('25-BRA-I-090'!$DJ:$DJ,'25-BRA-I-090'!$I:$I,L28)+SUMIFS('25-BRA-I-090'!$EC:$EC,'25-BRA-I-090'!$I:$I,L28)</f>
        <v>36</v>
      </c>
      <c r="AI28" s="1040">
        <f>SUMIFS('25-BRA-I-090'!$DK:$DK,'25-BRA-I-090'!$I:$I,L28)+SUMIFS('25-BRA-I-090'!$ED:$ED,'25-BRA-I-090'!$I:$I,L28)</f>
        <v>8478</v>
      </c>
      <c r="AJ28" s="1040">
        <f>SUMIFS('25-BRA-I-090'!$DO:$DO,'25-BRA-I-090'!$I:$I,L28)+26400*SUMIFS('25-BRA-I-090'!$EF:$EF,'25-BRA-I-090'!$I:$I,L28)</f>
        <v>119462734.97999999</v>
      </c>
      <c r="AK28" s="185">
        <f t="shared" si="1"/>
        <v>15218.182799999999</v>
      </c>
      <c r="AO28" s="185">
        <v>14090.91</v>
      </c>
      <c r="AR28" s="1064" t="s">
        <v>259</v>
      </c>
      <c r="AS28" s="1065" t="s">
        <v>235</v>
      </c>
      <c r="AT28" s="1064" t="s">
        <v>715</v>
      </c>
      <c r="AU28" s="1066" t="s">
        <v>289</v>
      </c>
      <c r="AV28" s="1067" t="s">
        <v>44</v>
      </c>
    </row>
    <row r="29" spans="1:48" s="1039" customFormat="1">
      <c r="A29" s="372">
        <v>20</v>
      </c>
      <c r="B29" s="1057" t="s">
        <v>302</v>
      </c>
      <c r="C29" s="1058" t="s">
        <v>289</v>
      </c>
      <c r="D29" s="374" t="str">
        <f t="shared" si="0"/>
        <v>Kg</v>
      </c>
      <c r="E29" s="183"/>
      <c r="F29" s="184">
        <f t="shared" si="2"/>
        <v>84</v>
      </c>
      <c r="G29" s="185">
        <f t="shared" si="2"/>
        <v>23079</v>
      </c>
      <c r="H29" s="185">
        <f t="shared" si="3"/>
        <v>0</v>
      </c>
      <c r="I29" s="185">
        <f t="shared" si="4"/>
        <v>23079</v>
      </c>
      <c r="J29" s="185">
        <f t="shared" si="5"/>
        <v>14363.639999999998</v>
      </c>
      <c r="K29" s="185">
        <f t="shared" si="6"/>
        <v>331498447.55999994</v>
      </c>
      <c r="L29" s="1184" t="s">
        <v>260</v>
      </c>
      <c r="M29" s="1059"/>
      <c r="N29" s="1059"/>
      <c r="O29" s="1038"/>
      <c r="P29" s="1054"/>
      <c r="Q29" s="1054"/>
      <c r="T29" s="1041"/>
      <c r="U29" s="1042"/>
      <c r="V29" s="1042"/>
      <c r="AA29" s="1039" t="str">
        <f>VLOOKUP(L29,'25-BRA-I-090'!$I:$EZ,2,0)</f>
        <v>Tôn tấm</v>
      </c>
      <c r="AB29" s="1039" t="str">
        <f>VLOOKUP(L29,'25-BRA-I-090'!$I:$EZ,3,0)</f>
        <v>PL35x2000x6000</v>
      </c>
      <c r="AC29" s="1039" t="s">
        <v>2620</v>
      </c>
      <c r="AD29" s="1039">
        <f>SUMIFS('25-BRA-I-090'!$CS:$CS,'25-BRA-I-090'!$I:$I,L29)</f>
        <v>84</v>
      </c>
      <c r="AE29" s="1039">
        <f>SUMIFS('25-BRA-I-090'!$CT:$CT,'25-BRA-I-090'!$I:$I,L29)</f>
        <v>23079</v>
      </c>
      <c r="AF29" s="1039">
        <f>SUMIFS('25-BRA-I-090'!$CW:$CW,'25-BRA-I-090'!$I:$I,L29)</f>
        <v>0</v>
      </c>
      <c r="AG29" s="1039">
        <f>SUMIFS('25-BRA-I-090'!$CX:$CX,'25-BRA-I-090'!$I:$I,L29)</f>
        <v>0</v>
      </c>
      <c r="AH29" s="1040">
        <f>SUMIFS('25-BRA-I-090'!$DJ:$DJ,'25-BRA-I-090'!$I:$I,L29)+SUMIFS('25-BRA-I-090'!$EC:$EC,'25-BRA-I-090'!$I:$I,L29)</f>
        <v>84</v>
      </c>
      <c r="AI29" s="1040">
        <f>SUMIFS('25-BRA-I-090'!$DK:$DK,'25-BRA-I-090'!$I:$I,L29)+SUMIFS('25-BRA-I-090'!$ED:$ED,'25-BRA-I-090'!$I:$I,L29)</f>
        <v>23079</v>
      </c>
      <c r="AJ29" s="1040">
        <f>SUMIFS('25-BRA-I-090'!$DO:$DO,'25-BRA-I-090'!$I:$I,L29)+26400*SUMIFS('25-BRA-I-090'!$EF:$EF,'25-BRA-I-090'!$I:$I,L29)</f>
        <v>331498447.55999994</v>
      </c>
      <c r="AK29" s="185">
        <f t="shared" si="1"/>
        <v>15512.731199999998</v>
      </c>
      <c r="AO29" s="185">
        <v>14363.64</v>
      </c>
      <c r="AR29" s="1064" t="s">
        <v>260</v>
      </c>
      <c r="AS29" s="1065" t="s">
        <v>235</v>
      </c>
      <c r="AT29" s="1064" t="s">
        <v>302</v>
      </c>
      <c r="AU29" s="1066" t="s">
        <v>289</v>
      </c>
      <c r="AV29" s="1067" t="s">
        <v>44</v>
      </c>
    </row>
    <row r="30" spans="1:48" s="1039" customFormat="1" ht="30">
      <c r="A30" s="372">
        <v>21</v>
      </c>
      <c r="B30" s="1057" t="s">
        <v>2624</v>
      </c>
      <c r="C30" s="1058" t="s">
        <v>289</v>
      </c>
      <c r="D30" s="374" t="str">
        <f t="shared" si="0"/>
        <v>Kg</v>
      </c>
      <c r="E30" s="183"/>
      <c r="F30" s="184">
        <f t="shared" si="2"/>
        <v>23</v>
      </c>
      <c r="G30" s="185">
        <f t="shared" si="2"/>
        <v>8124.75</v>
      </c>
      <c r="H30" s="185">
        <f t="shared" si="3"/>
        <v>0</v>
      </c>
      <c r="I30" s="185">
        <f t="shared" si="4"/>
        <v>8500</v>
      </c>
      <c r="J30" s="185">
        <f t="shared" si="5"/>
        <v>14728</v>
      </c>
      <c r="K30" s="185">
        <f t="shared" si="6"/>
        <v>125188000</v>
      </c>
      <c r="L30" s="1184" t="s">
        <v>261</v>
      </c>
      <c r="M30" s="1059"/>
      <c r="N30" s="1059"/>
      <c r="O30" s="1038"/>
      <c r="P30" s="1054"/>
      <c r="Q30" s="1054"/>
      <c r="T30" s="1041"/>
      <c r="U30" s="1042"/>
      <c r="V30" s="1042"/>
      <c r="AA30" s="1039" t="str">
        <f>VLOOKUP(L30,'25-BRA-I-090'!$I:$EZ,2,0)</f>
        <v>Tôn tấm</v>
      </c>
      <c r="AB30" s="1039" t="str">
        <f>VLOOKUP(L30,'25-BRA-I-090'!$I:$EZ,3,0)</f>
        <v>PL45x2000x4500; PL45x2000x7000</v>
      </c>
      <c r="AC30" s="1039" t="s">
        <v>2620</v>
      </c>
      <c r="AD30" s="1039">
        <f>SUMIFS('25-BRA-I-090'!$CS:$CS,'25-BRA-I-090'!$I:$I,L30)</f>
        <v>23</v>
      </c>
      <c r="AE30" s="1039">
        <f>SUMIFS('25-BRA-I-090'!$CT:$CT,'25-BRA-I-090'!$I:$I,L30)</f>
        <v>8124.75</v>
      </c>
      <c r="AF30" s="1039">
        <f>SUMIFS('25-BRA-I-090'!$CW:$CW,'25-BRA-I-090'!$I:$I,L30)</f>
        <v>0</v>
      </c>
      <c r="AG30" s="1039">
        <f>SUMIFS('25-BRA-I-090'!$CX:$CX,'25-BRA-I-090'!$I:$I,L30)</f>
        <v>0</v>
      </c>
      <c r="AH30" s="1040">
        <f>SUMIFS('25-BRA-I-090'!$DJ:$DJ,'25-BRA-I-090'!$I:$I,L30)+SUMIFS('25-BRA-I-090'!$EC:$EC,'25-BRA-I-090'!$I:$I,L30)</f>
        <v>24</v>
      </c>
      <c r="AI30" s="1040">
        <f>SUMIFS('25-BRA-I-090'!$DK:$DK,'25-BRA-I-090'!$I:$I,L30)+SUMIFS('25-BRA-I-090'!$ED:$ED,'25-BRA-I-090'!$I:$I,L30)</f>
        <v>8500</v>
      </c>
      <c r="AJ30" s="1040">
        <f>SUMIFS('25-BRA-I-090'!$DO:$DO,'25-BRA-I-090'!$I:$I,L30)+26400*SUMIFS('25-BRA-I-090'!$EF:$EF,'25-BRA-I-090'!$I:$I,L30)</f>
        <v>125188000</v>
      </c>
      <c r="AK30" s="185">
        <f t="shared" si="1"/>
        <v>15906.240000000002</v>
      </c>
      <c r="AO30" s="185">
        <v>14363.64</v>
      </c>
      <c r="AR30" s="1064" t="s">
        <v>261</v>
      </c>
      <c r="AS30" s="1065" t="s">
        <v>235</v>
      </c>
      <c r="AT30" s="1064" t="s">
        <v>716</v>
      </c>
      <c r="AU30" s="1066" t="s">
        <v>289</v>
      </c>
      <c r="AV30" s="1067" t="s">
        <v>44</v>
      </c>
    </row>
    <row r="31" spans="1:48" s="1039" customFormat="1" ht="30">
      <c r="A31" s="372">
        <v>22</v>
      </c>
      <c r="B31" s="1057" t="s">
        <v>2625</v>
      </c>
      <c r="C31" s="1058" t="s">
        <v>289</v>
      </c>
      <c r="D31" s="374" t="str">
        <f t="shared" si="0"/>
        <v>Kg</v>
      </c>
      <c r="E31" s="183"/>
      <c r="F31" s="184">
        <f t="shared" si="2"/>
        <v>23.2</v>
      </c>
      <c r="G31" s="185">
        <f t="shared" si="2"/>
        <v>9106</v>
      </c>
      <c r="H31" s="185">
        <f t="shared" si="3"/>
        <v>0</v>
      </c>
      <c r="I31" s="185">
        <f t="shared" si="4"/>
        <v>9420</v>
      </c>
      <c r="J31" s="185">
        <f t="shared" si="5"/>
        <v>14454.544999999998</v>
      </c>
      <c r="K31" s="185">
        <f t="shared" si="6"/>
        <v>136161813.89999998</v>
      </c>
      <c r="L31" s="1184" t="s">
        <v>262</v>
      </c>
      <c r="M31" s="1059"/>
      <c r="N31" s="1059"/>
      <c r="O31" s="1038"/>
      <c r="P31" s="1054"/>
      <c r="Q31" s="1054"/>
      <c r="T31" s="1041"/>
      <c r="U31" s="1042"/>
      <c r="V31" s="1042"/>
      <c r="AA31" s="1039" t="str">
        <f>VLOOKUP(L31,'25-BRA-I-090'!$I:$EZ,2,0)</f>
        <v>Tôn tấm</v>
      </c>
      <c r="AB31" s="1039" t="str">
        <f>VLOOKUP(L31,'25-BRA-I-090'!$I:$EZ,3,0)</f>
        <v>PL50x2000x4600; PL50x2000x7000</v>
      </c>
      <c r="AC31" s="1039" t="s">
        <v>2620</v>
      </c>
      <c r="AD31" s="1039">
        <f>SUMIFS('25-BRA-I-090'!$CS:$CS,'25-BRA-I-090'!$I:$I,L31)</f>
        <v>23.2</v>
      </c>
      <c r="AE31" s="1039">
        <f>SUMIFS('25-BRA-I-090'!$CT:$CT,'25-BRA-I-090'!$I:$I,L31)</f>
        <v>9106</v>
      </c>
      <c r="AF31" s="1039">
        <f>SUMIFS('25-BRA-I-090'!$CW:$CW,'25-BRA-I-090'!$I:$I,L31)</f>
        <v>0</v>
      </c>
      <c r="AG31" s="1039">
        <f>SUMIFS('25-BRA-I-090'!$CX:$CX,'25-BRA-I-090'!$I:$I,L31)</f>
        <v>0</v>
      </c>
      <c r="AH31" s="1040">
        <f>SUMIFS('25-BRA-I-090'!$DJ:$DJ,'25-BRA-I-090'!$I:$I,L31)+SUMIFS('25-BRA-I-090'!$EC:$EC,'25-BRA-I-090'!$I:$I,L31)</f>
        <v>24</v>
      </c>
      <c r="AI31" s="1040">
        <f>SUMIFS('25-BRA-I-090'!$DK:$DK,'25-BRA-I-090'!$I:$I,L31)+SUMIFS('25-BRA-I-090'!$ED:$ED,'25-BRA-I-090'!$I:$I,L31)</f>
        <v>9420</v>
      </c>
      <c r="AJ31" s="1040">
        <f>SUMIFS('25-BRA-I-090'!$DO:$DO,'25-BRA-I-090'!$I:$I,L31)+26400*SUMIFS('25-BRA-I-090'!$EF:$EF,'25-BRA-I-090'!$I:$I,L31)</f>
        <v>136161813.89999998</v>
      </c>
      <c r="AK31" s="185">
        <f t="shared" si="1"/>
        <v>15610.908599999999</v>
      </c>
      <c r="AO31" s="185">
        <v>14363.64</v>
      </c>
      <c r="AR31" s="1064" t="s">
        <v>262</v>
      </c>
      <c r="AS31" s="1065" t="s">
        <v>235</v>
      </c>
      <c r="AT31" s="1064" t="s">
        <v>717</v>
      </c>
      <c r="AU31" s="1066" t="s">
        <v>289</v>
      </c>
      <c r="AV31" s="1067" t="s">
        <v>44</v>
      </c>
    </row>
    <row r="32" spans="1:48" s="1039" customFormat="1">
      <c r="A32" s="372">
        <v>23</v>
      </c>
      <c r="B32" s="1057" t="s">
        <v>303</v>
      </c>
      <c r="C32" s="1058" t="s">
        <v>304</v>
      </c>
      <c r="D32" s="374" t="str">
        <f t="shared" si="0"/>
        <v>Kg</v>
      </c>
      <c r="E32" s="183"/>
      <c r="F32" s="184">
        <f t="shared" si="2"/>
        <v>12</v>
      </c>
      <c r="G32" s="185">
        <f t="shared" si="2"/>
        <v>1884</v>
      </c>
      <c r="H32" s="185">
        <f t="shared" si="3"/>
        <v>0</v>
      </c>
      <c r="I32" s="185">
        <f t="shared" si="4"/>
        <v>1884</v>
      </c>
      <c r="J32" s="185">
        <f t="shared" si="5"/>
        <v>15272.73</v>
      </c>
      <c r="K32" s="185">
        <f t="shared" si="6"/>
        <v>28773823.32</v>
      </c>
      <c r="L32" s="1184" t="s">
        <v>263</v>
      </c>
      <c r="M32" s="1059"/>
      <c r="N32" s="1059"/>
      <c r="O32" s="1038"/>
      <c r="P32" s="1054"/>
      <c r="Q32" s="1054"/>
      <c r="T32" s="1041"/>
      <c r="U32" s="1042"/>
      <c r="V32" s="1042"/>
      <c r="AA32" s="1039" t="str">
        <f>VLOOKUP(L32,'25-BRA-I-090'!$I:$EZ,2,0)</f>
        <v>Tôn tấm</v>
      </c>
      <c r="AB32" s="1039" t="str">
        <f>VLOOKUP(L32,'25-BRA-I-090'!$I:$EZ,3,0)</f>
        <v>PL20x2000x6000</v>
      </c>
      <c r="AC32" s="1039" t="s">
        <v>2620</v>
      </c>
      <c r="AD32" s="1039">
        <f>SUMIFS('25-BRA-I-090'!$CS:$CS,'25-BRA-I-090'!$I:$I,L32)</f>
        <v>12</v>
      </c>
      <c r="AE32" s="1039">
        <f>SUMIFS('25-BRA-I-090'!$CT:$CT,'25-BRA-I-090'!$I:$I,L32)</f>
        <v>1884</v>
      </c>
      <c r="AF32" s="1039">
        <f>SUMIFS('25-BRA-I-090'!$CW:$CW,'25-BRA-I-090'!$I:$I,L32)</f>
        <v>0</v>
      </c>
      <c r="AG32" s="1039">
        <f>SUMIFS('25-BRA-I-090'!$CX:$CX,'25-BRA-I-090'!$I:$I,L32)</f>
        <v>0</v>
      </c>
      <c r="AH32" s="1040">
        <f>SUMIFS('25-BRA-I-090'!$DJ:$DJ,'25-BRA-I-090'!$I:$I,L32)+SUMIFS('25-BRA-I-090'!$EC:$EC,'25-BRA-I-090'!$I:$I,L32)</f>
        <v>12</v>
      </c>
      <c r="AI32" s="1040">
        <f>SUMIFS('25-BRA-I-090'!$DK:$DK,'25-BRA-I-090'!$I:$I,L32)+SUMIFS('25-BRA-I-090'!$ED:$ED,'25-BRA-I-090'!$I:$I,L32)</f>
        <v>1884</v>
      </c>
      <c r="AJ32" s="1040">
        <f>SUMIFS('25-BRA-I-090'!$DO:$DO,'25-BRA-I-090'!$I:$I,L32)+26400*SUMIFS('25-BRA-I-090'!$EF:$EF,'25-BRA-I-090'!$I:$I,L32)</f>
        <v>28773823.32</v>
      </c>
      <c r="AK32" s="185">
        <f t="shared" si="1"/>
        <v>16494.5484</v>
      </c>
      <c r="AO32" s="185">
        <v>15272.73</v>
      </c>
      <c r="AR32" s="1064" t="s">
        <v>263</v>
      </c>
      <c r="AS32" s="1065" t="s">
        <v>235</v>
      </c>
      <c r="AT32" s="1064" t="s">
        <v>303</v>
      </c>
      <c r="AU32" s="1066" t="s">
        <v>304</v>
      </c>
      <c r="AV32" s="1067" t="s">
        <v>44</v>
      </c>
    </row>
    <row r="33" spans="1:48" s="1039" customFormat="1">
      <c r="A33" s="372">
        <v>24</v>
      </c>
      <c r="B33" s="1057" t="s">
        <v>305</v>
      </c>
      <c r="C33" s="1058" t="s">
        <v>304</v>
      </c>
      <c r="D33" s="374" t="str">
        <f t="shared" si="0"/>
        <v>Kg</v>
      </c>
      <c r="E33" s="183"/>
      <c r="F33" s="184">
        <f t="shared" si="2"/>
        <v>1.6</v>
      </c>
      <c r="G33" s="185">
        <f t="shared" si="2"/>
        <v>251.20000000000002</v>
      </c>
      <c r="H33" s="185">
        <f t="shared" si="3"/>
        <v>0</v>
      </c>
      <c r="I33" s="185">
        <f t="shared" si="4"/>
        <v>1884</v>
      </c>
      <c r="J33" s="185">
        <f t="shared" si="5"/>
        <v>15272.73</v>
      </c>
      <c r="K33" s="185">
        <f t="shared" si="6"/>
        <v>28773823.32</v>
      </c>
      <c r="L33" s="1184" t="s">
        <v>264</v>
      </c>
      <c r="M33" s="1059"/>
      <c r="N33" s="1059"/>
      <c r="O33" s="1038"/>
      <c r="P33" s="1054"/>
      <c r="Q33" s="1054"/>
      <c r="T33" s="1041"/>
      <c r="U33" s="1042"/>
      <c r="V33" s="1042"/>
      <c r="AA33" s="1039" t="str">
        <f>VLOOKUP(L33,'25-BRA-I-090'!$I:$EZ,2,0)</f>
        <v>Tôn tấm</v>
      </c>
      <c r="AB33" s="1039" t="str">
        <f>VLOOKUP(L33,'25-BRA-I-090'!$I:$EZ,3,0)</f>
        <v>PL20x2000x800</v>
      </c>
      <c r="AC33" s="1039" t="s">
        <v>2620</v>
      </c>
      <c r="AD33" s="1039">
        <f>SUMIFS('25-BRA-I-090'!$CS:$CS,'25-BRA-I-090'!$I:$I,L33)</f>
        <v>1.6</v>
      </c>
      <c r="AE33" s="1039">
        <f>SUMIFS('25-BRA-I-090'!$CT:$CT,'25-BRA-I-090'!$I:$I,L33)</f>
        <v>251.20000000000002</v>
      </c>
      <c r="AF33" s="1039">
        <f>SUMIFS('25-BRA-I-090'!$CW:$CW,'25-BRA-I-090'!$I:$I,L33)</f>
        <v>0</v>
      </c>
      <c r="AG33" s="1039">
        <f>SUMIFS('25-BRA-I-090'!$CX:$CX,'25-BRA-I-090'!$I:$I,L33)</f>
        <v>0</v>
      </c>
      <c r="AH33" s="1040">
        <f>SUMIFS('25-BRA-I-090'!$DJ:$DJ,'25-BRA-I-090'!$I:$I,L33)+SUMIFS('25-BRA-I-090'!$EC:$EC,'25-BRA-I-090'!$I:$I,L33)</f>
        <v>12</v>
      </c>
      <c r="AI33" s="1040">
        <f>SUMIFS('25-BRA-I-090'!$DK:$DK,'25-BRA-I-090'!$I:$I,L33)+SUMIFS('25-BRA-I-090'!$ED:$ED,'25-BRA-I-090'!$I:$I,L33)</f>
        <v>1884</v>
      </c>
      <c r="AJ33" s="1040">
        <f>SUMIFS('25-BRA-I-090'!$DO:$DO,'25-BRA-I-090'!$I:$I,L33)+26400*SUMIFS('25-BRA-I-090'!$EF:$EF,'25-BRA-I-090'!$I:$I,L33)</f>
        <v>28773823.32</v>
      </c>
      <c r="AK33" s="185">
        <f t="shared" si="1"/>
        <v>16494.5484</v>
      </c>
      <c r="AO33" s="185">
        <v>15272.73</v>
      </c>
      <c r="AR33" s="1064" t="s">
        <v>264</v>
      </c>
      <c r="AS33" s="1065" t="s">
        <v>235</v>
      </c>
      <c r="AT33" s="1064" t="s">
        <v>305</v>
      </c>
      <c r="AU33" s="1066" t="s">
        <v>304</v>
      </c>
      <c r="AV33" s="1067" t="s">
        <v>44</v>
      </c>
    </row>
    <row r="34" spans="1:48" s="1039" customFormat="1">
      <c r="A34" s="372">
        <v>25</v>
      </c>
      <c r="B34" s="1057" t="s">
        <v>306</v>
      </c>
      <c r="C34" s="1058" t="s">
        <v>304</v>
      </c>
      <c r="D34" s="374" t="str">
        <f t="shared" si="0"/>
        <v>Kg</v>
      </c>
      <c r="E34" s="183"/>
      <c r="F34" s="184">
        <f t="shared" si="2"/>
        <v>4.8</v>
      </c>
      <c r="G34" s="185">
        <f t="shared" si="2"/>
        <v>1507.2</v>
      </c>
      <c r="H34" s="185">
        <f t="shared" si="3"/>
        <v>1507.2</v>
      </c>
      <c r="I34" s="185">
        <f t="shared" si="4"/>
        <v>0</v>
      </c>
      <c r="J34" s="185" t="e">
        <f t="shared" si="5"/>
        <v>#DIV/0!</v>
      </c>
      <c r="K34" s="185">
        <f t="shared" si="6"/>
        <v>0</v>
      </c>
      <c r="L34" s="1184" t="s">
        <v>265</v>
      </c>
      <c r="M34" s="1059"/>
      <c r="N34" s="1059"/>
      <c r="O34" s="1038"/>
      <c r="P34" s="1054"/>
      <c r="Q34" s="1054"/>
      <c r="T34" s="1041"/>
      <c r="U34" s="1042"/>
      <c r="V34" s="1042"/>
      <c r="AA34" s="1039" t="str">
        <f>VLOOKUP(L34,'25-BRA-I-090'!$I:$EZ,2,0)</f>
        <v>Tôn tấm</v>
      </c>
      <c r="AB34" s="1039" t="str">
        <f>VLOOKUP(L34,'25-BRA-I-090'!$I:$EZ,3,0)</f>
        <v>PL40x2000x2400</v>
      </c>
      <c r="AC34" s="1039" t="s">
        <v>2620</v>
      </c>
      <c r="AD34" s="1039">
        <f>SUMIFS('25-BRA-I-090'!$CS:$CS,'25-BRA-I-090'!$I:$I,L34)</f>
        <v>4.8</v>
      </c>
      <c r="AE34" s="1039">
        <f>SUMIFS('25-BRA-I-090'!$CT:$CT,'25-BRA-I-090'!$I:$I,L34)</f>
        <v>1507.2</v>
      </c>
      <c r="AF34" s="1039">
        <f>SUMIFS('25-BRA-I-090'!$CW:$CW,'25-BRA-I-090'!$I:$I,L34)</f>
        <v>4.8</v>
      </c>
      <c r="AG34" s="1039">
        <f>SUMIFS('25-BRA-I-090'!$CX:$CX,'25-BRA-I-090'!$I:$I,L34)</f>
        <v>1507.2</v>
      </c>
      <c r="AH34" s="1040">
        <f>SUMIFS('25-BRA-I-090'!$DJ:$DJ,'25-BRA-I-090'!$I:$I,L34)+SUMIFS('25-BRA-I-090'!$EC:$EC,'25-BRA-I-090'!$I:$I,L34)</f>
        <v>0</v>
      </c>
      <c r="AI34" s="1040">
        <f>SUMIFS('25-BRA-I-090'!$DK:$DK,'25-BRA-I-090'!$I:$I,L34)+SUMIFS('25-BRA-I-090'!$ED:$ED,'25-BRA-I-090'!$I:$I,L34)</f>
        <v>0</v>
      </c>
      <c r="AJ34" s="1040">
        <f>SUMIFS('25-BRA-I-090'!$DO:$DO,'25-BRA-I-090'!$I:$I,L34)+26400*SUMIFS('25-BRA-I-090'!$EF:$EF,'25-BRA-I-090'!$I:$I,L34)</f>
        <v>0</v>
      </c>
      <c r="AK34" s="185" t="e">
        <f t="shared" si="1"/>
        <v>#DIV/0!</v>
      </c>
      <c r="AO34" s="185">
        <v>15272.73</v>
      </c>
      <c r="AR34" s="1064" t="s">
        <v>265</v>
      </c>
      <c r="AS34" s="1065" t="s">
        <v>235</v>
      </c>
      <c r="AT34" s="1064" t="s">
        <v>306</v>
      </c>
      <c r="AU34" s="1066" t="s">
        <v>304</v>
      </c>
      <c r="AV34" s="1067" t="s">
        <v>44</v>
      </c>
    </row>
    <row r="35" spans="1:48" s="1039" customFormat="1" ht="30">
      <c r="A35" s="372">
        <v>26</v>
      </c>
      <c r="B35" s="1057" t="s">
        <v>307</v>
      </c>
      <c r="C35" s="1058" t="s">
        <v>308</v>
      </c>
      <c r="D35" s="374" t="str">
        <f t="shared" si="0"/>
        <v>Kg</v>
      </c>
      <c r="E35" s="183"/>
      <c r="F35" s="184">
        <f t="shared" si="2"/>
        <v>619.28159999999991</v>
      </c>
      <c r="G35" s="185">
        <f t="shared" si="2"/>
        <v>12323.703839999996</v>
      </c>
      <c r="H35" s="185">
        <f t="shared" si="3"/>
        <v>0</v>
      </c>
      <c r="I35" s="185">
        <f t="shared" si="4"/>
        <v>12417.6</v>
      </c>
      <c r="J35" s="185">
        <f t="shared" si="5"/>
        <v>26426.400191859946</v>
      </c>
      <c r="K35" s="185">
        <f t="shared" si="6"/>
        <v>328152467.02244008</v>
      </c>
      <c r="L35" s="1184" t="s">
        <v>266</v>
      </c>
      <c r="M35" s="1059"/>
      <c r="N35" s="1059"/>
      <c r="O35" s="1038"/>
      <c r="P35" s="1054"/>
      <c r="Q35" s="1054"/>
      <c r="T35" s="1041"/>
      <c r="U35" s="1042"/>
      <c r="V35" s="1042"/>
      <c r="AA35" s="1039" t="str">
        <f>VLOOKUP(L35,'25-BRA-I-090'!$I:$EZ,2,0)</f>
        <v>Thép hình-H</v>
      </c>
      <c r="AB35" s="1039" t="str">
        <f>VLOOKUP(L35,'25-BRA-I-090'!$I:$EZ,3,0)</f>
        <v>HEA120(H114x120x5x8)-L12000</v>
      </c>
      <c r="AC35" s="1039" t="s">
        <v>2620</v>
      </c>
      <c r="AD35" s="1039">
        <f>SUMIFS('25-BRA-I-090'!$CS:$CS,'25-BRA-I-090'!$I:$I,L35)</f>
        <v>619.28159999999991</v>
      </c>
      <c r="AE35" s="1039">
        <f>SUMIFS('25-BRA-I-090'!$CT:$CT,'25-BRA-I-090'!$I:$I,L35)</f>
        <v>12323.703839999996</v>
      </c>
      <c r="AF35" s="1039">
        <f>SUMIFS('25-BRA-I-090'!$CW:$CW,'25-BRA-I-090'!$I:$I,L35)</f>
        <v>0</v>
      </c>
      <c r="AG35" s="1039">
        <f>SUMIFS('25-BRA-I-090'!$CX:$CX,'25-BRA-I-090'!$I:$I,L35)</f>
        <v>0</v>
      </c>
      <c r="AH35" s="1040">
        <f>SUMIFS('25-BRA-I-090'!$DJ:$DJ,'25-BRA-I-090'!$I:$I,L35)+SUMIFS('25-BRA-I-090'!$EC:$EC,'25-BRA-I-090'!$I:$I,L35)</f>
        <v>624</v>
      </c>
      <c r="AI35" s="1040">
        <f>SUMIFS('25-BRA-I-090'!$DK:$DK,'25-BRA-I-090'!$I:$I,L35)+SUMIFS('25-BRA-I-090'!$ED:$ED,'25-BRA-I-090'!$I:$I,L35)</f>
        <v>12417.6</v>
      </c>
      <c r="AJ35" s="1040">
        <f>SUMIFS('25-BRA-I-090'!$DO:$DO,'25-BRA-I-090'!$I:$I,L35)+26400*SUMIFS('25-BRA-I-090'!$EF:$EF,'25-BRA-I-090'!$I:$I,L35)</f>
        <v>328152467.02244008</v>
      </c>
      <c r="AK35" s="1068">
        <f t="shared" si="1"/>
        <v>28540.512207208743</v>
      </c>
      <c r="AO35" s="1068">
        <v>0.98699999999999999</v>
      </c>
      <c r="AR35" s="1064" t="s">
        <v>266</v>
      </c>
      <c r="AS35" s="1065" t="s">
        <v>267</v>
      </c>
      <c r="AT35" s="1064" t="s">
        <v>307</v>
      </c>
      <c r="AU35" s="1066" t="s">
        <v>308</v>
      </c>
      <c r="AV35" s="1067" t="s">
        <v>61</v>
      </c>
    </row>
    <row r="36" spans="1:48" s="1039" customFormat="1" ht="30">
      <c r="A36" s="372">
        <v>27</v>
      </c>
      <c r="B36" s="1057" t="s">
        <v>309</v>
      </c>
      <c r="C36" s="1058" t="s">
        <v>308</v>
      </c>
      <c r="D36" s="374" t="str">
        <f t="shared" si="0"/>
        <v>Kg</v>
      </c>
      <c r="E36" s="183"/>
      <c r="F36" s="184">
        <f t="shared" si="2"/>
        <v>39.020699999999998</v>
      </c>
      <c r="G36" s="185">
        <f t="shared" si="2"/>
        <v>1650.5756099999996</v>
      </c>
      <c r="H36" s="185">
        <f t="shared" si="3"/>
        <v>0</v>
      </c>
      <c r="I36" s="185">
        <f t="shared" si="4"/>
        <v>2030.3999999999999</v>
      </c>
      <c r="J36" s="185">
        <f t="shared" si="5"/>
        <v>27007.73497922219</v>
      </c>
      <c r="K36" s="185">
        <f t="shared" si="6"/>
        <v>54836505.101812735</v>
      </c>
      <c r="L36" s="1184" t="s">
        <v>268</v>
      </c>
      <c r="M36" s="1059"/>
      <c r="N36" s="1059"/>
      <c r="O36" s="1038"/>
      <c r="P36" s="1054"/>
      <c r="Q36" s="1054"/>
      <c r="T36" s="1041"/>
      <c r="U36" s="1042"/>
      <c r="V36" s="1042"/>
      <c r="AA36" s="1039" t="str">
        <f>VLOOKUP(L36,'25-BRA-I-090'!$I:$EZ,2,0)</f>
        <v>Thép hình-H</v>
      </c>
      <c r="AB36" s="1039" t="str">
        <f>VLOOKUP(L36,'25-BRA-I-090'!$I:$EZ,3,0)</f>
        <v>HEA200(H190x200x6.5x10)-L12000</v>
      </c>
      <c r="AC36" s="1039" t="s">
        <v>2620</v>
      </c>
      <c r="AD36" s="1039">
        <f>SUMIFS('25-BRA-I-090'!$CS:$CS,'25-BRA-I-090'!$I:$I,L36)</f>
        <v>39.020699999999998</v>
      </c>
      <c r="AE36" s="1039">
        <f>SUMIFS('25-BRA-I-090'!$CT:$CT,'25-BRA-I-090'!$I:$I,L36)</f>
        <v>1650.5756099999996</v>
      </c>
      <c r="AF36" s="1039">
        <f>SUMIFS('25-BRA-I-090'!$CW:$CW,'25-BRA-I-090'!$I:$I,L36)</f>
        <v>0</v>
      </c>
      <c r="AG36" s="1039">
        <f>SUMIFS('25-BRA-I-090'!$CX:$CX,'25-BRA-I-090'!$I:$I,L36)</f>
        <v>0</v>
      </c>
      <c r="AH36" s="1040">
        <f>SUMIFS('25-BRA-I-090'!$DJ:$DJ,'25-BRA-I-090'!$I:$I,L36)+SUMIFS('25-BRA-I-090'!$EC:$EC,'25-BRA-I-090'!$I:$I,L36)</f>
        <v>48</v>
      </c>
      <c r="AI36" s="1040">
        <f>SUMIFS('25-BRA-I-090'!$DK:$DK,'25-BRA-I-090'!$I:$I,L36)+SUMIFS('25-BRA-I-090'!$ED:$ED,'25-BRA-I-090'!$I:$I,L36)</f>
        <v>2030.3999999999999</v>
      </c>
      <c r="AJ36" s="1040">
        <f>SUMIFS('25-BRA-I-090'!$DO:$DO,'25-BRA-I-090'!$I:$I,L36)+26400*SUMIFS('25-BRA-I-090'!$EF:$EF,'25-BRA-I-090'!$I:$I,L36)</f>
        <v>54836505.101812735</v>
      </c>
      <c r="AK36" s="1068">
        <f t="shared" si="1"/>
        <v>29168.353777559969</v>
      </c>
      <c r="AO36" s="1068">
        <v>0.98099999999999998</v>
      </c>
      <c r="AR36" s="1064" t="s">
        <v>268</v>
      </c>
      <c r="AS36" s="1065" t="s">
        <v>267</v>
      </c>
      <c r="AT36" s="1064" t="s">
        <v>309</v>
      </c>
      <c r="AU36" s="1066" t="s">
        <v>308</v>
      </c>
      <c r="AV36" s="1067" t="s">
        <v>61</v>
      </c>
    </row>
    <row r="37" spans="1:48" s="1039" customFormat="1" ht="45">
      <c r="A37" s="372">
        <v>28</v>
      </c>
      <c r="B37" s="1057" t="s">
        <v>310</v>
      </c>
      <c r="C37" s="1058" t="s">
        <v>308</v>
      </c>
      <c r="D37" s="374" t="str">
        <f t="shared" si="0"/>
        <v>Kg</v>
      </c>
      <c r="E37" s="183"/>
      <c r="F37" s="184">
        <f t="shared" si="2"/>
        <v>1488</v>
      </c>
      <c r="G37" s="185">
        <f t="shared" si="2"/>
        <v>156240</v>
      </c>
      <c r="H37" s="185">
        <f t="shared" si="3"/>
        <v>0</v>
      </c>
      <c r="I37" s="185">
        <f t="shared" si="4"/>
        <v>156240</v>
      </c>
      <c r="J37" s="185">
        <f t="shared" si="5"/>
        <v>27616.341586375034</v>
      </c>
      <c r="K37" s="185">
        <f t="shared" si="6"/>
        <v>4314777209.4552355</v>
      </c>
      <c r="L37" s="1184" t="s">
        <v>269</v>
      </c>
      <c r="M37" s="1059"/>
      <c r="N37" s="1059"/>
      <c r="O37" s="1038"/>
      <c r="P37" s="1054"/>
      <c r="Q37" s="1054"/>
      <c r="T37" s="1041"/>
      <c r="U37" s="1042"/>
      <c r="V37" s="1042"/>
      <c r="AA37" s="1039" t="str">
        <f>VLOOKUP(L37,'25-BRA-I-090'!$I:$EZ,2,0)</f>
        <v>Thép hình-H</v>
      </c>
      <c r="AB37" s="1039" t="str">
        <f>VLOOKUP(L37,'25-BRA-I-090'!$I:$EZ,3,0)</f>
        <v>HEA340(H330x300x9.5x16.5)-L12000</v>
      </c>
      <c r="AC37" s="1039" t="s">
        <v>2620</v>
      </c>
      <c r="AD37" s="1039">
        <f>SUMIFS('25-BRA-I-090'!$CS:$CS,'25-BRA-I-090'!$I:$I,L37)</f>
        <v>1488</v>
      </c>
      <c r="AE37" s="1039">
        <f>SUMIFS('25-BRA-I-090'!$CT:$CT,'25-BRA-I-090'!$I:$I,L37)</f>
        <v>156240</v>
      </c>
      <c r="AF37" s="1039">
        <f>SUMIFS('25-BRA-I-090'!$CW:$CW,'25-BRA-I-090'!$I:$I,L37)</f>
        <v>0</v>
      </c>
      <c r="AG37" s="1039">
        <f>SUMIFS('25-BRA-I-090'!$CX:$CX,'25-BRA-I-090'!$I:$I,L37)</f>
        <v>0</v>
      </c>
      <c r="AH37" s="1040">
        <f>SUMIFS('25-BRA-I-090'!$DJ:$DJ,'25-BRA-I-090'!$I:$I,L37)+SUMIFS('25-BRA-I-090'!$EC:$EC,'25-BRA-I-090'!$I:$I,L37)</f>
        <v>1488</v>
      </c>
      <c r="AI37" s="1040">
        <f>SUMIFS('25-BRA-I-090'!$DK:$DK,'25-BRA-I-090'!$I:$I,L37)+SUMIFS('25-BRA-I-090'!$ED:$ED,'25-BRA-I-090'!$I:$I,L37)</f>
        <v>156240</v>
      </c>
      <c r="AJ37" s="1040">
        <f>SUMIFS('25-BRA-I-090'!$DO:$DO,'25-BRA-I-090'!$I:$I,L37)+26400*SUMIFS('25-BRA-I-090'!$EF:$EF,'25-BRA-I-090'!$I:$I,L37)</f>
        <v>4314777209.4552355</v>
      </c>
      <c r="AK37" s="1068">
        <f t="shared" si="1"/>
        <v>29825.64891328504</v>
      </c>
      <c r="AO37" s="1068">
        <v>0.99399999999999999</v>
      </c>
      <c r="AR37" s="1064" t="s">
        <v>269</v>
      </c>
      <c r="AS37" s="1065" t="s">
        <v>267</v>
      </c>
      <c r="AT37" s="1064" t="s">
        <v>310</v>
      </c>
      <c r="AU37" s="1066" t="s">
        <v>308</v>
      </c>
      <c r="AV37" s="1067" t="s">
        <v>61</v>
      </c>
    </row>
    <row r="38" spans="1:48" s="1039" customFormat="1" ht="60">
      <c r="A38" s="372">
        <v>29</v>
      </c>
      <c r="B38" s="1057" t="s">
        <v>311</v>
      </c>
      <c r="C38" s="1058" t="s">
        <v>308</v>
      </c>
      <c r="D38" s="374" t="str">
        <f t="shared" si="0"/>
        <v>Kg</v>
      </c>
      <c r="E38" s="183"/>
      <c r="F38" s="184">
        <f t="shared" si="2"/>
        <v>6.5</v>
      </c>
      <c r="G38" s="185">
        <f t="shared" si="2"/>
        <v>540.79999999999995</v>
      </c>
      <c r="H38" s="185">
        <f t="shared" si="3"/>
        <v>0</v>
      </c>
      <c r="I38" s="185">
        <f t="shared" si="4"/>
        <v>998.4</v>
      </c>
      <c r="J38" s="185">
        <f t="shared" si="5"/>
        <v>26162.400191859942</v>
      </c>
      <c r="K38" s="185">
        <f t="shared" si="6"/>
        <v>26120540.351552967</v>
      </c>
      <c r="L38" s="1184" t="s">
        <v>270</v>
      </c>
      <c r="M38" s="1059"/>
      <c r="N38" s="1059"/>
      <c r="O38" s="1038"/>
      <c r="P38" s="1054"/>
      <c r="Q38" s="1054"/>
      <c r="T38" s="1041"/>
      <c r="U38" s="1042"/>
      <c r="V38" s="1042"/>
      <c r="AA38" s="1039" t="str">
        <f>VLOOKUP(L38,'25-BRA-I-090'!$I:$EZ,2,0)</f>
        <v>Thép hình-H</v>
      </c>
      <c r="AB38" s="1039" t="str">
        <f>VLOOKUP(L38,'25-BRA-I-090'!$I:$EZ,3,0)</f>
        <v>HEB240(H240x240x10x17)-L3000; HEB240(H240x240x10x17)-L3500</v>
      </c>
      <c r="AC38" s="1039" t="s">
        <v>2620</v>
      </c>
      <c r="AD38" s="1039">
        <f>SUMIFS('25-BRA-I-090'!$CS:$CS,'25-BRA-I-090'!$I:$I,L38)</f>
        <v>6.5</v>
      </c>
      <c r="AE38" s="1039">
        <f>SUMIFS('25-BRA-I-090'!$CT:$CT,'25-BRA-I-090'!$I:$I,L38)</f>
        <v>540.79999999999995</v>
      </c>
      <c r="AF38" s="1039">
        <f>SUMIFS('25-BRA-I-090'!$CW:$CW,'25-BRA-I-090'!$I:$I,L38)</f>
        <v>0</v>
      </c>
      <c r="AG38" s="1039">
        <f>SUMIFS('25-BRA-I-090'!$CX:$CX,'25-BRA-I-090'!$I:$I,L38)</f>
        <v>0</v>
      </c>
      <c r="AH38" s="1040">
        <f>SUMIFS('25-BRA-I-090'!$DJ:$DJ,'25-BRA-I-090'!$I:$I,L38)+SUMIFS('25-BRA-I-090'!$EC:$EC,'25-BRA-I-090'!$I:$I,L38)</f>
        <v>12</v>
      </c>
      <c r="AI38" s="1040">
        <f>SUMIFS('25-BRA-I-090'!$DK:$DK,'25-BRA-I-090'!$I:$I,L38)+SUMIFS('25-BRA-I-090'!$ED:$ED,'25-BRA-I-090'!$I:$I,L38)</f>
        <v>998.4</v>
      </c>
      <c r="AJ38" s="1040">
        <f>SUMIFS('25-BRA-I-090'!$DO:$DO,'25-BRA-I-090'!$I:$I,L38)+26400*SUMIFS('25-BRA-I-090'!$EF:$EF,'25-BRA-I-090'!$I:$I,L38)</f>
        <v>26120540.351552967</v>
      </c>
      <c r="AK38" s="1068">
        <f t="shared" si="1"/>
        <v>28255.392207208741</v>
      </c>
      <c r="AO38" s="1068">
        <v>0.97699999999999998</v>
      </c>
      <c r="AR38" s="1064" t="s">
        <v>270</v>
      </c>
      <c r="AS38" s="1065" t="s">
        <v>267</v>
      </c>
      <c r="AT38" s="1064" t="s">
        <v>718</v>
      </c>
      <c r="AU38" s="1066" t="s">
        <v>308</v>
      </c>
      <c r="AV38" s="1067" t="s">
        <v>61</v>
      </c>
    </row>
    <row r="39" spans="1:48" s="1039" customFormat="1" ht="30">
      <c r="A39" s="372">
        <v>30</v>
      </c>
      <c r="B39" s="1057" t="s">
        <v>312</v>
      </c>
      <c r="C39" s="1058" t="s">
        <v>308</v>
      </c>
      <c r="D39" s="374" t="str">
        <f t="shared" si="0"/>
        <v>Kg</v>
      </c>
      <c r="E39" s="183"/>
      <c r="F39" s="184">
        <f t="shared" si="2"/>
        <v>120</v>
      </c>
      <c r="G39" s="185">
        <f t="shared" si="2"/>
        <v>14040</v>
      </c>
      <c r="H39" s="185">
        <f t="shared" si="3"/>
        <v>0</v>
      </c>
      <c r="I39" s="185">
        <f t="shared" si="4"/>
        <v>7020</v>
      </c>
      <c r="J39" s="185">
        <f t="shared" si="5"/>
        <v>26162.400191859942</v>
      </c>
      <c r="K39" s="185">
        <f t="shared" si="6"/>
        <v>183660049.3468568</v>
      </c>
      <c r="L39" s="1184" t="s">
        <v>271</v>
      </c>
      <c r="M39" s="1059"/>
      <c r="N39" s="1059"/>
      <c r="O39" s="1038"/>
      <c r="P39" s="1054"/>
      <c r="Q39" s="1054"/>
      <c r="T39" s="1041"/>
      <c r="U39" s="1042"/>
      <c r="V39" s="1042"/>
      <c r="AA39" s="1039" t="str">
        <f>VLOOKUP(L39,'25-BRA-I-090'!$I:$EZ,2,0)</f>
        <v>Thép hình-H</v>
      </c>
      <c r="AB39" s="1039" t="str">
        <f>VLOOKUP(L39,'25-BRA-I-090'!$I:$EZ,3,0)</f>
        <v>HEB300(H300x300x11x19)-L12000</v>
      </c>
      <c r="AC39" s="1039" t="s">
        <v>2620</v>
      </c>
      <c r="AD39" s="1039">
        <f>SUMIFS('25-BRA-I-090'!$CS:$CS,'25-BRA-I-090'!$I:$I,L39)</f>
        <v>120</v>
      </c>
      <c r="AE39" s="1039">
        <f>SUMIFS('25-BRA-I-090'!$CT:$CT,'25-BRA-I-090'!$I:$I,L39)</f>
        <v>14040</v>
      </c>
      <c r="AF39" s="1039">
        <f>SUMIFS('25-BRA-I-090'!$CW:$CW,'25-BRA-I-090'!$I:$I,L39)</f>
        <v>0</v>
      </c>
      <c r="AG39" s="1039">
        <f>SUMIFS('25-BRA-I-090'!$CX:$CX,'25-BRA-I-090'!$I:$I,L39)</f>
        <v>0</v>
      </c>
      <c r="AH39" s="1040">
        <f>SUMIFS('25-BRA-I-090'!$DJ:$DJ,'25-BRA-I-090'!$I:$I,L39)+SUMIFS('25-BRA-I-090'!$EC:$EC,'25-BRA-I-090'!$I:$I,L39)</f>
        <v>60</v>
      </c>
      <c r="AI39" s="1040">
        <f>SUMIFS('25-BRA-I-090'!$DK:$DK,'25-BRA-I-090'!$I:$I,L39)+SUMIFS('25-BRA-I-090'!$ED:$ED,'25-BRA-I-090'!$I:$I,L39)</f>
        <v>7020</v>
      </c>
      <c r="AJ39" s="1040">
        <f>SUMIFS('25-BRA-I-090'!$DO:$DO,'25-BRA-I-090'!$I:$I,L39)+26400*SUMIFS('25-BRA-I-090'!$EF:$EF,'25-BRA-I-090'!$I:$I,L39)</f>
        <v>183660049.3468568</v>
      </c>
      <c r="AK39" s="1068">
        <f t="shared" si="1"/>
        <v>28255.392207208741</v>
      </c>
      <c r="AO39" s="1068">
        <v>0.97699999999999998</v>
      </c>
      <c r="AR39" s="1064" t="s">
        <v>271</v>
      </c>
      <c r="AS39" s="1065" t="s">
        <v>267</v>
      </c>
      <c r="AT39" s="1064" t="s">
        <v>312</v>
      </c>
      <c r="AU39" s="1066" t="s">
        <v>308</v>
      </c>
      <c r="AV39" s="1067" t="s">
        <v>61</v>
      </c>
    </row>
    <row r="40" spans="1:48" s="1039" customFormat="1" ht="30">
      <c r="A40" s="372">
        <v>31</v>
      </c>
      <c r="B40" s="1057" t="s">
        <v>313</v>
      </c>
      <c r="C40" s="1058" t="s">
        <v>308</v>
      </c>
      <c r="D40" s="374" t="str">
        <f t="shared" si="0"/>
        <v>Kg</v>
      </c>
      <c r="E40" s="183"/>
      <c r="F40" s="184">
        <f t="shared" si="2"/>
        <v>75.087599999999995</v>
      </c>
      <c r="G40" s="185">
        <f t="shared" si="2"/>
        <v>1411.64688</v>
      </c>
      <c r="H40" s="185">
        <f t="shared" si="3"/>
        <v>0</v>
      </c>
      <c r="I40" s="185">
        <f t="shared" si="4"/>
        <v>1579.2</v>
      </c>
      <c r="J40" s="185">
        <f t="shared" si="5"/>
        <v>26347.200191859942</v>
      </c>
      <c r="K40" s="185">
        <f t="shared" si="6"/>
        <v>41607498.542985223</v>
      </c>
      <c r="L40" s="1184" t="s">
        <v>272</v>
      </c>
      <c r="M40" s="1059"/>
      <c r="N40" s="1059"/>
      <c r="O40" s="1038"/>
      <c r="P40" s="1054"/>
      <c r="Q40" s="1054"/>
      <c r="T40" s="1041"/>
      <c r="U40" s="1042"/>
      <c r="V40" s="1042"/>
      <c r="AA40" s="1039" t="str">
        <f>VLOOKUP(L40,'25-BRA-I-090'!$I:$EZ,2,0)</f>
        <v>Thép hình-H</v>
      </c>
      <c r="AB40" s="1039" t="str">
        <f>VLOOKUP(L40,'25-BRA-I-090'!$I:$EZ,3,0)</f>
        <v>IPE180(H180x91x5.3x8)-L12000</v>
      </c>
      <c r="AC40" s="1039" t="s">
        <v>2620</v>
      </c>
      <c r="AD40" s="1039">
        <f>SUMIFS('25-BRA-I-090'!$CS:$CS,'25-BRA-I-090'!$I:$I,L40)</f>
        <v>75.087599999999995</v>
      </c>
      <c r="AE40" s="1039">
        <f>SUMIFS('25-BRA-I-090'!$CT:$CT,'25-BRA-I-090'!$I:$I,L40)</f>
        <v>1411.64688</v>
      </c>
      <c r="AF40" s="1039">
        <f>SUMIFS('25-BRA-I-090'!$CW:$CW,'25-BRA-I-090'!$I:$I,L40)</f>
        <v>0</v>
      </c>
      <c r="AG40" s="1039">
        <f>SUMIFS('25-BRA-I-090'!$CX:$CX,'25-BRA-I-090'!$I:$I,L40)</f>
        <v>0</v>
      </c>
      <c r="AH40" s="1040">
        <f>SUMIFS('25-BRA-I-090'!$DJ:$DJ,'25-BRA-I-090'!$I:$I,L40)+SUMIFS('25-BRA-I-090'!$EC:$EC,'25-BRA-I-090'!$I:$I,L40)</f>
        <v>84</v>
      </c>
      <c r="AI40" s="1040">
        <f>SUMIFS('25-BRA-I-090'!$DK:$DK,'25-BRA-I-090'!$I:$I,L40)+SUMIFS('25-BRA-I-090'!$ED:$ED,'25-BRA-I-090'!$I:$I,L40)</f>
        <v>1579.2</v>
      </c>
      <c r="AJ40" s="1040">
        <f>SUMIFS('25-BRA-I-090'!$DO:$DO,'25-BRA-I-090'!$I:$I,L40)+26400*SUMIFS('25-BRA-I-090'!$EF:$EF,'25-BRA-I-090'!$I:$I,L40)</f>
        <v>41607498.542985223</v>
      </c>
      <c r="AK40" s="1068">
        <f t="shared" si="1"/>
        <v>28454.97620720874</v>
      </c>
      <c r="AO40" s="1068">
        <v>0.98399999999999999</v>
      </c>
      <c r="AR40" s="1064" t="s">
        <v>272</v>
      </c>
      <c r="AS40" s="1065" t="s">
        <v>267</v>
      </c>
      <c r="AT40" s="1064" t="s">
        <v>313</v>
      </c>
      <c r="AU40" s="1066" t="s">
        <v>308</v>
      </c>
      <c r="AV40" s="1067" t="s">
        <v>61</v>
      </c>
    </row>
    <row r="41" spans="1:48" s="1039" customFormat="1" ht="30">
      <c r="A41" s="372">
        <v>32</v>
      </c>
      <c r="B41" s="1057" t="s">
        <v>314</v>
      </c>
      <c r="C41" s="1058" t="s">
        <v>308</v>
      </c>
      <c r="D41" s="374" t="str">
        <f t="shared" si="0"/>
        <v>Kg</v>
      </c>
      <c r="E41" s="183"/>
      <c r="F41" s="184">
        <f t="shared" si="2"/>
        <v>320.18279999999999</v>
      </c>
      <c r="G41" s="185">
        <f t="shared" si="2"/>
        <v>11558.59908</v>
      </c>
      <c r="H41" s="185">
        <f t="shared" si="3"/>
        <v>0</v>
      </c>
      <c r="I41" s="185">
        <f t="shared" si="4"/>
        <v>11696.4</v>
      </c>
      <c r="J41" s="185">
        <f t="shared" si="5"/>
        <v>26320.80019185994</v>
      </c>
      <c r="K41" s="185">
        <f t="shared" si="6"/>
        <v>307858607.36407059</v>
      </c>
      <c r="L41" s="1184" t="s">
        <v>273</v>
      </c>
      <c r="M41" s="1059"/>
      <c r="N41" s="1059"/>
      <c r="O41" s="1038"/>
      <c r="P41" s="1054"/>
      <c r="Q41" s="1054"/>
      <c r="T41" s="1041"/>
      <c r="U41" s="1042"/>
      <c r="V41" s="1042"/>
      <c r="AA41" s="1039" t="str">
        <f>VLOOKUP(L41,'25-BRA-I-090'!$I:$EZ,2,0)</f>
        <v>Thép hình-H</v>
      </c>
      <c r="AB41" s="1039" t="str">
        <f>VLOOKUP(L41,'25-BRA-I-090'!$I:$EZ,3,0)</f>
        <v>IPE270(H270x135x6.6x10.2)-L12000</v>
      </c>
      <c r="AC41" s="1039" t="s">
        <v>2620</v>
      </c>
      <c r="AD41" s="1039">
        <f>SUMIFS('25-BRA-I-090'!$CS:$CS,'25-BRA-I-090'!$I:$I,L41)</f>
        <v>320.18279999999999</v>
      </c>
      <c r="AE41" s="1039">
        <f>SUMIFS('25-BRA-I-090'!$CT:$CT,'25-BRA-I-090'!$I:$I,L41)</f>
        <v>11558.59908</v>
      </c>
      <c r="AF41" s="1039">
        <f>SUMIFS('25-BRA-I-090'!$CW:$CW,'25-BRA-I-090'!$I:$I,L41)</f>
        <v>0</v>
      </c>
      <c r="AG41" s="1039">
        <f>SUMIFS('25-BRA-I-090'!$CX:$CX,'25-BRA-I-090'!$I:$I,L41)</f>
        <v>0</v>
      </c>
      <c r="AH41" s="1040">
        <f>SUMIFS('25-BRA-I-090'!$DJ:$DJ,'25-BRA-I-090'!$I:$I,L41)+SUMIFS('25-BRA-I-090'!$EC:$EC,'25-BRA-I-090'!$I:$I,L41)</f>
        <v>324</v>
      </c>
      <c r="AI41" s="1040">
        <f>SUMIFS('25-BRA-I-090'!$DK:$DK,'25-BRA-I-090'!$I:$I,L41)+SUMIFS('25-BRA-I-090'!$ED:$ED,'25-BRA-I-090'!$I:$I,L41)</f>
        <v>11696.4</v>
      </c>
      <c r="AJ41" s="1040">
        <f>SUMIFS('25-BRA-I-090'!$DO:$DO,'25-BRA-I-090'!$I:$I,L41)+26400*SUMIFS('25-BRA-I-090'!$EF:$EF,'25-BRA-I-090'!$I:$I,L41)</f>
        <v>307858607.36407059</v>
      </c>
      <c r="AK41" s="1068">
        <f t="shared" si="1"/>
        <v>28426.464207208737</v>
      </c>
      <c r="AO41" s="1068">
        <v>0.98299999999999998</v>
      </c>
      <c r="AR41" s="1064" t="s">
        <v>273</v>
      </c>
      <c r="AS41" s="1065" t="s">
        <v>267</v>
      </c>
      <c r="AT41" s="1064" t="s">
        <v>314</v>
      </c>
      <c r="AU41" s="1066" t="s">
        <v>308</v>
      </c>
      <c r="AV41" s="1067" t="s">
        <v>61</v>
      </c>
    </row>
    <row r="42" spans="1:48" s="1039" customFormat="1" ht="30">
      <c r="A42" s="372">
        <v>33</v>
      </c>
      <c r="B42" s="1057" t="s">
        <v>315</v>
      </c>
      <c r="C42" s="1058" t="s">
        <v>308</v>
      </c>
      <c r="D42" s="374" t="str">
        <f t="shared" si="0"/>
        <v>Kg</v>
      </c>
      <c r="E42" s="183"/>
      <c r="F42" s="184">
        <f t="shared" si="2"/>
        <v>215.13539999999998</v>
      </c>
      <c r="G42" s="185">
        <f t="shared" si="2"/>
        <v>9078.7138799999993</v>
      </c>
      <c r="H42" s="185">
        <f t="shared" si="3"/>
        <v>0</v>
      </c>
      <c r="I42" s="185">
        <f t="shared" si="4"/>
        <v>9115.2000000000007</v>
      </c>
      <c r="J42" s="185">
        <f t="shared" si="5"/>
        <v>27430.550924948377</v>
      </c>
      <c r="K42" s="185">
        <f t="shared" si="6"/>
        <v>250034957.79108948</v>
      </c>
      <c r="L42" s="1184" t="s">
        <v>274</v>
      </c>
      <c r="M42" s="1059"/>
      <c r="N42" s="1059"/>
      <c r="O42" s="1038"/>
      <c r="P42" s="1054"/>
      <c r="Q42" s="1054"/>
      <c r="T42" s="1041"/>
      <c r="U42" s="1042"/>
      <c r="V42" s="1042"/>
      <c r="AA42" s="1039" t="str">
        <f>VLOOKUP(L42,'25-BRA-I-090'!$I:$EZ,2,0)</f>
        <v>Thép hình-H</v>
      </c>
      <c r="AB42" s="1039" t="str">
        <f>VLOOKUP(L42,'25-BRA-I-090'!$I:$EZ,3,0)</f>
        <v>IPE300(H300x150x7.1x10.7)-L12000</v>
      </c>
      <c r="AC42" s="1039" t="s">
        <v>2620</v>
      </c>
      <c r="AD42" s="1039">
        <f>SUMIFS('25-BRA-I-090'!$CS:$CS,'25-BRA-I-090'!$I:$I,L42)</f>
        <v>215.13539999999998</v>
      </c>
      <c r="AE42" s="1039">
        <f>SUMIFS('25-BRA-I-090'!$CT:$CT,'25-BRA-I-090'!$I:$I,L42)</f>
        <v>9078.7138799999993</v>
      </c>
      <c r="AF42" s="1039">
        <f>SUMIFS('25-BRA-I-090'!$CW:$CW,'25-BRA-I-090'!$I:$I,L42)</f>
        <v>0</v>
      </c>
      <c r="AG42" s="1039">
        <f>SUMIFS('25-BRA-I-090'!$CX:$CX,'25-BRA-I-090'!$I:$I,L42)</f>
        <v>0</v>
      </c>
      <c r="AH42" s="1040">
        <f>SUMIFS('25-BRA-I-090'!$DJ:$DJ,'25-BRA-I-090'!$I:$I,L42)+SUMIFS('25-BRA-I-090'!$EC:$EC,'25-BRA-I-090'!$I:$I,L42)</f>
        <v>216</v>
      </c>
      <c r="AI42" s="1040">
        <f>SUMIFS('25-BRA-I-090'!$DK:$DK,'25-BRA-I-090'!$I:$I,L42)+SUMIFS('25-BRA-I-090'!$ED:$ED,'25-BRA-I-090'!$I:$I,L42)</f>
        <v>9115.2000000000007</v>
      </c>
      <c r="AJ42" s="1040">
        <f>SUMIFS('25-BRA-I-090'!$DO:$DO,'25-BRA-I-090'!$I:$I,L42)+26400*SUMIFS('25-BRA-I-090'!$EF:$EF,'25-BRA-I-090'!$I:$I,L42)</f>
        <v>250034957.79108948</v>
      </c>
      <c r="AK42" s="1068">
        <f t="shared" si="1"/>
        <v>29624.99499894425</v>
      </c>
      <c r="AO42" s="1068">
        <v>0.98099999999999998</v>
      </c>
      <c r="AR42" s="1064" t="s">
        <v>274</v>
      </c>
      <c r="AS42" s="1065" t="s">
        <v>267</v>
      </c>
      <c r="AT42" s="1064" t="s">
        <v>315</v>
      </c>
      <c r="AU42" s="1066" t="s">
        <v>308</v>
      </c>
      <c r="AV42" s="1067" t="s">
        <v>61</v>
      </c>
    </row>
    <row r="43" spans="1:48" s="1039" customFormat="1" ht="30">
      <c r="A43" s="372">
        <v>34</v>
      </c>
      <c r="B43" s="1057" t="s">
        <v>316</v>
      </c>
      <c r="C43" s="1058" t="s">
        <v>308</v>
      </c>
      <c r="D43" s="374" t="str">
        <f t="shared" si="0"/>
        <v>Kg</v>
      </c>
      <c r="E43" s="183"/>
      <c r="F43" s="184">
        <f t="shared" si="2"/>
        <v>492</v>
      </c>
      <c r="G43" s="185">
        <f t="shared" si="2"/>
        <v>24157.200000000001</v>
      </c>
      <c r="H43" s="185">
        <f t="shared" si="3"/>
        <v>0</v>
      </c>
      <c r="I43" s="185">
        <f t="shared" si="4"/>
        <v>24206.400000000001</v>
      </c>
      <c r="J43" s="185">
        <f t="shared" si="5"/>
        <v>27832.003596415445</v>
      </c>
      <c r="K43" s="185">
        <f t="shared" si="6"/>
        <v>673712611.85627091</v>
      </c>
      <c r="L43" s="1184" t="s">
        <v>275</v>
      </c>
      <c r="M43" s="1059"/>
      <c r="N43" s="1059"/>
      <c r="O43" s="1038"/>
      <c r="P43" s="1054"/>
      <c r="Q43" s="1054"/>
      <c r="T43" s="1041"/>
      <c r="U43" s="1042"/>
      <c r="V43" s="1042"/>
      <c r="AA43" s="1039" t="str">
        <f>VLOOKUP(L43,'25-BRA-I-090'!$I:$EZ,2,0)</f>
        <v>Thép hình-H</v>
      </c>
      <c r="AB43" s="1039" t="str">
        <f>VLOOKUP(L43,'25-BRA-I-090'!$I:$EZ,3,0)</f>
        <v>IPE330(H330x160x7.5x11.5)-L12000</v>
      </c>
      <c r="AC43" s="1039" t="s">
        <v>2620</v>
      </c>
      <c r="AD43" s="1039">
        <f>SUMIFS('25-BRA-I-090'!$CS:$CS,'25-BRA-I-090'!$I:$I,L43)</f>
        <v>492</v>
      </c>
      <c r="AE43" s="1039">
        <f>SUMIFS('25-BRA-I-090'!$CT:$CT,'25-BRA-I-090'!$I:$I,L43)</f>
        <v>24157.200000000001</v>
      </c>
      <c r="AF43" s="1039">
        <f>SUMIFS('25-BRA-I-090'!$CW:$CW,'25-BRA-I-090'!$I:$I,L43)</f>
        <v>0</v>
      </c>
      <c r="AG43" s="1039">
        <f>SUMIFS('25-BRA-I-090'!$CX:$CX,'25-BRA-I-090'!$I:$I,L43)</f>
        <v>0</v>
      </c>
      <c r="AH43" s="1040">
        <f>SUMIFS('25-BRA-I-090'!$DJ:$DJ,'25-BRA-I-090'!$I:$I,L43)+SUMIFS('25-BRA-I-090'!$EC:$EC,'25-BRA-I-090'!$I:$I,L43)</f>
        <v>492</v>
      </c>
      <c r="AI43" s="1040">
        <f>SUMIFS('25-BRA-I-090'!$DK:$DK,'25-BRA-I-090'!$I:$I,L43)+SUMIFS('25-BRA-I-090'!$ED:$ED,'25-BRA-I-090'!$I:$I,L43)</f>
        <v>24206.400000000001</v>
      </c>
      <c r="AJ43" s="1040">
        <f>SUMIFS('25-BRA-I-090'!$DO:$DO,'25-BRA-I-090'!$I:$I,L43)+26400*SUMIFS('25-BRA-I-090'!$EF:$EF,'25-BRA-I-090'!$I:$I,L43)</f>
        <v>673712611.85627091</v>
      </c>
      <c r="AK43" s="1068">
        <f t="shared" si="1"/>
        <v>30058.563884128682</v>
      </c>
      <c r="AO43" s="1068">
        <v>0.98399999999999999</v>
      </c>
      <c r="AR43" s="1064" t="s">
        <v>275</v>
      </c>
      <c r="AS43" s="1065" t="s">
        <v>267</v>
      </c>
      <c r="AT43" s="1064" t="s">
        <v>316</v>
      </c>
      <c r="AU43" s="1066" t="s">
        <v>308</v>
      </c>
      <c r="AV43" s="1067" t="s">
        <v>61</v>
      </c>
    </row>
    <row r="44" spans="1:48" s="1039" customFormat="1" ht="30">
      <c r="A44" s="372">
        <v>35</v>
      </c>
      <c r="B44" s="1057" t="s">
        <v>317</v>
      </c>
      <c r="C44" s="1058" t="s">
        <v>308</v>
      </c>
      <c r="D44" s="374" t="str">
        <f t="shared" si="0"/>
        <v>Kg</v>
      </c>
      <c r="E44" s="183"/>
      <c r="F44" s="184">
        <f t="shared" si="2"/>
        <v>824.79056000000014</v>
      </c>
      <c r="G44" s="185">
        <f t="shared" si="2"/>
        <v>31259.562224000001</v>
      </c>
      <c r="H44" s="185">
        <f t="shared" si="3"/>
        <v>0</v>
      </c>
      <c r="I44" s="185">
        <f t="shared" si="4"/>
        <v>31381.199999999997</v>
      </c>
      <c r="J44" s="185">
        <f t="shared" si="5"/>
        <v>48548.296608995697</v>
      </c>
      <c r="K44" s="185">
        <f t="shared" si="6"/>
        <v>1523503805.5462155</v>
      </c>
      <c r="L44" s="1184" t="s">
        <v>276</v>
      </c>
      <c r="M44" s="1059"/>
      <c r="N44" s="1059"/>
      <c r="O44" s="1038"/>
      <c r="P44" s="1054"/>
      <c r="Q44" s="1054"/>
      <c r="T44" s="1041"/>
      <c r="U44" s="1042"/>
      <c r="V44" s="1042"/>
      <c r="AA44" s="1039" t="str">
        <f>VLOOKUP(L44,'25-BRA-I-090'!$I:$EZ,2,0)</f>
        <v>Thép hình-C</v>
      </c>
      <c r="AB44" s="1039" t="str">
        <f>VLOOKUP(L44,'25-BRA-I-090'!$I:$EZ,3,0)</f>
        <v>UNP260(C260x90x10x14)-L12000</v>
      </c>
      <c r="AC44" s="1039" t="s">
        <v>2620</v>
      </c>
      <c r="AD44" s="1039">
        <f>SUMIFS('25-BRA-I-090'!$CS:$CS,'25-BRA-I-090'!$I:$I,L44)</f>
        <v>824.79056000000014</v>
      </c>
      <c r="AE44" s="1039">
        <f>SUMIFS('25-BRA-I-090'!$CT:$CT,'25-BRA-I-090'!$I:$I,L44)</f>
        <v>31259.562224000001</v>
      </c>
      <c r="AF44" s="1039">
        <f>SUMIFS('25-BRA-I-090'!$CW:$CW,'25-BRA-I-090'!$I:$I,L44)</f>
        <v>0</v>
      </c>
      <c r="AG44" s="1039">
        <f>SUMIFS('25-BRA-I-090'!$CX:$CX,'25-BRA-I-090'!$I:$I,L44)</f>
        <v>0</v>
      </c>
      <c r="AH44" s="1040">
        <f>SUMIFS('25-BRA-I-090'!$DJ:$DJ,'25-BRA-I-090'!$I:$I,L44)+SUMIFS('25-BRA-I-090'!$EC:$EC,'25-BRA-I-090'!$I:$I,L44)</f>
        <v>828</v>
      </c>
      <c r="AI44" s="1040">
        <f>SUMIFS('25-BRA-I-090'!$DK:$DK,'25-BRA-I-090'!$I:$I,L44)+SUMIFS('25-BRA-I-090'!$ED:$ED,'25-BRA-I-090'!$I:$I,L44)</f>
        <v>31381.199999999997</v>
      </c>
      <c r="AJ44" s="1040">
        <f>SUMIFS('25-BRA-I-090'!$DO:$DO,'25-BRA-I-090'!$I:$I,L44)+26400*SUMIFS('25-BRA-I-090'!$EF:$EF,'25-BRA-I-090'!$I:$I,L44)</f>
        <v>1523503805.5462155</v>
      </c>
      <c r="AK44" s="1068">
        <f t="shared" si="1"/>
        <v>52432.160337715359</v>
      </c>
      <c r="AO44" s="1068">
        <v>1.7789999999999999</v>
      </c>
      <c r="AR44" s="1064" t="s">
        <v>276</v>
      </c>
      <c r="AS44" s="1065" t="s">
        <v>277</v>
      </c>
      <c r="AT44" s="1064" t="s">
        <v>317</v>
      </c>
      <c r="AU44" s="1066" t="s">
        <v>308</v>
      </c>
      <c r="AV44" s="1067" t="s">
        <v>61</v>
      </c>
    </row>
    <row r="45" spans="1:48" s="1039" customFormat="1" ht="30">
      <c r="A45" s="372">
        <v>36</v>
      </c>
      <c r="B45" s="1057" t="s">
        <v>318</v>
      </c>
      <c r="C45" s="1058" t="s">
        <v>308</v>
      </c>
      <c r="D45" s="374" t="str">
        <f t="shared" si="0"/>
        <v>Kg</v>
      </c>
      <c r="E45" s="183"/>
      <c r="F45" s="184">
        <f t="shared" si="2"/>
        <v>780</v>
      </c>
      <c r="G45" s="185">
        <f t="shared" si="2"/>
        <v>36036</v>
      </c>
      <c r="H45" s="185">
        <f t="shared" si="3"/>
        <v>0</v>
      </c>
      <c r="I45" s="185">
        <f t="shared" si="4"/>
        <v>36036</v>
      </c>
      <c r="J45" s="185">
        <f t="shared" si="5"/>
        <v>27877.685822290088</v>
      </c>
      <c r="K45" s="185">
        <f t="shared" si="6"/>
        <v>1004600286.2920456</v>
      </c>
      <c r="L45" s="1184" t="s">
        <v>278</v>
      </c>
      <c r="M45" s="1059"/>
      <c r="N45" s="1059"/>
      <c r="O45" s="1038"/>
      <c r="P45" s="1054"/>
      <c r="Q45" s="1054"/>
      <c r="T45" s="1041"/>
      <c r="U45" s="1042"/>
      <c r="V45" s="1042"/>
      <c r="AA45" s="1039" t="str">
        <f>VLOOKUP(L45,'25-BRA-I-090'!$I:$EZ,2,0)</f>
        <v>Thép hình-C</v>
      </c>
      <c r="AB45" s="1039" t="str">
        <f>VLOOKUP(L45,'25-BRA-I-090'!$I:$EZ,3,0)</f>
        <v>UNP300(C300x100x10x16)-L12000</v>
      </c>
      <c r="AC45" s="1039" t="s">
        <v>2620</v>
      </c>
      <c r="AD45" s="1039">
        <f>SUMIFS('25-BRA-I-090'!$CS:$CS,'25-BRA-I-090'!$I:$I,L45)</f>
        <v>780</v>
      </c>
      <c r="AE45" s="1039">
        <f>SUMIFS('25-BRA-I-090'!$CT:$CT,'25-BRA-I-090'!$I:$I,L45)</f>
        <v>36036</v>
      </c>
      <c r="AF45" s="1039">
        <f>SUMIFS('25-BRA-I-090'!$CW:$CW,'25-BRA-I-090'!$I:$I,L45)</f>
        <v>0</v>
      </c>
      <c r="AG45" s="1039">
        <f>SUMIFS('25-BRA-I-090'!$CX:$CX,'25-BRA-I-090'!$I:$I,L45)</f>
        <v>0</v>
      </c>
      <c r="AH45" s="1040">
        <f>SUMIFS('25-BRA-I-090'!$DJ:$DJ,'25-BRA-I-090'!$I:$I,L45)+SUMIFS('25-BRA-I-090'!$EC:$EC,'25-BRA-I-090'!$I:$I,L45)</f>
        <v>780</v>
      </c>
      <c r="AI45" s="1040">
        <f>SUMIFS('25-BRA-I-090'!$DK:$DK,'25-BRA-I-090'!$I:$I,L45)+SUMIFS('25-BRA-I-090'!$ED:$ED,'25-BRA-I-090'!$I:$I,L45)</f>
        <v>36036</v>
      </c>
      <c r="AJ45" s="1040">
        <f>SUMIFS('25-BRA-I-090'!$DO:$DO,'25-BRA-I-090'!$I:$I,L45)+26400*SUMIFS('25-BRA-I-090'!$EF:$EF,'25-BRA-I-090'!$I:$I,L45)</f>
        <v>1004600286.2920456</v>
      </c>
      <c r="AK45" s="1068">
        <f t="shared" si="1"/>
        <v>30107.900688073296</v>
      </c>
      <c r="AO45" s="1068">
        <v>0.98099999999999998</v>
      </c>
      <c r="AR45" s="1064" t="s">
        <v>278</v>
      </c>
      <c r="AS45" s="1065" t="s">
        <v>277</v>
      </c>
      <c r="AT45" s="1064" t="s">
        <v>318</v>
      </c>
      <c r="AU45" s="1066" t="s">
        <v>308</v>
      </c>
      <c r="AV45" s="1067" t="s">
        <v>61</v>
      </c>
    </row>
    <row r="46" spans="1:48" s="1039" customFormat="1" ht="30">
      <c r="A46" s="372">
        <v>37</v>
      </c>
      <c r="B46" s="1057" t="s">
        <v>319</v>
      </c>
      <c r="C46" s="1058" t="s">
        <v>308</v>
      </c>
      <c r="D46" s="374" t="str">
        <f t="shared" si="0"/>
        <v>Kg</v>
      </c>
      <c r="E46" s="183"/>
      <c r="F46" s="184">
        <f t="shared" si="2"/>
        <v>1140</v>
      </c>
      <c r="G46" s="185">
        <f t="shared" si="2"/>
        <v>37848.000000000007</v>
      </c>
      <c r="H46" s="185">
        <f t="shared" si="3"/>
        <v>0</v>
      </c>
      <c r="I46" s="185">
        <f t="shared" si="4"/>
        <v>37848</v>
      </c>
      <c r="J46" s="185">
        <f t="shared" si="5"/>
        <v>26763.613925439749</v>
      </c>
      <c r="K46" s="185">
        <f t="shared" si="6"/>
        <v>1012949259.8500437</v>
      </c>
      <c r="L46" s="1184" t="s">
        <v>279</v>
      </c>
      <c r="M46" s="1059"/>
      <c r="N46" s="1059"/>
      <c r="O46" s="1038"/>
      <c r="P46" s="1054"/>
      <c r="Q46" s="1054"/>
      <c r="T46" s="1041"/>
      <c r="U46" s="1042"/>
      <c r="V46" s="1042"/>
      <c r="AA46" s="1039" t="str">
        <f>VLOOKUP(L46,'25-BRA-I-090'!$I:$EZ,2,0)</f>
        <v>Thép hình-C</v>
      </c>
      <c r="AB46" s="1039" t="str">
        <f>VLOOKUP(L46,'25-BRA-I-090'!$I:$EZ,3,0)</f>
        <v>UPN240(C240x85x9.5x13)-L12000</v>
      </c>
      <c r="AC46" s="1039" t="s">
        <v>2620</v>
      </c>
      <c r="AD46" s="1039">
        <f>SUMIFS('25-BRA-I-090'!$CS:$CS,'25-BRA-I-090'!$I:$I,L46)</f>
        <v>1140</v>
      </c>
      <c r="AE46" s="1039">
        <f>SUMIFS('25-BRA-I-090'!$CT:$CT,'25-BRA-I-090'!$I:$I,L46)</f>
        <v>37848.000000000007</v>
      </c>
      <c r="AF46" s="1039">
        <f>SUMIFS('25-BRA-I-090'!$CW:$CW,'25-BRA-I-090'!$I:$I,L46)</f>
        <v>0</v>
      </c>
      <c r="AG46" s="1039">
        <f>SUMIFS('25-BRA-I-090'!$CX:$CX,'25-BRA-I-090'!$I:$I,L46)</f>
        <v>0</v>
      </c>
      <c r="AH46" s="1040">
        <f>SUMIFS('25-BRA-I-090'!$DJ:$DJ,'25-BRA-I-090'!$I:$I,L46)+SUMIFS('25-BRA-I-090'!$EC:$EC,'25-BRA-I-090'!$I:$I,L46)</f>
        <v>1140</v>
      </c>
      <c r="AI46" s="1040">
        <f>SUMIFS('25-BRA-I-090'!$DK:$DK,'25-BRA-I-090'!$I:$I,L46)+SUMIFS('25-BRA-I-090'!$ED:$ED,'25-BRA-I-090'!$I:$I,L46)</f>
        <v>37848</v>
      </c>
      <c r="AJ46" s="1040">
        <f>SUMIFS('25-BRA-I-090'!$DO:$DO,'25-BRA-I-090'!$I:$I,L46)+26400*SUMIFS('25-BRA-I-090'!$EF:$EF,'25-BRA-I-090'!$I:$I,L46)</f>
        <v>1012949259.8500437</v>
      </c>
      <c r="AK46" s="1068">
        <f t="shared" si="1"/>
        <v>28904.703039474931</v>
      </c>
      <c r="AO46" s="1068">
        <v>0.98099999999999998</v>
      </c>
      <c r="AR46" s="1064" t="s">
        <v>279</v>
      </c>
      <c r="AS46" s="1065" t="s">
        <v>277</v>
      </c>
      <c r="AT46" s="1064" t="s">
        <v>319</v>
      </c>
      <c r="AU46" s="1066" t="s">
        <v>308</v>
      </c>
      <c r="AV46" s="1067" t="s">
        <v>61</v>
      </c>
    </row>
    <row r="47" spans="1:48" s="1039" customFormat="1" ht="30">
      <c r="A47" s="372">
        <v>38</v>
      </c>
      <c r="B47" s="1057" t="s">
        <v>320</v>
      </c>
      <c r="C47" s="1058" t="s">
        <v>308</v>
      </c>
      <c r="D47" s="374" t="str">
        <f t="shared" si="0"/>
        <v>Kg</v>
      </c>
      <c r="E47" s="183"/>
      <c r="F47" s="184">
        <f t="shared" si="2"/>
        <v>115.58400000000002</v>
      </c>
      <c r="G47" s="185">
        <f t="shared" si="2"/>
        <v>994.02240000000006</v>
      </c>
      <c r="H47" s="185">
        <f t="shared" si="3"/>
        <v>0</v>
      </c>
      <c r="I47" s="185">
        <f t="shared" si="4"/>
        <v>1037</v>
      </c>
      <c r="J47" s="185">
        <f t="shared" si="5"/>
        <v>29673.600191859947</v>
      </c>
      <c r="K47" s="185">
        <f t="shared" si="6"/>
        <v>30771523.398958765</v>
      </c>
      <c r="L47" s="1184" t="s">
        <v>280</v>
      </c>
      <c r="M47" s="1059"/>
      <c r="N47" s="1059"/>
      <c r="O47" s="1038"/>
      <c r="P47" s="1054"/>
      <c r="Q47" s="1054"/>
      <c r="T47" s="1041"/>
      <c r="U47" s="1042"/>
      <c r="V47" s="1042"/>
      <c r="AA47" s="1039" t="str">
        <f>VLOOKUP(L47,'25-BRA-I-090'!$I:$EZ,2,0)</f>
        <v>Thép hình-C</v>
      </c>
      <c r="AB47" s="1039" t="str">
        <f>VLOOKUP(L47,'25-BRA-I-090'!$I:$EZ,3,0)</f>
        <v>UPN80(C80x45x6x8)-L12000</v>
      </c>
      <c r="AC47" s="1039" t="s">
        <v>2620</v>
      </c>
      <c r="AD47" s="1039">
        <f>SUMIFS('25-BRA-I-090'!$CS:$CS,'25-BRA-I-090'!$I:$I,L47)</f>
        <v>115.58400000000002</v>
      </c>
      <c r="AE47" s="1039">
        <f>SUMIFS('25-BRA-I-090'!$CT:$CT,'25-BRA-I-090'!$I:$I,L47)</f>
        <v>994.02240000000006</v>
      </c>
      <c r="AF47" s="1039">
        <f>SUMIFS('25-BRA-I-090'!$CW:$CW,'25-BRA-I-090'!$I:$I,L47)</f>
        <v>0</v>
      </c>
      <c r="AG47" s="1039">
        <f>SUMIFS('25-BRA-I-090'!$CX:$CX,'25-BRA-I-090'!$I:$I,L47)</f>
        <v>0</v>
      </c>
      <c r="AH47" s="1040">
        <f>SUMIFS('25-BRA-I-090'!$DJ:$DJ,'25-BRA-I-090'!$I:$I,L47)+SUMIFS('25-BRA-I-090'!$EC:$EC,'25-BRA-I-090'!$I:$I,L47)</f>
        <v>120</v>
      </c>
      <c r="AI47" s="1040">
        <f>SUMIFS('25-BRA-I-090'!$DK:$DK,'25-BRA-I-090'!$I:$I,L47)+SUMIFS('25-BRA-I-090'!$ED:$ED,'25-BRA-I-090'!$I:$I,L47)</f>
        <v>1037</v>
      </c>
      <c r="AJ47" s="1040">
        <f>SUMIFS('25-BRA-I-090'!$DO:$DO,'25-BRA-I-090'!$I:$I,L47)+26400*SUMIFS('25-BRA-I-090'!$EF:$EF,'25-BRA-I-090'!$I:$I,L47)</f>
        <v>30771523.398958765</v>
      </c>
      <c r="AK47" s="1068">
        <f t="shared" si="1"/>
        <v>32047.488207208746</v>
      </c>
      <c r="AO47" s="1068">
        <v>1.1100000000000001</v>
      </c>
      <c r="AR47" s="1064" t="s">
        <v>280</v>
      </c>
      <c r="AS47" s="1065" t="s">
        <v>277</v>
      </c>
      <c r="AT47" s="1064" t="s">
        <v>320</v>
      </c>
      <c r="AU47" s="1066" t="s">
        <v>308</v>
      </c>
      <c r="AV47" s="1067" t="s">
        <v>61</v>
      </c>
    </row>
    <row r="48" spans="1:48" s="1039" customFormat="1" ht="45">
      <c r="A48" s="372">
        <v>39</v>
      </c>
      <c r="B48" s="1057" t="s">
        <v>321</v>
      </c>
      <c r="C48" s="1058" t="s">
        <v>322</v>
      </c>
      <c r="D48" s="374" t="str">
        <f t="shared" si="0"/>
        <v>Kg</v>
      </c>
      <c r="E48" s="183"/>
      <c r="F48" s="184">
        <f t="shared" si="2"/>
        <v>0</v>
      </c>
      <c r="G48" s="185">
        <f t="shared" si="2"/>
        <v>0</v>
      </c>
      <c r="H48" s="185">
        <f t="shared" si="3"/>
        <v>0</v>
      </c>
      <c r="I48" s="185">
        <f t="shared" si="4"/>
        <v>0</v>
      </c>
      <c r="J48" s="185" t="e">
        <f t="shared" si="5"/>
        <v>#DIV/0!</v>
      </c>
      <c r="K48" s="185">
        <f t="shared" si="6"/>
        <v>0</v>
      </c>
      <c r="L48" s="1184" t="s">
        <v>281</v>
      </c>
      <c r="M48" s="1059"/>
      <c r="N48" s="1059"/>
      <c r="O48" s="1038"/>
      <c r="P48" s="1054"/>
      <c r="Q48" s="1054"/>
      <c r="T48" s="1041"/>
      <c r="U48" s="1042"/>
      <c r="V48" s="1042"/>
      <c r="AA48" s="1039" t="str">
        <f>VLOOKUP(L48,'25-BRA-I-090'!$I:$EZ,2,0)</f>
        <v>Thép hình-T</v>
      </c>
      <c r="AB48" s="1039" t="str">
        <f>VLOOKUP(L48,'25-BRA-I-090'!$I:$EZ,3,0)</f>
        <v>T100 (tf=tw=11mm)-DIN 1024-L6000</v>
      </c>
      <c r="AC48" s="1039" t="s">
        <v>2620</v>
      </c>
      <c r="AD48" s="1039">
        <f>SUMIFS('25-BRA-I-090'!$CS:$CS,'25-BRA-I-090'!$I:$I,L48)</f>
        <v>0</v>
      </c>
      <c r="AE48" s="1039">
        <f>SUMIFS('25-BRA-I-090'!$CT:$CT,'25-BRA-I-090'!$I:$I,L48)</f>
        <v>0</v>
      </c>
      <c r="AF48" s="1039">
        <f>SUMIFS('25-BRA-I-090'!$CW:$CW,'25-BRA-I-090'!$I:$I,L48)</f>
        <v>0</v>
      </c>
      <c r="AG48" s="1039">
        <f>SUMIFS('25-BRA-I-090'!$CX:$CX,'25-BRA-I-090'!$I:$I,L48)</f>
        <v>0</v>
      </c>
      <c r="AH48" s="1040">
        <f>SUMIFS('25-BRA-I-090'!$DJ:$DJ,'25-BRA-I-090'!$I:$I,L48)+SUMIFS('25-BRA-I-090'!$EC:$EC,'25-BRA-I-090'!$I:$I,L48)</f>
        <v>0</v>
      </c>
      <c r="AI48" s="1040">
        <f>SUMIFS('25-BRA-I-090'!$DK:$DK,'25-BRA-I-090'!$I:$I,L48)+SUMIFS('25-BRA-I-090'!$ED:$ED,'25-BRA-I-090'!$I:$I,L48)</f>
        <v>0</v>
      </c>
      <c r="AJ48" s="1040">
        <f>SUMIFS('25-BRA-I-090'!$DO:$DO,'25-BRA-I-090'!$I:$I,L48)+26400*SUMIFS('25-BRA-I-090'!$EF:$EF,'25-BRA-I-090'!$I:$I,L48)</f>
        <v>0</v>
      </c>
      <c r="AK48" s="185" t="e">
        <f t="shared" si="1"/>
        <v>#DIV/0!</v>
      </c>
      <c r="AL48" s="1039" t="s">
        <v>2626</v>
      </c>
      <c r="AO48" s="185">
        <v>20000</v>
      </c>
      <c r="AR48" s="1064" t="s">
        <v>281</v>
      </c>
      <c r="AS48" s="1065" t="s">
        <v>282</v>
      </c>
      <c r="AT48" s="1064" t="s">
        <v>321</v>
      </c>
      <c r="AU48" s="1066" t="s">
        <v>322</v>
      </c>
      <c r="AV48" s="1067" t="s">
        <v>61</v>
      </c>
    </row>
    <row r="49" spans="1:48" s="1039" customFormat="1">
      <c r="A49" s="372">
        <v>40</v>
      </c>
      <c r="B49" s="1057" t="s">
        <v>323</v>
      </c>
      <c r="C49" s="1058" t="s">
        <v>322</v>
      </c>
      <c r="D49" s="374" t="str">
        <f t="shared" si="0"/>
        <v>Kg</v>
      </c>
      <c r="E49" s="183"/>
      <c r="F49" s="184">
        <f t="shared" si="2"/>
        <v>36.122399999999999</v>
      </c>
      <c r="G49" s="185">
        <f t="shared" si="2"/>
        <v>108.3672</v>
      </c>
      <c r="H49" s="185">
        <f t="shared" si="3"/>
        <v>0</v>
      </c>
      <c r="I49" s="185">
        <f t="shared" si="4"/>
        <v>135.9</v>
      </c>
      <c r="J49" s="185">
        <f t="shared" si="5"/>
        <v>14333.336666666666</v>
      </c>
      <c r="K49" s="185">
        <f t="shared" si="6"/>
        <v>1947900.453</v>
      </c>
      <c r="L49" s="1184" t="s">
        <v>283</v>
      </c>
      <c r="M49" s="1059"/>
      <c r="N49" s="1059"/>
      <c r="O49" s="1038"/>
      <c r="P49" s="1054"/>
      <c r="Q49" s="1054"/>
      <c r="T49" s="1041"/>
      <c r="U49" s="1042"/>
      <c r="V49" s="1042"/>
      <c r="AA49" s="1039" t="str">
        <f>VLOOKUP(L49,'25-BRA-I-090'!$I:$EZ,2,0)</f>
        <v>Thép hình-L</v>
      </c>
      <c r="AB49" s="1039" t="str">
        <f>VLOOKUP(L49,'25-BRA-I-090'!$I:$EZ,3,0)</f>
        <v>L40x40x5-L6000</v>
      </c>
      <c r="AC49" s="1039" t="s">
        <v>2620</v>
      </c>
      <c r="AD49" s="1039">
        <f>SUMIFS('25-BRA-I-090'!$CS:$CS,'25-BRA-I-090'!$I:$I,L49)</f>
        <v>36.122399999999999</v>
      </c>
      <c r="AE49" s="1039">
        <f>SUMIFS('25-BRA-I-090'!$CT:$CT,'25-BRA-I-090'!$I:$I,L49)</f>
        <v>108.3672</v>
      </c>
      <c r="AF49" s="1039">
        <f>SUMIFS('25-BRA-I-090'!$CW:$CW,'25-BRA-I-090'!$I:$I,L49)</f>
        <v>0</v>
      </c>
      <c r="AG49" s="1039">
        <f>SUMIFS('25-BRA-I-090'!$CX:$CX,'25-BRA-I-090'!$I:$I,L49)</f>
        <v>0</v>
      </c>
      <c r="AH49" s="1040">
        <f>SUMIFS('25-BRA-I-090'!$DJ:$DJ,'25-BRA-I-090'!$I:$I,L49)+SUMIFS('25-BRA-I-090'!$EC:$EC,'25-BRA-I-090'!$I:$I,L49)</f>
        <v>36</v>
      </c>
      <c r="AI49" s="1040">
        <f>SUMIFS('25-BRA-I-090'!$DK:$DK,'25-BRA-I-090'!$I:$I,L49)+SUMIFS('25-BRA-I-090'!$ED:$ED,'25-BRA-I-090'!$I:$I,L49)</f>
        <v>135.9</v>
      </c>
      <c r="AJ49" s="1040">
        <f>SUMIFS('25-BRA-I-090'!$DO:$DO,'25-BRA-I-090'!$I:$I,L49)+26400*SUMIFS('25-BRA-I-090'!$EF:$EF,'25-BRA-I-090'!$I:$I,L49)</f>
        <v>1947900.453</v>
      </c>
      <c r="AK49" s="185">
        <f t="shared" si="1"/>
        <v>15480.0036</v>
      </c>
      <c r="AL49" s="1039" t="s">
        <v>2626</v>
      </c>
      <c r="AO49" s="185">
        <v>20000</v>
      </c>
      <c r="AR49" s="1064" t="s">
        <v>283</v>
      </c>
      <c r="AS49" s="1065" t="s">
        <v>284</v>
      </c>
      <c r="AT49" s="1064" t="s">
        <v>323</v>
      </c>
      <c r="AU49" s="1066" t="s">
        <v>322</v>
      </c>
      <c r="AV49" s="1067" t="s">
        <v>61</v>
      </c>
    </row>
    <row r="50" spans="1:48" s="1039" customFormat="1">
      <c r="A50" s="372">
        <v>41</v>
      </c>
      <c r="B50" s="1057" t="s">
        <v>324</v>
      </c>
      <c r="C50" s="1058" t="s">
        <v>322</v>
      </c>
      <c r="D50" s="374" t="str">
        <f t="shared" si="0"/>
        <v>Kg</v>
      </c>
      <c r="E50" s="183"/>
      <c r="F50" s="184">
        <f t="shared" si="2"/>
        <v>3</v>
      </c>
      <c r="G50" s="185">
        <f t="shared" si="2"/>
        <v>51</v>
      </c>
      <c r="H50" s="185">
        <f t="shared" si="3"/>
        <v>68</v>
      </c>
      <c r="I50" s="185">
        <f t="shared" si="4"/>
        <v>0</v>
      </c>
      <c r="J50" s="185" t="e">
        <f t="shared" si="5"/>
        <v>#DIV/0!</v>
      </c>
      <c r="K50" s="185">
        <f t="shared" si="6"/>
        <v>0</v>
      </c>
      <c r="L50" s="1184" t="s">
        <v>285</v>
      </c>
      <c r="M50" s="1059"/>
      <c r="N50" s="1059"/>
      <c r="O50" s="1038"/>
      <c r="P50" s="1054"/>
      <c r="Q50" s="1054"/>
      <c r="T50" s="1041"/>
      <c r="U50" s="1042"/>
      <c r="V50" s="1042"/>
      <c r="AA50" s="1039" t="str">
        <f>VLOOKUP(L50,'25-BRA-I-090'!$I:$EZ,2,0)</f>
        <v>Thép hình-L</v>
      </c>
      <c r="AB50" s="1039" t="str">
        <f>VLOOKUP(L50,'25-BRA-I-090'!$I:$EZ,3,0)</f>
        <v>L150x75x10-L2000</v>
      </c>
      <c r="AC50" s="1039" t="s">
        <v>2620</v>
      </c>
      <c r="AD50" s="1039">
        <f>SUMIFS('25-BRA-I-090'!$CS:$CS,'25-BRA-I-090'!$I:$I,L50)</f>
        <v>3</v>
      </c>
      <c r="AE50" s="1039">
        <f>SUMIFS('25-BRA-I-090'!$CT:$CT,'25-BRA-I-090'!$I:$I,L50)</f>
        <v>51</v>
      </c>
      <c r="AF50" s="1039">
        <f>SUMIFS('25-BRA-I-090'!$CW:$CW,'25-BRA-I-090'!$I:$I,L50)</f>
        <v>4</v>
      </c>
      <c r="AG50" s="1039">
        <f>SUMIFS('25-BRA-I-090'!$CX:$CX,'25-BRA-I-090'!$I:$I,L50)</f>
        <v>68</v>
      </c>
      <c r="AH50" s="1040">
        <f>SUMIFS('25-BRA-I-090'!$DJ:$DJ,'25-BRA-I-090'!$I:$I,L50)+SUMIFS('25-BRA-I-090'!$EC:$EC,'25-BRA-I-090'!$I:$I,L50)</f>
        <v>0</v>
      </c>
      <c r="AI50" s="1040">
        <f>SUMIFS('25-BRA-I-090'!$DK:$DK,'25-BRA-I-090'!$I:$I,L50)+SUMIFS('25-BRA-I-090'!$ED:$ED,'25-BRA-I-090'!$I:$I,L50)</f>
        <v>0</v>
      </c>
      <c r="AJ50" s="1040">
        <f>SUMIFS('25-BRA-I-090'!$DO:$DO,'25-BRA-I-090'!$I:$I,L50)+26400*SUMIFS('25-BRA-I-090'!$EF:$EF,'25-BRA-I-090'!$I:$I,L50)</f>
        <v>0</v>
      </c>
      <c r="AK50" s="185" t="e">
        <f t="shared" si="1"/>
        <v>#DIV/0!</v>
      </c>
      <c r="AL50" s="1039" t="s">
        <v>2626</v>
      </c>
      <c r="AO50" s="185">
        <v>20000</v>
      </c>
      <c r="AR50" s="1064" t="s">
        <v>285</v>
      </c>
      <c r="AS50" s="1065" t="s">
        <v>284</v>
      </c>
      <c r="AT50" s="1064" t="s">
        <v>324</v>
      </c>
      <c r="AU50" s="1066" t="s">
        <v>322</v>
      </c>
      <c r="AV50" s="1067" t="s">
        <v>61</v>
      </c>
    </row>
    <row r="51" spans="1:48" s="1039" customFormat="1">
      <c r="A51" s="372">
        <v>42</v>
      </c>
      <c r="B51" s="1057" t="s">
        <v>325</v>
      </c>
      <c r="C51" s="1058" t="s">
        <v>322</v>
      </c>
      <c r="D51" s="374" t="str">
        <f t="shared" si="0"/>
        <v>Kg</v>
      </c>
      <c r="E51" s="183"/>
      <c r="F51" s="184">
        <f t="shared" si="2"/>
        <v>13.566000000000001</v>
      </c>
      <c r="G51" s="185">
        <f t="shared" si="2"/>
        <v>122.09400000000001</v>
      </c>
      <c r="H51" s="185">
        <f t="shared" si="3"/>
        <v>0</v>
      </c>
      <c r="I51" s="185">
        <f t="shared" si="4"/>
        <v>219.81</v>
      </c>
      <c r="J51" s="185">
        <f t="shared" si="5"/>
        <v>14727.27</v>
      </c>
      <c r="K51" s="185">
        <f t="shared" si="6"/>
        <v>3237201.2187000001</v>
      </c>
      <c r="L51" s="1184" t="s">
        <v>286</v>
      </c>
      <c r="M51" s="1059"/>
      <c r="N51" s="1059"/>
      <c r="O51" s="1038"/>
      <c r="P51" s="1054"/>
      <c r="Q51" s="1054"/>
      <c r="T51" s="1041"/>
      <c r="U51" s="1042"/>
      <c r="V51" s="1042"/>
      <c r="AA51" s="1039" t="str">
        <f>VLOOKUP(L51,'25-BRA-I-090'!$I:$EZ,2,0)</f>
        <v>Thép hình-L</v>
      </c>
      <c r="AB51" s="1039" t="str">
        <f>VLOOKUP(L51,'25-BRA-I-090'!$I:$EZ,3,0)</f>
        <v>L100x50x8-L12000</v>
      </c>
      <c r="AC51" s="1039" t="s">
        <v>2620</v>
      </c>
      <c r="AD51" s="1039">
        <f>SUMIFS('25-BRA-I-090'!$CS:$CS,'25-BRA-I-090'!$I:$I,L51)</f>
        <v>13.566000000000001</v>
      </c>
      <c r="AE51" s="1039">
        <f>SUMIFS('25-BRA-I-090'!$CT:$CT,'25-BRA-I-090'!$I:$I,L51)</f>
        <v>122.09400000000001</v>
      </c>
      <c r="AF51" s="1039">
        <f>SUMIFS('25-BRA-I-090'!$CW:$CW,'25-BRA-I-090'!$I:$I,L51)</f>
        <v>0</v>
      </c>
      <c r="AG51" s="1039">
        <f>SUMIFS('25-BRA-I-090'!$CX:$CX,'25-BRA-I-090'!$I:$I,L51)</f>
        <v>0</v>
      </c>
      <c r="AH51" s="1040">
        <f>SUMIFS('25-BRA-I-090'!$DJ:$DJ,'25-BRA-I-090'!$I:$I,L51)+SUMIFS('25-BRA-I-090'!$EC:$EC,'25-BRA-I-090'!$I:$I,L51)</f>
        <v>18</v>
      </c>
      <c r="AI51" s="1040">
        <f>SUMIFS('25-BRA-I-090'!$DK:$DK,'25-BRA-I-090'!$I:$I,L51)+SUMIFS('25-BRA-I-090'!$ED:$ED,'25-BRA-I-090'!$I:$I,L51)</f>
        <v>219.81</v>
      </c>
      <c r="AJ51" s="1040">
        <f>SUMIFS('25-BRA-I-090'!$DO:$DO,'25-BRA-I-090'!$I:$I,L51)+26400*SUMIFS('25-BRA-I-090'!$EF:$EF,'25-BRA-I-090'!$I:$I,L51)</f>
        <v>3237201.2187000001</v>
      </c>
      <c r="AK51" s="185">
        <f t="shared" si="1"/>
        <v>15905.451600000002</v>
      </c>
      <c r="AL51" s="1039" t="s">
        <v>2626</v>
      </c>
      <c r="AO51" s="185">
        <v>20000</v>
      </c>
      <c r="AR51" s="1064" t="s">
        <v>286</v>
      </c>
      <c r="AS51" s="1065" t="s">
        <v>284</v>
      </c>
      <c r="AT51" s="1064" t="s">
        <v>325</v>
      </c>
      <c r="AU51" s="1066" t="s">
        <v>322</v>
      </c>
      <c r="AV51" s="1067" t="s">
        <v>61</v>
      </c>
    </row>
    <row r="52" spans="1:48" s="1039" customFormat="1" ht="30">
      <c r="A52" s="372">
        <v>43</v>
      </c>
      <c r="B52" s="1057" t="s">
        <v>312</v>
      </c>
      <c r="C52" s="1058" t="s">
        <v>326</v>
      </c>
      <c r="D52" s="374" t="str">
        <f t="shared" si="0"/>
        <v>Kg</v>
      </c>
      <c r="E52" s="183"/>
      <c r="F52" s="184">
        <f t="shared" si="2"/>
        <v>124.77780000000003</v>
      </c>
      <c r="G52" s="185">
        <f t="shared" si="2"/>
        <v>14599.002600000003</v>
      </c>
      <c r="H52" s="185">
        <f t="shared" si="3"/>
        <v>0</v>
      </c>
      <c r="I52" s="185">
        <f t="shared" si="4"/>
        <v>30888</v>
      </c>
      <c r="J52" s="185">
        <f t="shared" si="5"/>
        <v>27822.239458082207</v>
      </c>
      <c r="K52" s="185">
        <f t="shared" si="6"/>
        <v>859373332.38124323</v>
      </c>
      <c r="L52" s="1184" t="s">
        <v>287</v>
      </c>
      <c r="M52" s="1059"/>
      <c r="N52" s="1059"/>
      <c r="O52" s="1038"/>
      <c r="P52" s="1054"/>
      <c r="Q52" s="1054"/>
      <c r="T52" s="1041"/>
      <c r="U52" s="1042"/>
      <c r="V52" s="1042"/>
      <c r="AA52" s="1039" t="str">
        <f>VLOOKUP(L52,'25-BRA-I-090'!$I:$EZ,2,0)</f>
        <v>Thép hình-H</v>
      </c>
      <c r="AB52" s="1039" t="str">
        <f>VLOOKUP(L52,'25-BRA-I-090'!$I:$EZ,3,0)</f>
        <v>HEB300(H300x300x11x19)-L12000</v>
      </c>
      <c r="AC52" s="1039" t="s">
        <v>2620</v>
      </c>
      <c r="AD52" s="1039">
        <f>SUMIFS('25-BRA-I-090'!$CS:$CS,'25-BRA-I-090'!$I:$I,L52)</f>
        <v>124.77780000000003</v>
      </c>
      <c r="AE52" s="1039">
        <f>SUMIFS('25-BRA-I-090'!$CT:$CT,'25-BRA-I-090'!$I:$I,L52)</f>
        <v>14599.002600000003</v>
      </c>
      <c r="AF52" s="1039">
        <f>SUMIFS('25-BRA-I-090'!$CW:$CW,'25-BRA-I-090'!$I:$I,L52)</f>
        <v>0</v>
      </c>
      <c r="AG52" s="1039">
        <f>SUMIFS('25-BRA-I-090'!$CX:$CX,'25-BRA-I-090'!$I:$I,L52)</f>
        <v>0</v>
      </c>
      <c r="AH52" s="1040">
        <f>SUMIFS('25-BRA-I-090'!$DJ:$DJ,'25-BRA-I-090'!$I:$I,L52)+SUMIFS('25-BRA-I-090'!$EC:$EC,'25-BRA-I-090'!$I:$I,L52)</f>
        <v>264</v>
      </c>
      <c r="AI52" s="1040">
        <f>SUMIFS('25-BRA-I-090'!$DK:$DK,'25-BRA-I-090'!$I:$I,L52)+SUMIFS('25-BRA-I-090'!$ED:$ED,'25-BRA-I-090'!$I:$I,L52)</f>
        <v>30888</v>
      </c>
      <c r="AJ52" s="1040">
        <f>SUMIFS('25-BRA-I-090'!$DO:$DO,'25-BRA-I-090'!$I:$I,L52)+26400*SUMIFS('25-BRA-I-090'!$EF:$EF,'25-BRA-I-090'!$I:$I,L52)</f>
        <v>859373332.38124323</v>
      </c>
      <c r="AK52" s="1068">
        <f t="shared" si="1"/>
        <v>30048.018614728786</v>
      </c>
      <c r="AO52" s="1068">
        <v>1.018</v>
      </c>
      <c r="AR52" s="1064" t="s">
        <v>287</v>
      </c>
      <c r="AS52" s="1065" t="s">
        <v>267</v>
      </c>
      <c r="AT52" s="1064" t="s">
        <v>312</v>
      </c>
      <c r="AU52" s="1066" t="s">
        <v>326</v>
      </c>
      <c r="AV52" s="1067" t="s">
        <v>61</v>
      </c>
    </row>
    <row r="53" spans="1:48" s="1039" customFormat="1" ht="60">
      <c r="A53" s="372">
        <v>44</v>
      </c>
      <c r="B53" s="1069" t="s">
        <v>398</v>
      </c>
      <c r="C53" s="1058" t="s">
        <v>399</v>
      </c>
      <c r="D53" s="374" t="str">
        <f t="shared" si="0"/>
        <v>Kg</v>
      </c>
      <c r="E53" s="183"/>
      <c r="F53" s="184">
        <f t="shared" si="2"/>
        <v>90</v>
      </c>
      <c r="G53" s="185">
        <f t="shared" si="2"/>
        <v>675</v>
      </c>
      <c r="H53" s="185">
        <f t="shared" si="3"/>
        <v>0</v>
      </c>
      <c r="I53" s="185">
        <f t="shared" si="4"/>
        <v>636</v>
      </c>
      <c r="J53" s="185">
        <f t="shared" si="5"/>
        <v>17090.91</v>
      </c>
      <c r="K53" s="185">
        <f t="shared" si="6"/>
        <v>10869818.76</v>
      </c>
      <c r="L53" s="1184" t="s">
        <v>396</v>
      </c>
      <c r="M53" s="1059"/>
      <c r="N53" s="1059"/>
      <c r="O53" s="1038"/>
      <c r="P53" s="1054"/>
      <c r="Q53" s="1054"/>
      <c r="T53" s="1041"/>
      <c r="U53" s="1042"/>
      <c r="V53" s="1042"/>
      <c r="AA53" s="1039" t="str">
        <f>VLOOKUP(L53,'25-BRA-I-090'!$I:$EZ,2,0)</f>
        <v>Ống</v>
      </c>
      <c r="AB53" s="1039" t="str">
        <f>VLOOKUP(L53,'25-BRA-I-090'!$I:$EZ,3,0)</f>
        <v>Pipe D60.3x5.4- DIN EN 10220-1-seamless pipe-L6000</v>
      </c>
      <c r="AC53" s="1039" t="s">
        <v>2620</v>
      </c>
      <c r="AD53" s="1039">
        <f>SUMIFS('25-BRA-I-090'!$CS:$CS,'25-BRA-I-090'!$I:$I,L53)</f>
        <v>90</v>
      </c>
      <c r="AE53" s="1039">
        <f>SUMIFS('25-BRA-I-090'!$CT:$CT,'25-BRA-I-090'!$I:$I,L53)</f>
        <v>675</v>
      </c>
      <c r="AF53" s="1039">
        <f>SUMIFS('25-BRA-I-090'!$CW:$CW,'25-BRA-I-090'!$I:$I,L53)</f>
        <v>0</v>
      </c>
      <c r="AG53" s="1039">
        <f>SUMIFS('25-BRA-I-090'!$CX:$CX,'25-BRA-I-090'!$I:$I,L53)</f>
        <v>0</v>
      </c>
      <c r="AH53" s="1040">
        <f>SUMIFS('25-BRA-I-090'!$DJ:$DJ,'25-BRA-I-090'!$I:$I,L53)+SUMIFS('25-BRA-I-090'!$EC:$EC,'25-BRA-I-090'!$I:$I,L53)</f>
        <v>90</v>
      </c>
      <c r="AI53" s="1040">
        <f>SUMIFS('25-BRA-I-090'!$DK:$DK,'25-BRA-I-090'!$I:$I,L53)+SUMIFS('25-BRA-I-090'!$ED:$ED,'25-BRA-I-090'!$I:$I,L53)</f>
        <v>636</v>
      </c>
      <c r="AJ53" s="1040">
        <f>SUMIFS('25-BRA-I-090'!$DO:$DO,'25-BRA-I-090'!$I:$I,L53)+26400*SUMIFS('25-BRA-I-090'!$EF:$EF,'25-BRA-I-090'!$I:$I,L53)</f>
        <v>10869818.76</v>
      </c>
      <c r="AK53" s="185">
        <f t="shared" si="1"/>
        <v>18458.182800000002</v>
      </c>
      <c r="AO53" s="185">
        <v>17090.91</v>
      </c>
      <c r="AR53" s="1064" t="s">
        <v>396</v>
      </c>
      <c r="AS53" s="1065" t="s">
        <v>397</v>
      </c>
      <c r="AT53" s="1070" t="s">
        <v>398</v>
      </c>
      <c r="AU53" s="1066" t="s">
        <v>399</v>
      </c>
      <c r="AV53" s="1067" t="s">
        <v>61</v>
      </c>
    </row>
    <row r="54" spans="1:48" s="1039" customFormat="1" ht="60">
      <c r="A54" s="372">
        <v>45</v>
      </c>
      <c r="B54" s="1069" t="s">
        <v>401</v>
      </c>
      <c r="C54" s="1058" t="s">
        <v>402</v>
      </c>
      <c r="D54" s="374" t="str">
        <f t="shared" si="0"/>
        <v>Kg</v>
      </c>
      <c r="E54" s="183"/>
      <c r="F54" s="184">
        <f t="shared" si="2"/>
        <v>2.6</v>
      </c>
      <c r="G54" s="185">
        <f t="shared" si="2"/>
        <v>11.05</v>
      </c>
      <c r="H54" s="185">
        <f t="shared" si="3"/>
        <v>0</v>
      </c>
      <c r="I54" s="185">
        <f t="shared" si="4"/>
        <v>32</v>
      </c>
      <c r="J54" s="185">
        <f t="shared" si="5"/>
        <v>17090.91</v>
      </c>
      <c r="K54" s="185">
        <f t="shared" si="6"/>
        <v>546909.12</v>
      </c>
      <c r="L54" s="1184" t="s">
        <v>400</v>
      </c>
      <c r="M54" s="1059"/>
      <c r="N54" s="1059"/>
      <c r="O54" s="1038"/>
      <c r="P54" s="1054"/>
      <c r="Q54" s="1054"/>
      <c r="T54" s="1041"/>
      <c r="U54" s="1042"/>
      <c r="V54" s="1042"/>
      <c r="AA54" s="1039" t="str">
        <f>VLOOKUP(L54,'25-BRA-I-090'!$I:$EZ,2,0)</f>
        <v>Ống</v>
      </c>
      <c r="AB54" s="1039" t="str">
        <f>VLOOKUP(L54,'25-BRA-I-090'!$I:$EZ,3,0)</f>
        <v>Pipe D57x3.2-DIN EN 10220-1-seamless pipe-L2600</v>
      </c>
      <c r="AC54" s="1039" t="s">
        <v>2620</v>
      </c>
      <c r="AD54" s="1039">
        <f>SUMIFS('25-BRA-I-090'!$CS:$CS,'25-BRA-I-090'!$I:$I,L54)</f>
        <v>2.6</v>
      </c>
      <c r="AE54" s="1039">
        <f>SUMIFS('25-BRA-I-090'!$CT:$CT,'25-BRA-I-090'!$I:$I,L54)</f>
        <v>11.05</v>
      </c>
      <c r="AF54" s="1039">
        <f>SUMIFS('25-BRA-I-090'!$CW:$CW,'25-BRA-I-090'!$I:$I,L54)</f>
        <v>0</v>
      </c>
      <c r="AG54" s="1039">
        <f>SUMIFS('25-BRA-I-090'!$CX:$CX,'25-BRA-I-090'!$I:$I,L54)</f>
        <v>0</v>
      </c>
      <c r="AH54" s="1040">
        <f>SUMIFS('25-BRA-I-090'!$DJ:$DJ,'25-BRA-I-090'!$I:$I,L54)+SUMIFS('25-BRA-I-090'!$EC:$EC,'25-BRA-I-090'!$I:$I,L54)</f>
        <v>7</v>
      </c>
      <c r="AI54" s="1040">
        <f>SUMIFS('25-BRA-I-090'!$DK:$DK,'25-BRA-I-090'!$I:$I,L54)+SUMIFS('25-BRA-I-090'!$ED:$ED,'25-BRA-I-090'!$I:$I,L54)</f>
        <v>32</v>
      </c>
      <c r="AJ54" s="1040">
        <f>SUMIFS('25-BRA-I-090'!$DO:$DO,'25-BRA-I-090'!$I:$I,L54)+26400*SUMIFS('25-BRA-I-090'!$EF:$EF,'25-BRA-I-090'!$I:$I,L54)</f>
        <v>546909.12</v>
      </c>
      <c r="AK54" s="185">
        <f t="shared" si="1"/>
        <v>18458.182800000002</v>
      </c>
      <c r="AO54" s="185">
        <v>17090.91</v>
      </c>
      <c r="AR54" s="1064" t="s">
        <v>400</v>
      </c>
      <c r="AS54" s="1065" t="s">
        <v>397</v>
      </c>
      <c r="AT54" s="1070" t="s">
        <v>401</v>
      </c>
      <c r="AU54" s="1066" t="s">
        <v>402</v>
      </c>
      <c r="AV54" s="1067" t="s">
        <v>61</v>
      </c>
    </row>
    <row r="55" spans="1:48" s="1039" customFormat="1" ht="60">
      <c r="A55" s="372">
        <v>46</v>
      </c>
      <c r="B55" s="1069" t="s">
        <v>404</v>
      </c>
      <c r="C55" s="1058" t="s">
        <v>399</v>
      </c>
      <c r="D55" s="374" t="str">
        <f t="shared" si="0"/>
        <v>Kg</v>
      </c>
      <c r="E55" s="183"/>
      <c r="F55" s="184">
        <f t="shared" si="2"/>
        <v>4</v>
      </c>
      <c r="G55" s="185">
        <f t="shared" si="2"/>
        <v>30.28</v>
      </c>
      <c r="H55" s="185">
        <f t="shared" si="3"/>
        <v>0</v>
      </c>
      <c r="I55" s="185">
        <f t="shared" si="4"/>
        <v>44</v>
      </c>
      <c r="J55" s="185">
        <f t="shared" si="5"/>
        <v>17090.91</v>
      </c>
      <c r="K55" s="185">
        <f t="shared" si="6"/>
        <v>752000.04</v>
      </c>
      <c r="L55" s="1184" t="s">
        <v>403</v>
      </c>
      <c r="M55" s="1059"/>
      <c r="N55" s="1059"/>
      <c r="O55" s="1038"/>
      <c r="P55" s="1054"/>
      <c r="Q55" s="1054"/>
      <c r="T55" s="1041"/>
      <c r="U55" s="1042"/>
      <c r="V55" s="1042"/>
      <c r="AA55" s="1039" t="str">
        <f>VLOOKUP(L55,'25-BRA-I-090'!$I:$EZ,2,0)</f>
        <v>Ống</v>
      </c>
      <c r="AB55" s="1039" t="str">
        <f>VLOOKUP(L55,'25-BRA-I-090'!$I:$EZ,3,0)</f>
        <v>Pipe D88.9x3.6-DIN 2448-seamless pipe-L4000</v>
      </c>
      <c r="AC55" s="1039" t="s">
        <v>2620</v>
      </c>
      <c r="AD55" s="1039">
        <f>SUMIFS('25-BRA-I-090'!$CS:$CS,'25-BRA-I-090'!$I:$I,L55)</f>
        <v>4</v>
      </c>
      <c r="AE55" s="1039">
        <f>SUMIFS('25-BRA-I-090'!$CT:$CT,'25-BRA-I-090'!$I:$I,L55)</f>
        <v>30.28</v>
      </c>
      <c r="AF55" s="1039">
        <f>SUMIFS('25-BRA-I-090'!$CW:$CW,'25-BRA-I-090'!$I:$I,L55)</f>
        <v>0</v>
      </c>
      <c r="AG55" s="1039">
        <f>SUMIFS('25-BRA-I-090'!$CX:$CX,'25-BRA-I-090'!$I:$I,L55)</f>
        <v>0</v>
      </c>
      <c r="AH55" s="1040">
        <f>SUMIFS('25-BRA-I-090'!$DJ:$DJ,'25-BRA-I-090'!$I:$I,L55)+SUMIFS('25-BRA-I-090'!$EC:$EC,'25-BRA-I-090'!$I:$I,L55)</f>
        <v>6</v>
      </c>
      <c r="AI55" s="1040">
        <f>SUMIFS('25-BRA-I-090'!$DK:$DK,'25-BRA-I-090'!$I:$I,L55)+SUMIFS('25-BRA-I-090'!$ED:$ED,'25-BRA-I-090'!$I:$I,L55)</f>
        <v>44</v>
      </c>
      <c r="AJ55" s="1040">
        <f>SUMIFS('25-BRA-I-090'!$DO:$DO,'25-BRA-I-090'!$I:$I,L55)+26400*SUMIFS('25-BRA-I-090'!$EF:$EF,'25-BRA-I-090'!$I:$I,L55)</f>
        <v>752000.04</v>
      </c>
      <c r="AK55" s="185">
        <f t="shared" si="1"/>
        <v>18458.182800000002</v>
      </c>
      <c r="AO55" s="185">
        <v>17090.91</v>
      </c>
      <c r="AR55" s="1064" t="s">
        <v>403</v>
      </c>
      <c r="AS55" s="1065" t="s">
        <v>397</v>
      </c>
      <c r="AT55" s="1070" t="s">
        <v>404</v>
      </c>
      <c r="AU55" s="1066" t="s">
        <v>399</v>
      </c>
      <c r="AV55" s="1067" t="s">
        <v>61</v>
      </c>
    </row>
    <row r="56" spans="1:48" s="1039" customFormat="1" ht="60">
      <c r="A56" s="372">
        <v>47</v>
      </c>
      <c r="B56" s="1069" t="s">
        <v>406</v>
      </c>
      <c r="C56" s="1058" t="s">
        <v>399</v>
      </c>
      <c r="D56" s="374" t="str">
        <f t="shared" si="0"/>
        <v>Kg</v>
      </c>
      <c r="E56" s="183"/>
      <c r="F56" s="184">
        <f t="shared" si="2"/>
        <v>0.4</v>
      </c>
      <c r="G56" s="185">
        <f t="shared" si="2"/>
        <v>5.9200000000000008</v>
      </c>
      <c r="H56" s="185">
        <f t="shared" si="3"/>
        <v>0</v>
      </c>
      <c r="I56" s="185">
        <f t="shared" si="4"/>
        <v>116</v>
      </c>
      <c r="J56" s="185">
        <f t="shared" si="5"/>
        <v>17090.91</v>
      </c>
      <c r="K56" s="185">
        <f t="shared" si="6"/>
        <v>1982545.56</v>
      </c>
      <c r="L56" s="1184" t="s">
        <v>405</v>
      </c>
      <c r="M56" s="1059"/>
      <c r="N56" s="1059"/>
      <c r="O56" s="1038"/>
      <c r="P56" s="1054"/>
      <c r="Q56" s="1054"/>
      <c r="T56" s="1041"/>
      <c r="U56" s="1042"/>
      <c r="V56" s="1042"/>
      <c r="AA56" s="1039" t="str">
        <f>VLOOKUP(L56,'25-BRA-I-090'!$I:$EZ,2,0)</f>
        <v>Ống</v>
      </c>
      <c r="AB56" s="1039" t="str">
        <f>VLOOKUP(L56,'25-BRA-I-090'!$I:$EZ,3,0)</f>
        <v>Pipe D101.6x6.3-DIN 2448-seamless pipe-L400</v>
      </c>
      <c r="AC56" s="1039" t="s">
        <v>2620</v>
      </c>
      <c r="AD56" s="1039">
        <f>SUMIFS('25-BRA-I-090'!$CS:$CS,'25-BRA-I-090'!$I:$I,L56)</f>
        <v>0.4</v>
      </c>
      <c r="AE56" s="1039">
        <f>SUMIFS('25-BRA-I-090'!$CT:$CT,'25-BRA-I-090'!$I:$I,L56)</f>
        <v>5.9200000000000008</v>
      </c>
      <c r="AF56" s="1039">
        <f>SUMIFS('25-BRA-I-090'!$CW:$CW,'25-BRA-I-090'!$I:$I,L56)</f>
        <v>0</v>
      </c>
      <c r="AG56" s="1039">
        <f>SUMIFS('25-BRA-I-090'!$CX:$CX,'25-BRA-I-090'!$I:$I,L56)</f>
        <v>0</v>
      </c>
      <c r="AH56" s="1040">
        <f>SUMIFS('25-BRA-I-090'!$DJ:$DJ,'25-BRA-I-090'!$I:$I,L56)+SUMIFS('25-BRA-I-090'!$EC:$EC,'25-BRA-I-090'!$I:$I,L56)</f>
        <v>8.26</v>
      </c>
      <c r="AI56" s="1040">
        <f>SUMIFS('25-BRA-I-090'!$DK:$DK,'25-BRA-I-090'!$I:$I,L56)+SUMIFS('25-BRA-I-090'!$ED:$ED,'25-BRA-I-090'!$I:$I,L56)</f>
        <v>116</v>
      </c>
      <c r="AJ56" s="1040">
        <f>SUMIFS('25-BRA-I-090'!$DO:$DO,'25-BRA-I-090'!$I:$I,L56)+26400*SUMIFS('25-BRA-I-090'!$EF:$EF,'25-BRA-I-090'!$I:$I,L56)</f>
        <v>1982545.56</v>
      </c>
      <c r="AK56" s="185">
        <f t="shared" si="1"/>
        <v>18458.182800000002</v>
      </c>
      <c r="AO56" s="185">
        <v>17090.91</v>
      </c>
      <c r="AR56" s="1064" t="s">
        <v>405</v>
      </c>
      <c r="AS56" s="1065" t="s">
        <v>397</v>
      </c>
      <c r="AT56" s="1070" t="s">
        <v>406</v>
      </c>
      <c r="AU56" s="1066" t="s">
        <v>399</v>
      </c>
      <c r="AV56" s="1067" t="s">
        <v>61</v>
      </c>
    </row>
    <row r="57" spans="1:48" s="1039" customFormat="1" ht="60">
      <c r="A57" s="372">
        <v>48</v>
      </c>
      <c r="B57" s="1069" t="s">
        <v>408</v>
      </c>
      <c r="C57" s="1058" t="s">
        <v>399</v>
      </c>
      <c r="D57" s="374" t="str">
        <f t="shared" si="0"/>
        <v>Kg</v>
      </c>
      <c r="E57" s="183"/>
      <c r="F57" s="184">
        <f t="shared" si="2"/>
        <v>25.8</v>
      </c>
      <c r="G57" s="185">
        <f t="shared" si="2"/>
        <v>910.74</v>
      </c>
      <c r="H57" s="185">
        <f t="shared" si="3"/>
        <v>0</v>
      </c>
      <c r="I57" s="185">
        <f t="shared" si="4"/>
        <v>1090</v>
      </c>
      <c r="J57" s="185">
        <f t="shared" si="5"/>
        <v>17090.909646371976</v>
      </c>
      <c r="K57" s="185">
        <f t="shared" si="6"/>
        <v>18629091.514545456</v>
      </c>
      <c r="L57" s="1184" t="s">
        <v>407</v>
      </c>
      <c r="M57" s="1059"/>
      <c r="N57" s="1059"/>
      <c r="O57" s="1038"/>
      <c r="P57" s="1054"/>
      <c r="Q57" s="1054"/>
      <c r="T57" s="1041"/>
      <c r="U57" s="1042"/>
      <c r="V57" s="1042"/>
      <c r="AA57" s="1039" t="str">
        <f>VLOOKUP(L57,'25-BRA-I-090'!$I:$EZ,2,0)</f>
        <v>Ống</v>
      </c>
      <c r="AB57" s="1039" t="str">
        <f>VLOOKUP(L57,'25-BRA-I-090'!$I:$EZ,3,0)</f>
        <v>Pipe D127x12.5-DIN 2448-seamless pipe-L12000</v>
      </c>
      <c r="AC57" s="1039" t="s">
        <v>2620</v>
      </c>
      <c r="AD57" s="1039">
        <f>SUMIFS('25-BRA-I-090'!$CS:$CS,'25-BRA-I-090'!$I:$I,L57)</f>
        <v>25.8</v>
      </c>
      <c r="AE57" s="1039">
        <f>SUMIFS('25-BRA-I-090'!$CT:$CT,'25-BRA-I-090'!$I:$I,L57)</f>
        <v>910.74</v>
      </c>
      <c r="AF57" s="1039">
        <f>SUMIFS('25-BRA-I-090'!$CW:$CW,'25-BRA-I-090'!$I:$I,L57)</f>
        <v>0</v>
      </c>
      <c r="AG57" s="1039">
        <f>SUMIFS('25-BRA-I-090'!$CX:$CX,'25-BRA-I-090'!$I:$I,L57)</f>
        <v>0</v>
      </c>
      <c r="AH57" s="1040">
        <f>SUMIFS('25-BRA-I-090'!$DJ:$DJ,'25-BRA-I-090'!$I:$I,L57)+SUMIFS('25-BRA-I-090'!$EC:$EC,'25-BRA-I-090'!$I:$I,L57)</f>
        <v>29</v>
      </c>
      <c r="AI57" s="1040">
        <f>SUMIFS('25-BRA-I-090'!$DK:$DK,'25-BRA-I-090'!$I:$I,L57)+SUMIFS('25-BRA-I-090'!$ED:$ED,'25-BRA-I-090'!$I:$I,L57)</f>
        <v>1090</v>
      </c>
      <c r="AJ57" s="1040">
        <f>SUMIFS('25-BRA-I-090'!$DO:$DO,'25-BRA-I-090'!$I:$I,L57)+26400*SUMIFS('25-BRA-I-090'!$EF:$EF,'25-BRA-I-090'!$I:$I,L57)</f>
        <v>18629091.514545456</v>
      </c>
      <c r="AK57" s="185">
        <f t="shared" si="1"/>
        <v>18458.182418081735</v>
      </c>
      <c r="AO57" s="185">
        <v>17090.91</v>
      </c>
      <c r="AR57" s="1064" t="s">
        <v>407</v>
      </c>
      <c r="AS57" s="1065" t="s">
        <v>397</v>
      </c>
      <c r="AT57" s="1070" t="s">
        <v>408</v>
      </c>
      <c r="AU57" s="1066" t="s">
        <v>399</v>
      </c>
      <c r="AV57" s="1067" t="s">
        <v>61</v>
      </c>
    </row>
    <row r="58" spans="1:48" s="1039" customFormat="1" ht="33.5" customHeight="1">
      <c r="A58" s="372">
        <v>49</v>
      </c>
      <c r="B58" s="1069" t="s">
        <v>410</v>
      </c>
      <c r="C58" s="1058" t="s">
        <v>402</v>
      </c>
      <c r="D58" s="374" t="str">
        <f t="shared" si="0"/>
        <v>Kg</v>
      </c>
      <c r="E58" s="183"/>
      <c r="F58" s="184">
        <f t="shared" si="2"/>
        <v>96</v>
      </c>
      <c r="G58" s="185">
        <f t="shared" si="2"/>
        <v>4348.7999999999993</v>
      </c>
      <c r="H58" s="185">
        <f t="shared" si="3"/>
        <v>0</v>
      </c>
      <c r="I58" s="185">
        <f t="shared" si="4"/>
        <v>4348.8</v>
      </c>
      <c r="J58" s="185">
        <f t="shared" si="5"/>
        <v>33151.678724304467</v>
      </c>
      <c r="K58" s="185">
        <f t="shared" si="6"/>
        <v>144170020.43625528</v>
      </c>
      <c r="L58" s="1184" t="s">
        <v>409</v>
      </c>
      <c r="M58" s="1059"/>
      <c r="N58" s="1059"/>
      <c r="O58" s="1038"/>
      <c r="P58" s="1054"/>
      <c r="Q58" s="1054"/>
      <c r="T58" s="1041"/>
      <c r="U58" s="1042"/>
      <c r="V58" s="1042"/>
      <c r="AA58" s="1039" t="str">
        <f>VLOOKUP(L58,'25-BRA-I-090'!$I:$EZ,2,0)</f>
        <v>Ống</v>
      </c>
      <c r="AB58" s="1039" t="str">
        <f>VLOOKUP(L58,'25-BRA-I-090'!$I:$EZ,3,0)</f>
        <v>Pipe D193.7x10-EN 10220-3-seamless pipe-L12000</v>
      </c>
      <c r="AC58" s="1039" t="s">
        <v>2620</v>
      </c>
      <c r="AD58" s="1039">
        <f>SUMIFS('25-BRA-I-090'!$CS:$CS,'25-BRA-I-090'!$I:$I,L58)</f>
        <v>96</v>
      </c>
      <c r="AE58" s="1039">
        <f>SUMIFS('25-BRA-I-090'!$CT:$CT,'25-BRA-I-090'!$I:$I,L58)</f>
        <v>4348.7999999999993</v>
      </c>
      <c r="AF58" s="1039">
        <f>SUMIFS('25-BRA-I-090'!$CW:$CW,'25-BRA-I-090'!$I:$I,L58)</f>
        <v>0</v>
      </c>
      <c r="AG58" s="1039">
        <f>SUMIFS('25-BRA-I-090'!$CX:$CX,'25-BRA-I-090'!$I:$I,L58)</f>
        <v>0</v>
      </c>
      <c r="AH58" s="1040">
        <f>SUMIFS('25-BRA-I-090'!$DJ:$DJ,'25-BRA-I-090'!$I:$I,L58)+SUMIFS('25-BRA-I-090'!$EC:$EC,'25-BRA-I-090'!$I:$I,L58)</f>
        <v>96</v>
      </c>
      <c r="AI58" s="1040">
        <f>SUMIFS('25-BRA-I-090'!$DK:$DK,'25-BRA-I-090'!$I:$I,L58)+SUMIFS('25-BRA-I-090'!$ED:$ED,'25-BRA-I-090'!$I:$I,L58)</f>
        <v>4348.8</v>
      </c>
      <c r="AJ58" s="1040">
        <f>SUMIFS('25-BRA-I-090'!$DO:$DO,'25-BRA-I-090'!$I:$I,L58)+26400*SUMIFS('25-BRA-I-090'!$EF:$EF,'25-BRA-I-090'!$I:$I,L58)</f>
        <v>144170020.43625528</v>
      </c>
      <c r="AK58" s="1068">
        <f t="shared" si="1"/>
        <v>35803.813022248825</v>
      </c>
      <c r="AO58" s="1068">
        <v>1.198</v>
      </c>
      <c r="AR58" s="1064" t="s">
        <v>409</v>
      </c>
      <c r="AS58" s="1065" t="s">
        <v>397</v>
      </c>
      <c r="AT58" s="1070" t="s">
        <v>410</v>
      </c>
      <c r="AU58" s="1066" t="s">
        <v>402</v>
      </c>
      <c r="AV58" s="1067" t="s">
        <v>61</v>
      </c>
    </row>
    <row r="59" spans="1:48" s="1039" customFormat="1">
      <c r="A59" s="372">
        <v>50</v>
      </c>
      <c r="B59" s="1071" t="s">
        <v>413</v>
      </c>
      <c r="C59" s="1058" t="s">
        <v>402</v>
      </c>
      <c r="D59" s="374" t="str">
        <f t="shared" si="0"/>
        <v>Kg</v>
      </c>
      <c r="E59" s="183"/>
      <c r="F59" s="184">
        <f t="shared" si="2"/>
        <v>39</v>
      </c>
      <c r="G59" s="185">
        <f t="shared" si="2"/>
        <v>24.074074074074076</v>
      </c>
      <c r="H59" s="185">
        <f t="shared" si="3"/>
        <v>0</v>
      </c>
      <c r="I59" s="185">
        <f t="shared" si="4"/>
        <v>18.5</v>
      </c>
      <c r="J59" s="185">
        <f t="shared" si="5"/>
        <v>39858.775135135133</v>
      </c>
      <c r="K59" s="185">
        <f t="shared" si="6"/>
        <v>737387.34</v>
      </c>
      <c r="L59" s="1184" t="s">
        <v>411</v>
      </c>
      <c r="M59" s="1059"/>
      <c r="N59" s="1059"/>
      <c r="O59" s="1038"/>
      <c r="P59" s="1054"/>
      <c r="Q59" s="1054"/>
      <c r="T59" s="1041"/>
      <c r="U59" s="1042"/>
      <c r="V59" s="1042"/>
      <c r="AA59" s="1039" t="str">
        <f>VLOOKUP(L59,'25-BRA-I-090'!$I:$EZ,2,0)</f>
        <v>Thép tròn</v>
      </c>
      <c r="AB59" s="1039" t="str">
        <f>VLOOKUP(L59,'25-BRA-I-090'!$I:$EZ,3,0)</f>
        <v>RB10-L3000</v>
      </c>
      <c r="AC59" s="1039" t="s">
        <v>2620</v>
      </c>
      <c r="AD59" s="1039">
        <f>SUMIFS('25-BRA-I-090'!$CS:$CS,'25-BRA-I-090'!$I:$I,L59)</f>
        <v>39</v>
      </c>
      <c r="AE59" s="1039">
        <f>SUMIFS('25-BRA-I-090'!$CT:$CT,'25-BRA-I-090'!$I:$I,L59)</f>
        <v>24.074074074074076</v>
      </c>
      <c r="AF59" s="1039">
        <f>SUMIFS('25-BRA-I-090'!$CW:$CW,'25-BRA-I-090'!$I:$I,L59)</f>
        <v>0</v>
      </c>
      <c r="AG59" s="1039">
        <f>SUMIFS('25-BRA-I-090'!$CX:$CX,'25-BRA-I-090'!$I:$I,L59)</f>
        <v>0</v>
      </c>
      <c r="AH59" s="1040">
        <f>SUMIFS('25-BRA-I-090'!$DJ:$DJ,'25-BRA-I-090'!$I:$I,L59)+SUMIFS('25-BRA-I-090'!$EC:$EC,'25-BRA-I-090'!$I:$I,L59)</f>
        <v>39</v>
      </c>
      <c r="AI59" s="1040">
        <f>SUMIFS('25-BRA-I-090'!$DK:$DK,'25-BRA-I-090'!$I:$I,L59)+SUMIFS('25-BRA-I-090'!$ED:$ED,'25-BRA-I-090'!$I:$I,L59)</f>
        <v>18.5</v>
      </c>
      <c r="AJ59" s="1040">
        <f>SUMIFS('25-BRA-I-090'!$DO:$DO,'25-BRA-I-090'!$I:$I,L59)+26400*SUMIFS('25-BRA-I-090'!$EF:$EF,'25-BRA-I-090'!$I:$I,L59)</f>
        <v>737387.34</v>
      </c>
      <c r="AK59" s="185">
        <f t="shared" si="1"/>
        <v>43047.477145945944</v>
      </c>
      <c r="AO59" s="185">
        <v>17272.727272727272</v>
      </c>
      <c r="AR59" s="1064" t="s">
        <v>411</v>
      </c>
      <c r="AS59" s="1065" t="s">
        <v>412</v>
      </c>
      <c r="AT59" s="1065" t="s">
        <v>413</v>
      </c>
      <c r="AU59" s="1066" t="s">
        <v>402</v>
      </c>
      <c r="AV59" s="1067" t="s">
        <v>61</v>
      </c>
    </row>
    <row r="60" spans="1:48" s="1039" customFormat="1">
      <c r="A60" s="372">
        <v>51</v>
      </c>
      <c r="B60" s="1071" t="s">
        <v>415</v>
      </c>
      <c r="C60" s="1058" t="s">
        <v>402</v>
      </c>
      <c r="D60" s="374" t="str">
        <f t="shared" si="0"/>
        <v>Kg</v>
      </c>
      <c r="E60" s="183"/>
      <c r="F60" s="184">
        <f t="shared" si="2"/>
        <v>48</v>
      </c>
      <c r="G60" s="185">
        <f t="shared" si="2"/>
        <v>42.666666666666664</v>
      </c>
      <c r="H60" s="185">
        <f t="shared" si="3"/>
        <v>0</v>
      </c>
      <c r="I60" s="185">
        <f t="shared" si="4"/>
        <v>31.96</v>
      </c>
      <c r="J60" s="185">
        <f t="shared" si="5"/>
        <v>55152.095040675842</v>
      </c>
      <c r="K60" s="185">
        <f t="shared" si="6"/>
        <v>1762660.9575</v>
      </c>
      <c r="L60" s="1184" t="s">
        <v>414</v>
      </c>
      <c r="M60" s="1059"/>
      <c r="N60" s="1059"/>
      <c r="O60" s="1038"/>
      <c r="P60" s="1054"/>
      <c r="Q60" s="1054"/>
      <c r="T60" s="1041"/>
      <c r="U60" s="1042"/>
      <c r="V60" s="1042"/>
      <c r="AA60" s="1039" t="str">
        <f>VLOOKUP(L60,'25-BRA-I-090'!$I:$EZ,2,0)</f>
        <v>Thép tròn</v>
      </c>
      <c r="AB60" s="1039" t="str">
        <f>VLOOKUP(L60,'25-BRA-I-090'!$I:$EZ,3,0)</f>
        <v>RB12-L6000</v>
      </c>
      <c r="AC60" s="1039" t="s">
        <v>2620</v>
      </c>
      <c r="AD60" s="1039">
        <f>SUMIFS('25-BRA-I-090'!$CS:$CS,'25-BRA-I-090'!$I:$I,L60)</f>
        <v>48</v>
      </c>
      <c r="AE60" s="1039">
        <f>SUMIFS('25-BRA-I-090'!$CT:$CT,'25-BRA-I-090'!$I:$I,L60)</f>
        <v>42.666666666666664</v>
      </c>
      <c r="AF60" s="1039">
        <f>SUMIFS('25-BRA-I-090'!$CW:$CW,'25-BRA-I-090'!$I:$I,L60)</f>
        <v>0</v>
      </c>
      <c r="AG60" s="1039">
        <f>SUMIFS('25-BRA-I-090'!$CX:$CX,'25-BRA-I-090'!$I:$I,L60)</f>
        <v>0</v>
      </c>
      <c r="AH60" s="1040">
        <f>SUMIFS('25-BRA-I-090'!$DJ:$DJ,'25-BRA-I-090'!$I:$I,L60)+SUMIFS('25-BRA-I-090'!$EC:$EC,'25-BRA-I-090'!$I:$I,L60)</f>
        <v>54</v>
      </c>
      <c r="AI60" s="1040">
        <f>SUMIFS('25-BRA-I-090'!$DK:$DK,'25-BRA-I-090'!$I:$I,L60)+SUMIFS('25-BRA-I-090'!$ED:$ED,'25-BRA-I-090'!$I:$I,L60)</f>
        <v>31.96</v>
      </c>
      <c r="AJ60" s="1040">
        <f>SUMIFS('25-BRA-I-090'!$DO:$DO,'25-BRA-I-090'!$I:$I,L60)+26400*SUMIFS('25-BRA-I-090'!$EF:$EF,'25-BRA-I-090'!$I:$I,L60)</f>
        <v>1762660.9575</v>
      </c>
      <c r="AK60" s="185">
        <f t="shared" si="1"/>
        <v>59564.262643929913</v>
      </c>
      <c r="AO60" s="185">
        <v>17272.727272727272</v>
      </c>
      <c r="AR60" s="1065" t="s">
        <v>414</v>
      </c>
      <c r="AS60" s="1065" t="s">
        <v>412</v>
      </c>
      <c r="AT60" s="1065" t="s">
        <v>415</v>
      </c>
      <c r="AU60" s="1066" t="s">
        <v>402</v>
      </c>
      <c r="AV60" s="1067" t="s">
        <v>61</v>
      </c>
    </row>
    <row r="61" spans="1:48" s="1039" customFormat="1">
      <c r="A61" s="372">
        <v>52</v>
      </c>
      <c r="B61" s="1071" t="s">
        <v>417</v>
      </c>
      <c r="C61" s="1058" t="s">
        <v>402</v>
      </c>
      <c r="D61" s="374" t="str">
        <f t="shared" si="0"/>
        <v>Kg</v>
      </c>
      <c r="E61" s="183"/>
      <c r="F61" s="184">
        <f t="shared" si="2"/>
        <v>1.1000000000000001</v>
      </c>
      <c r="G61" s="185">
        <f t="shared" si="2"/>
        <v>6.1111111111111116</v>
      </c>
      <c r="H61" s="185">
        <f t="shared" si="3"/>
        <v>0</v>
      </c>
      <c r="I61" s="185">
        <f t="shared" si="4"/>
        <v>7</v>
      </c>
      <c r="J61" s="185">
        <f t="shared" si="5"/>
        <v>17272.727272727272</v>
      </c>
      <c r="K61" s="185">
        <f t="shared" si="6"/>
        <v>120909.09090909091</v>
      </c>
      <c r="L61" s="1184" t="s">
        <v>416</v>
      </c>
      <c r="M61" s="1059"/>
      <c r="N61" s="1059"/>
      <c r="O61" s="1038"/>
      <c r="P61" s="1054"/>
      <c r="Q61" s="1054"/>
      <c r="T61" s="1041"/>
      <c r="U61" s="1042"/>
      <c r="V61" s="1042"/>
      <c r="AA61" s="1039" t="str">
        <f>VLOOKUP(L61,'25-BRA-I-090'!$I:$EZ,2,0)</f>
        <v>Thép tròn</v>
      </c>
      <c r="AB61" s="1039" t="str">
        <f>VLOOKUP(L61,'25-BRA-I-090'!$I:$EZ,3,0)</f>
        <v>RB30-L1100</v>
      </c>
      <c r="AC61" s="1039" t="s">
        <v>2620</v>
      </c>
      <c r="AD61" s="1039">
        <f>SUMIFS('25-BRA-I-090'!$CS:$CS,'25-BRA-I-090'!$I:$I,L61)</f>
        <v>1.1000000000000001</v>
      </c>
      <c r="AE61" s="1039">
        <f>SUMIFS('25-BRA-I-090'!$CT:$CT,'25-BRA-I-090'!$I:$I,L61)</f>
        <v>6.1111111111111116</v>
      </c>
      <c r="AF61" s="1039">
        <f>SUMIFS('25-BRA-I-090'!$CW:$CW,'25-BRA-I-090'!$I:$I,L61)</f>
        <v>0</v>
      </c>
      <c r="AG61" s="1039">
        <f>SUMIFS('25-BRA-I-090'!$CX:$CX,'25-BRA-I-090'!$I:$I,L61)</f>
        <v>0</v>
      </c>
      <c r="AH61" s="1040">
        <f>SUMIFS('25-BRA-I-090'!$DJ:$DJ,'25-BRA-I-090'!$I:$I,L61)+SUMIFS('25-BRA-I-090'!$EC:$EC,'25-BRA-I-090'!$I:$I,L61)</f>
        <v>1.2</v>
      </c>
      <c r="AI61" s="1040">
        <f>SUMIFS('25-BRA-I-090'!$DK:$DK,'25-BRA-I-090'!$I:$I,L61)+SUMIFS('25-BRA-I-090'!$ED:$ED,'25-BRA-I-090'!$I:$I,L61)</f>
        <v>7</v>
      </c>
      <c r="AJ61" s="1040">
        <f>SUMIFS('25-BRA-I-090'!$DO:$DO,'25-BRA-I-090'!$I:$I,L61)+26400*SUMIFS('25-BRA-I-090'!$EF:$EF,'25-BRA-I-090'!$I:$I,L61)</f>
        <v>120909.09090909091</v>
      </c>
      <c r="AK61" s="185">
        <f t="shared" si="1"/>
        <v>18654.545454545456</v>
      </c>
      <c r="AO61" s="185">
        <v>17272.727272727272</v>
      </c>
      <c r="AR61" s="1064" t="s">
        <v>416</v>
      </c>
      <c r="AS61" s="1065" t="s">
        <v>412</v>
      </c>
      <c r="AT61" s="1065" t="s">
        <v>417</v>
      </c>
      <c r="AU61" s="1066" t="s">
        <v>402</v>
      </c>
      <c r="AV61" s="1067" t="s">
        <v>61</v>
      </c>
    </row>
    <row r="62" spans="1:48" s="1039" customFormat="1">
      <c r="A62" s="372">
        <v>53</v>
      </c>
      <c r="B62" s="1071" t="s">
        <v>419</v>
      </c>
      <c r="C62" s="1058" t="s">
        <v>402</v>
      </c>
      <c r="D62" s="374" t="str">
        <f t="shared" si="0"/>
        <v>Kg</v>
      </c>
      <c r="E62" s="183"/>
      <c r="F62" s="184">
        <f t="shared" si="2"/>
        <v>13.200000000000001</v>
      </c>
      <c r="G62" s="185">
        <f t="shared" si="2"/>
        <v>130.37037037037038</v>
      </c>
      <c r="H62" s="185">
        <f t="shared" si="3"/>
        <v>0</v>
      </c>
      <c r="I62" s="185">
        <f t="shared" si="4"/>
        <v>130</v>
      </c>
      <c r="J62" s="185">
        <f t="shared" si="5"/>
        <v>17272.727272727272</v>
      </c>
      <c r="K62" s="185">
        <f t="shared" si="6"/>
        <v>2245454.5454545454</v>
      </c>
      <c r="L62" s="1184" t="s">
        <v>418</v>
      </c>
      <c r="M62" s="1059"/>
      <c r="N62" s="1059"/>
      <c r="O62" s="1038"/>
      <c r="P62" s="1054"/>
      <c r="Q62" s="1054"/>
      <c r="T62" s="1041"/>
      <c r="U62" s="1042"/>
      <c r="V62" s="1042"/>
      <c r="AA62" s="1039" t="str">
        <f>VLOOKUP(L62,'25-BRA-I-090'!$I:$EZ,2,0)</f>
        <v>Thép tròn</v>
      </c>
      <c r="AB62" s="1039" t="str">
        <f>VLOOKUP(L62,'25-BRA-I-090'!$I:$EZ,3,0)</f>
        <v>RB40-L6000</v>
      </c>
      <c r="AC62" s="1039" t="s">
        <v>2620</v>
      </c>
      <c r="AD62" s="1039">
        <f>SUMIFS('25-BRA-I-090'!$CS:$CS,'25-BRA-I-090'!$I:$I,L62)</f>
        <v>13.200000000000001</v>
      </c>
      <c r="AE62" s="1039">
        <f>SUMIFS('25-BRA-I-090'!$CT:$CT,'25-BRA-I-090'!$I:$I,L62)</f>
        <v>130.37037037037038</v>
      </c>
      <c r="AF62" s="1039">
        <f>SUMIFS('25-BRA-I-090'!$CW:$CW,'25-BRA-I-090'!$I:$I,L62)</f>
        <v>0</v>
      </c>
      <c r="AG62" s="1039">
        <f>SUMIFS('25-BRA-I-090'!$CX:$CX,'25-BRA-I-090'!$I:$I,L62)</f>
        <v>0</v>
      </c>
      <c r="AH62" s="1040">
        <f>SUMIFS('25-BRA-I-090'!$DJ:$DJ,'25-BRA-I-090'!$I:$I,L62)+SUMIFS('25-BRA-I-090'!$EC:$EC,'25-BRA-I-090'!$I:$I,L62)</f>
        <v>13.25</v>
      </c>
      <c r="AI62" s="1040">
        <f>SUMIFS('25-BRA-I-090'!$DK:$DK,'25-BRA-I-090'!$I:$I,L62)+SUMIFS('25-BRA-I-090'!$ED:$ED,'25-BRA-I-090'!$I:$I,L62)</f>
        <v>130</v>
      </c>
      <c r="AJ62" s="1040">
        <f>SUMIFS('25-BRA-I-090'!$DO:$DO,'25-BRA-I-090'!$I:$I,L62)+26400*SUMIFS('25-BRA-I-090'!$EF:$EF,'25-BRA-I-090'!$I:$I,L62)</f>
        <v>2245454.5454545454</v>
      </c>
      <c r="AK62" s="185">
        <f t="shared" si="1"/>
        <v>18654.545454545456</v>
      </c>
      <c r="AO62" s="185">
        <v>17272.727272727272</v>
      </c>
      <c r="AR62" s="1064" t="s">
        <v>418</v>
      </c>
      <c r="AS62" s="1065" t="s">
        <v>412</v>
      </c>
      <c r="AT62" s="1065" t="s">
        <v>419</v>
      </c>
      <c r="AU62" s="1066" t="s">
        <v>402</v>
      </c>
      <c r="AV62" s="1067" t="s">
        <v>61</v>
      </c>
    </row>
    <row r="63" spans="1:48" s="1039" customFormat="1">
      <c r="A63" s="372">
        <v>54</v>
      </c>
      <c r="B63" s="1071" t="s">
        <v>421</v>
      </c>
      <c r="C63" s="1058" t="s">
        <v>402</v>
      </c>
      <c r="D63" s="374" t="str">
        <f t="shared" si="0"/>
        <v>Kg</v>
      </c>
      <c r="E63" s="183"/>
      <c r="F63" s="184">
        <f t="shared" si="2"/>
        <v>4</v>
      </c>
      <c r="G63" s="185">
        <f t="shared" si="2"/>
        <v>158.02469135802468</v>
      </c>
      <c r="H63" s="185">
        <f t="shared" si="3"/>
        <v>0</v>
      </c>
      <c r="I63" s="185">
        <f t="shared" si="4"/>
        <v>160</v>
      </c>
      <c r="J63" s="185">
        <f t="shared" si="5"/>
        <v>17272.727272727272</v>
      </c>
      <c r="K63" s="185">
        <f t="shared" si="6"/>
        <v>2763636.3636363633</v>
      </c>
      <c r="L63" s="1184" t="s">
        <v>420</v>
      </c>
      <c r="M63" s="1059"/>
      <c r="N63" s="1059"/>
      <c r="O63" s="1038"/>
      <c r="P63" s="1054"/>
      <c r="Q63" s="1054"/>
      <c r="T63" s="1041"/>
      <c r="U63" s="1042"/>
      <c r="V63" s="1042"/>
      <c r="AA63" s="1039" t="str">
        <f>VLOOKUP(L63,'25-BRA-I-090'!$I:$EZ,2,0)</f>
        <v>Thép tròn</v>
      </c>
      <c r="AB63" s="1039" t="str">
        <f>VLOOKUP(L63,'25-BRA-I-090'!$I:$EZ,3,0)</f>
        <v>RB80-L4000</v>
      </c>
      <c r="AC63" s="1039" t="s">
        <v>2620</v>
      </c>
      <c r="AD63" s="1039">
        <f>SUMIFS('25-BRA-I-090'!$CS:$CS,'25-BRA-I-090'!$I:$I,L63)</f>
        <v>4</v>
      </c>
      <c r="AE63" s="1039">
        <f>SUMIFS('25-BRA-I-090'!$CT:$CT,'25-BRA-I-090'!$I:$I,L63)</f>
        <v>158.02469135802468</v>
      </c>
      <c r="AF63" s="1039">
        <f>SUMIFS('25-BRA-I-090'!$CW:$CW,'25-BRA-I-090'!$I:$I,L63)</f>
        <v>0</v>
      </c>
      <c r="AG63" s="1039">
        <f>SUMIFS('25-BRA-I-090'!$CX:$CX,'25-BRA-I-090'!$I:$I,L63)</f>
        <v>0</v>
      </c>
      <c r="AH63" s="1040">
        <f>SUMIFS('25-BRA-I-090'!$DJ:$DJ,'25-BRA-I-090'!$I:$I,L63)+SUMIFS('25-BRA-I-090'!$EC:$EC,'25-BRA-I-090'!$I:$I,L63)</f>
        <v>4</v>
      </c>
      <c r="AI63" s="1040">
        <f>SUMIFS('25-BRA-I-090'!$DK:$DK,'25-BRA-I-090'!$I:$I,L63)+SUMIFS('25-BRA-I-090'!$ED:$ED,'25-BRA-I-090'!$I:$I,L63)</f>
        <v>160</v>
      </c>
      <c r="AJ63" s="1040">
        <f>SUMIFS('25-BRA-I-090'!$DO:$DO,'25-BRA-I-090'!$I:$I,L63)+26400*SUMIFS('25-BRA-I-090'!$EF:$EF,'25-BRA-I-090'!$I:$I,L63)</f>
        <v>2763636.3636363633</v>
      </c>
      <c r="AK63" s="185">
        <f t="shared" si="1"/>
        <v>18654.545454545456</v>
      </c>
      <c r="AO63" s="185">
        <v>17272.727272727272</v>
      </c>
      <c r="AR63" s="1064" t="s">
        <v>420</v>
      </c>
      <c r="AS63" s="1065" t="s">
        <v>412</v>
      </c>
      <c r="AT63" s="1065" t="s">
        <v>421</v>
      </c>
      <c r="AU63" s="1066" t="s">
        <v>402</v>
      </c>
      <c r="AV63" s="1067" t="s">
        <v>61</v>
      </c>
    </row>
    <row r="64" spans="1:48" s="1039" customFormat="1">
      <c r="A64" s="372">
        <v>55</v>
      </c>
      <c r="B64" s="1071" t="s">
        <v>423</v>
      </c>
      <c r="C64" s="1058" t="s">
        <v>402</v>
      </c>
      <c r="D64" s="374" t="str">
        <f t="shared" si="0"/>
        <v>Kg</v>
      </c>
      <c r="E64" s="183"/>
      <c r="F64" s="184">
        <f t="shared" si="2"/>
        <v>1.1000000000000001</v>
      </c>
      <c r="G64" s="185">
        <f t="shared" si="2"/>
        <v>67.901234567901241</v>
      </c>
      <c r="H64" s="185">
        <f t="shared" si="3"/>
        <v>67.901234567901241</v>
      </c>
      <c r="I64" s="185">
        <f t="shared" si="4"/>
        <v>0</v>
      </c>
      <c r="J64" s="185" t="e">
        <f t="shared" si="5"/>
        <v>#DIV/0!</v>
      </c>
      <c r="K64" s="185">
        <f t="shared" si="6"/>
        <v>0</v>
      </c>
      <c r="L64" s="1184" t="s">
        <v>422</v>
      </c>
      <c r="M64" s="1059"/>
      <c r="N64" s="1059"/>
      <c r="O64" s="1038"/>
      <c r="P64" s="1054"/>
      <c r="Q64" s="1054"/>
      <c r="T64" s="1041"/>
      <c r="U64" s="1042"/>
      <c r="V64" s="1042"/>
      <c r="AA64" s="1039" t="str">
        <f>VLOOKUP(L64,'25-BRA-I-090'!$I:$EZ,2,0)</f>
        <v>Thép tròn</v>
      </c>
      <c r="AB64" s="1039" t="str">
        <f>VLOOKUP(L64,'25-BRA-I-090'!$I:$EZ,3,0)</f>
        <v>RB100-L1100</v>
      </c>
      <c r="AC64" s="1039" t="s">
        <v>2620</v>
      </c>
      <c r="AD64" s="1039">
        <f>SUMIFS('25-BRA-I-090'!$CS:$CS,'25-BRA-I-090'!$I:$I,L64)</f>
        <v>1.1000000000000001</v>
      </c>
      <c r="AE64" s="1039">
        <f>SUMIFS('25-BRA-I-090'!$CT:$CT,'25-BRA-I-090'!$I:$I,L64)</f>
        <v>67.901234567901241</v>
      </c>
      <c r="AF64" s="1039">
        <f>SUMIFS('25-BRA-I-090'!$CW:$CW,'25-BRA-I-090'!$I:$I,L64)</f>
        <v>1.1000000000000001</v>
      </c>
      <c r="AG64" s="1039">
        <f>SUMIFS('25-BRA-I-090'!$CX:$CX,'25-BRA-I-090'!$I:$I,L64)</f>
        <v>67.901234567901241</v>
      </c>
      <c r="AH64" s="1040">
        <f>SUMIFS('25-BRA-I-090'!$DJ:$DJ,'25-BRA-I-090'!$I:$I,L64)+SUMIFS('25-BRA-I-090'!$EC:$EC,'25-BRA-I-090'!$I:$I,L64)</f>
        <v>0</v>
      </c>
      <c r="AI64" s="1040">
        <f>SUMIFS('25-BRA-I-090'!$DK:$DK,'25-BRA-I-090'!$I:$I,L64)+SUMIFS('25-BRA-I-090'!$ED:$ED,'25-BRA-I-090'!$I:$I,L64)</f>
        <v>0</v>
      </c>
      <c r="AJ64" s="1040">
        <f>SUMIFS('25-BRA-I-090'!$DO:$DO,'25-BRA-I-090'!$I:$I,L64)+26400*SUMIFS('25-BRA-I-090'!$EF:$EF,'25-BRA-I-090'!$I:$I,L64)</f>
        <v>0</v>
      </c>
      <c r="AK64" s="185" t="e">
        <f t="shared" si="1"/>
        <v>#DIV/0!</v>
      </c>
      <c r="AO64" s="185">
        <v>17272.727272727272</v>
      </c>
      <c r="AR64" s="1064" t="s">
        <v>422</v>
      </c>
      <c r="AS64" s="1065" t="s">
        <v>412</v>
      </c>
      <c r="AT64" s="1065" t="s">
        <v>423</v>
      </c>
      <c r="AU64" s="1066" t="s">
        <v>402</v>
      </c>
      <c r="AV64" s="1067" t="s">
        <v>61</v>
      </c>
    </row>
    <row r="65" spans="1:48" s="1039" customFormat="1">
      <c r="A65" s="372">
        <v>56</v>
      </c>
      <c r="B65" s="1071" t="s">
        <v>425</v>
      </c>
      <c r="C65" s="1058" t="s">
        <v>426</v>
      </c>
      <c r="D65" s="374" t="str">
        <f t="shared" si="0"/>
        <v>Kg</v>
      </c>
      <c r="E65" s="183"/>
      <c r="F65" s="184">
        <f t="shared" si="2"/>
        <v>13.32</v>
      </c>
      <c r="G65" s="185">
        <f t="shared" si="2"/>
        <v>22206.038399999998</v>
      </c>
      <c r="H65" s="185">
        <f t="shared" si="3"/>
        <v>0</v>
      </c>
      <c r="I65" s="185">
        <f t="shared" si="4"/>
        <v>0</v>
      </c>
      <c r="J65" s="185" t="e">
        <f t="shared" si="5"/>
        <v>#DIV/0!</v>
      </c>
      <c r="K65" s="185">
        <f t="shared" si="6"/>
        <v>650000000</v>
      </c>
      <c r="L65" s="1184" t="s">
        <v>424</v>
      </c>
      <c r="M65" s="1059"/>
      <c r="N65" s="1059"/>
      <c r="O65" s="1038"/>
      <c r="P65" s="1054"/>
      <c r="Q65" s="1054"/>
      <c r="T65" s="1041"/>
      <c r="U65" s="1042"/>
      <c r="V65" s="1042"/>
      <c r="AA65" s="1039" t="str">
        <f>VLOOKUP(L65,'25-BRA-I-090'!$I:$EZ,2,0)</f>
        <v>Thép tròn</v>
      </c>
      <c r="AB65" s="1039" t="str">
        <f>VLOOKUP(L65,'25-BRA-I-090'!$I:$EZ,3,0)</f>
        <v>RB520-L6000</v>
      </c>
      <c r="AC65" s="1039" t="s">
        <v>2620</v>
      </c>
      <c r="AD65" s="1039">
        <f>SUMIFS('25-BRA-I-090'!$CS:$CS,'25-BRA-I-090'!$I:$I,L65)</f>
        <v>13.32</v>
      </c>
      <c r="AE65" s="1039">
        <f>SUMIFS('25-BRA-I-090'!$CT:$CT,'25-BRA-I-090'!$I:$I,L65)</f>
        <v>22206.038399999998</v>
      </c>
      <c r="AF65" s="1039">
        <f>SUMIFS('25-BRA-I-090'!$CW:$CW,'25-BRA-I-090'!$I:$I,L65)</f>
        <v>0</v>
      </c>
      <c r="AG65" s="1039">
        <f>SUMIFS('25-BRA-I-090'!$CX:$CX,'25-BRA-I-090'!$I:$I,L65)</f>
        <v>0</v>
      </c>
      <c r="AH65" s="1040">
        <f>SUMIFS('25-BRA-I-090'!$DJ:$DJ,'25-BRA-I-090'!$I:$I,L65)+SUMIFS('25-BRA-I-090'!$EC:$EC,'25-BRA-I-090'!$I:$I,L65)</f>
        <v>12.4</v>
      </c>
      <c r="AI65" s="1040">
        <f>SUMIFS('25-BRA-I-090'!$DK:$DK,'25-BRA-I-090'!$I:$I,L65)+SUMIFS('25-BRA-I-090'!$ED:$ED,'25-BRA-I-090'!$I:$I,L65)</f>
        <v>0</v>
      </c>
      <c r="AJ65" s="1040">
        <f>SUMIFS('25-BRA-I-090'!$DO:$DO,'25-BRA-I-090'!$I:$I,L65)+26400*SUMIFS('25-BRA-I-090'!$EF:$EF,'25-BRA-I-090'!$I:$I,L65)</f>
        <v>650000000</v>
      </c>
      <c r="AK65" s="185" t="e">
        <f t="shared" si="1"/>
        <v>#DIV/0!</v>
      </c>
      <c r="AL65" s="1039" t="s">
        <v>2627</v>
      </c>
      <c r="AO65" s="185"/>
      <c r="AR65" s="1064" t="s">
        <v>424</v>
      </c>
      <c r="AS65" s="1065" t="s">
        <v>412</v>
      </c>
      <c r="AT65" s="1064" t="s">
        <v>425</v>
      </c>
      <c r="AU65" s="1066" t="s">
        <v>426</v>
      </c>
      <c r="AV65" s="1067" t="s">
        <v>61</v>
      </c>
    </row>
    <row r="66" spans="1:48" s="1039" customFormat="1" ht="60">
      <c r="A66" s="372">
        <v>57</v>
      </c>
      <c r="B66" s="1071" t="s">
        <v>429</v>
      </c>
      <c r="C66" s="1058" t="s">
        <v>430</v>
      </c>
      <c r="D66" s="374" t="str">
        <f t="shared" si="0"/>
        <v>pcs</v>
      </c>
      <c r="E66" s="183"/>
      <c r="F66" s="184">
        <f t="shared" ref="F66:H109" si="7">AD66</f>
        <v>54</v>
      </c>
      <c r="G66" s="185">
        <f t="shared" si="7"/>
        <v>39.92</v>
      </c>
      <c r="H66" s="185">
        <f t="shared" si="7"/>
        <v>0</v>
      </c>
      <c r="I66" s="185">
        <f t="shared" ref="I66:I67" si="8">AH66</f>
        <v>54</v>
      </c>
      <c r="J66" s="185">
        <f t="shared" si="5"/>
        <v>44500</v>
      </c>
      <c r="K66" s="185">
        <f t="shared" si="6"/>
        <v>2403000</v>
      </c>
      <c r="L66" s="1184" t="s">
        <v>427</v>
      </c>
      <c r="M66" s="1059"/>
      <c r="N66" s="1059"/>
      <c r="O66" s="1038"/>
      <c r="P66" s="1054"/>
      <c r="Q66" s="1054"/>
      <c r="T66" s="1041"/>
      <c r="U66" s="1042"/>
      <c r="V66" s="1042"/>
      <c r="AA66" s="1039" t="str">
        <f>VLOOKUP(L66,'25-BRA-I-090'!$I:$EZ,2,0)</f>
        <v>Elbow</v>
      </c>
      <c r="AB66" s="1039" t="str">
        <f>VLOOKUP(L66,'25-BRA-I-090'!$I:$EZ,3,0)</f>
        <v>Elbow 90 Deg Type 3 D60.3 - 4.5S -DIN EN 10253</v>
      </c>
      <c r="AC66" s="1039" t="str">
        <f>VLOOKUP(L66,'25-BRA-I-090'!$I:$EZ,5,0)</f>
        <v>pcs</v>
      </c>
      <c r="AD66" s="1039">
        <f>SUMIFS('25-BRA-I-090'!$CS:$CS,'25-BRA-I-090'!$I:$I,L66)</f>
        <v>54</v>
      </c>
      <c r="AE66" s="1039">
        <f>SUMIFS('25-BRA-I-090'!$CT:$CT,'25-BRA-I-090'!$I:$I,L66)</f>
        <v>39.92</v>
      </c>
      <c r="AF66" s="1039">
        <f>SUMIFS('25-BRA-I-090'!$CW:$CW,'25-BRA-I-090'!$I:$I,L66)</f>
        <v>0</v>
      </c>
      <c r="AG66" s="1039">
        <f>SUMIFS('25-BRA-I-090'!$CX:$CX,'25-BRA-I-090'!$I:$I,L66)</f>
        <v>0</v>
      </c>
      <c r="AH66" s="1040">
        <f>SUMIFS('25-BRA-I-090'!$DJ:$DJ,'25-BRA-I-090'!$I:$I,L66)+SUMIFS('25-BRA-I-090'!$EC:$EC,'25-BRA-I-090'!$I:$I,L66)</f>
        <v>54</v>
      </c>
      <c r="AI66" s="1040">
        <f>SUMIFS('25-BRA-I-090'!$DK:$DK,'25-BRA-I-090'!$I:$I,L66)+SUMIFS('25-BRA-I-090'!$ED:$ED,'25-BRA-I-090'!$I:$I,L66)</f>
        <v>0</v>
      </c>
      <c r="AJ66" s="1040">
        <f>SUMIFS('25-BRA-I-090'!$DO:$DO,'25-BRA-I-090'!$I:$I,L66)+26400*SUMIFS('25-BRA-I-090'!$EF:$EF,'25-BRA-I-090'!$I:$I,L66)</f>
        <v>2403000</v>
      </c>
      <c r="AK66" s="185">
        <f t="shared" si="1"/>
        <v>48060</v>
      </c>
      <c r="AO66" s="185">
        <v>50000</v>
      </c>
      <c r="AR66" s="1064" t="s">
        <v>427</v>
      </c>
      <c r="AS66" s="1065" t="s">
        <v>428</v>
      </c>
      <c r="AT66" s="1065" t="s">
        <v>429</v>
      </c>
      <c r="AU66" s="1066" t="s">
        <v>430</v>
      </c>
      <c r="AV66" s="1067" t="s">
        <v>345</v>
      </c>
    </row>
    <row r="67" spans="1:48" s="1039" customFormat="1" ht="30">
      <c r="A67" s="372">
        <v>58</v>
      </c>
      <c r="B67" s="1071" t="s">
        <v>433</v>
      </c>
      <c r="C67" s="1058" t="s">
        <v>430</v>
      </c>
      <c r="D67" s="374" t="str">
        <f t="shared" si="0"/>
        <v>pcs</v>
      </c>
      <c r="E67" s="183"/>
      <c r="F67" s="184">
        <f t="shared" si="7"/>
        <v>10</v>
      </c>
      <c r="G67" s="185">
        <f t="shared" si="7"/>
        <v>9.6999999999999993</v>
      </c>
      <c r="H67" s="185">
        <f t="shared" si="7"/>
        <v>0</v>
      </c>
      <c r="I67" s="185">
        <f t="shared" si="8"/>
        <v>10</v>
      </c>
      <c r="J67" s="185">
        <f t="shared" si="5"/>
        <v>68000</v>
      </c>
      <c r="K67" s="185">
        <f t="shared" si="6"/>
        <v>680000</v>
      </c>
      <c r="L67" s="1184" t="s">
        <v>431</v>
      </c>
      <c r="M67" s="1059"/>
      <c r="N67" s="1059"/>
      <c r="O67" s="1038"/>
      <c r="P67" s="1054"/>
      <c r="Q67" s="1054"/>
      <c r="T67" s="1041"/>
      <c r="U67" s="1042"/>
      <c r="V67" s="1042"/>
      <c r="AA67" s="1039" t="str">
        <f>VLOOKUP(L67,'25-BRA-I-090'!$I:$EZ,2,0)</f>
        <v>Tee thép</v>
      </c>
      <c r="AB67" s="1039" t="str">
        <f>VLOOKUP(L67,'25-BRA-I-090'!$I:$EZ,3,0)</f>
        <v xml:space="preserve"> Tee D60.3 x 4 S-DIN EN 10253</v>
      </c>
      <c r="AC67" s="1039" t="str">
        <f>VLOOKUP(L67,'25-BRA-I-090'!$I:$EZ,5,0)</f>
        <v>pcs</v>
      </c>
      <c r="AD67" s="1039">
        <f>SUMIFS('25-BRA-I-090'!$CS:$CS,'25-BRA-I-090'!$I:$I,L67)</f>
        <v>10</v>
      </c>
      <c r="AE67" s="1039">
        <f>SUMIFS('25-BRA-I-090'!$CT:$CT,'25-BRA-I-090'!$I:$I,L67)</f>
        <v>9.6999999999999993</v>
      </c>
      <c r="AF67" s="1039">
        <f>SUMIFS('25-BRA-I-090'!$CW:$CW,'25-BRA-I-090'!$I:$I,L67)</f>
        <v>0</v>
      </c>
      <c r="AG67" s="1039">
        <f>SUMIFS('25-BRA-I-090'!$CX:$CX,'25-BRA-I-090'!$I:$I,L67)</f>
        <v>0</v>
      </c>
      <c r="AH67" s="1040">
        <f>SUMIFS('25-BRA-I-090'!$DJ:$DJ,'25-BRA-I-090'!$I:$I,L67)+SUMIFS('25-BRA-I-090'!$EC:$EC,'25-BRA-I-090'!$I:$I,L67)</f>
        <v>10</v>
      </c>
      <c r="AI67" s="1040">
        <f>SUMIFS('25-BRA-I-090'!$DK:$DK,'25-BRA-I-090'!$I:$I,L67)+SUMIFS('25-BRA-I-090'!$ED:$ED,'25-BRA-I-090'!$I:$I,L67)</f>
        <v>0</v>
      </c>
      <c r="AJ67" s="1040">
        <f>SUMIFS('25-BRA-I-090'!$DO:$DO,'25-BRA-I-090'!$I:$I,L67)+26400*SUMIFS('25-BRA-I-090'!$EF:$EF,'25-BRA-I-090'!$I:$I,L67)</f>
        <v>680000</v>
      </c>
      <c r="AK67" s="185">
        <f t="shared" si="1"/>
        <v>73440</v>
      </c>
      <c r="AO67" s="185">
        <v>50000</v>
      </c>
      <c r="AR67" s="1064" t="s">
        <v>431</v>
      </c>
      <c r="AS67" s="1065" t="s">
        <v>432</v>
      </c>
      <c r="AT67" s="1065" t="s">
        <v>433</v>
      </c>
      <c r="AU67" s="1066" t="s">
        <v>430</v>
      </c>
      <c r="AV67" s="1067" t="s">
        <v>345</v>
      </c>
    </row>
    <row r="68" spans="1:48" s="1039" customFormat="1" ht="30">
      <c r="A68" s="372">
        <v>59</v>
      </c>
      <c r="B68" s="1071" t="s">
        <v>440</v>
      </c>
      <c r="C68" s="1058" t="s">
        <v>402</v>
      </c>
      <c r="D68" s="374" t="str">
        <f t="shared" si="0"/>
        <v>Kg</v>
      </c>
      <c r="E68" s="183"/>
      <c r="F68" s="184">
        <f t="shared" si="7"/>
        <v>18</v>
      </c>
      <c r="G68" s="185">
        <f t="shared" si="7"/>
        <v>1103.3999999999999</v>
      </c>
      <c r="H68" s="185">
        <f t="shared" ref="H68:H85" si="9">AG68</f>
        <v>0</v>
      </c>
      <c r="I68" s="185">
        <f t="shared" ref="I68:I85" si="10">AI68</f>
        <v>1471.1999999999998</v>
      </c>
      <c r="J68" s="185">
        <f t="shared" si="5"/>
        <v>27766.078724304472</v>
      </c>
      <c r="K68" s="185">
        <f t="shared" si="6"/>
        <v>40849455.019196734</v>
      </c>
      <c r="L68" s="1184" t="s">
        <v>439</v>
      </c>
      <c r="M68" s="1059"/>
      <c r="N68" s="1059"/>
      <c r="O68" s="1038"/>
      <c r="P68" s="1054"/>
      <c r="Q68" s="1054"/>
      <c r="T68" s="1041"/>
      <c r="U68" s="1042"/>
      <c r="V68" s="1042"/>
      <c r="AA68" s="1039" t="str">
        <f>VLOOKUP(L68,'25-BRA-I-090'!$I:$EZ,2,0)</f>
        <v>Thép hình-H</v>
      </c>
      <c r="AB68" s="1039" t="str">
        <f>VLOOKUP(L68,'25-BRA-I-090'!$I:$EZ,3,0)</f>
        <v>HEB200(H200x200x9x15)-L12000</v>
      </c>
      <c r="AC68" s="1039" t="s">
        <v>2620</v>
      </c>
      <c r="AD68" s="1039">
        <f>SUMIFS('25-BRA-I-090'!$CS:$CS,'25-BRA-I-090'!$I:$I,L68)</f>
        <v>18</v>
      </c>
      <c r="AE68" s="1039">
        <f>SUMIFS('25-BRA-I-090'!$CT:$CT,'25-BRA-I-090'!$I:$I,L68)</f>
        <v>1103.3999999999999</v>
      </c>
      <c r="AF68" s="1039">
        <f>SUMIFS('25-BRA-I-090'!$CW:$CW,'25-BRA-I-090'!$I:$I,L68)</f>
        <v>0</v>
      </c>
      <c r="AG68" s="1039">
        <f>SUMIFS('25-BRA-I-090'!$CX:$CX,'25-BRA-I-090'!$I:$I,L68)</f>
        <v>0</v>
      </c>
      <c r="AH68" s="1040">
        <f>SUMIFS('25-BRA-I-090'!$DJ:$DJ,'25-BRA-I-090'!$I:$I,L68)+SUMIFS('25-BRA-I-090'!$EC:$EC,'25-BRA-I-090'!$I:$I,L68)</f>
        <v>24</v>
      </c>
      <c r="AI68" s="1040">
        <f>SUMIFS('25-BRA-I-090'!$DK:$DK,'25-BRA-I-090'!$I:$I,L68)+SUMIFS('25-BRA-I-090'!$ED:$ED,'25-BRA-I-090'!$I:$I,L68)</f>
        <v>1471.1999999999998</v>
      </c>
      <c r="AJ68" s="1040">
        <f>SUMIFS('25-BRA-I-090'!$DO:$DO,'25-BRA-I-090'!$I:$I,L68)+26400*SUMIFS('25-BRA-I-090'!$EF:$EF,'25-BRA-I-090'!$I:$I,L68)</f>
        <v>40849455.019196734</v>
      </c>
      <c r="AK68" s="1068">
        <f t="shared" si="1"/>
        <v>29987.365022248832</v>
      </c>
      <c r="AO68" s="1068">
        <v>0.99399999999999999</v>
      </c>
      <c r="AR68" s="1064" t="s">
        <v>439</v>
      </c>
      <c r="AS68" s="1065" t="s">
        <v>267</v>
      </c>
      <c r="AT68" s="1065" t="s">
        <v>440</v>
      </c>
      <c r="AU68" s="1066" t="s">
        <v>402</v>
      </c>
      <c r="AV68" s="1067" t="s">
        <v>61</v>
      </c>
    </row>
    <row r="69" spans="1:48" s="1039" customFormat="1" ht="30">
      <c r="A69" s="372">
        <v>60</v>
      </c>
      <c r="B69" s="1071" t="s">
        <v>442</v>
      </c>
      <c r="C69" s="1058" t="s">
        <v>402</v>
      </c>
      <c r="D69" s="374" t="str">
        <f t="shared" si="0"/>
        <v>Kg</v>
      </c>
      <c r="E69" s="183"/>
      <c r="F69" s="184">
        <f t="shared" si="7"/>
        <v>1044</v>
      </c>
      <c r="G69" s="185">
        <f t="shared" si="7"/>
        <v>16704</v>
      </c>
      <c r="H69" s="185">
        <f t="shared" si="9"/>
        <v>0</v>
      </c>
      <c r="I69" s="185">
        <f t="shared" si="10"/>
        <v>16704</v>
      </c>
      <c r="J69" s="185">
        <f t="shared" si="5"/>
        <v>29450.383754966279</v>
      </c>
      <c r="K69" s="185">
        <f t="shared" si="6"/>
        <v>491939210.2429567</v>
      </c>
      <c r="L69" s="1184" t="s">
        <v>441</v>
      </c>
      <c r="M69" s="1059"/>
      <c r="N69" s="1059"/>
      <c r="O69" s="1038"/>
      <c r="P69" s="1054"/>
      <c r="Q69" s="1054"/>
      <c r="T69" s="1041"/>
      <c r="U69" s="1042"/>
      <c r="V69" s="1042"/>
      <c r="AA69" s="1039" t="str">
        <f>VLOOKUP(L69,'25-BRA-I-090'!$I:$EZ,2,0)</f>
        <v>Thép hình-C</v>
      </c>
      <c r="AB69" s="1039" t="str">
        <f>VLOOKUP(L69,'25-BRA-I-090'!$I:$EZ,3,0)</f>
        <v>UNP140(C140x60x7x10)-L12000</v>
      </c>
      <c r="AC69" s="1039" t="s">
        <v>2620</v>
      </c>
      <c r="AD69" s="1039">
        <f>SUMIFS('25-BRA-I-090'!$CS:$CS,'25-BRA-I-090'!$I:$I,L69)</f>
        <v>1044</v>
      </c>
      <c r="AE69" s="1039">
        <f>SUMIFS('25-BRA-I-090'!$CT:$CT,'25-BRA-I-090'!$I:$I,L69)</f>
        <v>16704</v>
      </c>
      <c r="AF69" s="1039">
        <f>SUMIFS('25-BRA-I-090'!$CW:$CW,'25-BRA-I-090'!$I:$I,L69)</f>
        <v>0</v>
      </c>
      <c r="AG69" s="1039">
        <f>SUMIFS('25-BRA-I-090'!$CX:$CX,'25-BRA-I-090'!$I:$I,L69)</f>
        <v>0</v>
      </c>
      <c r="AH69" s="1040">
        <f>SUMIFS('25-BRA-I-090'!$DJ:$DJ,'25-BRA-I-090'!$I:$I,L69)+SUMIFS('25-BRA-I-090'!$EC:$EC,'25-BRA-I-090'!$I:$I,L69)</f>
        <v>1044</v>
      </c>
      <c r="AI69" s="1040">
        <f>SUMIFS('25-BRA-I-090'!$DK:$DK,'25-BRA-I-090'!$I:$I,L69)+SUMIFS('25-BRA-I-090'!$ED:$ED,'25-BRA-I-090'!$I:$I,L69)</f>
        <v>16704</v>
      </c>
      <c r="AJ69" s="1040">
        <f>SUMIFS('25-BRA-I-090'!$DO:$DO,'25-BRA-I-090'!$I:$I,L69)+26400*SUMIFS('25-BRA-I-090'!$EF:$EF,'25-BRA-I-090'!$I:$I,L69)</f>
        <v>491939210.2429567</v>
      </c>
      <c r="AK69" s="1068">
        <f t="shared" si="1"/>
        <v>31806.414455363582</v>
      </c>
      <c r="AO69" s="1068">
        <v>0.99399999999999999</v>
      </c>
      <c r="AR69" s="1064" t="s">
        <v>441</v>
      </c>
      <c r="AS69" s="1065" t="s">
        <v>277</v>
      </c>
      <c r="AT69" s="1065" t="s">
        <v>442</v>
      </c>
      <c r="AU69" s="1066" t="s">
        <v>402</v>
      </c>
      <c r="AV69" s="1067" t="s">
        <v>61</v>
      </c>
    </row>
    <row r="70" spans="1:48" s="1039" customFormat="1" ht="30">
      <c r="A70" s="372">
        <v>61</v>
      </c>
      <c r="B70" s="1071" t="s">
        <v>444</v>
      </c>
      <c r="C70" s="1058" t="s">
        <v>402</v>
      </c>
      <c r="D70" s="374" t="str">
        <f t="shared" si="0"/>
        <v>Kg</v>
      </c>
      <c r="E70" s="183"/>
      <c r="F70" s="184">
        <f t="shared" si="7"/>
        <v>1332</v>
      </c>
      <c r="G70" s="185">
        <f t="shared" si="7"/>
        <v>33699.599999999999</v>
      </c>
      <c r="H70" s="185">
        <f t="shared" si="9"/>
        <v>0</v>
      </c>
      <c r="I70" s="185">
        <f t="shared" si="10"/>
        <v>33699.599999999999</v>
      </c>
      <c r="J70" s="185">
        <f t="shared" si="5"/>
        <v>29115.694901290772</v>
      </c>
      <c r="K70" s="185">
        <f t="shared" si="6"/>
        <v>981187271.89553845</v>
      </c>
      <c r="L70" s="1184" t="s">
        <v>443</v>
      </c>
      <c r="M70" s="1059"/>
      <c r="N70" s="1059"/>
      <c r="O70" s="1038"/>
      <c r="P70" s="1054"/>
      <c r="Q70" s="1054"/>
      <c r="T70" s="1041"/>
      <c r="U70" s="1042"/>
      <c r="V70" s="1042"/>
      <c r="AA70" s="1039" t="str">
        <f>VLOOKUP(L70,'25-BRA-I-090'!$I:$EZ,2,0)</f>
        <v>Thép hình-C</v>
      </c>
      <c r="AB70" s="1039" t="str">
        <f>VLOOKUP(L70,'25-BRA-I-090'!$I:$EZ,3,0)</f>
        <v>UNP200(C200x75x8.5x11.5)-L12000</v>
      </c>
      <c r="AC70" s="1039" t="s">
        <v>2620</v>
      </c>
      <c r="AD70" s="1039">
        <f>SUMIFS('25-BRA-I-090'!$CS:$CS,'25-BRA-I-090'!$I:$I,L70)</f>
        <v>1332</v>
      </c>
      <c r="AE70" s="1039">
        <f>SUMIFS('25-BRA-I-090'!$CT:$CT,'25-BRA-I-090'!$I:$I,L70)</f>
        <v>33699.599999999999</v>
      </c>
      <c r="AF70" s="1039">
        <f>SUMIFS('25-BRA-I-090'!$CW:$CW,'25-BRA-I-090'!$I:$I,L70)</f>
        <v>0</v>
      </c>
      <c r="AG70" s="1039">
        <f>SUMIFS('25-BRA-I-090'!$CX:$CX,'25-BRA-I-090'!$I:$I,L70)</f>
        <v>0</v>
      </c>
      <c r="AH70" s="1040">
        <f>SUMIFS('25-BRA-I-090'!$DJ:$DJ,'25-BRA-I-090'!$I:$I,L70)+SUMIFS('25-BRA-I-090'!$EC:$EC,'25-BRA-I-090'!$I:$I,L70)</f>
        <v>1332</v>
      </c>
      <c r="AI70" s="1040">
        <f>SUMIFS('25-BRA-I-090'!$DK:$DK,'25-BRA-I-090'!$I:$I,L70)+SUMIFS('25-BRA-I-090'!$ED:$ED,'25-BRA-I-090'!$I:$I,L70)</f>
        <v>33699.599999999999</v>
      </c>
      <c r="AJ70" s="1040">
        <f>SUMIFS('25-BRA-I-090'!$DO:$DO,'25-BRA-I-090'!$I:$I,L70)+26400*SUMIFS('25-BRA-I-090'!$EF:$EF,'25-BRA-I-090'!$I:$I,L70)</f>
        <v>981187271.89553845</v>
      </c>
      <c r="AK70" s="1068">
        <f t="shared" si="1"/>
        <v>31444.950493394037</v>
      </c>
      <c r="AO70" s="1068">
        <v>0.99399999999999999</v>
      </c>
      <c r="AR70" s="1064" t="s">
        <v>443</v>
      </c>
      <c r="AS70" s="1065" t="s">
        <v>277</v>
      </c>
      <c r="AT70" s="1065" t="s">
        <v>444</v>
      </c>
      <c r="AU70" s="1066" t="s">
        <v>402</v>
      </c>
      <c r="AV70" s="1067" t="s">
        <v>61</v>
      </c>
    </row>
    <row r="71" spans="1:48" s="1039" customFormat="1" ht="60">
      <c r="A71" s="372">
        <v>62</v>
      </c>
      <c r="B71" s="1071" t="s">
        <v>446</v>
      </c>
      <c r="C71" s="1058" t="s">
        <v>447</v>
      </c>
      <c r="D71" s="374" t="str">
        <f t="shared" si="0"/>
        <v>Kg</v>
      </c>
      <c r="E71" s="183"/>
      <c r="F71" s="184">
        <f t="shared" si="7"/>
        <v>324</v>
      </c>
      <c r="G71" s="185">
        <f t="shared" si="7"/>
        <v>9363.6</v>
      </c>
      <c r="H71" s="185">
        <f t="shared" si="9"/>
        <v>0</v>
      </c>
      <c r="I71" s="185">
        <f t="shared" si="10"/>
        <v>9347.4</v>
      </c>
      <c r="J71" s="185">
        <f t="shared" si="5"/>
        <v>33259.890621860359</v>
      </c>
      <c r="K71" s="185">
        <f t="shared" si="6"/>
        <v>310893501.59877747</v>
      </c>
      <c r="L71" s="1184" t="s">
        <v>445</v>
      </c>
      <c r="M71" s="1059"/>
      <c r="N71" s="1059"/>
      <c r="O71" s="1038"/>
      <c r="P71" s="1054"/>
      <c r="Q71" s="1054"/>
      <c r="T71" s="1041"/>
      <c r="U71" s="1042"/>
      <c r="V71" s="1042"/>
      <c r="AA71" s="1039" t="str">
        <f>VLOOKUP(L71,'25-BRA-I-090'!$I:$EZ,2,0)</f>
        <v>Ống</v>
      </c>
      <c r="AB71" s="1039" t="str">
        <f>VLOOKUP(L71,'25-BRA-I-090'!$I:$EZ,3,0)</f>
        <v>Pipe D127x10-DIN 2448-seamless pipe-L12000</v>
      </c>
      <c r="AC71" s="1039" t="s">
        <v>2620</v>
      </c>
      <c r="AD71" s="1039">
        <f>SUMIFS('25-BRA-I-090'!$CS:$CS,'25-BRA-I-090'!$I:$I,L71)</f>
        <v>324</v>
      </c>
      <c r="AE71" s="1039">
        <f>SUMIFS('25-BRA-I-090'!$CT:$CT,'25-BRA-I-090'!$I:$I,L71)</f>
        <v>9363.6</v>
      </c>
      <c r="AF71" s="1039">
        <f>SUMIFS('25-BRA-I-090'!$CW:$CW,'25-BRA-I-090'!$I:$I,L71)</f>
        <v>0</v>
      </c>
      <c r="AG71" s="1039">
        <f>SUMIFS('25-BRA-I-090'!$CX:$CX,'25-BRA-I-090'!$I:$I,L71)</f>
        <v>0</v>
      </c>
      <c r="AH71" s="1040">
        <f>SUMIFS('25-BRA-I-090'!$DJ:$DJ,'25-BRA-I-090'!$I:$I,L71)+SUMIFS('25-BRA-I-090'!$EC:$EC,'25-BRA-I-090'!$I:$I,L71)</f>
        <v>324</v>
      </c>
      <c r="AI71" s="1040">
        <f>SUMIFS('25-BRA-I-090'!$DK:$DK,'25-BRA-I-090'!$I:$I,L71)+SUMIFS('25-BRA-I-090'!$ED:$ED,'25-BRA-I-090'!$I:$I,L71)</f>
        <v>9347.4</v>
      </c>
      <c r="AJ71" s="1040">
        <f>SUMIFS('25-BRA-I-090'!$DO:$DO,'25-BRA-I-090'!$I:$I,L71)+26400*SUMIFS('25-BRA-I-090'!$EF:$EF,'25-BRA-I-090'!$I:$I,L71)</f>
        <v>310893501.59877747</v>
      </c>
      <c r="AK71" s="1068">
        <f t="shared" si="1"/>
        <v>35920.681871609188</v>
      </c>
      <c r="AO71" s="1068">
        <v>1.198</v>
      </c>
      <c r="AR71" s="1064" t="s">
        <v>445</v>
      </c>
      <c r="AS71" s="1065" t="s">
        <v>397</v>
      </c>
      <c r="AT71" s="1065" t="s">
        <v>446</v>
      </c>
      <c r="AU71" s="1066" t="s">
        <v>447</v>
      </c>
      <c r="AV71" s="1067" t="s">
        <v>61</v>
      </c>
    </row>
    <row r="72" spans="1:48" s="1039" customFormat="1" ht="60">
      <c r="A72" s="372">
        <v>63</v>
      </c>
      <c r="B72" s="1071" t="s">
        <v>449</v>
      </c>
      <c r="C72" s="1058" t="s">
        <v>447</v>
      </c>
      <c r="D72" s="374" t="str">
        <f t="shared" si="0"/>
        <v>Kg</v>
      </c>
      <c r="E72" s="183"/>
      <c r="F72" s="184">
        <f t="shared" si="7"/>
        <v>312</v>
      </c>
      <c r="G72" s="185">
        <f t="shared" si="7"/>
        <v>16099.2</v>
      </c>
      <c r="H72" s="185">
        <f t="shared" si="9"/>
        <v>0</v>
      </c>
      <c r="I72" s="185">
        <f t="shared" si="10"/>
        <v>16088.8</v>
      </c>
      <c r="J72" s="185">
        <f t="shared" si="5"/>
        <v>33151.678724304467</v>
      </c>
      <c r="K72" s="185">
        <f t="shared" si="6"/>
        <v>533370728.65958971</v>
      </c>
      <c r="L72" s="1184" t="s">
        <v>448</v>
      </c>
      <c r="M72" s="1059"/>
      <c r="N72" s="1059"/>
      <c r="O72" s="1038"/>
      <c r="P72" s="1054"/>
      <c r="Q72" s="1054"/>
      <c r="T72" s="1041"/>
      <c r="U72" s="1042"/>
      <c r="V72" s="1042"/>
      <c r="AA72" s="1039" t="str">
        <f>VLOOKUP(L72,'25-BRA-I-090'!$I:$EZ,2,0)</f>
        <v>Ống</v>
      </c>
      <c r="AB72" s="1039" t="str">
        <f>VLOOKUP(L72,'25-BRA-I-090'!$I:$EZ,3,0)</f>
        <v>Pipe D219.1x10-DIN 2448-seamless pipe-L12000</v>
      </c>
      <c r="AC72" s="1039" t="s">
        <v>2620</v>
      </c>
      <c r="AD72" s="1039">
        <f>SUMIFS('25-BRA-I-090'!$CS:$CS,'25-BRA-I-090'!$I:$I,L72)</f>
        <v>312</v>
      </c>
      <c r="AE72" s="1039">
        <f>SUMIFS('25-BRA-I-090'!$CT:$CT,'25-BRA-I-090'!$I:$I,L72)</f>
        <v>16099.2</v>
      </c>
      <c r="AF72" s="1039">
        <f>SUMIFS('25-BRA-I-090'!$CW:$CW,'25-BRA-I-090'!$I:$I,L72)</f>
        <v>0</v>
      </c>
      <c r="AG72" s="1039">
        <f>SUMIFS('25-BRA-I-090'!$CX:$CX,'25-BRA-I-090'!$I:$I,L72)</f>
        <v>0</v>
      </c>
      <c r="AH72" s="1040">
        <f>SUMIFS('25-BRA-I-090'!$DJ:$DJ,'25-BRA-I-090'!$I:$I,L72)+SUMIFS('25-BRA-I-090'!$EC:$EC,'25-BRA-I-090'!$I:$I,L72)</f>
        <v>312</v>
      </c>
      <c r="AI72" s="1040">
        <f>SUMIFS('25-BRA-I-090'!$DK:$DK,'25-BRA-I-090'!$I:$I,L72)+SUMIFS('25-BRA-I-090'!$ED:$ED,'25-BRA-I-090'!$I:$I,L72)</f>
        <v>16088.8</v>
      </c>
      <c r="AJ72" s="1040">
        <f>SUMIFS('25-BRA-I-090'!$DO:$DO,'25-BRA-I-090'!$I:$I,L72)+26400*SUMIFS('25-BRA-I-090'!$EF:$EF,'25-BRA-I-090'!$I:$I,L72)</f>
        <v>533370728.65958971</v>
      </c>
      <c r="AK72" s="1068">
        <f t="shared" si="1"/>
        <v>35803.813022248825</v>
      </c>
      <c r="AO72" s="1068">
        <v>1.198</v>
      </c>
      <c r="AR72" s="1064" t="s">
        <v>448</v>
      </c>
      <c r="AS72" s="1065" t="s">
        <v>397</v>
      </c>
      <c r="AT72" s="1065" t="s">
        <v>449</v>
      </c>
      <c r="AU72" s="1066" t="s">
        <v>447</v>
      </c>
      <c r="AV72" s="1067" t="s">
        <v>61</v>
      </c>
    </row>
    <row r="73" spans="1:48" s="1039" customFormat="1" ht="30">
      <c r="A73" s="372"/>
      <c r="B73" s="1057" t="str">
        <f>AB73</f>
        <v>IPE200(H200x100x5.6x8.5)-L12000</v>
      </c>
      <c r="C73" s="1058" t="str">
        <f>VLOOKUP(L73,'25-BRA-I-090'!$I:$EZ,4,0)</f>
        <v>1.0577/A36</v>
      </c>
      <c r="D73" s="374" t="str">
        <f t="shared" ref="D73:D136" si="11">AC73</f>
        <v>Kg</v>
      </c>
      <c r="E73" s="183"/>
      <c r="F73" s="184">
        <f t="shared" si="7"/>
        <v>324</v>
      </c>
      <c r="G73" s="185">
        <f t="shared" si="7"/>
        <v>7257.5999999999995</v>
      </c>
      <c r="H73" s="185">
        <f t="shared" si="9"/>
        <v>0</v>
      </c>
      <c r="I73" s="185">
        <f t="shared" si="10"/>
        <v>7257.5999999999985</v>
      </c>
      <c r="J73" s="185">
        <f t="shared" si="5"/>
        <v>28778.139341308921</v>
      </c>
      <c r="K73" s="185">
        <f t="shared" si="6"/>
        <v>208860224.08348358</v>
      </c>
      <c r="L73" s="1184" t="s">
        <v>480</v>
      </c>
      <c r="M73" s="1059"/>
      <c r="N73" s="1059"/>
      <c r="O73" s="1038"/>
      <c r="P73" s="1054"/>
      <c r="Q73" s="1054"/>
      <c r="T73" s="1041"/>
      <c r="U73" s="1042"/>
      <c r="V73" s="1042"/>
      <c r="AA73" s="1039" t="str">
        <f>VLOOKUP(L73,'25-BRA-I-090'!$I:$EZ,2,0)</f>
        <v>Thép hình-H</v>
      </c>
      <c r="AB73" s="1039" t="str">
        <f>VLOOKUP(L73,'25-BRA-I-090'!$I:$EZ,3,0)</f>
        <v>IPE200(H200x100x5.6x8.5)-L12000</v>
      </c>
      <c r="AC73" s="1039" t="s">
        <v>2620</v>
      </c>
      <c r="AD73" s="1039">
        <f>SUMIFS('25-BRA-I-090'!$CS:$CS,'25-BRA-I-090'!$I:$I,L73)</f>
        <v>324</v>
      </c>
      <c r="AE73" s="1039">
        <f>SUMIFS('25-BRA-I-090'!$CT:$CT,'25-BRA-I-090'!$I:$I,L73)</f>
        <v>7257.5999999999995</v>
      </c>
      <c r="AF73" s="1039">
        <f>SUMIFS('25-BRA-I-090'!$CW:$CW,'25-BRA-I-090'!$I:$I,L73)</f>
        <v>0</v>
      </c>
      <c r="AG73" s="1039">
        <f>SUMIFS('25-BRA-I-090'!$CX:$CX,'25-BRA-I-090'!$I:$I,L73)</f>
        <v>0</v>
      </c>
      <c r="AH73" s="1040">
        <f>SUMIFS('25-BRA-I-090'!$DJ:$DJ,'25-BRA-I-090'!$I:$I,L73)+SUMIFS('25-BRA-I-090'!$EC:$EC,'25-BRA-I-090'!$I:$I,L73)</f>
        <v>324</v>
      </c>
      <c r="AI73" s="1040">
        <f>SUMIFS('25-BRA-I-090'!$DK:$DK,'25-BRA-I-090'!$I:$I,L73)+SUMIFS('25-BRA-I-090'!$ED:$ED,'25-BRA-I-090'!$I:$I,L73)</f>
        <v>7257.5999999999985</v>
      </c>
      <c r="AJ73" s="1040">
        <f>SUMIFS('25-BRA-I-090'!$DO:$DO,'25-BRA-I-090'!$I:$I,L73)+26400*SUMIFS('25-BRA-I-090'!$EF:$EF,'25-BRA-I-090'!$I:$I,L73)</f>
        <v>208860224.08348358</v>
      </c>
      <c r="AK73" s="1072"/>
      <c r="AO73" s="1072"/>
      <c r="AR73" s="1064" t="s">
        <v>480</v>
      </c>
      <c r="AS73" s="1065" t="s">
        <v>267</v>
      </c>
      <c r="AT73" s="1065" t="s">
        <v>481</v>
      </c>
      <c r="AU73" s="1066" t="s">
        <v>402</v>
      </c>
      <c r="AV73" s="1073" t="s">
        <v>61</v>
      </c>
    </row>
    <row r="74" spans="1:48" s="1039" customFormat="1" ht="30">
      <c r="A74" s="372"/>
      <c r="B74" s="1057" t="str">
        <f>AB74</f>
        <v>IPE240(H240x120x6.2x9.8)-L8000</v>
      </c>
      <c r="C74" s="1058" t="str">
        <f>VLOOKUP(L74,'25-BRA-I-090'!$I:$EZ,4,0)</f>
        <v>1.0577/A36</v>
      </c>
      <c r="D74" s="374" t="str">
        <f t="shared" si="11"/>
        <v>Kg</v>
      </c>
      <c r="E74" s="183"/>
      <c r="F74" s="184">
        <f t="shared" si="7"/>
        <v>8</v>
      </c>
      <c r="G74" s="185">
        <f t="shared" si="7"/>
        <v>245.6</v>
      </c>
      <c r="H74" s="185">
        <f t="shared" si="9"/>
        <v>0</v>
      </c>
      <c r="I74" s="185">
        <f t="shared" si="10"/>
        <v>368.4</v>
      </c>
      <c r="J74" s="185">
        <f t="shared" ref="J74:J109" si="12">K74/I74</f>
        <v>28778.139341308921</v>
      </c>
      <c r="K74" s="185">
        <f t="shared" ref="K74:K109" si="13">AJ74</f>
        <v>10601866.533338206</v>
      </c>
      <c r="L74" s="1184" t="s">
        <v>482</v>
      </c>
      <c r="M74" s="1059"/>
      <c r="N74" s="1059"/>
      <c r="O74" s="1038"/>
      <c r="P74" s="1054"/>
      <c r="Q74" s="1054"/>
      <c r="T74" s="1041"/>
      <c r="U74" s="1042"/>
      <c r="V74" s="1042"/>
      <c r="AA74" s="1039" t="str">
        <f>VLOOKUP(L74,'25-BRA-I-090'!$I:$EZ,2,0)</f>
        <v>Thép hình-H</v>
      </c>
      <c r="AB74" s="1039" t="str">
        <f>VLOOKUP(L74,'25-BRA-I-090'!$I:$EZ,3,0)</f>
        <v>IPE240(H240x120x6.2x9.8)-L8000</v>
      </c>
      <c r="AC74" s="1039" t="s">
        <v>2620</v>
      </c>
      <c r="AD74" s="1039">
        <f>SUMIFS('25-BRA-I-090'!$CS:$CS,'25-BRA-I-090'!$I:$I,L74)</f>
        <v>8</v>
      </c>
      <c r="AE74" s="1039">
        <f>SUMIFS('25-BRA-I-090'!$CT:$CT,'25-BRA-I-090'!$I:$I,L74)</f>
        <v>245.6</v>
      </c>
      <c r="AF74" s="1039">
        <f>SUMIFS('25-BRA-I-090'!$CW:$CW,'25-BRA-I-090'!$I:$I,L74)</f>
        <v>0</v>
      </c>
      <c r="AG74" s="1039">
        <f>SUMIFS('25-BRA-I-090'!$CX:$CX,'25-BRA-I-090'!$I:$I,L74)</f>
        <v>0</v>
      </c>
      <c r="AH74" s="1040">
        <f>SUMIFS('25-BRA-I-090'!$DJ:$DJ,'25-BRA-I-090'!$I:$I,L74)+SUMIFS('25-BRA-I-090'!$EC:$EC,'25-BRA-I-090'!$I:$I,L74)</f>
        <v>12</v>
      </c>
      <c r="AI74" s="1040">
        <f>SUMIFS('25-BRA-I-090'!$DK:$DK,'25-BRA-I-090'!$I:$I,L74)+SUMIFS('25-BRA-I-090'!$ED:$ED,'25-BRA-I-090'!$I:$I,L74)</f>
        <v>368.4</v>
      </c>
      <c r="AJ74" s="1040">
        <f>SUMIFS('25-BRA-I-090'!$DO:$DO,'25-BRA-I-090'!$I:$I,L74)+26400*SUMIFS('25-BRA-I-090'!$EF:$EF,'25-BRA-I-090'!$I:$I,L74)</f>
        <v>10601866.533338206</v>
      </c>
      <c r="AK74" s="1072"/>
      <c r="AO74" s="1072"/>
      <c r="AR74" s="1064" t="s">
        <v>482</v>
      </c>
      <c r="AS74" s="1065" t="s">
        <v>267</v>
      </c>
      <c r="AT74" s="1065" t="s">
        <v>483</v>
      </c>
      <c r="AU74" s="1066" t="s">
        <v>402</v>
      </c>
      <c r="AV74" s="1067" t="s">
        <v>61</v>
      </c>
    </row>
    <row r="75" spans="1:48" s="1039" customFormat="1" ht="30">
      <c r="A75" s="372"/>
      <c r="B75" s="1057" t="str">
        <f t="shared" ref="B75:B138" si="14">AB75</f>
        <v>L100x100x8-L12000</v>
      </c>
      <c r="C75" s="1058" t="str">
        <f>VLOOKUP(L75,'25-BRA-I-090'!$I:$EZ,4,0)</f>
        <v>1.0577/A36</v>
      </c>
      <c r="D75" s="374" t="str">
        <f t="shared" si="11"/>
        <v>Kg</v>
      </c>
      <c r="E75" s="183"/>
      <c r="F75" s="184">
        <f t="shared" si="7"/>
        <v>96</v>
      </c>
      <c r="G75" s="185">
        <f t="shared" si="7"/>
        <v>1171.1999999999998</v>
      </c>
      <c r="H75" s="185">
        <f t="shared" si="9"/>
        <v>0</v>
      </c>
      <c r="I75" s="185">
        <f t="shared" si="10"/>
        <v>1172.18</v>
      </c>
      <c r="J75" s="185">
        <f t="shared" si="12"/>
        <v>14454.55</v>
      </c>
      <c r="K75" s="185">
        <f t="shared" si="13"/>
        <v>16943334.419</v>
      </c>
      <c r="L75" s="1184" t="s">
        <v>484</v>
      </c>
      <c r="M75" s="1059"/>
      <c r="N75" s="1059"/>
      <c r="O75" s="1038"/>
      <c r="P75" s="1054"/>
      <c r="Q75" s="1054"/>
      <c r="T75" s="1041"/>
      <c r="U75" s="1042"/>
      <c r="V75" s="1042"/>
      <c r="AA75" s="1039" t="str">
        <f>VLOOKUP(L75,'25-BRA-I-090'!$I:$EZ,2,0)</f>
        <v>Thép hình-L</v>
      </c>
      <c r="AB75" s="1039" t="str">
        <f>VLOOKUP(L75,'25-BRA-I-090'!$I:$EZ,3,0)</f>
        <v>L100x100x8-L12000</v>
      </c>
      <c r="AC75" s="1039" t="s">
        <v>2620</v>
      </c>
      <c r="AD75" s="1039">
        <f>SUMIFS('25-BRA-I-090'!$CS:$CS,'25-BRA-I-090'!$I:$I,L75)</f>
        <v>96</v>
      </c>
      <c r="AE75" s="1039">
        <f>SUMIFS('25-BRA-I-090'!$CT:$CT,'25-BRA-I-090'!$I:$I,L75)</f>
        <v>1171.1999999999998</v>
      </c>
      <c r="AF75" s="1039">
        <f>SUMIFS('25-BRA-I-090'!$CW:$CW,'25-BRA-I-090'!$I:$I,L75)</f>
        <v>0</v>
      </c>
      <c r="AG75" s="1039">
        <f>SUMIFS('25-BRA-I-090'!$CX:$CX,'25-BRA-I-090'!$I:$I,L75)</f>
        <v>0</v>
      </c>
      <c r="AH75" s="1040">
        <f>SUMIFS('25-BRA-I-090'!$DJ:$DJ,'25-BRA-I-090'!$I:$I,L75)+SUMIFS('25-BRA-I-090'!$EC:$EC,'25-BRA-I-090'!$I:$I,L75)</f>
        <v>96</v>
      </c>
      <c r="AI75" s="1040">
        <f>SUMIFS('25-BRA-I-090'!$DK:$DK,'25-BRA-I-090'!$I:$I,L75)+SUMIFS('25-BRA-I-090'!$ED:$ED,'25-BRA-I-090'!$I:$I,L75)</f>
        <v>1172.18</v>
      </c>
      <c r="AJ75" s="1040">
        <f>SUMIFS('25-BRA-I-090'!$DO:$DO,'25-BRA-I-090'!$I:$I,L75)+26400*SUMIFS('25-BRA-I-090'!$EF:$EF,'25-BRA-I-090'!$I:$I,L75)</f>
        <v>16943334.419</v>
      </c>
      <c r="AK75" s="1072"/>
      <c r="AO75" s="1072"/>
      <c r="AR75" s="1064" t="s">
        <v>484</v>
      </c>
      <c r="AS75" s="1065" t="s">
        <v>284</v>
      </c>
      <c r="AT75" s="1065" t="s">
        <v>485</v>
      </c>
      <c r="AU75" s="1066" t="s">
        <v>402</v>
      </c>
      <c r="AV75" s="1067" t="s">
        <v>61</v>
      </c>
    </row>
    <row r="76" spans="1:48" s="1039" customFormat="1" ht="30">
      <c r="A76" s="372"/>
      <c r="B76" s="1057" t="str">
        <f t="shared" si="14"/>
        <v>Pipe D29.6x2.9-L1000</v>
      </c>
      <c r="C76" s="1058" t="str">
        <f>VLOOKUP(L76,'25-BRA-I-090'!$I:$EZ,4,0)</f>
        <v>1.0577/A36</v>
      </c>
      <c r="D76" s="374" t="str">
        <f t="shared" si="11"/>
        <v>Kg</v>
      </c>
      <c r="E76" s="183"/>
      <c r="F76" s="184">
        <f t="shared" si="7"/>
        <v>1</v>
      </c>
      <c r="G76" s="185">
        <f t="shared" si="7"/>
        <v>1.72</v>
      </c>
      <c r="H76" s="185">
        <f t="shared" si="9"/>
        <v>0</v>
      </c>
      <c r="I76" s="185">
        <f t="shared" si="10"/>
        <v>10</v>
      </c>
      <c r="J76" s="185">
        <f t="shared" si="12"/>
        <v>20000</v>
      </c>
      <c r="K76" s="185">
        <f t="shared" si="13"/>
        <v>200000</v>
      </c>
      <c r="L76" s="1184" t="s">
        <v>486</v>
      </c>
      <c r="M76" s="1059"/>
      <c r="N76" s="1059"/>
      <c r="O76" s="1038"/>
      <c r="P76" s="1054"/>
      <c r="Q76" s="1054"/>
      <c r="T76" s="1041"/>
      <c r="U76" s="1042"/>
      <c r="V76" s="1042"/>
      <c r="AA76" s="1039" t="str">
        <f>VLOOKUP(L76,'25-BRA-I-090'!$I:$EZ,2,0)</f>
        <v>Ống</v>
      </c>
      <c r="AB76" s="1039" t="str">
        <f>VLOOKUP(L76,'25-BRA-I-090'!$I:$EZ,3,0)</f>
        <v>Pipe D29.6x2.9-L1000</v>
      </c>
      <c r="AC76" s="1039" t="s">
        <v>2620</v>
      </c>
      <c r="AD76" s="1039">
        <f>SUMIFS('25-BRA-I-090'!$CS:$CS,'25-BRA-I-090'!$I:$I,L76)</f>
        <v>1</v>
      </c>
      <c r="AE76" s="1039">
        <f>SUMIFS('25-BRA-I-090'!$CT:$CT,'25-BRA-I-090'!$I:$I,L76)</f>
        <v>1.72</v>
      </c>
      <c r="AF76" s="1039">
        <f>SUMIFS('25-BRA-I-090'!$CW:$CW,'25-BRA-I-090'!$I:$I,L76)</f>
        <v>0</v>
      </c>
      <c r="AG76" s="1039">
        <f>SUMIFS('25-BRA-I-090'!$CX:$CX,'25-BRA-I-090'!$I:$I,L76)</f>
        <v>0</v>
      </c>
      <c r="AH76" s="1040">
        <f>SUMIFS('25-BRA-I-090'!$DJ:$DJ,'25-BRA-I-090'!$I:$I,L76)+SUMIFS('25-BRA-I-090'!$EC:$EC,'25-BRA-I-090'!$I:$I,L76)</f>
        <v>5.5</v>
      </c>
      <c r="AI76" s="1040">
        <f>SUMIFS('25-BRA-I-090'!$DK:$DK,'25-BRA-I-090'!$I:$I,L76)+SUMIFS('25-BRA-I-090'!$ED:$ED,'25-BRA-I-090'!$I:$I,L76)</f>
        <v>10</v>
      </c>
      <c r="AJ76" s="1040">
        <f>SUMIFS('25-BRA-I-090'!$DO:$DO,'25-BRA-I-090'!$I:$I,L76)+26400*SUMIFS('25-BRA-I-090'!$EF:$EF,'25-BRA-I-090'!$I:$I,L76)</f>
        <v>200000</v>
      </c>
      <c r="AK76" s="1072"/>
      <c r="AO76" s="1072"/>
      <c r="AR76" s="1064" t="s">
        <v>486</v>
      </c>
      <c r="AS76" s="1065" t="s">
        <v>397</v>
      </c>
      <c r="AT76" s="1065" t="s">
        <v>487</v>
      </c>
      <c r="AU76" s="1066" t="s">
        <v>402</v>
      </c>
      <c r="AV76" s="1067" t="s">
        <v>61</v>
      </c>
    </row>
    <row r="77" spans="1:48" s="1039" customFormat="1" ht="30">
      <c r="A77" s="372"/>
      <c r="B77" s="1057" t="str">
        <f t="shared" si="14"/>
        <v>Pipe D48.3x3.2-L6000</v>
      </c>
      <c r="C77" s="1058" t="str">
        <f>VLOOKUP(L77,'25-BRA-I-090'!$I:$EZ,4,0)</f>
        <v>1.0577/A36</v>
      </c>
      <c r="D77" s="374" t="str">
        <f t="shared" si="11"/>
        <v>Kg</v>
      </c>
      <c r="E77" s="183"/>
      <c r="F77" s="184">
        <f t="shared" si="7"/>
        <v>48</v>
      </c>
      <c r="G77" s="185">
        <f t="shared" si="7"/>
        <v>170.88</v>
      </c>
      <c r="H77" s="185">
        <f t="shared" si="9"/>
        <v>0</v>
      </c>
      <c r="I77" s="185">
        <f t="shared" si="10"/>
        <v>192</v>
      </c>
      <c r="J77" s="185">
        <f t="shared" si="12"/>
        <v>17090.909090909088</v>
      </c>
      <c r="K77" s="185">
        <f t="shared" si="13"/>
        <v>3281454.5454545449</v>
      </c>
      <c r="L77" s="1184" t="s">
        <v>488</v>
      </c>
      <c r="M77" s="1059"/>
      <c r="N77" s="1059"/>
      <c r="O77" s="1038"/>
      <c r="P77" s="1054"/>
      <c r="Q77" s="1054"/>
      <c r="T77" s="1041"/>
      <c r="U77" s="1042"/>
      <c r="V77" s="1042"/>
      <c r="AA77" s="1039" t="str">
        <f>VLOOKUP(L77,'25-BRA-I-090'!$I:$EZ,2,0)</f>
        <v>Ống</v>
      </c>
      <c r="AB77" s="1039" t="str">
        <f>VLOOKUP(L77,'25-BRA-I-090'!$I:$EZ,3,0)</f>
        <v>Pipe D48.3x3.2-L6000</v>
      </c>
      <c r="AC77" s="1039" t="s">
        <v>2620</v>
      </c>
      <c r="AD77" s="1039">
        <f>SUMIFS('25-BRA-I-090'!$CS:$CS,'25-BRA-I-090'!$I:$I,L77)</f>
        <v>48</v>
      </c>
      <c r="AE77" s="1039">
        <f>SUMIFS('25-BRA-I-090'!$CT:$CT,'25-BRA-I-090'!$I:$I,L77)</f>
        <v>170.88</v>
      </c>
      <c r="AF77" s="1039">
        <f>SUMIFS('25-BRA-I-090'!$CW:$CW,'25-BRA-I-090'!$I:$I,L77)</f>
        <v>0</v>
      </c>
      <c r="AG77" s="1039">
        <f>SUMIFS('25-BRA-I-090'!$CX:$CX,'25-BRA-I-090'!$I:$I,L77)</f>
        <v>0</v>
      </c>
      <c r="AH77" s="1040">
        <f>SUMIFS('25-BRA-I-090'!$DJ:$DJ,'25-BRA-I-090'!$I:$I,L77)+SUMIFS('25-BRA-I-090'!$EC:$EC,'25-BRA-I-090'!$I:$I,L77)</f>
        <v>48</v>
      </c>
      <c r="AI77" s="1040">
        <f>SUMIFS('25-BRA-I-090'!$DK:$DK,'25-BRA-I-090'!$I:$I,L77)+SUMIFS('25-BRA-I-090'!$ED:$ED,'25-BRA-I-090'!$I:$I,L77)</f>
        <v>192</v>
      </c>
      <c r="AJ77" s="1040">
        <f>SUMIFS('25-BRA-I-090'!$DO:$DO,'25-BRA-I-090'!$I:$I,L77)+26400*SUMIFS('25-BRA-I-090'!$EF:$EF,'25-BRA-I-090'!$I:$I,L77)</f>
        <v>3281454.5454545449</v>
      </c>
      <c r="AK77" s="1072"/>
      <c r="AO77" s="1072"/>
      <c r="AR77" s="1064" t="s">
        <v>488</v>
      </c>
      <c r="AS77" s="1065" t="s">
        <v>397</v>
      </c>
      <c r="AT77" s="1065" t="s">
        <v>489</v>
      </c>
      <c r="AU77" s="1066" t="s">
        <v>402</v>
      </c>
      <c r="AV77" s="1067" t="s">
        <v>61</v>
      </c>
    </row>
    <row r="78" spans="1:48" s="1039" customFormat="1" ht="45">
      <c r="A78" s="372"/>
      <c r="B78" s="1057" t="str">
        <f t="shared" si="14"/>
        <v>Pipe D114.3x6.3-L8000;Pipe D114.3x6.3-L2500</v>
      </c>
      <c r="C78" s="1058" t="str">
        <f>VLOOKUP(L78,'25-BRA-I-090'!$I:$EZ,4,0)</f>
        <v>1.0038/A36</v>
      </c>
      <c r="D78" s="374" t="str">
        <f t="shared" si="11"/>
        <v>Kg</v>
      </c>
      <c r="E78" s="183"/>
      <c r="F78" s="184">
        <f t="shared" si="7"/>
        <v>10.5</v>
      </c>
      <c r="G78" s="185">
        <f t="shared" si="7"/>
        <v>176.4</v>
      </c>
      <c r="H78" s="185">
        <f t="shared" si="9"/>
        <v>0</v>
      </c>
      <c r="I78" s="185">
        <f t="shared" si="10"/>
        <v>212</v>
      </c>
      <c r="J78" s="185">
        <f t="shared" si="12"/>
        <v>17090.909090909088</v>
      </c>
      <c r="K78" s="185">
        <f t="shared" si="13"/>
        <v>3623272.7272727266</v>
      </c>
      <c r="L78" s="1184" t="s">
        <v>490</v>
      </c>
      <c r="M78" s="1059"/>
      <c r="N78" s="1059"/>
      <c r="O78" s="1038"/>
      <c r="P78" s="1054"/>
      <c r="Q78" s="1054"/>
      <c r="T78" s="1041"/>
      <c r="U78" s="1042"/>
      <c r="V78" s="1042"/>
      <c r="AA78" s="1039" t="str">
        <f>VLOOKUP(L78,'25-BRA-I-090'!$I:$EZ,2,0)</f>
        <v>Ống</v>
      </c>
      <c r="AB78" s="1039" t="str">
        <f>VLOOKUP(L78,'25-BRA-I-090'!$I:$EZ,3,0)</f>
        <v>Pipe D114.3x6.3-L8000;Pipe D114.3x6.3-L2500</v>
      </c>
      <c r="AC78" s="1039" t="s">
        <v>2620</v>
      </c>
      <c r="AD78" s="1039">
        <f>SUMIFS('25-BRA-I-090'!$CS:$CS,'25-BRA-I-090'!$I:$I,L78)</f>
        <v>10.5</v>
      </c>
      <c r="AE78" s="1039">
        <f>SUMIFS('25-BRA-I-090'!$CT:$CT,'25-BRA-I-090'!$I:$I,L78)</f>
        <v>176.4</v>
      </c>
      <c r="AF78" s="1039">
        <f>SUMIFS('25-BRA-I-090'!$CW:$CW,'25-BRA-I-090'!$I:$I,L78)</f>
        <v>0</v>
      </c>
      <c r="AG78" s="1039">
        <f>SUMIFS('25-BRA-I-090'!$CX:$CX,'25-BRA-I-090'!$I:$I,L78)</f>
        <v>0</v>
      </c>
      <c r="AH78" s="1040">
        <f>SUMIFS('25-BRA-I-090'!$DJ:$DJ,'25-BRA-I-090'!$I:$I,L78)+SUMIFS('25-BRA-I-090'!$EC:$EC,'25-BRA-I-090'!$I:$I,L78)</f>
        <v>11</v>
      </c>
      <c r="AI78" s="1040">
        <f>SUMIFS('25-BRA-I-090'!$DK:$DK,'25-BRA-I-090'!$I:$I,L78)+SUMIFS('25-BRA-I-090'!$ED:$ED,'25-BRA-I-090'!$I:$I,L78)</f>
        <v>212</v>
      </c>
      <c r="AJ78" s="1040">
        <f>SUMIFS('25-BRA-I-090'!$DO:$DO,'25-BRA-I-090'!$I:$I,L78)+26400*SUMIFS('25-BRA-I-090'!$EF:$EF,'25-BRA-I-090'!$I:$I,L78)</f>
        <v>3623272.7272727266</v>
      </c>
      <c r="AK78" s="1072"/>
      <c r="AO78" s="1072"/>
      <c r="AR78" s="1064" t="s">
        <v>490</v>
      </c>
      <c r="AS78" s="1065" t="s">
        <v>397</v>
      </c>
      <c r="AT78" s="1065" t="s">
        <v>719</v>
      </c>
      <c r="AU78" s="1066" t="s">
        <v>399</v>
      </c>
      <c r="AV78" s="1067" t="s">
        <v>61</v>
      </c>
    </row>
    <row r="79" spans="1:48" s="1039" customFormat="1" ht="30">
      <c r="A79" s="372"/>
      <c r="B79" s="1057" t="str">
        <f t="shared" si="14"/>
        <v>Pipe D219.1x6.3 -L2400</v>
      </c>
      <c r="C79" s="1058" t="str">
        <f>VLOOKUP(L79,'25-BRA-I-090'!$I:$EZ,4,0)</f>
        <v>1.0577/A36</v>
      </c>
      <c r="D79" s="374" t="str">
        <f t="shared" si="11"/>
        <v>Kg</v>
      </c>
      <c r="E79" s="183"/>
      <c r="F79" s="184">
        <f t="shared" si="7"/>
        <v>2.4</v>
      </c>
      <c r="G79" s="185">
        <f t="shared" si="7"/>
        <v>79.44</v>
      </c>
      <c r="H79" s="185">
        <f t="shared" si="9"/>
        <v>0</v>
      </c>
      <c r="I79" s="185">
        <f t="shared" si="10"/>
        <v>102</v>
      </c>
      <c r="J79" s="185">
        <f t="shared" si="12"/>
        <v>17090.909090909088</v>
      </c>
      <c r="K79" s="185">
        <f t="shared" si="13"/>
        <v>1743272.7272727271</v>
      </c>
      <c r="L79" s="1184" t="s">
        <v>491</v>
      </c>
      <c r="M79" s="1059"/>
      <c r="N79" s="1059"/>
      <c r="O79" s="1038"/>
      <c r="P79" s="1054"/>
      <c r="Q79" s="1054"/>
      <c r="T79" s="1041"/>
      <c r="U79" s="1042"/>
      <c r="V79" s="1042"/>
      <c r="AA79" s="1039" t="str">
        <f>VLOOKUP(L79,'25-BRA-I-090'!$I:$EZ,2,0)</f>
        <v>Ống</v>
      </c>
      <c r="AB79" s="1039" t="str">
        <f>VLOOKUP(L79,'25-BRA-I-090'!$I:$EZ,3,0)</f>
        <v>Pipe D219.1x6.3 -L2400</v>
      </c>
      <c r="AC79" s="1039" t="s">
        <v>2620</v>
      </c>
      <c r="AD79" s="1039">
        <f>SUMIFS('25-BRA-I-090'!$CS:$CS,'25-BRA-I-090'!$I:$I,L79)</f>
        <v>2.4</v>
      </c>
      <c r="AE79" s="1039">
        <f>SUMIFS('25-BRA-I-090'!$CT:$CT,'25-BRA-I-090'!$I:$I,L79)</f>
        <v>79.44</v>
      </c>
      <c r="AF79" s="1039">
        <f>SUMIFS('25-BRA-I-090'!$CW:$CW,'25-BRA-I-090'!$I:$I,L79)</f>
        <v>0</v>
      </c>
      <c r="AG79" s="1039">
        <f>SUMIFS('25-BRA-I-090'!$CX:$CX,'25-BRA-I-090'!$I:$I,L79)</f>
        <v>0</v>
      </c>
      <c r="AH79" s="1040">
        <f>SUMIFS('25-BRA-I-090'!$DJ:$DJ,'25-BRA-I-090'!$I:$I,L79)+SUMIFS('25-BRA-I-090'!$EC:$EC,'25-BRA-I-090'!$I:$I,L79)</f>
        <v>2.4</v>
      </c>
      <c r="AI79" s="1040">
        <f>SUMIFS('25-BRA-I-090'!$DK:$DK,'25-BRA-I-090'!$I:$I,L79)+SUMIFS('25-BRA-I-090'!$ED:$ED,'25-BRA-I-090'!$I:$I,L79)</f>
        <v>102</v>
      </c>
      <c r="AJ79" s="1040">
        <f>SUMIFS('25-BRA-I-090'!$DO:$DO,'25-BRA-I-090'!$I:$I,L79)+26400*SUMIFS('25-BRA-I-090'!$EF:$EF,'25-BRA-I-090'!$I:$I,L79)</f>
        <v>1743272.7272727271</v>
      </c>
      <c r="AK79" s="1072"/>
      <c r="AO79" s="1072"/>
      <c r="AR79" s="1064" t="s">
        <v>491</v>
      </c>
      <c r="AS79" s="1065" t="s">
        <v>397</v>
      </c>
      <c r="AT79" s="1065" t="s">
        <v>492</v>
      </c>
      <c r="AU79" s="1066" t="s">
        <v>402</v>
      </c>
      <c r="AV79" s="1067" t="s">
        <v>61</v>
      </c>
    </row>
    <row r="80" spans="1:48" s="1039" customFormat="1" ht="30">
      <c r="A80" s="372"/>
      <c r="B80" s="1057" t="str">
        <f t="shared" si="14"/>
        <v>Pipe D559x32.54-L6000</v>
      </c>
      <c r="C80" s="1058" t="str">
        <f>VLOOKUP(L80,'25-BRA-I-090'!$I:$EZ,4,0)</f>
        <v>1.0038/A36</v>
      </c>
      <c r="D80" s="374" t="str">
        <f t="shared" si="11"/>
        <v>Kg</v>
      </c>
      <c r="E80" s="183"/>
      <c r="F80" s="184">
        <f t="shared" si="7"/>
        <v>6</v>
      </c>
      <c r="G80" s="185">
        <f t="shared" si="7"/>
        <v>2534.6999999999998</v>
      </c>
      <c r="H80" s="185">
        <f t="shared" si="9"/>
        <v>0</v>
      </c>
      <c r="I80" s="185">
        <f t="shared" si="10"/>
        <v>5492.7</v>
      </c>
      <c r="J80" s="185">
        <f t="shared" si="12"/>
        <v>29613.506617306011</v>
      </c>
      <c r="K80" s="185">
        <f t="shared" si="13"/>
        <v>162658107.79687673</v>
      </c>
      <c r="L80" s="1184" t="s">
        <v>493</v>
      </c>
      <c r="M80" s="1059"/>
      <c r="N80" s="1059"/>
      <c r="O80" s="1038"/>
      <c r="P80" s="1054"/>
      <c r="Q80" s="1054"/>
      <c r="T80" s="1041"/>
      <c r="U80" s="1042"/>
      <c r="V80" s="1042"/>
      <c r="AA80" s="1039" t="str">
        <f>VLOOKUP(L80,'25-BRA-I-090'!$I:$EZ,2,0)</f>
        <v>Ống</v>
      </c>
      <c r="AB80" s="1039" t="str">
        <f>VLOOKUP(L80,'25-BRA-I-090'!$I:$EZ,3,0)</f>
        <v>Pipe D559x32.54-L6000</v>
      </c>
      <c r="AC80" s="1039" t="s">
        <v>2620</v>
      </c>
      <c r="AD80" s="1039">
        <f>SUMIFS('25-BRA-I-090'!$CS:$CS,'25-BRA-I-090'!$I:$I,L80)</f>
        <v>6</v>
      </c>
      <c r="AE80" s="1039">
        <f>SUMIFS('25-BRA-I-090'!$CT:$CT,'25-BRA-I-090'!$I:$I,L80)</f>
        <v>2534.6999999999998</v>
      </c>
      <c r="AF80" s="1039">
        <f>SUMIFS('25-BRA-I-090'!$CW:$CW,'25-BRA-I-090'!$I:$I,L80)</f>
        <v>0</v>
      </c>
      <c r="AG80" s="1039">
        <f>SUMIFS('25-BRA-I-090'!$CX:$CX,'25-BRA-I-090'!$I:$I,L80)</f>
        <v>0</v>
      </c>
      <c r="AH80" s="1040">
        <f>SUMIFS('25-BRA-I-090'!$DJ:$DJ,'25-BRA-I-090'!$I:$I,L80)+SUMIFS('25-BRA-I-090'!$EC:$EC,'25-BRA-I-090'!$I:$I,L80)</f>
        <v>12</v>
      </c>
      <c r="AI80" s="1040">
        <f>SUMIFS('25-BRA-I-090'!$DK:$DK,'25-BRA-I-090'!$I:$I,L80)+SUMIFS('25-BRA-I-090'!$ED:$ED,'25-BRA-I-090'!$I:$I,L80)</f>
        <v>5492.7</v>
      </c>
      <c r="AJ80" s="1040">
        <f>SUMIFS('25-BRA-I-090'!$DO:$DO,'25-BRA-I-090'!$I:$I,L80)+26400*SUMIFS('25-BRA-I-090'!$EF:$EF,'25-BRA-I-090'!$I:$I,L80)</f>
        <v>162658107.79687673</v>
      </c>
      <c r="AK80" s="1072"/>
      <c r="AO80" s="1072"/>
      <c r="AR80" s="1064" t="s">
        <v>493</v>
      </c>
      <c r="AS80" s="1065" t="s">
        <v>397</v>
      </c>
      <c r="AT80" s="1065" t="s">
        <v>494</v>
      </c>
      <c r="AU80" s="1066" t="s">
        <v>399</v>
      </c>
      <c r="AV80" s="1067" t="s">
        <v>61</v>
      </c>
    </row>
    <row r="81" spans="1:48" s="1039" customFormat="1" ht="30">
      <c r="A81" s="372"/>
      <c r="B81" s="1057" t="str">
        <f t="shared" si="14"/>
        <v>HEB140(H140x140x7x12)-L12000</v>
      </c>
      <c r="C81" s="1058" t="str">
        <f>VLOOKUP(L81,'25-BRA-I-090'!$I:$EZ,4,0)</f>
        <v>1.0038/A36</v>
      </c>
      <c r="D81" s="374" t="str">
        <f t="shared" si="11"/>
        <v>Kg</v>
      </c>
      <c r="E81" s="183"/>
      <c r="F81" s="184">
        <f t="shared" si="7"/>
        <v>25.200000000000003</v>
      </c>
      <c r="G81" s="185">
        <f t="shared" si="7"/>
        <v>849.24000000000012</v>
      </c>
      <c r="H81" s="185">
        <f t="shared" si="9"/>
        <v>0</v>
      </c>
      <c r="I81" s="185">
        <f t="shared" si="10"/>
        <v>1213.2</v>
      </c>
      <c r="J81" s="185">
        <f t="shared" si="12"/>
        <v>29226.939341308927</v>
      </c>
      <c r="K81" s="185">
        <f t="shared" si="13"/>
        <v>35458122.808875993</v>
      </c>
      <c r="L81" s="1184" t="s">
        <v>520</v>
      </c>
      <c r="M81" s="1059"/>
      <c r="N81" s="1059"/>
      <c r="O81" s="1038"/>
      <c r="P81" s="1054"/>
      <c r="Q81" s="1054"/>
      <c r="T81" s="1041"/>
      <c r="U81" s="1042"/>
      <c r="V81" s="1042"/>
      <c r="AA81" s="1039" t="str">
        <f>VLOOKUP(L81,'25-BRA-I-090'!$I:$EZ,2,0)</f>
        <v>Thép hình-H</v>
      </c>
      <c r="AB81" s="1039" t="str">
        <f>VLOOKUP(L81,'25-BRA-I-090'!$I:$EZ,3,0)</f>
        <v>HEB140(H140x140x7x12)-L12000</v>
      </c>
      <c r="AC81" s="1039" t="s">
        <v>2620</v>
      </c>
      <c r="AD81" s="1039">
        <f>SUMIFS('25-BRA-I-090'!$CS:$CS,'25-BRA-I-090'!$I:$I,L81)</f>
        <v>25.200000000000003</v>
      </c>
      <c r="AE81" s="1039">
        <f>SUMIFS('25-BRA-I-090'!$CT:$CT,'25-BRA-I-090'!$I:$I,L81)</f>
        <v>849.24000000000012</v>
      </c>
      <c r="AF81" s="1039">
        <f>SUMIFS('25-BRA-I-090'!$CW:$CW,'25-BRA-I-090'!$I:$I,L81)</f>
        <v>0</v>
      </c>
      <c r="AG81" s="1039">
        <f>SUMIFS('25-BRA-I-090'!$CX:$CX,'25-BRA-I-090'!$I:$I,L81)</f>
        <v>0</v>
      </c>
      <c r="AH81" s="1040">
        <f>SUMIFS('25-BRA-I-090'!$DJ:$DJ,'25-BRA-I-090'!$I:$I,L81)+SUMIFS('25-BRA-I-090'!$EC:$EC,'25-BRA-I-090'!$I:$I,L81)</f>
        <v>36</v>
      </c>
      <c r="AI81" s="1040">
        <f>SUMIFS('25-BRA-I-090'!$DK:$DK,'25-BRA-I-090'!$I:$I,L81)+SUMIFS('25-BRA-I-090'!$ED:$ED,'25-BRA-I-090'!$I:$I,L81)</f>
        <v>1213.2</v>
      </c>
      <c r="AJ81" s="1040">
        <f>SUMIFS('25-BRA-I-090'!$DO:$DO,'25-BRA-I-090'!$I:$I,L81)+26400*SUMIFS('25-BRA-I-090'!$EF:$EF,'25-BRA-I-090'!$I:$I,L81)</f>
        <v>35458122.808875993</v>
      </c>
      <c r="AK81" s="1072"/>
      <c r="AO81" s="1072"/>
      <c r="AR81" s="1064" t="s">
        <v>520</v>
      </c>
      <c r="AS81" s="1065" t="s">
        <v>267</v>
      </c>
      <c r="AT81" s="1065" t="s">
        <v>521</v>
      </c>
      <c r="AU81" s="1066" t="s">
        <v>399</v>
      </c>
      <c r="AV81" s="1073" t="s">
        <v>61</v>
      </c>
    </row>
    <row r="82" spans="1:48" s="1039" customFormat="1" ht="30">
      <c r="A82" s="372"/>
      <c r="B82" s="1057" t="str">
        <f t="shared" si="14"/>
        <v>UPN160(C160x65x7.5x10.5)-L12000</v>
      </c>
      <c r="C82" s="1058" t="str">
        <f>VLOOKUP(L82,'25-BRA-I-090'!$I:$EZ,4,0)</f>
        <v>1.0038/A36</v>
      </c>
      <c r="D82" s="374" t="str">
        <f t="shared" si="11"/>
        <v>Kg</v>
      </c>
      <c r="E82" s="183"/>
      <c r="F82" s="184">
        <f t="shared" si="7"/>
        <v>132</v>
      </c>
      <c r="G82" s="185">
        <f t="shared" si="7"/>
        <v>2481.6</v>
      </c>
      <c r="H82" s="185">
        <f t="shared" si="9"/>
        <v>0</v>
      </c>
      <c r="I82" s="185">
        <f t="shared" si="10"/>
        <v>2481.6000000000004</v>
      </c>
      <c r="J82" s="185">
        <f t="shared" si="12"/>
        <v>28883.739341308919</v>
      </c>
      <c r="K82" s="185">
        <f t="shared" si="13"/>
        <v>71677887.549392223</v>
      </c>
      <c r="L82" s="1184" t="s">
        <v>522</v>
      </c>
      <c r="M82" s="1059"/>
      <c r="N82" s="1059"/>
      <c r="O82" s="1038"/>
      <c r="P82" s="1054"/>
      <c r="Q82" s="1054"/>
      <c r="T82" s="1041"/>
      <c r="U82" s="1042"/>
      <c r="V82" s="1042"/>
      <c r="AA82" s="1039" t="str">
        <f>VLOOKUP(L82,'25-BRA-I-090'!$I:$EZ,2,0)</f>
        <v>Thép hình-C</v>
      </c>
      <c r="AB82" s="1039" t="str">
        <f>VLOOKUP(L82,'25-BRA-I-090'!$I:$EZ,3,0)</f>
        <v>UPN160(C160x65x7.5x10.5)-L12000</v>
      </c>
      <c r="AC82" s="1039" t="s">
        <v>2620</v>
      </c>
      <c r="AD82" s="1039">
        <f>SUMIFS('25-BRA-I-090'!$CS:$CS,'25-BRA-I-090'!$I:$I,L82)</f>
        <v>132</v>
      </c>
      <c r="AE82" s="1039">
        <f>SUMIFS('25-BRA-I-090'!$CT:$CT,'25-BRA-I-090'!$I:$I,L82)</f>
        <v>2481.6</v>
      </c>
      <c r="AF82" s="1039">
        <f>SUMIFS('25-BRA-I-090'!$CW:$CW,'25-BRA-I-090'!$I:$I,L82)</f>
        <v>0</v>
      </c>
      <c r="AG82" s="1039">
        <f>SUMIFS('25-BRA-I-090'!$CX:$CX,'25-BRA-I-090'!$I:$I,L82)</f>
        <v>0</v>
      </c>
      <c r="AH82" s="1040">
        <f>SUMIFS('25-BRA-I-090'!$DJ:$DJ,'25-BRA-I-090'!$I:$I,L82)+SUMIFS('25-BRA-I-090'!$EC:$EC,'25-BRA-I-090'!$I:$I,L82)</f>
        <v>132</v>
      </c>
      <c r="AI82" s="1040">
        <f>SUMIFS('25-BRA-I-090'!$DK:$DK,'25-BRA-I-090'!$I:$I,L82)+SUMIFS('25-BRA-I-090'!$ED:$ED,'25-BRA-I-090'!$I:$I,L82)</f>
        <v>2481.6000000000004</v>
      </c>
      <c r="AJ82" s="1040">
        <f>SUMIFS('25-BRA-I-090'!$DO:$DO,'25-BRA-I-090'!$I:$I,L82)+26400*SUMIFS('25-BRA-I-090'!$EF:$EF,'25-BRA-I-090'!$I:$I,L82)</f>
        <v>71677887.549392223</v>
      </c>
      <c r="AK82" s="1072"/>
      <c r="AO82" s="1072"/>
      <c r="AR82" s="1064" t="s">
        <v>522</v>
      </c>
      <c r="AS82" s="1065" t="s">
        <v>277</v>
      </c>
      <c r="AT82" s="1065" t="s">
        <v>523</v>
      </c>
      <c r="AU82" s="1066" t="s">
        <v>399</v>
      </c>
      <c r="AV82" s="1073" t="s">
        <v>61</v>
      </c>
    </row>
    <row r="83" spans="1:48" s="1039" customFormat="1">
      <c r="A83" s="372"/>
      <c r="B83" s="1057" t="str">
        <f t="shared" si="14"/>
        <v>L50x50x5-L6000</v>
      </c>
      <c r="C83" s="1058" t="str">
        <f>VLOOKUP(L83,'25-BRA-I-090'!$I:$EZ,4,0)</f>
        <v>1.0038/A36</v>
      </c>
      <c r="D83" s="374" t="str">
        <f t="shared" si="11"/>
        <v>Kg</v>
      </c>
      <c r="E83" s="183"/>
      <c r="F83" s="184">
        <f t="shared" si="7"/>
        <v>702</v>
      </c>
      <c r="G83" s="185">
        <f t="shared" si="7"/>
        <v>2667.6</v>
      </c>
      <c r="H83" s="185">
        <f t="shared" si="9"/>
        <v>0</v>
      </c>
      <c r="I83" s="185">
        <f t="shared" si="10"/>
        <v>2650.0499999999997</v>
      </c>
      <c r="J83" s="185">
        <f t="shared" si="12"/>
        <v>14282.831111111111</v>
      </c>
      <c r="K83" s="185">
        <f t="shared" si="13"/>
        <v>37850216.585999995</v>
      </c>
      <c r="L83" s="1184" t="s">
        <v>524</v>
      </c>
      <c r="M83" s="1059"/>
      <c r="N83" s="1059"/>
      <c r="O83" s="1038"/>
      <c r="P83" s="1054"/>
      <c r="Q83" s="1054"/>
      <c r="T83" s="1041"/>
      <c r="U83" s="1042"/>
      <c r="V83" s="1042"/>
      <c r="AA83" s="1039" t="str">
        <f>VLOOKUP(L83,'25-BRA-I-090'!$I:$EZ,2,0)</f>
        <v>Thép hình-L</v>
      </c>
      <c r="AB83" s="1039" t="str">
        <f>VLOOKUP(L83,'25-BRA-I-090'!$I:$EZ,3,0)</f>
        <v>L50x50x5-L6000</v>
      </c>
      <c r="AC83" s="1039" t="s">
        <v>2620</v>
      </c>
      <c r="AD83" s="1039">
        <f>SUMIFS('25-BRA-I-090'!$CS:$CS,'25-BRA-I-090'!$I:$I,L83)</f>
        <v>702</v>
      </c>
      <c r="AE83" s="1039">
        <f>SUMIFS('25-BRA-I-090'!$CT:$CT,'25-BRA-I-090'!$I:$I,L83)</f>
        <v>2667.6</v>
      </c>
      <c r="AF83" s="1039">
        <f>SUMIFS('25-BRA-I-090'!$CW:$CW,'25-BRA-I-090'!$I:$I,L83)</f>
        <v>0</v>
      </c>
      <c r="AG83" s="1039">
        <f>SUMIFS('25-BRA-I-090'!$CX:$CX,'25-BRA-I-090'!$I:$I,L83)</f>
        <v>0</v>
      </c>
      <c r="AH83" s="1040">
        <f>SUMIFS('25-BRA-I-090'!$DJ:$DJ,'25-BRA-I-090'!$I:$I,L83)+SUMIFS('25-BRA-I-090'!$EC:$EC,'25-BRA-I-090'!$I:$I,L83)</f>
        <v>702</v>
      </c>
      <c r="AI83" s="1040">
        <f>SUMIFS('25-BRA-I-090'!$DK:$DK,'25-BRA-I-090'!$I:$I,L83)+SUMIFS('25-BRA-I-090'!$ED:$ED,'25-BRA-I-090'!$I:$I,L83)</f>
        <v>2650.0499999999997</v>
      </c>
      <c r="AJ83" s="1040">
        <f>SUMIFS('25-BRA-I-090'!$DO:$DO,'25-BRA-I-090'!$I:$I,L83)+26400*SUMIFS('25-BRA-I-090'!$EF:$EF,'25-BRA-I-090'!$I:$I,L83)</f>
        <v>37850216.585999995</v>
      </c>
      <c r="AK83" s="1072"/>
      <c r="AO83" s="1072"/>
      <c r="AR83" s="1064" t="s">
        <v>524</v>
      </c>
      <c r="AS83" s="1065" t="s">
        <v>284</v>
      </c>
      <c r="AT83" s="1065" t="s">
        <v>525</v>
      </c>
      <c r="AU83" s="1066" t="s">
        <v>399</v>
      </c>
      <c r="AV83" s="1073" t="s">
        <v>61</v>
      </c>
    </row>
    <row r="84" spans="1:48" s="1039" customFormat="1">
      <c r="A84" s="372"/>
      <c r="B84" s="1057" t="str">
        <f t="shared" si="14"/>
        <v>RB20-L6000</v>
      </c>
      <c r="C84" s="1058" t="str">
        <f>VLOOKUP(L84,'25-BRA-I-090'!$I:$EZ,4,0)</f>
        <v>1.0038/A36</v>
      </c>
      <c r="D84" s="374" t="str">
        <f t="shared" si="11"/>
        <v>Kg</v>
      </c>
      <c r="E84" s="183"/>
      <c r="F84" s="184">
        <f t="shared" si="7"/>
        <v>444</v>
      </c>
      <c r="G84" s="185">
        <f t="shared" si="7"/>
        <v>274.07407407407408</v>
      </c>
      <c r="H84" s="185">
        <f t="shared" si="9"/>
        <v>0</v>
      </c>
      <c r="I84" s="185">
        <f t="shared" si="10"/>
        <v>1094.9000000000001</v>
      </c>
      <c r="J84" s="185">
        <f t="shared" si="12"/>
        <v>15767.812331445792</v>
      </c>
      <c r="K84" s="185">
        <f t="shared" si="13"/>
        <v>17264177.721699998</v>
      </c>
      <c r="L84" s="1184" t="s">
        <v>526</v>
      </c>
      <c r="M84" s="1059"/>
      <c r="N84" s="1059"/>
      <c r="O84" s="1038"/>
      <c r="P84" s="1054"/>
      <c r="Q84" s="1054"/>
      <c r="T84" s="1041"/>
      <c r="U84" s="1042"/>
      <c r="V84" s="1042"/>
      <c r="AA84" s="1039" t="str">
        <f>VLOOKUP(L84,'25-BRA-I-090'!$I:$EZ,2,0)</f>
        <v>Thép tròn</v>
      </c>
      <c r="AB84" s="1039" t="str">
        <f>VLOOKUP(L84,'25-BRA-I-090'!$I:$EZ,3,0)</f>
        <v>RB20-L6000</v>
      </c>
      <c r="AC84" s="1039" t="s">
        <v>2620</v>
      </c>
      <c r="AD84" s="1039">
        <f>SUMIFS('25-BRA-I-090'!$CS:$CS,'25-BRA-I-090'!$I:$I,L84)</f>
        <v>444</v>
      </c>
      <c r="AE84" s="1039">
        <f>SUMIFS('25-BRA-I-090'!$CT:$CT,'25-BRA-I-090'!$I:$I,L84)</f>
        <v>274.07407407407408</v>
      </c>
      <c r="AF84" s="1039">
        <f>SUMIFS('25-BRA-I-090'!$CW:$CW,'25-BRA-I-090'!$I:$I,L84)</f>
        <v>0</v>
      </c>
      <c r="AG84" s="1039">
        <f>SUMIFS('25-BRA-I-090'!$CX:$CX,'25-BRA-I-090'!$I:$I,L84)</f>
        <v>0</v>
      </c>
      <c r="AH84" s="1040">
        <f>SUMIFS('25-BRA-I-090'!$DJ:$DJ,'25-BRA-I-090'!$I:$I,L84)+SUMIFS('25-BRA-I-090'!$EC:$EC,'25-BRA-I-090'!$I:$I,L84)</f>
        <v>444</v>
      </c>
      <c r="AI84" s="1040">
        <f>SUMIFS('25-BRA-I-090'!$DK:$DK,'25-BRA-I-090'!$I:$I,L84)+SUMIFS('25-BRA-I-090'!$ED:$ED,'25-BRA-I-090'!$I:$I,L84)</f>
        <v>1094.9000000000001</v>
      </c>
      <c r="AJ84" s="1040">
        <f>SUMIFS('25-BRA-I-090'!$DO:$DO,'25-BRA-I-090'!$I:$I,L84)+26400*SUMIFS('25-BRA-I-090'!$EF:$EF,'25-BRA-I-090'!$I:$I,L84)</f>
        <v>17264177.721699998</v>
      </c>
      <c r="AK84" s="1072"/>
      <c r="AO84" s="1072"/>
      <c r="AR84" s="1064" t="s">
        <v>526</v>
      </c>
      <c r="AS84" s="1065" t="s">
        <v>412</v>
      </c>
      <c r="AT84" s="1065" t="s">
        <v>527</v>
      </c>
      <c r="AU84" s="1066" t="s">
        <v>399</v>
      </c>
      <c r="AV84" s="1073" t="s">
        <v>61</v>
      </c>
    </row>
    <row r="85" spans="1:48" s="1039" customFormat="1" ht="30">
      <c r="A85" s="372"/>
      <c r="B85" s="1057" t="str">
        <f t="shared" si="14"/>
        <v>C41.3x25.4x2.7x7-gal'v steel-L9900</v>
      </c>
      <c r="C85" s="1058" t="str">
        <f>VLOOKUP(L85,'25-BRA-I-090'!$I:$EZ,4,0)</f>
        <v>1.0038/A36</v>
      </c>
      <c r="D85" s="374" t="str">
        <f t="shared" si="11"/>
        <v>Kg</v>
      </c>
      <c r="E85" s="183"/>
      <c r="F85" s="184">
        <f t="shared" si="7"/>
        <v>0</v>
      </c>
      <c r="G85" s="185">
        <f t="shared" si="7"/>
        <v>0</v>
      </c>
      <c r="H85" s="185">
        <f t="shared" si="9"/>
        <v>0</v>
      </c>
      <c r="I85" s="185">
        <f t="shared" si="10"/>
        <v>0</v>
      </c>
      <c r="J85" s="185" t="e">
        <f t="shared" si="12"/>
        <v>#DIV/0!</v>
      </c>
      <c r="K85" s="185">
        <f t="shared" si="13"/>
        <v>0</v>
      </c>
      <c r="L85" s="1184" t="s">
        <v>528</v>
      </c>
      <c r="M85" s="1059"/>
      <c r="N85" s="1059"/>
      <c r="O85" s="1038"/>
      <c r="P85" s="1054"/>
      <c r="Q85" s="1054"/>
      <c r="T85" s="1041"/>
      <c r="U85" s="1042"/>
      <c r="V85" s="1042"/>
      <c r="AA85" s="1039" t="str">
        <f>VLOOKUP(L85,'25-BRA-I-090'!$I:$EZ,2,0)</f>
        <v>Thép hình-C</v>
      </c>
      <c r="AB85" s="1039" t="str">
        <f>VLOOKUP(L85,'25-BRA-I-090'!$I:$EZ,3,0)</f>
        <v>C41.3x25.4x2.7x7-gal'v steel-L9900</v>
      </c>
      <c r="AC85" s="1039" t="s">
        <v>2620</v>
      </c>
      <c r="AD85" s="1039">
        <f>SUMIFS('25-BRA-I-090'!$CS:$CS,'25-BRA-I-090'!$I:$I,L85)</f>
        <v>0</v>
      </c>
      <c r="AE85" s="1039">
        <f>SUMIFS('25-BRA-I-090'!$CT:$CT,'25-BRA-I-090'!$I:$I,L85)</f>
        <v>0</v>
      </c>
      <c r="AF85" s="1039">
        <f>SUMIFS('25-BRA-I-090'!$CW:$CW,'25-BRA-I-090'!$I:$I,L85)</f>
        <v>0</v>
      </c>
      <c r="AG85" s="1039">
        <f>SUMIFS('25-BRA-I-090'!$CX:$CX,'25-BRA-I-090'!$I:$I,L85)</f>
        <v>0</v>
      </c>
      <c r="AH85" s="1040">
        <f>SUMIFS('25-BRA-I-090'!$DJ:$DJ,'25-BRA-I-090'!$I:$I,L85)+SUMIFS('25-BRA-I-090'!$EC:$EC,'25-BRA-I-090'!$I:$I,L85)</f>
        <v>0</v>
      </c>
      <c r="AI85" s="1040">
        <f>SUMIFS('25-BRA-I-090'!$DK:$DK,'25-BRA-I-090'!$I:$I,L85)+SUMIFS('25-BRA-I-090'!$ED:$ED,'25-BRA-I-090'!$I:$I,L85)</f>
        <v>0</v>
      </c>
      <c r="AJ85" s="1040">
        <f>SUMIFS('25-BRA-I-090'!$DO:$DO,'25-BRA-I-090'!$I:$I,L85)+26400*SUMIFS('25-BRA-I-090'!$EF:$EF,'25-BRA-I-090'!$I:$I,L85)</f>
        <v>0</v>
      </c>
      <c r="AK85" s="1072"/>
      <c r="AO85" s="1072"/>
      <c r="AR85" s="1064" t="s">
        <v>528</v>
      </c>
      <c r="AS85" s="1065" t="s">
        <v>277</v>
      </c>
      <c r="AT85" s="1065" t="s">
        <v>529</v>
      </c>
      <c r="AU85" s="1066" t="s">
        <v>399</v>
      </c>
      <c r="AV85" s="1073" t="s">
        <v>61</v>
      </c>
    </row>
    <row r="86" spans="1:48" s="1039" customFormat="1" ht="75">
      <c r="A86" s="372"/>
      <c r="B86" s="1057" t="str">
        <f t="shared" si="14"/>
        <v>GRIP STRUT LADDER RUNGS ( LG1 ) 457x76.2x28.6-thickness 2mm</v>
      </c>
      <c r="C86" s="1058" t="str">
        <f>VLOOKUP(L86,'25-BRA-I-090'!$I:$EZ,4,0)</f>
        <v>1.0038/A36</v>
      </c>
      <c r="D86" s="374" t="str">
        <f t="shared" si="11"/>
        <v>pcs</v>
      </c>
      <c r="E86" s="183"/>
      <c r="F86" s="184">
        <f t="shared" si="7"/>
        <v>114</v>
      </c>
      <c r="G86" s="185">
        <f t="shared" si="7"/>
        <v>94.825199999999995</v>
      </c>
      <c r="H86" s="185">
        <f t="shared" si="7"/>
        <v>0</v>
      </c>
      <c r="I86" s="185">
        <f t="shared" ref="I86:I87" si="15">AH86</f>
        <v>114</v>
      </c>
      <c r="J86" s="185">
        <f t="shared" si="12"/>
        <v>350000</v>
      </c>
      <c r="K86" s="185">
        <f t="shared" si="13"/>
        <v>39900000</v>
      </c>
      <c r="L86" s="1184" t="s">
        <v>530</v>
      </c>
      <c r="M86" s="1059"/>
      <c r="N86" s="1059"/>
      <c r="O86" s="1038"/>
      <c r="P86" s="1054"/>
      <c r="Q86" s="1054"/>
      <c r="T86" s="1041"/>
      <c r="U86" s="1042"/>
      <c r="V86" s="1042"/>
      <c r="AA86" s="1039" t="str">
        <f>VLOOKUP(L86,'25-BRA-I-090'!$I:$EZ,2,0)</f>
        <v>Bậc thang đứng</v>
      </c>
      <c r="AB86" s="1039" t="str">
        <f>VLOOKUP(L86,'25-BRA-I-090'!$I:$EZ,3,0)</f>
        <v>GRIP STRUT LADDER RUNGS ( LG1 ) 457x76.2x28.6-thickness 2mm</v>
      </c>
      <c r="AC86" s="1039" t="str">
        <f>VLOOKUP(L86,'25-BRA-I-090'!$I:$EZ,5,0)</f>
        <v>pcs</v>
      </c>
      <c r="AD86" s="1039">
        <f>SUMIFS('25-BRA-I-090'!$CS:$CS,'25-BRA-I-090'!$I:$I,L86)</f>
        <v>114</v>
      </c>
      <c r="AE86" s="1039">
        <f>SUMIFS('25-BRA-I-090'!$CT:$CT,'25-BRA-I-090'!$I:$I,L86)</f>
        <v>94.825199999999995</v>
      </c>
      <c r="AF86" s="1039">
        <f>SUMIFS('25-BRA-I-090'!$CW:$CW,'25-BRA-I-090'!$I:$I,L86)</f>
        <v>0</v>
      </c>
      <c r="AG86" s="1039">
        <f>SUMIFS('25-BRA-I-090'!$CX:$CX,'25-BRA-I-090'!$I:$I,L86)</f>
        <v>0</v>
      </c>
      <c r="AH86" s="1040">
        <f>SUMIFS('25-BRA-I-090'!$DJ:$DJ,'25-BRA-I-090'!$I:$I,L86)+SUMIFS('25-BRA-I-090'!$EC:$EC,'25-BRA-I-090'!$I:$I,L86)</f>
        <v>114</v>
      </c>
      <c r="AI86" s="1040">
        <f>SUMIFS('25-BRA-I-090'!$DK:$DK,'25-BRA-I-090'!$I:$I,L86)+SUMIFS('25-BRA-I-090'!$ED:$ED,'25-BRA-I-090'!$I:$I,L86)</f>
        <v>0</v>
      </c>
      <c r="AJ86" s="1040">
        <f>SUMIFS('25-BRA-I-090'!$DO:$DO,'25-BRA-I-090'!$I:$I,L86)+26400*SUMIFS('25-BRA-I-090'!$EF:$EF,'25-BRA-I-090'!$I:$I,L86)</f>
        <v>39900000</v>
      </c>
      <c r="AK86" s="1072"/>
      <c r="AO86" s="1072"/>
      <c r="AR86" s="1064" t="s">
        <v>530</v>
      </c>
      <c r="AS86" s="1065" t="s">
        <v>531</v>
      </c>
      <c r="AT86" s="1065" t="s">
        <v>532</v>
      </c>
      <c r="AU86" s="1066" t="s">
        <v>399</v>
      </c>
      <c r="AV86" s="1073" t="s">
        <v>345</v>
      </c>
    </row>
    <row r="87" spans="1:48" s="1039" customFormat="1" ht="45">
      <c r="A87" s="372"/>
      <c r="B87" s="1057" t="str">
        <f t="shared" si="14"/>
        <v>Anchor Bolt - FBN II 16/140-Hot-dip gal'v</v>
      </c>
      <c r="C87" s="1058" t="str">
        <f>VLOOKUP(L87,'25-BRA-I-090'!$I:$EZ,4,0)</f>
        <v>Steel</v>
      </c>
      <c r="D87" s="374" t="str">
        <f t="shared" si="11"/>
        <v>sets</v>
      </c>
      <c r="E87" s="183"/>
      <c r="F87" s="184">
        <f t="shared" si="7"/>
        <v>72</v>
      </c>
      <c r="G87" s="185">
        <f t="shared" si="7"/>
        <v>17.28</v>
      </c>
      <c r="H87" s="185">
        <f t="shared" si="7"/>
        <v>0</v>
      </c>
      <c r="I87" s="185">
        <f t="shared" si="15"/>
        <v>80</v>
      </c>
      <c r="J87" s="185">
        <f t="shared" si="12"/>
        <v>259500</v>
      </c>
      <c r="K87" s="185">
        <f t="shared" si="13"/>
        <v>20760000</v>
      </c>
      <c r="L87" s="1184" t="s">
        <v>533</v>
      </c>
      <c r="M87" s="1059"/>
      <c r="N87" s="1059"/>
      <c r="O87" s="1038"/>
      <c r="P87" s="1054"/>
      <c r="Q87" s="1054"/>
      <c r="T87" s="1041"/>
      <c r="U87" s="1042"/>
      <c r="V87" s="1042"/>
      <c r="AA87" s="1039" t="str">
        <f>VLOOKUP(L87,'25-BRA-I-090'!$I:$EZ,2,0)</f>
        <v>Bulong móng</v>
      </c>
      <c r="AB87" s="1039" t="str">
        <f>VLOOKUP(L87,'25-BRA-I-090'!$I:$EZ,3,0)</f>
        <v>Anchor Bolt - FBN II 16/140-Hot-dip gal'v</v>
      </c>
      <c r="AC87" s="1039" t="str">
        <f>VLOOKUP(L87,'25-BRA-I-090'!$I:$EZ,5,0)</f>
        <v>sets</v>
      </c>
      <c r="AD87" s="1039">
        <f>SUMIFS('25-BRA-I-090'!$CS:$CS,'25-BRA-I-090'!$I:$I,L87)</f>
        <v>72</v>
      </c>
      <c r="AE87" s="1039">
        <f>SUMIFS('25-BRA-I-090'!$CT:$CT,'25-BRA-I-090'!$I:$I,L87)</f>
        <v>17.28</v>
      </c>
      <c r="AF87" s="1039">
        <f>SUMIFS('25-BRA-I-090'!$CW:$CW,'25-BRA-I-090'!$I:$I,L87)</f>
        <v>0</v>
      </c>
      <c r="AG87" s="1039">
        <f>SUMIFS('25-BRA-I-090'!$CX:$CX,'25-BRA-I-090'!$I:$I,L87)</f>
        <v>0</v>
      </c>
      <c r="AH87" s="1040">
        <f>SUMIFS('25-BRA-I-090'!$DJ:$DJ,'25-BRA-I-090'!$I:$I,L87)+SUMIFS('25-BRA-I-090'!$EC:$EC,'25-BRA-I-090'!$I:$I,L87)</f>
        <v>80</v>
      </c>
      <c r="AI87" s="1040">
        <f>SUMIFS('25-BRA-I-090'!$DK:$DK,'25-BRA-I-090'!$I:$I,L87)+SUMIFS('25-BRA-I-090'!$ED:$ED,'25-BRA-I-090'!$I:$I,L87)</f>
        <v>0</v>
      </c>
      <c r="AJ87" s="1040">
        <f>SUMIFS('25-BRA-I-090'!$DO:$DO,'25-BRA-I-090'!$I:$I,L87)+26400*SUMIFS('25-BRA-I-090'!$EF:$EF,'25-BRA-I-090'!$I:$I,L87)</f>
        <v>20760000</v>
      </c>
      <c r="AK87" s="1072"/>
      <c r="AO87" s="1072"/>
      <c r="AR87" s="1067" t="s">
        <v>533</v>
      </c>
      <c r="AS87" s="1065" t="s">
        <v>237</v>
      </c>
      <c r="AT87" s="1065" t="s">
        <v>534</v>
      </c>
      <c r="AU87" s="1066" t="s">
        <v>535</v>
      </c>
      <c r="AV87" s="1073" t="s">
        <v>239</v>
      </c>
    </row>
    <row r="88" spans="1:48" s="1039" customFormat="1" ht="45">
      <c r="A88" s="372"/>
      <c r="B88" s="1057" t="str">
        <f t="shared" si="14"/>
        <v>PL6x1500X12000; PL6x2000X9000;  PL6x2000X12000</v>
      </c>
      <c r="C88" s="1058" t="str">
        <f>VLOOKUP(L88,'25-BRA-I-090'!$I:$EZ,4,0)</f>
        <v>1.5415(16Mo3)</v>
      </c>
      <c r="D88" s="374" t="str">
        <f t="shared" si="11"/>
        <v>Kg</v>
      </c>
      <c r="E88" s="183"/>
      <c r="F88" s="184">
        <f t="shared" si="7"/>
        <v>219</v>
      </c>
      <c r="G88" s="185">
        <f t="shared" si="7"/>
        <v>10314.9</v>
      </c>
      <c r="H88" s="185">
        <f t="shared" ref="H88:H94" si="16">AG88</f>
        <v>0</v>
      </c>
      <c r="I88" s="185">
        <f t="shared" ref="I88:I94" si="17">AI88</f>
        <v>10314.900000000001</v>
      </c>
      <c r="J88" s="185">
        <f t="shared" si="12"/>
        <v>51647.694161009844</v>
      </c>
      <c r="K88" s="185">
        <f t="shared" si="13"/>
        <v>532740800.50140053</v>
      </c>
      <c r="L88" s="1184" t="s">
        <v>536</v>
      </c>
      <c r="M88" s="1059"/>
      <c r="N88" s="1059"/>
      <c r="O88" s="1038"/>
      <c r="P88" s="1054"/>
      <c r="Q88" s="1054"/>
      <c r="T88" s="1041"/>
      <c r="U88" s="1042"/>
      <c r="V88" s="1042"/>
      <c r="AA88" s="1039" t="str">
        <f>VLOOKUP(L88,'25-BRA-I-090'!$I:$EZ,2,0)</f>
        <v>Tôn tấm</v>
      </c>
      <c r="AB88" s="1039" t="str">
        <f>VLOOKUP(L88,'25-BRA-I-090'!$I:$EZ,3,0)</f>
        <v>PL6x1500X12000; PL6x2000X9000;  PL6x2000X12000</v>
      </c>
      <c r="AC88" s="1039" t="s">
        <v>2620</v>
      </c>
      <c r="AD88" s="1039">
        <f>SUMIFS('25-BRA-I-090'!$CS:$CS,'25-BRA-I-090'!$I:$I,L88)</f>
        <v>219</v>
      </c>
      <c r="AE88" s="1039">
        <f>SUMIFS('25-BRA-I-090'!$CT:$CT,'25-BRA-I-090'!$I:$I,L88)</f>
        <v>10314.9</v>
      </c>
      <c r="AF88" s="1039">
        <f>SUMIFS('25-BRA-I-090'!$CW:$CW,'25-BRA-I-090'!$I:$I,L88)</f>
        <v>0</v>
      </c>
      <c r="AG88" s="1039">
        <f>SUMIFS('25-BRA-I-090'!$CX:$CX,'25-BRA-I-090'!$I:$I,L88)</f>
        <v>0</v>
      </c>
      <c r="AH88" s="1040">
        <f>SUMIFS('25-BRA-I-090'!$DJ:$DJ,'25-BRA-I-090'!$I:$I,L88)+SUMIFS('25-BRA-I-090'!$EC:$EC,'25-BRA-I-090'!$I:$I,L88)</f>
        <v>219</v>
      </c>
      <c r="AI88" s="1040">
        <f>SUMIFS('25-BRA-I-090'!$DK:$DK,'25-BRA-I-090'!$I:$I,L88)+SUMIFS('25-BRA-I-090'!$ED:$ED,'25-BRA-I-090'!$I:$I,L88)</f>
        <v>10314.900000000001</v>
      </c>
      <c r="AJ88" s="1040">
        <f>SUMIFS('25-BRA-I-090'!$DO:$DO,'25-BRA-I-090'!$I:$I,L88)+26400*SUMIFS('25-BRA-I-090'!$EF:$EF,'25-BRA-I-090'!$I:$I,L88)</f>
        <v>532740800.50140053</v>
      </c>
      <c r="AK88" s="1072"/>
      <c r="AO88" s="1072"/>
      <c r="AR88" s="1064" t="s">
        <v>536</v>
      </c>
      <c r="AS88" s="1065" t="s">
        <v>235</v>
      </c>
      <c r="AT88" s="1065" t="s">
        <v>1178</v>
      </c>
      <c r="AU88" s="1066" t="s">
        <v>537</v>
      </c>
      <c r="AV88" s="1073" t="s">
        <v>44</v>
      </c>
    </row>
    <row r="89" spans="1:48" s="1039" customFormat="1">
      <c r="A89" s="372"/>
      <c r="B89" s="1057" t="str">
        <f t="shared" si="14"/>
        <v>PL10x2000X2450</v>
      </c>
      <c r="C89" s="1058" t="str">
        <f>VLOOKUP(L89,'25-BRA-I-090'!$I:$EZ,4,0)</f>
        <v>1.5415(16Mo3)</v>
      </c>
      <c r="D89" s="374" t="str">
        <f t="shared" si="11"/>
        <v>Kg</v>
      </c>
      <c r="E89" s="183"/>
      <c r="F89" s="184">
        <f t="shared" si="7"/>
        <v>4.9000000000000004</v>
      </c>
      <c r="G89" s="185">
        <f t="shared" si="7"/>
        <v>384.65000000000003</v>
      </c>
      <c r="H89" s="185">
        <f t="shared" si="16"/>
        <v>0</v>
      </c>
      <c r="I89" s="185">
        <f t="shared" si="17"/>
        <v>706.5</v>
      </c>
      <c r="J89" s="185">
        <f t="shared" si="12"/>
        <v>52302.71112039953</v>
      </c>
      <c r="K89" s="185">
        <f t="shared" si="13"/>
        <v>36951865.406562269</v>
      </c>
      <c r="L89" s="1184" t="s">
        <v>732</v>
      </c>
      <c r="M89" s="1059"/>
      <c r="N89" s="1059"/>
      <c r="O89" s="1038"/>
      <c r="P89" s="1054"/>
      <c r="Q89" s="1054"/>
      <c r="T89" s="1041"/>
      <c r="U89" s="1042"/>
      <c r="V89" s="1042"/>
      <c r="AA89" s="1039" t="str">
        <f>VLOOKUP(L89,'25-BRA-I-090'!$I:$EZ,2,0)</f>
        <v>Tôn tấm</v>
      </c>
      <c r="AB89" s="1039" t="str">
        <f>VLOOKUP(L89,'25-BRA-I-090'!$I:$EZ,3,0)</f>
        <v>PL10x2000X2450</v>
      </c>
      <c r="AC89" s="1039" t="s">
        <v>2620</v>
      </c>
      <c r="AD89" s="1039">
        <f>SUMIFS('25-BRA-I-090'!$CS:$CS,'25-BRA-I-090'!$I:$I,L89)</f>
        <v>4.9000000000000004</v>
      </c>
      <c r="AE89" s="1039">
        <f>SUMIFS('25-BRA-I-090'!$CT:$CT,'25-BRA-I-090'!$I:$I,L89)</f>
        <v>384.65000000000003</v>
      </c>
      <c r="AF89" s="1039">
        <f>SUMIFS('25-BRA-I-090'!$CW:$CW,'25-BRA-I-090'!$I:$I,L89)</f>
        <v>0</v>
      </c>
      <c r="AG89" s="1039">
        <f>SUMIFS('25-BRA-I-090'!$CX:$CX,'25-BRA-I-090'!$I:$I,L89)</f>
        <v>0</v>
      </c>
      <c r="AH89" s="1040">
        <f>SUMIFS('25-BRA-I-090'!$DJ:$DJ,'25-BRA-I-090'!$I:$I,L89)+SUMIFS('25-BRA-I-090'!$EC:$EC,'25-BRA-I-090'!$I:$I,L89)</f>
        <v>9</v>
      </c>
      <c r="AI89" s="1040">
        <f>SUMIFS('25-BRA-I-090'!$DK:$DK,'25-BRA-I-090'!$I:$I,L89)+SUMIFS('25-BRA-I-090'!$ED:$ED,'25-BRA-I-090'!$I:$I,L89)</f>
        <v>706.5</v>
      </c>
      <c r="AJ89" s="1040">
        <f>SUMIFS('25-BRA-I-090'!$DO:$DO,'25-BRA-I-090'!$I:$I,L89)+26400*SUMIFS('25-BRA-I-090'!$EF:$EF,'25-BRA-I-090'!$I:$I,L89)</f>
        <v>36951865.406562269</v>
      </c>
      <c r="AK89" s="1072"/>
      <c r="AO89" s="1072"/>
      <c r="AR89" s="1064" t="s">
        <v>732</v>
      </c>
      <c r="AS89" s="1065" t="s">
        <v>235</v>
      </c>
      <c r="AT89" s="1065" t="s">
        <v>733</v>
      </c>
      <c r="AU89" s="1066" t="s">
        <v>537</v>
      </c>
      <c r="AV89" s="1073" t="s">
        <v>44</v>
      </c>
    </row>
    <row r="90" spans="1:48" s="1039" customFormat="1" ht="60">
      <c r="A90" s="372"/>
      <c r="B90" s="1057" t="str">
        <f t="shared" si="14"/>
        <v>Pipe D114.3x10-DIN 2448-seamless pipe-L12000</v>
      </c>
      <c r="C90" s="1058" t="str">
        <f>VLOOKUP(L90,'25-BRA-I-090'!$I:$EZ,4,0)</f>
        <v>1.0038/A36</v>
      </c>
      <c r="D90" s="374" t="str">
        <f t="shared" si="11"/>
        <v>Kg</v>
      </c>
      <c r="E90" s="183"/>
      <c r="F90" s="184">
        <f t="shared" si="7"/>
        <v>24</v>
      </c>
      <c r="G90" s="185">
        <f t="shared" si="7"/>
        <v>618.07407407407402</v>
      </c>
      <c r="H90" s="185">
        <f t="shared" si="16"/>
        <v>0</v>
      </c>
      <c r="I90" s="185">
        <f t="shared" si="17"/>
        <v>941.2</v>
      </c>
      <c r="J90" s="185">
        <f t="shared" si="12"/>
        <v>29648.314888016896</v>
      </c>
      <c r="K90" s="185">
        <f t="shared" si="13"/>
        <v>27904993.972601503</v>
      </c>
      <c r="L90" s="1184" t="s">
        <v>619</v>
      </c>
      <c r="M90" s="1059"/>
      <c r="N90" s="1059"/>
      <c r="O90" s="1038"/>
      <c r="P90" s="1054"/>
      <c r="Q90" s="1054"/>
      <c r="T90" s="1041"/>
      <c r="U90" s="1042"/>
      <c r="V90" s="1042"/>
      <c r="AA90" s="1039" t="str">
        <f>VLOOKUP(L90,'25-BRA-I-090'!$I:$EZ,2,0)</f>
        <v>Ống</v>
      </c>
      <c r="AB90" s="1039" t="str">
        <f>VLOOKUP(L90,'25-BRA-I-090'!$I:$EZ,3,0)</f>
        <v>Pipe D114.3x10-DIN 2448-seamless pipe-L12000</v>
      </c>
      <c r="AC90" s="1039" t="s">
        <v>2620</v>
      </c>
      <c r="AD90" s="1039">
        <f>SUMIFS('25-BRA-I-090'!$CS:$CS,'25-BRA-I-090'!$I:$I,L90)</f>
        <v>24</v>
      </c>
      <c r="AE90" s="1039">
        <f>SUMIFS('25-BRA-I-090'!$CT:$CT,'25-BRA-I-090'!$I:$I,L90)</f>
        <v>618.07407407407402</v>
      </c>
      <c r="AF90" s="1039">
        <f>SUMIFS('25-BRA-I-090'!$CW:$CW,'25-BRA-I-090'!$I:$I,L90)</f>
        <v>0</v>
      </c>
      <c r="AG90" s="1039">
        <f>SUMIFS('25-BRA-I-090'!$CX:$CX,'25-BRA-I-090'!$I:$I,L90)</f>
        <v>0</v>
      </c>
      <c r="AH90" s="1040">
        <f>SUMIFS('25-BRA-I-090'!$DJ:$DJ,'25-BRA-I-090'!$I:$I,L90)+SUMIFS('25-BRA-I-090'!$EC:$EC,'25-BRA-I-090'!$I:$I,L90)</f>
        <v>36</v>
      </c>
      <c r="AI90" s="1040">
        <f>SUMIFS('25-BRA-I-090'!$DK:$DK,'25-BRA-I-090'!$I:$I,L90)+SUMIFS('25-BRA-I-090'!$ED:$ED,'25-BRA-I-090'!$I:$I,L90)</f>
        <v>941.2</v>
      </c>
      <c r="AJ90" s="1040">
        <f>SUMIFS('25-BRA-I-090'!$DO:$DO,'25-BRA-I-090'!$I:$I,L90)+26400*SUMIFS('25-BRA-I-090'!$EF:$EF,'25-BRA-I-090'!$I:$I,L90)</f>
        <v>27904993.972601503</v>
      </c>
      <c r="AK90" s="1072"/>
      <c r="AO90" s="1072"/>
      <c r="AR90" s="1064" t="s">
        <v>619</v>
      </c>
      <c r="AS90" s="1065" t="s">
        <v>397</v>
      </c>
      <c r="AT90" s="1065" t="s">
        <v>620</v>
      </c>
      <c r="AU90" s="1066" t="s">
        <v>399</v>
      </c>
      <c r="AV90" s="1073" t="s">
        <v>61</v>
      </c>
    </row>
    <row r="91" spans="1:48" s="1039" customFormat="1" ht="60">
      <c r="A91" s="372"/>
      <c r="B91" s="1057" t="str">
        <f t="shared" si="14"/>
        <v>Pipe D26.9x2.6-DIN 2448-seamless pipe-L6000</v>
      </c>
      <c r="C91" s="1058" t="str">
        <f>VLOOKUP(L91,'25-BRA-I-090'!$I:$EZ,4,0)</f>
        <v>1.0038/A36</v>
      </c>
      <c r="D91" s="374" t="str">
        <f t="shared" si="11"/>
        <v>Kg</v>
      </c>
      <c r="E91" s="183"/>
      <c r="F91" s="184">
        <f t="shared" si="7"/>
        <v>96</v>
      </c>
      <c r="G91" s="185">
        <f t="shared" si="7"/>
        <v>149.76000000000005</v>
      </c>
      <c r="H91" s="185">
        <f t="shared" si="16"/>
        <v>0</v>
      </c>
      <c r="I91" s="185">
        <f t="shared" si="17"/>
        <v>148.80000000000001</v>
      </c>
      <c r="J91" s="185">
        <f t="shared" si="12"/>
        <v>36383.511120399533</v>
      </c>
      <c r="K91" s="185">
        <f t="shared" si="13"/>
        <v>5413866.4547154512</v>
      </c>
      <c r="L91" s="1184" t="s">
        <v>621</v>
      </c>
      <c r="M91" s="1059"/>
      <c r="N91" s="1059"/>
      <c r="O91" s="1038"/>
      <c r="P91" s="1054"/>
      <c r="Q91" s="1054"/>
      <c r="T91" s="1041"/>
      <c r="U91" s="1042"/>
      <c r="V91" s="1042"/>
      <c r="AA91" s="1039" t="str">
        <f>VLOOKUP(L91,'25-BRA-I-090'!$I:$EZ,2,0)</f>
        <v>Ống</v>
      </c>
      <c r="AB91" s="1039" t="str">
        <f>VLOOKUP(L91,'25-BRA-I-090'!$I:$EZ,3,0)</f>
        <v>Pipe D26.9x2.6-DIN 2448-seamless pipe-L6000</v>
      </c>
      <c r="AC91" s="1039" t="s">
        <v>2620</v>
      </c>
      <c r="AD91" s="1039">
        <f>SUMIFS('25-BRA-I-090'!$CS:$CS,'25-BRA-I-090'!$I:$I,L91)</f>
        <v>96</v>
      </c>
      <c r="AE91" s="1039">
        <f>SUMIFS('25-BRA-I-090'!$CT:$CT,'25-BRA-I-090'!$I:$I,L91)</f>
        <v>149.76000000000005</v>
      </c>
      <c r="AF91" s="1039">
        <f>SUMIFS('25-BRA-I-090'!$CW:$CW,'25-BRA-I-090'!$I:$I,L91)</f>
        <v>0</v>
      </c>
      <c r="AG91" s="1039">
        <f>SUMIFS('25-BRA-I-090'!$CX:$CX,'25-BRA-I-090'!$I:$I,L91)</f>
        <v>0</v>
      </c>
      <c r="AH91" s="1040">
        <f>SUMIFS('25-BRA-I-090'!$DJ:$DJ,'25-BRA-I-090'!$I:$I,L91)+SUMIFS('25-BRA-I-090'!$EC:$EC,'25-BRA-I-090'!$I:$I,L91)</f>
        <v>96</v>
      </c>
      <c r="AI91" s="1040">
        <f>SUMIFS('25-BRA-I-090'!$DK:$DK,'25-BRA-I-090'!$I:$I,L91)+SUMIFS('25-BRA-I-090'!$ED:$ED,'25-BRA-I-090'!$I:$I,L91)</f>
        <v>148.80000000000001</v>
      </c>
      <c r="AJ91" s="1040">
        <f>SUMIFS('25-BRA-I-090'!$DO:$DO,'25-BRA-I-090'!$I:$I,L91)+26400*SUMIFS('25-BRA-I-090'!$EF:$EF,'25-BRA-I-090'!$I:$I,L91)</f>
        <v>5413866.4547154512</v>
      </c>
      <c r="AK91" s="1072"/>
      <c r="AO91" s="1072"/>
      <c r="AR91" s="1064" t="s">
        <v>621</v>
      </c>
      <c r="AS91" s="1065" t="s">
        <v>397</v>
      </c>
      <c r="AT91" s="1065" t="s">
        <v>622</v>
      </c>
      <c r="AU91" s="1066" t="s">
        <v>399</v>
      </c>
      <c r="AV91" s="1073" t="s">
        <v>61</v>
      </c>
    </row>
    <row r="92" spans="1:48" s="1039" customFormat="1" ht="45">
      <c r="A92" s="372"/>
      <c r="B92" s="1057" t="str">
        <f t="shared" si="14"/>
        <v>Pipe D95x14-DIN 10305-seamless pipe-L12000</v>
      </c>
      <c r="C92" s="1058" t="str">
        <f>VLOOKUP(L92,'25-BRA-I-090'!$I:$EZ,4,0)</f>
        <v>1.0577/A36</v>
      </c>
      <c r="D92" s="374" t="str">
        <f t="shared" si="11"/>
        <v>Kg</v>
      </c>
      <c r="E92" s="183"/>
      <c r="F92" s="184">
        <f t="shared" si="7"/>
        <v>27</v>
      </c>
      <c r="G92" s="185">
        <f t="shared" si="7"/>
        <v>756</v>
      </c>
      <c r="H92" s="185">
        <f t="shared" si="16"/>
        <v>0</v>
      </c>
      <c r="I92" s="185">
        <f t="shared" si="17"/>
        <v>1188.8</v>
      </c>
      <c r="J92" s="185">
        <f t="shared" si="12"/>
        <v>33388.146102731618</v>
      </c>
      <c r="K92" s="185">
        <f t="shared" si="13"/>
        <v>39691828.086927347</v>
      </c>
      <c r="L92" s="1184" t="s">
        <v>623</v>
      </c>
      <c r="M92" s="1059"/>
      <c r="N92" s="1059"/>
      <c r="O92" s="1038"/>
      <c r="P92" s="1054"/>
      <c r="Q92" s="1054"/>
      <c r="T92" s="1041"/>
      <c r="U92" s="1042"/>
      <c r="V92" s="1042"/>
      <c r="AA92" s="1039" t="str">
        <f>VLOOKUP(L92,'25-BRA-I-090'!$I:$EZ,2,0)</f>
        <v>Ống</v>
      </c>
      <c r="AB92" s="1039" t="str">
        <f>VLOOKUP(L92,'25-BRA-I-090'!$I:$EZ,3,0)</f>
        <v>Pipe D95x14-DIN 10305-seamless pipe-L12000</v>
      </c>
      <c r="AC92" s="1039" t="s">
        <v>2620</v>
      </c>
      <c r="AD92" s="1039">
        <f>SUMIFS('25-BRA-I-090'!$CS:$CS,'25-BRA-I-090'!$I:$I,L92)</f>
        <v>27</v>
      </c>
      <c r="AE92" s="1039">
        <f>SUMIFS('25-BRA-I-090'!$CT:$CT,'25-BRA-I-090'!$I:$I,L92)</f>
        <v>756</v>
      </c>
      <c r="AF92" s="1039">
        <f>SUMIFS('25-BRA-I-090'!$CW:$CW,'25-BRA-I-090'!$I:$I,L92)</f>
        <v>0</v>
      </c>
      <c r="AG92" s="1039">
        <f>SUMIFS('25-BRA-I-090'!$CX:$CX,'25-BRA-I-090'!$I:$I,L92)</f>
        <v>0</v>
      </c>
      <c r="AH92" s="1040">
        <f>SUMIFS('25-BRA-I-090'!$DJ:$DJ,'25-BRA-I-090'!$I:$I,L92)+SUMIFS('25-BRA-I-090'!$EC:$EC,'25-BRA-I-090'!$I:$I,L92)</f>
        <v>41.5</v>
      </c>
      <c r="AI92" s="1040">
        <f>SUMIFS('25-BRA-I-090'!$DK:$DK,'25-BRA-I-090'!$I:$I,L92)+SUMIFS('25-BRA-I-090'!$ED:$ED,'25-BRA-I-090'!$I:$I,L92)</f>
        <v>1188.8</v>
      </c>
      <c r="AJ92" s="1040">
        <f>SUMIFS('25-BRA-I-090'!$DO:$DO,'25-BRA-I-090'!$I:$I,L92)+26400*SUMIFS('25-BRA-I-090'!$EF:$EF,'25-BRA-I-090'!$I:$I,L92)</f>
        <v>39691828.086927347</v>
      </c>
      <c r="AK92" s="1072"/>
      <c r="AO92" s="1072"/>
      <c r="AR92" s="1064" t="s">
        <v>623</v>
      </c>
      <c r="AS92" s="1065" t="s">
        <v>397</v>
      </c>
      <c r="AT92" s="1065" t="s">
        <v>624</v>
      </c>
      <c r="AU92" s="1066" t="s">
        <v>402</v>
      </c>
      <c r="AV92" s="1073" t="s">
        <v>61</v>
      </c>
    </row>
    <row r="93" spans="1:48" s="1039" customFormat="1">
      <c r="A93" s="372"/>
      <c r="B93" s="1057" t="str">
        <f t="shared" si="14"/>
        <v>RB3</v>
      </c>
      <c r="C93" s="1058" t="str">
        <f>VLOOKUP(L93,'25-BRA-I-090'!$I:$EZ,4,0)</f>
        <v>1.0038/A36</v>
      </c>
      <c r="D93" s="374" t="str">
        <f t="shared" si="11"/>
        <v>Kg</v>
      </c>
      <c r="E93" s="183"/>
      <c r="F93" s="184">
        <f t="shared" si="7"/>
        <v>60</v>
      </c>
      <c r="G93" s="185">
        <f t="shared" si="7"/>
        <v>3.333333333333333</v>
      </c>
      <c r="H93" s="185">
        <f t="shared" si="16"/>
        <v>0</v>
      </c>
      <c r="I93" s="185">
        <f t="shared" si="17"/>
        <v>12</v>
      </c>
      <c r="J93" s="185">
        <f t="shared" si="12"/>
        <v>40000</v>
      </c>
      <c r="K93" s="185">
        <f t="shared" si="13"/>
        <v>480000</v>
      </c>
      <c r="L93" s="1184" t="s">
        <v>625</v>
      </c>
      <c r="M93" s="1059"/>
      <c r="N93" s="1059"/>
      <c r="O93" s="1038"/>
      <c r="P93" s="1054"/>
      <c r="Q93" s="1054"/>
      <c r="T93" s="1041"/>
      <c r="U93" s="1042"/>
      <c r="V93" s="1042"/>
      <c r="AA93" s="1039" t="str">
        <f>VLOOKUP(L93,'25-BRA-I-090'!$I:$EZ,2,0)</f>
        <v>Thép tròn</v>
      </c>
      <c r="AB93" s="1039" t="str">
        <f>VLOOKUP(L93,'25-BRA-I-090'!$I:$EZ,3,0)</f>
        <v>RB3</v>
      </c>
      <c r="AC93" s="1039" t="s">
        <v>2620</v>
      </c>
      <c r="AD93" s="1039">
        <f>SUMIFS('25-BRA-I-090'!$CS:$CS,'25-BRA-I-090'!$I:$I,L93)</f>
        <v>60</v>
      </c>
      <c r="AE93" s="1039">
        <f>SUMIFS('25-BRA-I-090'!$CT:$CT,'25-BRA-I-090'!$I:$I,L93)</f>
        <v>3.333333333333333</v>
      </c>
      <c r="AF93" s="1039">
        <f>SUMIFS('25-BRA-I-090'!$CW:$CW,'25-BRA-I-090'!$I:$I,L93)</f>
        <v>0</v>
      </c>
      <c r="AG93" s="1039">
        <f>SUMIFS('25-BRA-I-090'!$CX:$CX,'25-BRA-I-090'!$I:$I,L93)</f>
        <v>0</v>
      </c>
      <c r="AH93" s="1040">
        <f>SUMIFS('25-BRA-I-090'!$DJ:$DJ,'25-BRA-I-090'!$I:$I,L93)+SUMIFS('25-BRA-I-090'!$EC:$EC,'25-BRA-I-090'!$I:$I,L93)</f>
        <v>60</v>
      </c>
      <c r="AI93" s="1040">
        <f>SUMIFS('25-BRA-I-090'!$DK:$DK,'25-BRA-I-090'!$I:$I,L93)+SUMIFS('25-BRA-I-090'!$ED:$ED,'25-BRA-I-090'!$I:$I,L93)</f>
        <v>12</v>
      </c>
      <c r="AJ93" s="1040">
        <f>SUMIFS('25-BRA-I-090'!$DO:$DO,'25-BRA-I-090'!$I:$I,L93)+26400*SUMIFS('25-BRA-I-090'!$EF:$EF,'25-BRA-I-090'!$I:$I,L93)</f>
        <v>480000</v>
      </c>
      <c r="AK93" s="1072"/>
      <c r="AO93" s="1072"/>
      <c r="AR93" s="1064" t="s">
        <v>625</v>
      </c>
      <c r="AS93" s="1065" t="s">
        <v>412</v>
      </c>
      <c r="AT93" s="1065" t="s">
        <v>626</v>
      </c>
      <c r="AU93" s="1066" t="s">
        <v>399</v>
      </c>
      <c r="AV93" s="1073" t="s">
        <v>61</v>
      </c>
    </row>
    <row r="94" spans="1:48" s="1039" customFormat="1">
      <c r="A94" s="372"/>
      <c r="B94" s="1057" t="str">
        <f t="shared" si="14"/>
        <v>RB95-L4000</v>
      </c>
      <c r="C94" s="1058" t="str">
        <f>VLOOKUP(L94,'25-BRA-I-090'!$I:$EZ,4,0)</f>
        <v>1.0038/A36</v>
      </c>
      <c r="D94" s="374" t="str">
        <f t="shared" si="11"/>
        <v>Kg</v>
      </c>
      <c r="E94" s="183"/>
      <c r="F94" s="184">
        <f t="shared" si="7"/>
        <v>4</v>
      </c>
      <c r="G94" s="185">
        <f t="shared" si="7"/>
        <v>222.83950617283952</v>
      </c>
      <c r="H94" s="185">
        <f t="shared" si="16"/>
        <v>222.83950617283952</v>
      </c>
      <c r="I94" s="185">
        <f t="shared" si="17"/>
        <v>0</v>
      </c>
      <c r="J94" s="185" t="e">
        <f t="shared" si="12"/>
        <v>#DIV/0!</v>
      </c>
      <c r="K94" s="185">
        <f t="shared" si="13"/>
        <v>0</v>
      </c>
      <c r="L94" s="1184" t="s">
        <v>627</v>
      </c>
      <c r="M94" s="1059"/>
      <c r="N94" s="1059"/>
      <c r="O94" s="1038"/>
      <c r="P94" s="1054"/>
      <c r="Q94" s="1054"/>
      <c r="T94" s="1041"/>
      <c r="U94" s="1042"/>
      <c r="V94" s="1042"/>
      <c r="AA94" s="1039" t="str">
        <f>VLOOKUP(L94,'25-BRA-I-090'!$I:$EZ,2,0)</f>
        <v>Thép tròn</v>
      </c>
      <c r="AB94" s="1039" t="str">
        <f>VLOOKUP(L94,'25-BRA-I-090'!$I:$EZ,3,0)</f>
        <v>RB95-L4000</v>
      </c>
      <c r="AC94" s="1039" t="s">
        <v>2620</v>
      </c>
      <c r="AD94" s="1039">
        <f>SUMIFS('25-BRA-I-090'!$CS:$CS,'25-BRA-I-090'!$I:$I,L94)</f>
        <v>4</v>
      </c>
      <c r="AE94" s="1039">
        <f>SUMIFS('25-BRA-I-090'!$CT:$CT,'25-BRA-I-090'!$I:$I,L94)</f>
        <v>222.83950617283952</v>
      </c>
      <c r="AF94" s="1039">
        <f>SUMIFS('25-BRA-I-090'!$CW:$CW,'25-BRA-I-090'!$I:$I,L94)</f>
        <v>4</v>
      </c>
      <c r="AG94" s="1039">
        <f>SUMIFS('25-BRA-I-090'!$CX:$CX,'25-BRA-I-090'!$I:$I,L94)</f>
        <v>222.83950617283952</v>
      </c>
      <c r="AH94" s="1040">
        <f>SUMIFS('25-BRA-I-090'!$DJ:$DJ,'25-BRA-I-090'!$I:$I,L94)+SUMIFS('25-BRA-I-090'!$EC:$EC,'25-BRA-I-090'!$I:$I,L94)</f>
        <v>0</v>
      </c>
      <c r="AI94" s="1040">
        <f>SUMIFS('25-BRA-I-090'!$DK:$DK,'25-BRA-I-090'!$I:$I,L94)+SUMIFS('25-BRA-I-090'!$ED:$ED,'25-BRA-I-090'!$I:$I,L94)</f>
        <v>0</v>
      </c>
      <c r="AJ94" s="1040">
        <f>SUMIFS('25-BRA-I-090'!$DO:$DO,'25-BRA-I-090'!$I:$I,L94)+26400*SUMIFS('25-BRA-I-090'!$EF:$EF,'25-BRA-I-090'!$I:$I,L94)</f>
        <v>0</v>
      </c>
      <c r="AK94" s="1072"/>
      <c r="AO94" s="1072"/>
      <c r="AR94" s="1064" t="s">
        <v>627</v>
      </c>
      <c r="AS94" s="1065" t="s">
        <v>412</v>
      </c>
      <c r="AT94" s="1065" t="s">
        <v>628</v>
      </c>
      <c r="AU94" s="1066" t="s">
        <v>399</v>
      </c>
      <c r="AV94" s="1073" t="s">
        <v>61</v>
      </c>
    </row>
    <row r="95" spans="1:48" s="1039" customFormat="1" ht="45">
      <c r="A95" s="372"/>
      <c r="B95" s="1057" t="str">
        <f t="shared" si="14"/>
        <v>BALL VALVE (Socket Valve 2 inch 1.0460)</v>
      </c>
      <c r="C95" s="1058">
        <f>VLOOKUP(L95,'25-BRA-I-090'!$I:$EZ,4,0)</f>
        <v>0</v>
      </c>
      <c r="D95" s="374" t="str">
        <f t="shared" si="11"/>
        <v>pcs</v>
      </c>
      <c r="E95" s="183"/>
      <c r="F95" s="184">
        <f t="shared" si="7"/>
        <v>10</v>
      </c>
      <c r="G95" s="185">
        <f t="shared" si="7"/>
        <v>41.3</v>
      </c>
      <c r="H95" s="185">
        <f t="shared" si="7"/>
        <v>0</v>
      </c>
      <c r="I95" s="185">
        <f t="shared" ref="I95:I102" si="18">AH95</f>
        <v>10</v>
      </c>
      <c r="J95" s="185">
        <f t="shared" si="12"/>
        <v>3900000</v>
      </c>
      <c r="K95" s="185">
        <f t="shared" si="13"/>
        <v>39000000</v>
      </c>
      <c r="L95" s="1184" t="s">
        <v>629</v>
      </c>
      <c r="M95" s="1059"/>
      <c r="N95" s="1059"/>
      <c r="O95" s="1038"/>
      <c r="P95" s="1054"/>
      <c r="Q95" s="1054"/>
      <c r="T95" s="1041"/>
      <c r="U95" s="1042"/>
      <c r="V95" s="1042"/>
      <c r="AA95" s="1039" t="str">
        <f>VLOOKUP(L95,'25-BRA-I-090'!$I:$EZ,2,0)</f>
        <v>Van</v>
      </c>
      <c r="AB95" s="1039" t="str">
        <f>VLOOKUP(L95,'25-BRA-I-090'!$I:$EZ,3,0)</f>
        <v>BALL VALVE (Socket Valve 2 inch 1.0460)</v>
      </c>
      <c r="AC95" s="1039" t="str">
        <f>VLOOKUP(L95,'25-BRA-I-090'!$I:$EZ,5,0)</f>
        <v>pcs</v>
      </c>
      <c r="AD95" s="1039">
        <f>SUMIFS('25-BRA-I-090'!$CS:$CS,'25-BRA-I-090'!$I:$I,L95)</f>
        <v>10</v>
      </c>
      <c r="AE95" s="1039">
        <f>SUMIFS('25-BRA-I-090'!$CT:$CT,'25-BRA-I-090'!$I:$I,L95)</f>
        <v>41.3</v>
      </c>
      <c r="AF95" s="1039">
        <f>SUMIFS('25-BRA-I-090'!$CW:$CW,'25-BRA-I-090'!$I:$I,L95)</f>
        <v>0</v>
      </c>
      <c r="AG95" s="1039">
        <f>SUMIFS('25-BRA-I-090'!$CX:$CX,'25-BRA-I-090'!$I:$I,L95)</f>
        <v>0</v>
      </c>
      <c r="AH95" s="1040">
        <f>SUMIFS('25-BRA-I-090'!$DJ:$DJ,'25-BRA-I-090'!$I:$I,L95)+SUMIFS('25-BRA-I-090'!$EC:$EC,'25-BRA-I-090'!$I:$I,L95)</f>
        <v>10</v>
      </c>
      <c r="AI95" s="1040">
        <f>SUMIFS('25-BRA-I-090'!$DK:$DK,'25-BRA-I-090'!$I:$I,L95)+SUMIFS('25-BRA-I-090'!$ED:$ED,'25-BRA-I-090'!$I:$I,L95)</f>
        <v>0</v>
      </c>
      <c r="AJ95" s="1040">
        <f>SUMIFS('25-BRA-I-090'!$DO:$DO,'25-BRA-I-090'!$I:$I,L95)+26400*SUMIFS('25-BRA-I-090'!$EF:$EF,'25-BRA-I-090'!$I:$I,L95)</f>
        <v>39000000</v>
      </c>
      <c r="AK95" s="1072"/>
      <c r="AO95" s="1072"/>
      <c r="AR95" s="1064" t="s">
        <v>629</v>
      </c>
      <c r="AS95" s="1065" t="s">
        <v>630</v>
      </c>
      <c r="AT95" s="1065" t="s">
        <v>631</v>
      </c>
      <c r="AU95" s="1066"/>
      <c r="AV95" s="1073" t="s">
        <v>345</v>
      </c>
    </row>
    <row r="96" spans="1:48" s="1039" customFormat="1">
      <c r="A96" s="372"/>
      <c r="B96" s="1057" t="str">
        <f t="shared" si="14"/>
        <v>Cap  T1-2" ISO 49</v>
      </c>
      <c r="C96" s="1058" t="str">
        <f>VLOOKUP(L96,'25-BRA-I-090'!$I:$EZ,4,0)</f>
        <v>Cast iron blank</v>
      </c>
      <c r="D96" s="374" t="str">
        <f t="shared" si="11"/>
        <v>pcs</v>
      </c>
      <c r="E96" s="183"/>
      <c r="F96" s="184">
        <f t="shared" si="7"/>
        <v>10</v>
      </c>
      <c r="G96" s="185">
        <f t="shared" si="7"/>
        <v>8.6</v>
      </c>
      <c r="H96" s="185">
        <f t="shared" si="7"/>
        <v>0</v>
      </c>
      <c r="I96" s="185">
        <f t="shared" si="18"/>
        <v>10</v>
      </c>
      <c r="J96" s="185">
        <f t="shared" si="12"/>
        <v>695000</v>
      </c>
      <c r="K96" s="185">
        <f t="shared" si="13"/>
        <v>6950000</v>
      </c>
      <c r="L96" s="1184" t="s">
        <v>632</v>
      </c>
      <c r="M96" s="1059"/>
      <c r="N96" s="1059"/>
      <c r="O96" s="1038"/>
      <c r="P96" s="1054"/>
      <c r="Q96" s="1054"/>
      <c r="T96" s="1041"/>
      <c r="U96" s="1042"/>
      <c r="V96" s="1042"/>
      <c r="AA96" s="1039" t="str">
        <f>VLOOKUP(L96,'25-BRA-I-090'!$I:$EZ,2,0)</f>
        <v>Cap</v>
      </c>
      <c r="AB96" s="1039" t="str">
        <f>VLOOKUP(L96,'25-BRA-I-090'!$I:$EZ,3,0)</f>
        <v>Cap  T1-2" ISO 49</v>
      </c>
      <c r="AC96" s="1039" t="str">
        <f>VLOOKUP(L96,'25-BRA-I-090'!$I:$EZ,5,0)</f>
        <v>pcs</v>
      </c>
      <c r="AD96" s="1039">
        <f>SUMIFS('25-BRA-I-090'!$CS:$CS,'25-BRA-I-090'!$I:$I,L96)</f>
        <v>10</v>
      </c>
      <c r="AE96" s="1039">
        <f>SUMIFS('25-BRA-I-090'!$CT:$CT,'25-BRA-I-090'!$I:$I,L96)</f>
        <v>8.6</v>
      </c>
      <c r="AF96" s="1039">
        <f>SUMIFS('25-BRA-I-090'!$CW:$CW,'25-BRA-I-090'!$I:$I,L96)</f>
        <v>0</v>
      </c>
      <c r="AG96" s="1039">
        <f>SUMIFS('25-BRA-I-090'!$CX:$CX,'25-BRA-I-090'!$I:$I,L96)</f>
        <v>0</v>
      </c>
      <c r="AH96" s="1040">
        <f>SUMIFS('25-BRA-I-090'!$DJ:$DJ,'25-BRA-I-090'!$I:$I,L96)+SUMIFS('25-BRA-I-090'!$EC:$EC,'25-BRA-I-090'!$I:$I,L96)</f>
        <v>10</v>
      </c>
      <c r="AI96" s="1040">
        <f>SUMIFS('25-BRA-I-090'!$DK:$DK,'25-BRA-I-090'!$I:$I,L96)+SUMIFS('25-BRA-I-090'!$ED:$ED,'25-BRA-I-090'!$I:$I,L96)</f>
        <v>0</v>
      </c>
      <c r="AJ96" s="1040">
        <f>SUMIFS('25-BRA-I-090'!$DO:$DO,'25-BRA-I-090'!$I:$I,L96)+26400*SUMIFS('25-BRA-I-090'!$EF:$EF,'25-BRA-I-090'!$I:$I,L96)</f>
        <v>6950000</v>
      </c>
      <c r="AK96" s="1072"/>
      <c r="AO96" s="1072"/>
      <c r="AR96" s="1064" t="s">
        <v>632</v>
      </c>
      <c r="AS96" s="1065" t="s">
        <v>633</v>
      </c>
      <c r="AT96" s="1065" t="s">
        <v>634</v>
      </c>
      <c r="AU96" s="1066" t="s">
        <v>635</v>
      </c>
      <c r="AV96" s="1073" t="s">
        <v>345</v>
      </c>
    </row>
    <row r="97" spans="1:48" s="1039" customFormat="1" ht="30">
      <c r="A97" s="372"/>
      <c r="B97" s="1057" t="str">
        <f t="shared" si="14"/>
        <v>Hinges GN 136-ST-60-60-A</v>
      </c>
      <c r="C97" s="1058" t="str">
        <f>VLOOKUP(L97,'25-BRA-I-090'!$I:$EZ,4,0)</f>
        <v>Steel</v>
      </c>
      <c r="D97" s="374" t="str">
        <f t="shared" si="11"/>
        <v>sets</v>
      </c>
      <c r="E97" s="183"/>
      <c r="F97" s="184">
        <f t="shared" si="7"/>
        <v>60</v>
      </c>
      <c r="G97" s="185">
        <f t="shared" si="7"/>
        <v>0</v>
      </c>
      <c r="H97" s="185">
        <f t="shared" si="7"/>
        <v>0</v>
      </c>
      <c r="I97" s="185">
        <f t="shared" si="18"/>
        <v>60</v>
      </c>
      <c r="J97" s="185">
        <f t="shared" si="12"/>
        <v>32000</v>
      </c>
      <c r="K97" s="185">
        <f t="shared" si="13"/>
        <v>1920000</v>
      </c>
      <c r="L97" s="1184" t="s">
        <v>636</v>
      </c>
      <c r="M97" s="1059"/>
      <c r="N97" s="1059"/>
      <c r="O97" s="1038"/>
      <c r="P97" s="1054"/>
      <c r="Q97" s="1054"/>
      <c r="T97" s="1041"/>
      <c r="U97" s="1042"/>
      <c r="V97" s="1042"/>
      <c r="AA97" s="1039" t="str">
        <f>VLOOKUP(L97,'25-BRA-I-090'!$I:$EZ,2,0)</f>
        <v>Bản lề</v>
      </c>
      <c r="AB97" s="1039" t="str">
        <f>VLOOKUP(L97,'25-BRA-I-090'!$I:$EZ,3,0)</f>
        <v>Hinges GN 136-ST-60-60-A</v>
      </c>
      <c r="AC97" s="1039" t="str">
        <f>VLOOKUP(L97,'25-BRA-I-090'!$I:$EZ,5,0)</f>
        <v>sets</v>
      </c>
      <c r="AD97" s="1039">
        <f>SUMIFS('25-BRA-I-090'!$CS:$CS,'25-BRA-I-090'!$I:$I,L97)</f>
        <v>60</v>
      </c>
      <c r="AE97" s="1039">
        <f>SUMIFS('25-BRA-I-090'!$CT:$CT,'25-BRA-I-090'!$I:$I,L97)</f>
        <v>0</v>
      </c>
      <c r="AF97" s="1039">
        <f>SUMIFS('25-BRA-I-090'!$CW:$CW,'25-BRA-I-090'!$I:$I,L97)</f>
        <v>0</v>
      </c>
      <c r="AG97" s="1039">
        <f>SUMIFS('25-BRA-I-090'!$CX:$CX,'25-BRA-I-090'!$I:$I,L97)</f>
        <v>0</v>
      </c>
      <c r="AH97" s="1040">
        <f>SUMIFS('25-BRA-I-090'!$DJ:$DJ,'25-BRA-I-090'!$I:$I,L97)+SUMIFS('25-BRA-I-090'!$EC:$EC,'25-BRA-I-090'!$I:$I,L97)</f>
        <v>60</v>
      </c>
      <c r="AI97" s="1040">
        <f>SUMIFS('25-BRA-I-090'!$DK:$DK,'25-BRA-I-090'!$I:$I,L97)+SUMIFS('25-BRA-I-090'!$ED:$ED,'25-BRA-I-090'!$I:$I,L97)</f>
        <v>0</v>
      </c>
      <c r="AJ97" s="1040">
        <f>SUMIFS('25-BRA-I-090'!$DO:$DO,'25-BRA-I-090'!$I:$I,L97)+26400*SUMIFS('25-BRA-I-090'!$EF:$EF,'25-BRA-I-090'!$I:$I,L97)</f>
        <v>1920000</v>
      </c>
      <c r="AK97" s="1072"/>
      <c r="AO97" s="1072"/>
      <c r="AR97" s="1064" t="s">
        <v>636</v>
      </c>
      <c r="AS97" s="1065" t="s">
        <v>637</v>
      </c>
      <c r="AT97" s="1065" t="s">
        <v>638</v>
      </c>
      <c r="AU97" s="1066" t="s">
        <v>535</v>
      </c>
      <c r="AV97" s="1073" t="s">
        <v>239</v>
      </c>
    </row>
    <row r="98" spans="1:48" s="1039" customFormat="1">
      <c r="A98" s="372"/>
      <c r="B98" s="1057" t="str">
        <f t="shared" si="14"/>
        <v>Grating</v>
      </c>
      <c r="C98" s="1058" t="str">
        <f>VLOOKUP(L98,'25-BRA-I-090'!$I:$EZ,4,0)</f>
        <v>GRP-GRATING</v>
      </c>
      <c r="D98" s="374" t="str">
        <f t="shared" si="11"/>
        <v>pcs</v>
      </c>
      <c r="E98" s="183"/>
      <c r="F98" s="184">
        <f t="shared" si="7"/>
        <v>209</v>
      </c>
      <c r="G98" s="185">
        <f t="shared" si="7"/>
        <v>9064.0399999999936</v>
      </c>
      <c r="H98" s="185">
        <f t="shared" si="7"/>
        <v>0</v>
      </c>
      <c r="I98" s="185">
        <f t="shared" si="18"/>
        <v>86</v>
      </c>
      <c r="J98" s="185">
        <f t="shared" si="12"/>
        <v>1306395.3488372094</v>
      </c>
      <c r="K98" s="185">
        <f t="shared" si="13"/>
        <v>112350000</v>
      </c>
      <c r="L98" s="1184" t="s">
        <v>639</v>
      </c>
      <c r="M98" s="1059"/>
      <c r="N98" s="1059"/>
      <c r="O98" s="1038"/>
      <c r="P98" s="1054"/>
      <c r="Q98" s="1054"/>
      <c r="T98" s="1041"/>
      <c r="U98" s="1042"/>
      <c r="V98" s="1042"/>
      <c r="AA98" s="1039" t="str">
        <f>VLOOKUP(L98,'25-BRA-I-090'!$I:$EZ,2,0)</f>
        <v>Tấm sàn</v>
      </c>
      <c r="AB98" s="1039" t="str">
        <f>VLOOKUP(L98,'25-BRA-I-090'!$I:$EZ,3,0)</f>
        <v>Grating</v>
      </c>
      <c r="AC98" s="1039" t="str">
        <f>VLOOKUP(L98,'25-BRA-I-090'!$I:$EZ,5,0)</f>
        <v>pcs</v>
      </c>
      <c r="AD98" s="1039">
        <f>SUMIFS('25-BRA-I-090'!$CS:$CS,'25-BRA-I-090'!$I:$I,L98)</f>
        <v>209</v>
      </c>
      <c r="AE98" s="1039">
        <f>SUMIFS('25-BRA-I-090'!$CT:$CT,'25-BRA-I-090'!$I:$I,L98)</f>
        <v>9064.0399999999936</v>
      </c>
      <c r="AF98" s="1039">
        <f>SUMIFS('25-BRA-I-090'!$CW:$CW,'25-BRA-I-090'!$I:$I,L98)</f>
        <v>0</v>
      </c>
      <c r="AG98" s="1039">
        <f>SUMIFS('25-BRA-I-090'!$CX:$CX,'25-BRA-I-090'!$I:$I,L98)</f>
        <v>0</v>
      </c>
      <c r="AH98" s="1040">
        <f>SUMIFS('25-BRA-I-090'!$DJ:$DJ,'25-BRA-I-090'!$I:$I,L98)+SUMIFS('25-BRA-I-090'!$EC:$EC,'25-BRA-I-090'!$I:$I,L98)</f>
        <v>86</v>
      </c>
      <c r="AI98" s="1040">
        <f>SUMIFS('25-BRA-I-090'!$DK:$DK,'25-BRA-I-090'!$I:$I,L98)+SUMIFS('25-BRA-I-090'!$ED:$ED,'25-BRA-I-090'!$I:$I,L98)</f>
        <v>0</v>
      </c>
      <c r="AJ98" s="1040">
        <f>SUMIFS('25-BRA-I-090'!$DO:$DO,'25-BRA-I-090'!$I:$I,L98)+26400*SUMIFS('25-BRA-I-090'!$EF:$EF,'25-BRA-I-090'!$I:$I,L98)</f>
        <v>112350000</v>
      </c>
      <c r="AK98" s="1072"/>
      <c r="AO98" s="1072"/>
      <c r="AR98" s="1065" t="s">
        <v>639</v>
      </c>
      <c r="AS98" s="1065" t="s">
        <v>640</v>
      </c>
      <c r="AT98" s="1065" t="s">
        <v>641</v>
      </c>
      <c r="AU98" s="1066" t="s">
        <v>642</v>
      </c>
      <c r="AV98" s="1073" t="s">
        <v>345</v>
      </c>
    </row>
    <row r="99" spans="1:48" s="1039" customFormat="1">
      <c r="A99" s="372"/>
      <c r="B99" s="1057" t="str">
        <f t="shared" si="14"/>
        <v>Grating</v>
      </c>
      <c r="C99" s="1058" t="str">
        <f>VLOOKUP(L99,'25-BRA-I-090'!$I:$EZ,4,0)</f>
        <v>GRP-GRATING</v>
      </c>
      <c r="D99" s="374" t="str">
        <f t="shared" si="11"/>
        <v>pcs</v>
      </c>
      <c r="E99" s="183"/>
      <c r="F99" s="184">
        <f t="shared" si="7"/>
        <v>0</v>
      </c>
      <c r="G99" s="185">
        <f t="shared" si="7"/>
        <v>0</v>
      </c>
      <c r="H99" s="185">
        <f t="shared" si="7"/>
        <v>0</v>
      </c>
      <c r="I99" s="185">
        <f t="shared" si="18"/>
        <v>1756</v>
      </c>
      <c r="J99" s="185">
        <f t="shared" si="12"/>
        <v>65000</v>
      </c>
      <c r="K99" s="185">
        <f t="shared" si="13"/>
        <v>114140000</v>
      </c>
      <c r="L99" s="1184" t="s">
        <v>1502</v>
      </c>
      <c r="M99" s="1059"/>
      <c r="N99" s="1059"/>
      <c r="O99" s="1038"/>
      <c r="P99" s="1054"/>
      <c r="Q99" s="1054"/>
      <c r="T99" s="1041"/>
      <c r="U99" s="1042"/>
      <c r="V99" s="1042"/>
      <c r="AA99" s="1039" t="str">
        <f>VLOOKUP(L99,'25-BRA-I-090'!$I:$EZ,2,0)</f>
        <v>Tấm sàn</v>
      </c>
      <c r="AB99" s="1039" t="str">
        <f>VLOOKUP(L99,'25-BRA-I-090'!$I:$EZ,3,0)</f>
        <v>Grating</v>
      </c>
      <c r="AC99" s="1039" t="str">
        <f>VLOOKUP(L99,'25-BRA-I-090'!$I:$EZ,5,0)</f>
        <v>pcs</v>
      </c>
      <c r="AD99" s="1039">
        <f>SUMIFS('25-BRA-I-090'!$CS:$CS,'25-BRA-I-090'!$I:$I,L99)</f>
        <v>0</v>
      </c>
      <c r="AE99" s="1039">
        <f>SUMIFS('25-BRA-I-090'!$CT:$CT,'25-BRA-I-090'!$I:$I,L99)</f>
        <v>0</v>
      </c>
      <c r="AF99" s="1039">
        <f>SUMIFS('25-BRA-I-090'!$CW:$CW,'25-BRA-I-090'!$I:$I,L99)</f>
        <v>0</v>
      </c>
      <c r="AG99" s="1039">
        <f>SUMIFS('25-BRA-I-090'!$CX:$CX,'25-BRA-I-090'!$I:$I,L99)</f>
        <v>0</v>
      </c>
      <c r="AH99" s="1040">
        <f>SUMIFS('25-BRA-I-090'!$DJ:$DJ,'25-BRA-I-090'!$I:$I,L99)+SUMIFS('25-BRA-I-090'!$EC:$EC,'25-BRA-I-090'!$I:$I,L99)</f>
        <v>1756</v>
      </c>
      <c r="AI99" s="1040">
        <f>SUMIFS('25-BRA-I-090'!$DK:$DK,'25-BRA-I-090'!$I:$I,L99)+SUMIFS('25-BRA-I-090'!$ED:$ED,'25-BRA-I-090'!$I:$I,L99)</f>
        <v>0</v>
      </c>
      <c r="AJ99" s="1040">
        <f>SUMIFS('25-BRA-I-090'!$DO:$DO,'25-BRA-I-090'!$I:$I,L99)+26400*SUMIFS('25-BRA-I-090'!$EF:$EF,'25-BRA-I-090'!$I:$I,L99)</f>
        <v>114140000</v>
      </c>
      <c r="AK99" s="1072"/>
      <c r="AO99" s="1072"/>
      <c r="AR99" s="1064" t="s">
        <v>1502</v>
      </c>
      <c r="AS99" s="1065" t="s">
        <v>640</v>
      </c>
      <c r="AT99" s="1065" t="s">
        <v>641</v>
      </c>
      <c r="AU99" s="1066" t="s">
        <v>642</v>
      </c>
      <c r="AV99" s="1073" t="s">
        <v>345</v>
      </c>
    </row>
    <row r="100" spans="1:48" s="1039" customFormat="1">
      <c r="A100" s="372"/>
      <c r="B100" s="1057" t="str">
        <f t="shared" si="14"/>
        <v>PL4</v>
      </c>
      <c r="C100" s="1058" t="str">
        <f>VLOOKUP(L100,'25-BRA-I-090'!$I:$EZ,4,0)</f>
        <v>ASTM A36</v>
      </c>
      <c r="D100" s="374" t="str">
        <f t="shared" si="11"/>
        <v>m2</v>
      </c>
      <c r="E100" s="183"/>
      <c r="F100" s="184">
        <f t="shared" si="7"/>
        <v>45</v>
      </c>
      <c r="G100" s="185">
        <f t="shared" si="7"/>
        <v>1413</v>
      </c>
      <c r="H100" s="185">
        <f t="shared" si="7"/>
        <v>45</v>
      </c>
      <c r="I100" s="185">
        <f t="shared" si="18"/>
        <v>0</v>
      </c>
      <c r="J100" s="185" t="e">
        <f t="shared" si="12"/>
        <v>#DIV/0!</v>
      </c>
      <c r="K100" s="185">
        <f t="shared" si="13"/>
        <v>0</v>
      </c>
      <c r="L100" s="1184" t="s">
        <v>685</v>
      </c>
      <c r="M100" s="1059"/>
      <c r="N100" s="1059"/>
      <c r="O100" s="1038"/>
      <c r="P100" s="1054"/>
      <c r="Q100" s="1054"/>
      <c r="T100" s="1041"/>
      <c r="U100" s="1042"/>
      <c r="V100" s="1042"/>
      <c r="AA100" s="1039" t="str">
        <f>VLOOKUP(L100,'25-BRA-I-090'!$I:$EZ,2,0)</f>
        <v>Tôn tấm</v>
      </c>
      <c r="AB100" s="1039" t="str">
        <f>VLOOKUP(L100,'25-BRA-I-090'!$I:$EZ,3,0)</f>
        <v>PL4</v>
      </c>
      <c r="AC100" s="1039" t="str">
        <f>VLOOKUP(L100,'25-BRA-I-090'!$I:$EZ,5,0)</f>
        <v>m2</v>
      </c>
      <c r="AD100" s="1039">
        <f>SUMIFS('25-BRA-I-090'!$CS:$CS,'25-BRA-I-090'!$I:$I,L100)</f>
        <v>45</v>
      </c>
      <c r="AE100" s="1039">
        <f>SUMIFS('25-BRA-I-090'!$CT:$CT,'25-BRA-I-090'!$I:$I,L100)</f>
        <v>1413</v>
      </c>
      <c r="AF100" s="1039">
        <f>SUMIFS('25-BRA-I-090'!$CW:$CW,'25-BRA-I-090'!$I:$I,L100)</f>
        <v>45</v>
      </c>
      <c r="AG100" s="1039">
        <f>SUMIFS('25-BRA-I-090'!$CX:$CX,'25-BRA-I-090'!$I:$I,L100)</f>
        <v>1413</v>
      </c>
      <c r="AH100" s="1040">
        <f>SUMIFS('25-BRA-I-090'!$DJ:$DJ,'25-BRA-I-090'!$I:$I,L100)+SUMIFS('25-BRA-I-090'!$EC:$EC,'25-BRA-I-090'!$I:$I,L100)</f>
        <v>0</v>
      </c>
      <c r="AI100" s="1040">
        <f>SUMIFS('25-BRA-I-090'!$DK:$DK,'25-BRA-I-090'!$I:$I,L100)+SUMIFS('25-BRA-I-090'!$ED:$ED,'25-BRA-I-090'!$I:$I,L100)</f>
        <v>0</v>
      </c>
      <c r="AJ100" s="1040">
        <f>SUMIFS('25-BRA-I-090'!$DO:$DO,'25-BRA-I-090'!$I:$I,L100)+26400*SUMIFS('25-BRA-I-090'!$EF:$EF,'25-BRA-I-090'!$I:$I,L100)</f>
        <v>0</v>
      </c>
      <c r="AK100" s="1072"/>
      <c r="AO100" s="1072"/>
      <c r="AR100" s="1064" t="s">
        <v>685</v>
      </c>
      <c r="AS100" s="1065" t="s">
        <v>235</v>
      </c>
      <c r="AT100" s="1065" t="s">
        <v>686</v>
      </c>
      <c r="AU100" s="1066" t="s">
        <v>289</v>
      </c>
      <c r="AV100" s="1073" t="s">
        <v>44</v>
      </c>
    </row>
    <row r="101" spans="1:48" s="1039" customFormat="1">
      <c r="A101" s="372"/>
      <c r="B101" s="1057" t="str">
        <f t="shared" si="14"/>
        <v>RB16-L6000</v>
      </c>
      <c r="C101" s="1058" t="str">
        <f>VLOOKUP(L101,'25-BRA-I-090'!$I:$EZ,4,0)</f>
        <v>ASTM C38000</v>
      </c>
      <c r="D101" s="374" t="str">
        <f t="shared" si="11"/>
        <v>m</v>
      </c>
      <c r="E101" s="183"/>
      <c r="F101" s="184">
        <f t="shared" si="7"/>
        <v>6</v>
      </c>
      <c r="G101" s="185">
        <f t="shared" si="7"/>
        <v>9.481481481481481</v>
      </c>
      <c r="H101" s="185">
        <f t="shared" si="7"/>
        <v>0</v>
      </c>
      <c r="I101" s="185">
        <f t="shared" si="18"/>
        <v>6</v>
      </c>
      <c r="J101" s="185">
        <f t="shared" si="12"/>
        <v>475000</v>
      </c>
      <c r="K101" s="185">
        <f t="shared" si="13"/>
        <v>2850000</v>
      </c>
      <c r="L101" s="1184" t="s">
        <v>687</v>
      </c>
      <c r="M101" s="1059"/>
      <c r="N101" s="1059"/>
      <c r="O101" s="1038"/>
      <c r="P101" s="1054"/>
      <c r="Q101" s="1054"/>
      <c r="T101" s="1041"/>
      <c r="U101" s="1042"/>
      <c r="V101" s="1042"/>
      <c r="AA101" s="1039" t="str">
        <f>VLOOKUP(L101,'25-BRA-I-090'!$I:$EZ,2,0)</f>
        <v>Thép tròn</v>
      </c>
      <c r="AB101" s="1039" t="str">
        <f>VLOOKUP(L101,'25-BRA-I-090'!$I:$EZ,3,0)</f>
        <v>RB16-L6000</v>
      </c>
      <c r="AC101" s="1039" t="str">
        <f>VLOOKUP(L101,'25-BRA-I-090'!$I:$EZ,5,0)</f>
        <v>m</v>
      </c>
      <c r="AD101" s="1039">
        <f>SUMIFS('25-BRA-I-090'!$CS:$CS,'25-BRA-I-090'!$I:$I,L101)</f>
        <v>6</v>
      </c>
      <c r="AE101" s="1039">
        <f>SUMIFS('25-BRA-I-090'!$CT:$CT,'25-BRA-I-090'!$I:$I,L101)</f>
        <v>9.481481481481481</v>
      </c>
      <c r="AF101" s="1039">
        <f>SUMIFS('25-BRA-I-090'!$CW:$CW,'25-BRA-I-090'!$I:$I,L101)</f>
        <v>0</v>
      </c>
      <c r="AG101" s="1039">
        <f>SUMIFS('25-BRA-I-090'!$CX:$CX,'25-BRA-I-090'!$I:$I,L101)</f>
        <v>0</v>
      </c>
      <c r="AH101" s="1040">
        <f>SUMIFS('25-BRA-I-090'!$DJ:$DJ,'25-BRA-I-090'!$I:$I,L101)+SUMIFS('25-BRA-I-090'!$EC:$EC,'25-BRA-I-090'!$I:$I,L101)</f>
        <v>6</v>
      </c>
      <c r="AI101" s="1040">
        <f>SUMIFS('25-BRA-I-090'!$DK:$DK,'25-BRA-I-090'!$I:$I,L101)+SUMIFS('25-BRA-I-090'!$ED:$ED,'25-BRA-I-090'!$I:$I,L101)</f>
        <v>0</v>
      </c>
      <c r="AJ101" s="1040">
        <f>SUMIFS('25-BRA-I-090'!$DO:$DO,'25-BRA-I-090'!$I:$I,L101)+26400*SUMIFS('25-BRA-I-090'!$EF:$EF,'25-BRA-I-090'!$I:$I,L101)</f>
        <v>2850000</v>
      </c>
      <c r="AK101" s="1072"/>
      <c r="AO101" s="1072"/>
      <c r="AR101" s="1064" t="s">
        <v>687</v>
      </c>
      <c r="AS101" s="1065" t="s">
        <v>412</v>
      </c>
      <c r="AT101" s="1065" t="s">
        <v>688</v>
      </c>
      <c r="AU101" s="1066" t="s">
        <v>1179</v>
      </c>
      <c r="AV101" s="1073" t="s">
        <v>61</v>
      </c>
    </row>
    <row r="102" spans="1:48" s="1039" customFormat="1">
      <c r="A102" s="372"/>
      <c r="B102" s="1057" t="str">
        <f t="shared" si="14"/>
        <v>RB5-L1200</v>
      </c>
      <c r="C102" s="1058" t="str">
        <f>VLOOKUP(L102,'25-BRA-I-090'!$I:$EZ,4,0)</f>
        <v>1.0044/A36</v>
      </c>
      <c r="D102" s="374" t="str">
        <f t="shared" si="11"/>
        <v>m</v>
      </c>
      <c r="E102" s="183"/>
      <c r="F102" s="184">
        <f t="shared" si="7"/>
        <v>1.2</v>
      </c>
      <c r="G102" s="185">
        <f t="shared" si="7"/>
        <v>0.18</v>
      </c>
      <c r="H102" s="185">
        <f t="shared" si="7"/>
        <v>0</v>
      </c>
      <c r="I102" s="185">
        <f t="shared" si="18"/>
        <v>1.2</v>
      </c>
      <c r="J102" s="185">
        <f t="shared" si="12"/>
        <v>10000</v>
      </c>
      <c r="K102" s="185">
        <f t="shared" si="13"/>
        <v>12000</v>
      </c>
      <c r="L102" s="1184" t="s">
        <v>689</v>
      </c>
      <c r="M102" s="1059"/>
      <c r="N102" s="1059"/>
      <c r="O102" s="1038"/>
      <c r="P102" s="1054"/>
      <c r="Q102" s="1054"/>
      <c r="T102" s="1041"/>
      <c r="U102" s="1042"/>
      <c r="V102" s="1042"/>
      <c r="AA102" s="1039" t="str">
        <f>VLOOKUP(L102,'25-BRA-I-090'!$I:$EZ,2,0)</f>
        <v>Thép tròn</v>
      </c>
      <c r="AB102" s="1039" t="str">
        <f>VLOOKUP(L102,'25-BRA-I-090'!$I:$EZ,3,0)</f>
        <v>RB5-L1200</v>
      </c>
      <c r="AC102" s="1039" t="str">
        <f>VLOOKUP(L102,'25-BRA-I-090'!$I:$EZ,5,0)</f>
        <v>m</v>
      </c>
      <c r="AD102" s="1039">
        <f>SUMIFS('25-BRA-I-090'!$CS:$CS,'25-BRA-I-090'!$I:$I,L102)</f>
        <v>1.2</v>
      </c>
      <c r="AE102" s="1039">
        <f>SUMIFS('25-BRA-I-090'!$CT:$CT,'25-BRA-I-090'!$I:$I,L102)</f>
        <v>0.18</v>
      </c>
      <c r="AF102" s="1039">
        <f>SUMIFS('25-BRA-I-090'!$CW:$CW,'25-BRA-I-090'!$I:$I,L102)</f>
        <v>0</v>
      </c>
      <c r="AG102" s="1039">
        <f>SUMIFS('25-BRA-I-090'!$CX:$CX,'25-BRA-I-090'!$I:$I,L102)</f>
        <v>0</v>
      </c>
      <c r="AH102" s="1040">
        <f>SUMIFS('25-BRA-I-090'!$DJ:$DJ,'25-BRA-I-090'!$I:$I,L102)+SUMIFS('25-BRA-I-090'!$EC:$EC,'25-BRA-I-090'!$I:$I,L102)</f>
        <v>1.2</v>
      </c>
      <c r="AI102" s="1040">
        <f>SUMIFS('25-BRA-I-090'!$DK:$DK,'25-BRA-I-090'!$I:$I,L102)+SUMIFS('25-BRA-I-090'!$ED:$ED,'25-BRA-I-090'!$I:$I,L102)</f>
        <v>0</v>
      </c>
      <c r="AJ102" s="1040">
        <f>SUMIFS('25-BRA-I-090'!$DO:$DO,'25-BRA-I-090'!$I:$I,L102)+26400*SUMIFS('25-BRA-I-090'!$EF:$EF,'25-BRA-I-090'!$I:$I,L102)</f>
        <v>12000</v>
      </c>
      <c r="AK102" s="1072"/>
      <c r="AO102" s="1072"/>
      <c r="AR102" s="1064" t="s">
        <v>689</v>
      </c>
      <c r="AS102" s="1065" t="s">
        <v>412</v>
      </c>
      <c r="AT102" s="1065" t="s">
        <v>690</v>
      </c>
      <c r="AU102" s="1066" t="s">
        <v>691</v>
      </c>
      <c r="AV102" s="1073" t="s">
        <v>61</v>
      </c>
    </row>
    <row r="103" spans="1:48" s="1039" customFormat="1" ht="30">
      <c r="A103" s="372"/>
      <c r="B103" s="1057" t="str">
        <f t="shared" si="14"/>
        <v>SHS31.8x31.8x3-L6000</v>
      </c>
      <c r="C103" s="1058" t="str">
        <f>VLOOKUP(L103,'25-BRA-I-090'!$I:$EZ,4,0)</f>
        <v>1.0038/A36</v>
      </c>
      <c r="D103" s="374" t="str">
        <f t="shared" si="11"/>
        <v>Kg</v>
      </c>
      <c r="E103" s="183"/>
      <c r="F103" s="184">
        <f t="shared" si="7"/>
        <v>84</v>
      </c>
      <c r="G103" s="185">
        <f t="shared" si="7"/>
        <v>210</v>
      </c>
      <c r="H103" s="185">
        <f t="shared" ref="H103:H105" si="19">AG103</f>
        <v>0</v>
      </c>
      <c r="I103" s="185">
        <f t="shared" ref="I103:I105" si="20">AI103</f>
        <v>209</v>
      </c>
      <c r="J103" s="185">
        <f t="shared" si="12"/>
        <v>17727.27</v>
      </c>
      <c r="K103" s="185">
        <f t="shared" si="13"/>
        <v>3704999.43</v>
      </c>
      <c r="L103" s="1184" t="s">
        <v>692</v>
      </c>
      <c r="M103" s="1059"/>
      <c r="N103" s="1059"/>
      <c r="O103" s="1038"/>
      <c r="P103" s="1054"/>
      <c r="Q103" s="1054"/>
      <c r="T103" s="1041"/>
      <c r="U103" s="1042"/>
      <c r="V103" s="1042"/>
      <c r="AA103" s="1039" t="str">
        <f>VLOOKUP(L103,'25-BRA-I-090'!$I:$EZ,2,0)</f>
        <v>Hộp</v>
      </c>
      <c r="AB103" s="1039" t="str">
        <f>VLOOKUP(L103,'25-BRA-I-090'!$I:$EZ,3,0)</f>
        <v>SHS31.8x31.8x3-L6000</v>
      </c>
      <c r="AC103" s="1039" t="s">
        <v>2620</v>
      </c>
      <c r="AD103" s="1039">
        <f>SUMIFS('25-BRA-I-090'!$CS:$CS,'25-BRA-I-090'!$I:$I,L103)</f>
        <v>84</v>
      </c>
      <c r="AE103" s="1039">
        <f>SUMIFS('25-BRA-I-090'!$CT:$CT,'25-BRA-I-090'!$I:$I,L103)</f>
        <v>210</v>
      </c>
      <c r="AF103" s="1039">
        <f>SUMIFS('25-BRA-I-090'!$CW:$CW,'25-BRA-I-090'!$I:$I,L103)</f>
        <v>0</v>
      </c>
      <c r="AG103" s="1039">
        <f>SUMIFS('25-BRA-I-090'!$CX:$CX,'25-BRA-I-090'!$I:$I,L103)</f>
        <v>0</v>
      </c>
      <c r="AH103" s="1040">
        <f>SUMIFS('25-BRA-I-090'!$DJ:$DJ,'25-BRA-I-090'!$I:$I,L103)+SUMIFS('25-BRA-I-090'!$EC:$EC,'25-BRA-I-090'!$I:$I,L103)</f>
        <v>84</v>
      </c>
      <c r="AI103" s="1040">
        <f>SUMIFS('25-BRA-I-090'!$DK:$DK,'25-BRA-I-090'!$I:$I,L103)+SUMIFS('25-BRA-I-090'!$ED:$ED,'25-BRA-I-090'!$I:$I,L103)</f>
        <v>209</v>
      </c>
      <c r="AJ103" s="1040">
        <f>SUMIFS('25-BRA-I-090'!$DO:$DO,'25-BRA-I-090'!$I:$I,L103)+26400*SUMIFS('25-BRA-I-090'!$EF:$EF,'25-BRA-I-090'!$I:$I,L103)</f>
        <v>3704999.43</v>
      </c>
      <c r="AK103" s="1072"/>
      <c r="AO103" s="1072"/>
      <c r="AR103" s="1064" t="s">
        <v>692</v>
      </c>
      <c r="AS103" s="1065" t="s">
        <v>693</v>
      </c>
      <c r="AT103" s="1065" t="s">
        <v>694</v>
      </c>
      <c r="AU103" s="1066" t="s">
        <v>399</v>
      </c>
      <c r="AV103" s="1073" t="s">
        <v>61</v>
      </c>
    </row>
    <row r="104" spans="1:48" s="1039" customFormat="1" ht="45">
      <c r="A104" s="372"/>
      <c r="B104" s="1057" t="str">
        <f t="shared" si="14"/>
        <v>Tube DN.350 (Pipe D355.6x4)-L12000</v>
      </c>
      <c r="C104" s="1058" t="str">
        <f>VLOOKUP(L104,'25-BRA-I-090'!$I:$EZ,4,0)</f>
        <v>1.0044/A36</v>
      </c>
      <c r="D104" s="374" t="str">
        <f t="shared" si="11"/>
        <v>Kg</v>
      </c>
      <c r="E104" s="183"/>
      <c r="F104" s="184">
        <f t="shared" si="7"/>
        <v>168</v>
      </c>
      <c r="G104" s="185">
        <f t="shared" si="7"/>
        <v>5769.1200000000008</v>
      </c>
      <c r="H104" s="185">
        <f t="shared" si="19"/>
        <v>0</v>
      </c>
      <c r="I104" s="185">
        <f t="shared" si="20"/>
        <v>7468</v>
      </c>
      <c r="J104" s="185">
        <f t="shared" si="12"/>
        <v>18000</v>
      </c>
      <c r="K104" s="185">
        <f t="shared" si="13"/>
        <v>134424000</v>
      </c>
      <c r="L104" s="1184" t="s">
        <v>695</v>
      </c>
      <c r="M104" s="1059"/>
      <c r="N104" s="1059"/>
      <c r="O104" s="1038"/>
      <c r="P104" s="1054"/>
      <c r="Q104" s="1054"/>
      <c r="T104" s="1041"/>
      <c r="U104" s="1042"/>
      <c r="V104" s="1042"/>
      <c r="AA104" s="1039" t="str">
        <f>VLOOKUP(L104,'25-BRA-I-090'!$I:$EZ,2,0)</f>
        <v>Ống</v>
      </c>
      <c r="AB104" s="1039" t="str">
        <f>VLOOKUP(L104,'25-BRA-I-090'!$I:$EZ,3,0)</f>
        <v>Tube DN.350 (Pipe D355.6x4)-L12000</v>
      </c>
      <c r="AC104" s="1039" t="s">
        <v>2620</v>
      </c>
      <c r="AD104" s="1039">
        <f>SUMIFS('25-BRA-I-090'!$CS:$CS,'25-BRA-I-090'!$I:$I,L104)</f>
        <v>168</v>
      </c>
      <c r="AE104" s="1039">
        <f>SUMIFS('25-BRA-I-090'!$CT:$CT,'25-BRA-I-090'!$I:$I,L104)</f>
        <v>5769.1200000000008</v>
      </c>
      <c r="AF104" s="1039">
        <f>SUMIFS('25-BRA-I-090'!$CW:$CW,'25-BRA-I-090'!$I:$I,L104)</f>
        <v>0</v>
      </c>
      <c r="AG104" s="1039">
        <f>SUMIFS('25-BRA-I-090'!$CX:$CX,'25-BRA-I-090'!$I:$I,L104)</f>
        <v>0</v>
      </c>
      <c r="AH104" s="1040">
        <f>SUMIFS('25-BRA-I-090'!$DJ:$DJ,'25-BRA-I-090'!$I:$I,L104)+SUMIFS('25-BRA-I-090'!$EC:$EC,'25-BRA-I-090'!$I:$I,L104)</f>
        <v>168</v>
      </c>
      <c r="AI104" s="1040">
        <f>SUMIFS('25-BRA-I-090'!$DK:$DK,'25-BRA-I-090'!$I:$I,L104)+SUMIFS('25-BRA-I-090'!$ED:$ED,'25-BRA-I-090'!$I:$I,L104)</f>
        <v>7468</v>
      </c>
      <c r="AJ104" s="1040">
        <f>SUMIFS('25-BRA-I-090'!$DO:$DO,'25-BRA-I-090'!$I:$I,L104)+26400*SUMIFS('25-BRA-I-090'!$EF:$EF,'25-BRA-I-090'!$I:$I,L104)</f>
        <v>134424000</v>
      </c>
      <c r="AK104" s="1072"/>
      <c r="AO104" s="1072"/>
      <c r="AR104" s="1064" t="s">
        <v>695</v>
      </c>
      <c r="AS104" s="1065" t="s">
        <v>397</v>
      </c>
      <c r="AT104" s="1065" t="s">
        <v>696</v>
      </c>
      <c r="AU104" s="1066" t="s">
        <v>691</v>
      </c>
      <c r="AV104" s="1073" t="s">
        <v>61</v>
      </c>
    </row>
    <row r="105" spans="1:48" s="1039" customFormat="1" ht="30">
      <c r="A105" s="372"/>
      <c r="B105" s="1057" t="str">
        <f t="shared" si="14"/>
        <v>UPN120(C120x55x7x9)-L12000</v>
      </c>
      <c r="C105" s="1058" t="str">
        <f>VLOOKUP(L105,'25-BRA-I-090'!$I:$EZ,4,0)</f>
        <v>1.0044/A36</v>
      </c>
      <c r="D105" s="374" t="str">
        <f t="shared" si="11"/>
        <v>Kg</v>
      </c>
      <c r="E105" s="183"/>
      <c r="F105" s="184">
        <f t="shared" si="7"/>
        <v>78</v>
      </c>
      <c r="G105" s="185">
        <f t="shared" si="7"/>
        <v>1037.4000000000001</v>
      </c>
      <c r="H105" s="185">
        <f t="shared" si="19"/>
        <v>0</v>
      </c>
      <c r="I105" s="185">
        <f t="shared" si="20"/>
        <v>1125.5999999999999</v>
      </c>
      <c r="J105" s="185">
        <f t="shared" si="12"/>
        <v>30997.911120399534</v>
      </c>
      <c r="K105" s="185">
        <f t="shared" si="13"/>
        <v>34891248.757121712</v>
      </c>
      <c r="L105" s="1184" t="s">
        <v>697</v>
      </c>
      <c r="M105" s="1059"/>
      <c r="N105" s="1059"/>
      <c r="O105" s="1038"/>
      <c r="P105" s="1054"/>
      <c r="Q105" s="1054"/>
      <c r="T105" s="1041"/>
      <c r="U105" s="1042"/>
      <c r="V105" s="1042"/>
      <c r="AA105" s="1039" t="str">
        <f>VLOOKUP(L105,'25-BRA-I-090'!$I:$EZ,2,0)</f>
        <v>Thép hình-C</v>
      </c>
      <c r="AB105" s="1039" t="str">
        <f>VLOOKUP(L105,'25-BRA-I-090'!$I:$EZ,3,0)</f>
        <v>UPN120(C120x55x7x9)-L12000</v>
      </c>
      <c r="AC105" s="1039" t="s">
        <v>2620</v>
      </c>
      <c r="AD105" s="1039">
        <f>SUMIFS('25-BRA-I-090'!$CS:$CS,'25-BRA-I-090'!$I:$I,L105)</f>
        <v>78</v>
      </c>
      <c r="AE105" s="1039">
        <f>SUMIFS('25-BRA-I-090'!$CT:$CT,'25-BRA-I-090'!$I:$I,L105)</f>
        <v>1037.4000000000001</v>
      </c>
      <c r="AF105" s="1039">
        <f>SUMIFS('25-BRA-I-090'!$CW:$CW,'25-BRA-I-090'!$I:$I,L105)</f>
        <v>0</v>
      </c>
      <c r="AG105" s="1039">
        <f>SUMIFS('25-BRA-I-090'!$CX:$CX,'25-BRA-I-090'!$I:$I,L105)</f>
        <v>0</v>
      </c>
      <c r="AH105" s="1040">
        <f>SUMIFS('25-BRA-I-090'!$DJ:$DJ,'25-BRA-I-090'!$I:$I,L105)+SUMIFS('25-BRA-I-090'!$EC:$EC,'25-BRA-I-090'!$I:$I,L105)</f>
        <v>84</v>
      </c>
      <c r="AI105" s="1040">
        <f>SUMIFS('25-BRA-I-090'!$DK:$DK,'25-BRA-I-090'!$I:$I,L105)+SUMIFS('25-BRA-I-090'!$ED:$ED,'25-BRA-I-090'!$I:$I,L105)</f>
        <v>1125.5999999999999</v>
      </c>
      <c r="AJ105" s="1040">
        <f>SUMIFS('25-BRA-I-090'!$DO:$DO,'25-BRA-I-090'!$I:$I,L105)+26400*SUMIFS('25-BRA-I-090'!$EF:$EF,'25-BRA-I-090'!$I:$I,L105)</f>
        <v>34891248.757121712</v>
      </c>
      <c r="AK105" s="1072"/>
      <c r="AO105" s="1072"/>
      <c r="AR105" s="1064" t="s">
        <v>697</v>
      </c>
      <c r="AS105" s="1065" t="s">
        <v>277</v>
      </c>
      <c r="AT105" s="1065" t="s">
        <v>698</v>
      </c>
      <c r="AU105" s="1066" t="s">
        <v>691</v>
      </c>
      <c r="AV105" s="1073" t="s">
        <v>61</v>
      </c>
    </row>
    <row r="106" spans="1:48" s="1039" customFormat="1">
      <c r="A106" s="372"/>
      <c r="B106" s="1057" t="str">
        <f t="shared" si="14"/>
        <v>Spring D3</v>
      </c>
      <c r="C106" s="1058" t="str">
        <f>VLOOKUP(L106,'25-BRA-I-090'!$I:$EZ,4,0)</f>
        <v>SUS304</v>
      </c>
      <c r="D106" s="374" t="str">
        <f t="shared" si="11"/>
        <v>pcs</v>
      </c>
      <c r="E106" s="183"/>
      <c r="F106" s="184">
        <f t="shared" si="7"/>
        <v>92</v>
      </c>
      <c r="G106" s="185">
        <f t="shared" si="7"/>
        <v>0</v>
      </c>
      <c r="H106" s="185">
        <f t="shared" si="7"/>
        <v>0</v>
      </c>
      <c r="I106" s="185">
        <f t="shared" ref="I106:I107" si="21">AH106</f>
        <v>92</v>
      </c>
      <c r="J106" s="185">
        <f t="shared" si="12"/>
        <v>150000</v>
      </c>
      <c r="K106" s="185">
        <f t="shared" si="13"/>
        <v>13800000</v>
      </c>
      <c r="L106" s="1184" t="s">
        <v>699</v>
      </c>
      <c r="M106" s="1059"/>
      <c r="N106" s="1059"/>
      <c r="O106" s="1038"/>
      <c r="P106" s="1054"/>
      <c r="Q106" s="1054"/>
      <c r="T106" s="1041"/>
      <c r="U106" s="1042"/>
      <c r="V106" s="1042"/>
      <c r="AA106" s="1039" t="str">
        <f>VLOOKUP(L106,'25-BRA-I-090'!$I:$EZ,2,0)</f>
        <v>Spring</v>
      </c>
      <c r="AB106" s="1039" t="str">
        <f>VLOOKUP(L106,'25-BRA-I-090'!$I:$EZ,3,0)</f>
        <v>Spring D3</v>
      </c>
      <c r="AC106" s="1039" t="str">
        <f>VLOOKUP(L106,'25-BRA-I-090'!$I:$EZ,5,0)</f>
        <v>pcs</v>
      </c>
      <c r="AD106" s="1039">
        <f>SUMIFS('25-BRA-I-090'!$CS:$CS,'25-BRA-I-090'!$I:$I,L106)</f>
        <v>92</v>
      </c>
      <c r="AE106" s="1039">
        <f>SUMIFS('25-BRA-I-090'!$CT:$CT,'25-BRA-I-090'!$I:$I,L106)</f>
        <v>0</v>
      </c>
      <c r="AF106" s="1039">
        <f>SUMIFS('25-BRA-I-090'!$CW:$CW,'25-BRA-I-090'!$I:$I,L106)</f>
        <v>0</v>
      </c>
      <c r="AG106" s="1039">
        <f>SUMIFS('25-BRA-I-090'!$CX:$CX,'25-BRA-I-090'!$I:$I,L106)</f>
        <v>0</v>
      </c>
      <c r="AH106" s="1040">
        <f>SUMIFS('25-BRA-I-090'!$DJ:$DJ,'25-BRA-I-090'!$I:$I,L106)+SUMIFS('25-BRA-I-090'!$EC:$EC,'25-BRA-I-090'!$I:$I,L106)</f>
        <v>92</v>
      </c>
      <c r="AI106" s="1040">
        <f>SUMIFS('25-BRA-I-090'!$DK:$DK,'25-BRA-I-090'!$I:$I,L106)+SUMIFS('25-BRA-I-090'!$ED:$ED,'25-BRA-I-090'!$I:$I,L106)</f>
        <v>0</v>
      </c>
      <c r="AJ106" s="1040">
        <f>SUMIFS('25-BRA-I-090'!$DO:$DO,'25-BRA-I-090'!$I:$I,L106)+26400*SUMIFS('25-BRA-I-090'!$EF:$EF,'25-BRA-I-090'!$I:$I,L106)</f>
        <v>13800000</v>
      </c>
      <c r="AK106" s="1072"/>
      <c r="AO106" s="1072"/>
      <c r="AR106" s="1064" t="s">
        <v>699</v>
      </c>
      <c r="AS106" s="1065" t="s">
        <v>700</v>
      </c>
      <c r="AT106" s="1065" t="s">
        <v>701</v>
      </c>
      <c r="AU106" s="1066" t="s">
        <v>74</v>
      </c>
      <c r="AV106" s="1073" t="s">
        <v>345</v>
      </c>
    </row>
    <row r="107" spans="1:48" s="1039" customFormat="1" ht="30">
      <c r="A107" s="372"/>
      <c r="B107" s="1057" t="str">
        <f t="shared" si="14"/>
        <v>Then 80x340-thk 40</v>
      </c>
      <c r="C107" s="1058" t="str">
        <f>VLOOKUP(L107,'25-BRA-I-090'!$I:$EZ,4,0)</f>
        <v>S45C</v>
      </c>
      <c r="D107" s="374" t="str">
        <f t="shared" si="11"/>
        <v>pcs</v>
      </c>
      <c r="E107" s="183"/>
      <c r="F107" s="184">
        <f t="shared" si="7"/>
        <v>40</v>
      </c>
      <c r="G107" s="185">
        <f t="shared" si="7"/>
        <v>0</v>
      </c>
      <c r="H107" s="185">
        <f t="shared" si="7"/>
        <v>0</v>
      </c>
      <c r="I107" s="185">
        <f t="shared" si="21"/>
        <v>40</v>
      </c>
      <c r="J107" s="185">
        <f t="shared" si="12"/>
        <v>1250000</v>
      </c>
      <c r="K107" s="185">
        <f t="shared" si="13"/>
        <v>50000000</v>
      </c>
      <c r="L107" s="1184" t="s">
        <v>702</v>
      </c>
      <c r="M107" s="1059"/>
      <c r="N107" s="1059"/>
      <c r="O107" s="1038"/>
      <c r="P107" s="1054"/>
      <c r="Q107" s="1054"/>
      <c r="T107" s="1041"/>
      <c r="U107" s="1042"/>
      <c r="V107" s="1042"/>
      <c r="AA107" s="1039" t="str">
        <f>VLOOKUP(L107,'25-BRA-I-090'!$I:$EZ,2,0)</f>
        <v>Then</v>
      </c>
      <c r="AB107" s="1039" t="str">
        <f>VLOOKUP(L107,'25-BRA-I-090'!$I:$EZ,3,0)</f>
        <v>Then 80x340-thk 40</v>
      </c>
      <c r="AC107" s="1039" t="str">
        <f>VLOOKUP(L107,'25-BRA-I-090'!$I:$EZ,5,0)</f>
        <v>pcs</v>
      </c>
      <c r="AD107" s="1039">
        <f>SUMIFS('25-BRA-I-090'!$CS:$CS,'25-BRA-I-090'!$I:$I,L107)</f>
        <v>40</v>
      </c>
      <c r="AE107" s="1039">
        <f>SUMIFS('25-BRA-I-090'!$CT:$CT,'25-BRA-I-090'!$I:$I,L107)</f>
        <v>0</v>
      </c>
      <c r="AF107" s="1039">
        <f>SUMIFS('25-BRA-I-090'!$CW:$CW,'25-BRA-I-090'!$I:$I,L107)</f>
        <v>0</v>
      </c>
      <c r="AG107" s="1039">
        <f>SUMIFS('25-BRA-I-090'!$CX:$CX,'25-BRA-I-090'!$I:$I,L107)</f>
        <v>0</v>
      </c>
      <c r="AH107" s="1040">
        <f>SUMIFS('25-BRA-I-090'!$DJ:$DJ,'25-BRA-I-090'!$I:$I,L107)+SUMIFS('25-BRA-I-090'!$EC:$EC,'25-BRA-I-090'!$I:$I,L107)</f>
        <v>40</v>
      </c>
      <c r="AI107" s="1040">
        <f>SUMIFS('25-BRA-I-090'!$DK:$DK,'25-BRA-I-090'!$I:$I,L107)+SUMIFS('25-BRA-I-090'!$ED:$ED,'25-BRA-I-090'!$I:$I,L107)</f>
        <v>0</v>
      </c>
      <c r="AJ107" s="1040">
        <f>SUMIFS('25-BRA-I-090'!$DO:$DO,'25-BRA-I-090'!$I:$I,L107)+26400*SUMIFS('25-BRA-I-090'!$EF:$EF,'25-BRA-I-090'!$I:$I,L107)</f>
        <v>50000000</v>
      </c>
      <c r="AK107" s="1072"/>
      <c r="AO107" s="1072"/>
      <c r="AR107" s="1064" t="s">
        <v>702</v>
      </c>
      <c r="AS107" s="1065" t="s">
        <v>703</v>
      </c>
      <c r="AT107" s="1065" t="s">
        <v>704</v>
      </c>
      <c r="AU107" s="1066" t="s">
        <v>453</v>
      </c>
      <c r="AV107" s="1073" t="s">
        <v>345</v>
      </c>
    </row>
    <row r="108" spans="1:48" s="1039" customFormat="1" ht="60">
      <c r="A108" s="372"/>
      <c r="B108" s="1057" t="str">
        <f t="shared" si="14"/>
        <v>Pipe Pipe D60.3x3.91-L6000-seamless pipe-L6000</v>
      </c>
      <c r="C108" s="1058" t="str">
        <f>VLOOKUP(L108,'25-BRA-I-090'!$I:$EZ,4,0)</f>
        <v>1.0577/A36</v>
      </c>
      <c r="D108" s="374" t="str">
        <f t="shared" si="11"/>
        <v>Kg</v>
      </c>
      <c r="E108" s="183"/>
      <c r="F108" s="184">
        <f t="shared" si="7"/>
        <v>54</v>
      </c>
      <c r="G108" s="185">
        <f t="shared" si="7"/>
        <v>293.76</v>
      </c>
      <c r="H108" s="185">
        <f t="shared" ref="H108:H109" si="22">AG108</f>
        <v>0</v>
      </c>
      <c r="I108" s="185">
        <f t="shared" ref="I108:I109" si="23">AI108</f>
        <v>322</v>
      </c>
      <c r="J108" s="185">
        <f t="shared" si="12"/>
        <v>18038.961038961039</v>
      </c>
      <c r="K108" s="185">
        <f t="shared" si="13"/>
        <v>5808545.4545454541</v>
      </c>
      <c r="L108" s="1184" t="s">
        <v>746</v>
      </c>
      <c r="M108" s="1059"/>
      <c r="N108" s="1059"/>
      <c r="O108" s="1038"/>
      <c r="P108" s="1054"/>
      <c r="Q108" s="1054"/>
      <c r="T108" s="1041"/>
      <c r="U108" s="1042"/>
      <c r="V108" s="1042"/>
      <c r="AA108" s="1039" t="str">
        <f>VLOOKUP(L108,'25-BRA-I-090'!$I:$EZ,2,0)</f>
        <v>Ống</v>
      </c>
      <c r="AB108" s="1039" t="str">
        <f>VLOOKUP(L108,'25-BRA-I-090'!$I:$EZ,3,0)</f>
        <v>Pipe Pipe D60.3x3.91-L6000-seamless pipe-L6000</v>
      </c>
      <c r="AC108" s="1039" t="s">
        <v>2620</v>
      </c>
      <c r="AD108" s="1039">
        <f>SUMIFS('25-BRA-I-090'!$CS:$CS,'25-BRA-I-090'!$I:$I,L108)</f>
        <v>54</v>
      </c>
      <c r="AE108" s="1039">
        <f>SUMIFS('25-BRA-I-090'!$CT:$CT,'25-BRA-I-090'!$I:$I,L108)</f>
        <v>293.76</v>
      </c>
      <c r="AF108" s="1039">
        <f>SUMIFS('25-BRA-I-090'!$CW:$CW,'25-BRA-I-090'!$I:$I,L108)</f>
        <v>0</v>
      </c>
      <c r="AG108" s="1039">
        <f>SUMIFS('25-BRA-I-090'!$CX:$CX,'25-BRA-I-090'!$I:$I,L108)</f>
        <v>0</v>
      </c>
      <c r="AH108" s="1040">
        <f>SUMIFS('25-BRA-I-090'!$DJ:$DJ,'25-BRA-I-090'!$I:$I,L108)+SUMIFS('25-BRA-I-090'!$EC:$EC,'25-BRA-I-090'!$I:$I,L108)</f>
        <v>54</v>
      </c>
      <c r="AI108" s="1040">
        <f>SUMIFS('25-BRA-I-090'!$DK:$DK,'25-BRA-I-090'!$I:$I,L108)+SUMIFS('25-BRA-I-090'!$ED:$ED,'25-BRA-I-090'!$I:$I,L108)</f>
        <v>322</v>
      </c>
      <c r="AJ108" s="1040">
        <f>SUMIFS('25-BRA-I-090'!$DO:$DO,'25-BRA-I-090'!$I:$I,L108)+26400*SUMIFS('25-BRA-I-090'!$EF:$EF,'25-BRA-I-090'!$I:$I,L108)</f>
        <v>5808545.4545454541</v>
      </c>
      <c r="AK108" s="1072"/>
      <c r="AO108" s="1072"/>
      <c r="AR108" s="1065" t="s">
        <v>746</v>
      </c>
      <c r="AS108" s="1065" t="s">
        <v>397</v>
      </c>
      <c r="AT108" s="1065" t="s">
        <v>747</v>
      </c>
      <c r="AU108" s="1066" t="s">
        <v>402</v>
      </c>
      <c r="AV108" s="1067" t="s">
        <v>61</v>
      </c>
    </row>
    <row r="109" spans="1:48" s="1039" customFormat="1">
      <c r="A109" s="372"/>
      <c r="B109" s="1057" t="str">
        <f t="shared" si="14"/>
        <v>RB24-L4600</v>
      </c>
      <c r="C109" s="1058" t="str">
        <f>VLOOKUP(L109,'25-BRA-I-090'!$I:$EZ,4,0)</f>
        <v>1.0577/A36</v>
      </c>
      <c r="D109" s="374" t="str">
        <f t="shared" si="11"/>
        <v>Kg</v>
      </c>
      <c r="E109" s="183"/>
      <c r="F109" s="184">
        <f t="shared" si="7"/>
        <v>10.6</v>
      </c>
      <c r="G109" s="185">
        <f t="shared" si="7"/>
        <v>37.688888888888847</v>
      </c>
      <c r="H109" s="185">
        <f t="shared" si="22"/>
        <v>0</v>
      </c>
      <c r="I109" s="185">
        <f t="shared" si="23"/>
        <v>42.62</v>
      </c>
      <c r="J109" s="185">
        <f t="shared" si="12"/>
        <v>15227.275000000001</v>
      </c>
      <c r="K109" s="185">
        <f t="shared" si="13"/>
        <v>648986.46050000004</v>
      </c>
      <c r="L109" s="1184" t="s">
        <v>748</v>
      </c>
      <c r="M109" s="1059"/>
      <c r="N109" s="1059"/>
      <c r="O109" s="1038"/>
      <c r="P109" s="1054"/>
      <c r="Q109" s="1054"/>
      <c r="T109" s="1041"/>
      <c r="U109" s="1042"/>
      <c r="V109" s="1042"/>
      <c r="AA109" s="1039" t="str">
        <f>VLOOKUP(L109,'25-BRA-I-090'!$I:$EZ,2,0)</f>
        <v>Thép tròn</v>
      </c>
      <c r="AB109" s="1039" t="str">
        <f>VLOOKUP(L109,'25-BRA-I-090'!$I:$EZ,3,0)</f>
        <v>RB24-L4600</v>
      </c>
      <c r="AC109" s="1039" t="s">
        <v>2620</v>
      </c>
      <c r="AD109" s="1039">
        <f>SUMIFS('25-BRA-I-090'!$CS:$CS,'25-BRA-I-090'!$I:$I,L109)</f>
        <v>10.6</v>
      </c>
      <c r="AE109" s="1039">
        <f>SUMIFS('25-BRA-I-090'!$CT:$CT,'25-BRA-I-090'!$I:$I,L109)</f>
        <v>37.688888888888847</v>
      </c>
      <c r="AF109" s="1039">
        <f>SUMIFS('25-BRA-I-090'!$CW:$CW,'25-BRA-I-090'!$I:$I,L109)</f>
        <v>0</v>
      </c>
      <c r="AG109" s="1039">
        <f>SUMIFS('25-BRA-I-090'!$CX:$CX,'25-BRA-I-090'!$I:$I,L109)</f>
        <v>0</v>
      </c>
      <c r="AH109" s="1040">
        <f>SUMIFS('25-BRA-I-090'!$DJ:$DJ,'25-BRA-I-090'!$I:$I,L109)+SUMIFS('25-BRA-I-090'!$EC:$EC,'25-BRA-I-090'!$I:$I,L109)</f>
        <v>12</v>
      </c>
      <c r="AI109" s="1040">
        <f>SUMIFS('25-BRA-I-090'!$DK:$DK,'25-BRA-I-090'!$I:$I,L109)+SUMIFS('25-BRA-I-090'!$ED:$ED,'25-BRA-I-090'!$I:$I,L109)</f>
        <v>42.62</v>
      </c>
      <c r="AJ109" s="1040">
        <f>SUMIFS('25-BRA-I-090'!$DO:$DO,'25-BRA-I-090'!$I:$I,L109)+26400*SUMIFS('25-BRA-I-090'!$EF:$EF,'25-BRA-I-090'!$I:$I,L109)</f>
        <v>648986.46050000004</v>
      </c>
      <c r="AK109" s="1072"/>
      <c r="AO109" s="1072"/>
      <c r="AR109" s="1065" t="s">
        <v>748</v>
      </c>
      <c r="AS109" s="1065" t="s">
        <v>412</v>
      </c>
      <c r="AT109" s="1065" t="s">
        <v>749</v>
      </c>
      <c r="AU109" s="1066" t="s">
        <v>402</v>
      </c>
      <c r="AV109" s="1067" t="s">
        <v>61</v>
      </c>
    </row>
    <row r="110" spans="1:48" s="1039" customFormat="1" ht="45">
      <c r="A110" s="372"/>
      <c r="B110" s="1057" t="str">
        <f t="shared" si="14"/>
        <v>BRASS BEARING 115 mm x 2.5mm</v>
      </c>
      <c r="C110" s="1058" t="str">
        <f>VLOOKUP(L110,'25-BRA-I-090'!$I:$EZ,4,0)</f>
        <v>2.0321</v>
      </c>
      <c r="D110" s="374" t="str">
        <f>AC110</f>
        <v>pcs</v>
      </c>
      <c r="E110" s="183"/>
      <c r="F110" s="184">
        <f>AD110</f>
        <v>40</v>
      </c>
      <c r="G110" s="185">
        <f>AE110</f>
        <v>153.6</v>
      </c>
      <c r="H110" s="185">
        <f>AF110</f>
        <v>0</v>
      </c>
      <c r="I110" s="185">
        <f>AH110</f>
        <v>8</v>
      </c>
      <c r="J110" s="185">
        <f>K110/I110</f>
        <v>9073600</v>
      </c>
      <c r="K110" s="185">
        <f>AJ110</f>
        <v>72588800</v>
      </c>
      <c r="L110" s="1184" t="s">
        <v>1159</v>
      </c>
      <c r="M110" s="1059"/>
      <c r="N110" s="1059"/>
      <c r="O110" s="1038"/>
      <c r="P110" s="1054"/>
      <c r="Q110" s="1054"/>
      <c r="T110" s="1041"/>
      <c r="U110" s="1042"/>
      <c r="V110" s="1042"/>
      <c r="AA110" s="1039" t="str">
        <f>VLOOKUP(L110,'25-BRA-I-090'!$I:$EZ,2,0)</f>
        <v>Bạc đồng</v>
      </c>
      <c r="AB110" s="1039" t="str">
        <f>VLOOKUP(L110,'25-BRA-I-090'!$I:$EZ,3,0)</f>
        <v>BRASS BEARING 115 mm x 2.5mm</v>
      </c>
      <c r="AC110" s="1039" t="str">
        <f>VLOOKUP(L110,'25-BRA-I-090'!$I:$EZ,5,0)</f>
        <v>pcs</v>
      </c>
      <c r="AD110" s="1039">
        <f>SUMIFS('25-BRA-I-090'!$CS:$CS,'25-BRA-I-090'!$I:$I,L110)</f>
        <v>40</v>
      </c>
      <c r="AE110" s="1039">
        <f>SUMIFS('25-BRA-I-090'!$CT:$CT,'25-BRA-I-090'!$I:$I,L110)</f>
        <v>153.6</v>
      </c>
      <c r="AF110" s="1039">
        <f>SUMIFS('25-BRA-I-090'!$CW:$CW,'25-BRA-I-090'!$I:$I,L110)</f>
        <v>0</v>
      </c>
      <c r="AG110" s="1039">
        <f>SUMIFS('25-BRA-I-090'!$CX:$CX,'25-BRA-I-090'!$I:$I,L110)</f>
        <v>0</v>
      </c>
      <c r="AH110" s="1040">
        <f>SUMIFS('25-BRA-I-090'!$DJ:$DJ,'25-BRA-I-090'!$I:$I,L110)+SUMIFS('25-BRA-I-090'!$EC:$EC,'25-BRA-I-090'!$I:$I,L110)</f>
        <v>8</v>
      </c>
      <c r="AI110" s="1040">
        <f>SUMIFS('25-BRA-I-090'!$DK:$DK,'25-BRA-I-090'!$I:$I,L110)+SUMIFS('25-BRA-I-090'!$ED:$ED,'25-BRA-I-090'!$I:$I,L110)</f>
        <v>0</v>
      </c>
      <c r="AJ110" s="1040">
        <f>SUMIFS('25-BRA-I-090'!$DO:$DO,'25-BRA-I-090'!$I:$I,L110)+26400*SUMIFS('25-BRA-I-090'!$EF:$EF,'25-BRA-I-090'!$I:$I,L110)</f>
        <v>72588800</v>
      </c>
      <c r="AK110" s="1072"/>
      <c r="AO110" s="1072"/>
      <c r="AR110" s="1064" t="s">
        <v>1159</v>
      </c>
      <c r="AS110" s="1065" t="s">
        <v>1160</v>
      </c>
      <c r="AT110" s="1065" t="s">
        <v>1161</v>
      </c>
      <c r="AU110" s="1074" t="s">
        <v>1162</v>
      </c>
      <c r="AV110" s="1067" t="s">
        <v>345</v>
      </c>
    </row>
    <row r="111" spans="1:48" s="1039" customFormat="1">
      <c r="A111" s="372"/>
      <c r="B111" s="1057" t="str">
        <f t="shared" si="14"/>
        <v>RB90-L4500</v>
      </c>
      <c r="C111" s="1058" t="str">
        <f>VLOOKUP(L111,'25-BRA-I-090'!$I:$EZ,4,0)</f>
        <v>1.4122/C45</v>
      </c>
      <c r="D111" s="374" t="str">
        <f t="shared" si="11"/>
        <v>Kg</v>
      </c>
      <c r="E111" s="183"/>
      <c r="F111" s="184">
        <f t="shared" ref="F111:H117" si="24">AD111</f>
        <v>4.5</v>
      </c>
      <c r="G111" s="185">
        <f t="shared" si="24"/>
        <v>225.0000000000002</v>
      </c>
      <c r="H111" s="185">
        <f t="shared" ref="H111:H113" si="25">AG111</f>
        <v>0</v>
      </c>
      <c r="I111" s="185">
        <f t="shared" ref="I111:I113" si="26">AI111</f>
        <v>228</v>
      </c>
      <c r="J111" s="185">
        <f t="shared" ref="J111:J117" si="27">K111/I111</f>
        <v>17272.727272727272</v>
      </c>
      <c r="K111" s="185">
        <f t="shared" ref="K111:K117" si="28">AJ111</f>
        <v>3938181.8181818179</v>
      </c>
      <c r="L111" s="1184" t="s">
        <v>1163</v>
      </c>
      <c r="M111" s="1059"/>
      <c r="N111" s="1059"/>
      <c r="O111" s="1038"/>
      <c r="P111" s="1054"/>
      <c r="Q111" s="1054"/>
      <c r="T111" s="1041"/>
      <c r="U111" s="1042"/>
      <c r="V111" s="1042"/>
      <c r="AA111" s="1039" t="str">
        <f>VLOOKUP(L111,'25-BRA-I-090'!$I:$EZ,2,0)</f>
        <v>Thép tròn</v>
      </c>
      <c r="AB111" s="1039" t="str">
        <f>VLOOKUP(L111,'25-BRA-I-090'!$I:$EZ,3,0)</f>
        <v>RB90-L4500</v>
      </c>
      <c r="AC111" s="1039" t="s">
        <v>2620</v>
      </c>
      <c r="AD111" s="1039">
        <f>SUMIFS('25-BRA-I-090'!$CS:$CS,'25-BRA-I-090'!$I:$I,L111)</f>
        <v>4.5</v>
      </c>
      <c r="AE111" s="1039">
        <f>SUMIFS('25-BRA-I-090'!$CT:$CT,'25-BRA-I-090'!$I:$I,L111)</f>
        <v>225.0000000000002</v>
      </c>
      <c r="AF111" s="1039">
        <f>SUMIFS('25-BRA-I-090'!$CW:$CW,'25-BRA-I-090'!$I:$I,L111)</f>
        <v>0</v>
      </c>
      <c r="AG111" s="1039">
        <f>SUMIFS('25-BRA-I-090'!$CX:$CX,'25-BRA-I-090'!$I:$I,L111)</f>
        <v>0</v>
      </c>
      <c r="AH111" s="1040">
        <f>SUMIFS('25-BRA-I-090'!$DJ:$DJ,'25-BRA-I-090'!$I:$I,L111)+SUMIFS('25-BRA-I-090'!$EC:$EC,'25-BRA-I-090'!$I:$I,L111)</f>
        <v>4.5</v>
      </c>
      <c r="AI111" s="1040">
        <f>SUMIFS('25-BRA-I-090'!$DK:$DK,'25-BRA-I-090'!$I:$I,L111)+SUMIFS('25-BRA-I-090'!$ED:$ED,'25-BRA-I-090'!$I:$I,L111)</f>
        <v>228</v>
      </c>
      <c r="AJ111" s="1040">
        <f>SUMIFS('25-BRA-I-090'!$DO:$DO,'25-BRA-I-090'!$I:$I,L111)+26400*SUMIFS('25-BRA-I-090'!$EF:$EF,'25-BRA-I-090'!$I:$I,L111)</f>
        <v>3938181.8181818179</v>
      </c>
      <c r="AK111" s="1072"/>
      <c r="AO111" s="1072"/>
      <c r="AR111" s="1064" t="s">
        <v>1163</v>
      </c>
      <c r="AS111" s="1065" t="s">
        <v>412</v>
      </c>
      <c r="AT111" s="1065" t="s">
        <v>1164</v>
      </c>
      <c r="AU111" s="1066" t="s">
        <v>1165</v>
      </c>
      <c r="AV111" s="1067" t="s">
        <v>61</v>
      </c>
    </row>
    <row r="112" spans="1:48" s="1039" customFormat="1">
      <c r="A112" s="372"/>
      <c r="B112" s="1057" t="str">
        <f t="shared" si="14"/>
        <v>RB55-L2300</v>
      </c>
      <c r="C112" s="1058" t="str">
        <f>VLOOKUP(L112,'25-BRA-I-090'!$I:$EZ,4,0)</f>
        <v>1.4057/C45</v>
      </c>
      <c r="D112" s="374" t="str">
        <f t="shared" si="11"/>
        <v>Kg</v>
      </c>
      <c r="E112" s="183"/>
      <c r="F112" s="184">
        <f t="shared" si="24"/>
        <v>2.2999999999999998</v>
      </c>
      <c r="G112" s="185">
        <f t="shared" si="24"/>
        <v>42.94753086419751</v>
      </c>
      <c r="H112" s="185">
        <f t="shared" si="25"/>
        <v>0</v>
      </c>
      <c r="I112" s="185">
        <f t="shared" si="26"/>
        <v>43</v>
      </c>
      <c r="J112" s="185">
        <f t="shared" si="27"/>
        <v>17272.727272727272</v>
      </c>
      <c r="K112" s="185">
        <f t="shared" si="28"/>
        <v>742727.27272727271</v>
      </c>
      <c r="L112" s="1184" t="s">
        <v>1166</v>
      </c>
      <c r="M112" s="1059"/>
      <c r="N112" s="1059"/>
      <c r="O112" s="1038"/>
      <c r="P112" s="1054"/>
      <c r="Q112" s="1054"/>
      <c r="T112" s="1041"/>
      <c r="U112" s="1042"/>
      <c r="V112" s="1042"/>
      <c r="AA112" s="1039" t="str">
        <f>VLOOKUP(L112,'25-BRA-I-090'!$I:$EZ,2,0)</f>
        <v>Thép tròn</v>
      </c>
      <c r="AB112" s="1039" t="str">
        <f>VLOOKUP(L112,'25-BRA-I-090'!$I:$EZ,3,0)</f>
        <v>RB55-L2300</v>
      </c>
      <c r="AC112" s="1039" t="s">
        <v>2620</v>
      </c>
      <c r="AD112" s="1039">
        <f>SUMIFS('25-BRA-I-090'!$CS:$CS,'25-BRA-I-090'!$I:$I,L112)</f>
        <v>2.2999999999999998</v>
      </c>
      <c r="AE112" s="1039">
        <f>SUMIFS('25-BRA-I-090'!$CT:$CT,'25-BRA-I-090'!$I:$I,L112)</f>
        <v>42.94753086419751</v>
      </c>
      <c r="AF112" s="1039">
        <f>SUMIFS('25-BRA-I-090'!$CW:$CW,'25-BRA-I-090'!$I:$I,L112)</f>
        <v>0</v>
      </c>
      <c r="AG112" s="1039">
        <f>SUMIFS('25-BRA-I-090'!$CX:$CX,'25-BRA-I-090'!$I:$I,L112)</f>
        <v>0</v>
      </c>
      <c r="AH112" s="1040">
        <f>SUMIFS('25-BRA-I-090'!$DJ:$DJ,'25-BRA-I-090'!$I:$I,L112)+SUMIFS('25-BRA-I-090'!$EC:$EC,'25-BRA-I-090'!$I:$I,L112)</f>
        <v>2.2999999999999998</v>
      </c>
      <c r="AI112" s="1040">
        <f>SUMIFS('25-BRA-I-090'!$DK:$DK,'25-BRA-I-090'!$I:$I,L112)+SUMIFS('25-BRA-I-090'!$ED:$ED,'25-BRA-I-090'!$I:$I,L112)</f>
        <v>43</v>
      </c>
      <c r="AJ112" s="1040">
        <f>SUMIFS('25-BRA-I-090'!$DO:$DO,'25-BRA-I-090'!$I:$I,L112)+26400*SUMIFS('25-BRA-I-090'!$EF:$EF,'25-BRA-I-090'!$I:$I,L112)</f>
        <v>742727.27272727271</v>
      </c>
      <c r="AK112" s="1072"/>
      <c r="AO112" s="1072"/>
      <c r="AR112" s="1064" t="s">
        <v>1166</v>
      </c>
      <c r="AS112" s="1065" t="s">
        <v>412</v>
      </c>
      <c r="AT112" s="1065" t="s">
        <v>1167</v>
      </c>
      <c r="AU112" s="1066" t="s">
        <v>1168</v>
      </c>
      <c r="AV112" s="1067" t="s">
        <v>61</v>
      </c>
    </row>
    <row r="113" spans="1:48" s="1039" customFormat="1">
      <c r="A113" s="372"/>
      <c r="B113" s="1057" t="str">
        <f t="shared" si="14"/>
        <v>RB20-L6000</v>
      </c>
      <c r="C113" s="1058" t="str">
        <f>VLOOKUP(L113,'25-BRA-I-090'!$I:$EZ,4,0)</f>
        <v>1.4057/C45</v>
      </c>
      <c r="D113" s="374" t="str">
        <f t="shared" si="11"/>
        <v>Kg</v>
      </c>
      <c r="E113" s="183"/>
      <c r="F113" s="184">
        <f t="shared" si="24"/>
        <v>30</v>
      </c>
      <c r="G113" s="185">
        <f t="shared" si="24"/>
        <v>74.074074074074076</v>
      </c>
      <c r="H113" s="185">
        <f t="shared" si="25"/>
        <v>0</v>
      </c>
      <c r="I113" s="185">
        <f t="shared" si="26"/>
        <v>76</v>
      </c>
      <c r="J113" s="185">
        <f t="shared" si="27"/>
        <v>17272.727272727272</v>
      </c>
      <c r="K113" s="185">
        <f t="shared" si="28"/>
        <v>1312727.2727272727</v>
      </c>
      <c r="L113" s="1184" t="s">
        <v>1169</v>
      </c>
      <c r="M113" s="1059"/>
      <c r="N113" s="1059"/>
      <c r="O113" s="1038"/>
      <c r="P113" s="1054"/>
      <c r="Q113" s="1054"/>
      <c r="T113" s="1041"/>
      <c r="U113" s="1042"/>
      <c r="V113" s="1042"/>
      <c r="AA113" s="1039" t="str">
        <f>VLOOKUP(L113,'25-BRA-I-090'!$I:$EZ,2,0)</f>
        <v>Thép tròn</v>
      </c>
      <c r="AB113" s="1039" t="str">
        <f>VLOOKUP(L113,'25-BRA-I-090'!$I:$EZ,3,0)</f>
        <v>RB20-L6000</v>
      </c>
      <c r="AC113" s="1039" t="s">
        <v>2620</v>
      </c>
      <c r="AD113" s="1039">
        <f>SUMIFS('25-BRA-I-090'!$CS:$CS,'25-BRA-I-090'!$I:$I,L113)</f>
        <v>30</v>
      </c>
      <c r="AE113" s="1039">
        <f>SUMIFS('25-BRA-I-090'!$CT:$CT,'25-BRA-I-090'!$I:$I,L113)</f>
        <v>74.074074074074076</v>
      </c>
      <c r="AF113" s="1039">
        <f>SUMIFS('25-BRA-I-090'!$CW:$CW,'25-BRA-I-090'!$I:$I,L113)</f>
        <v>0</v>
      </c>
      <c r="AG113" s="1039">
        <f>SUMIFS('25-BRA-I-090'!$CX:$CX,'25-BRA-I-090'!$I:$I,L113)</f>
        <v>0</v>
      </c>
      <c r="AH113" s="1040">
        <f>SUMIFS('25-BRA-I-090'!$DJ:$DJ,'25-BRA-I-090'!$I:$I,L113)+SUMIFS('25-BRA-I-090'!$EC:$EC,'25-BRA-I-090'!$I:$I,L113)</f>
        <v>30</v>
      </c>
      <c r="AI113" s="1040">
        <f>SUMIFS('25-BRA-I-090'!$DK:$DK,'25-BRA-I-090'!$I:$I,L113)+SUMIFS('25-BRA-I-090'!$ED:$ED,'25-BRA-I-090'!$I:$I,L113)</f>
        <v>76</v>
      </c>
      <c r="AJ113" s="1040">
        <f>SUMIFS('25-BRA-I-090'!$DO:$DO,'25-BRA-I-090'!$I:$I,L113)+26400*SUMIFS('25-BRA-I-090'!$EF:$EF,'25-BRA-I-090'!$I:$I,L113)</f>
        <v>1312727.2727272727</v>
      </c>
      <c r="AK113" s="1072"/>
      <c r="AO113" s="1072"/>
      <c r="AR113" s="1064" t="s">
        <v>1169</v>
      </c>
      <c r="AS113" s="1065" t="s">
        <v>412</v>
      </c>
      <c r="AT113" s="1065" t="s">
        <v>527</v>
      </c>
      <c r="AU113" s="1066" t="s">
        <v>1168</v>
      </c>
      <c r="AV113" s="1067" t="s">
        <v>61</v>
      </c>
    </row>
    <row r="114" spans="1:48" s="1039" customFormat="1" ht="30">
      <c r="A114" s="372"/>
      <c r="B114" s="1057" t="str">
        <f t="shared" si="14"/>
        <v>Welding rod end SC_50_ES_2RS</v>
      </c>
      <c r="C114" s="1058">
        <f>VLOOKUP(L114,'25-BRA-I-090'!$I:$EZ,4,0)</f>
        <v>0</v>
      </c>
      <c r="D114" s="374" t="str">
        <f t="shared" si="11"/>
        <v>pcs</v>
      </c>
      <c r="E114" s="183"/>
      <c r="F114" s="184">
        <f t="shared" si="24"/>
        <v>40</v>
      </c>
      <c r="G114" s="185">
        <f t="shared" si="24"/>
        <v>0</v>
      </c>
      <c r="H114" s="185">
        <f t="shared" si="24"/>
        <v>0</v>
      </c>
      <c r="I114" s="185">
        <f t="shared" ref="I114:I115" si="29">AH114</f>
        <v>0</v>
      </c>
      <c r="J114" s="185" t="e">
        <f t="shared" si="27"/>
        <v>#DIV/0!</v>
      </c>
      <c r="K114" s="185">
        <f t="shared" si="28"/>
        <v>0</v>
      </c>
      <c r="L114" s="1184" t="s">
        <v>1170</v>
      </c>
      <c r="M114" s="1059"/>
      <c r="N114" s="1059"/>
      <c r="O114" s="1038"/>
      <c r="P114" s="1054"/>
      <c r="Q114" s="1054"/>
      <c r="T114" s="1041"/>
      <c r="U114" s="1042"/>
      <c r="V114" s="1042"/>
      <c r="AA114" s="1039" t="str">
        <f>VLOOKUP(L114,'25-BRA-I-090'!$I:$EZ,2,0)</f>
        <v>Bạc trượt hàn</v>
      </c>
      <c r="AB114" s="1039" t="str">
        <f>VLOOKUP(L114,'25-BRA-I-090'!$I:$EZ,3,0)</f>
        <v>Welding rod end SC_50_ES_2RS</v>
      </c>
      <c r="AC114" s="1039" t="str">
        <f>VLOOKUP(L114,'25-BRA-I-090'!$I:$EZ,5,0)</f>
        <v>pcs</v>
      </c>
      <c r="AD114" s="1039">
        <f>SUMIFS('25-BRA-I-090'!$CS:$CS,'25-BRA-I-090'!$I:$I,L114)</f>
        <v>40</v>
      </c>
      <c r="AE114" s="1039">
        <f>SUMIFS('25-BRA-I-090'!$CT:$CT,'25-BRA-I-090'!$I:$I,L114)</f>
        <v>0</v>
      </c>
      <c r="AF114" s="1039">
        <f>SUMIFS('25-BRA-I-090'!$CW:$CW,'25-BRA-I-090'!$I:$I,L114)</f>
        <v>0</v>
      </c>
      <c r="AG114" s="1039">
        <f>SUMIFS('25-BRA-I-090'!$CX:$CX,'25-BRA-I-090'!$I:$I,L114)</f>
        <v>0</v>
      </c>
      <c r="AH114" s="1040">
        <f>SUMIFS('25-BRA-I-090'!$DJ:$DJ,'25-BRA-I-090'!$I:$I,L114)+SUMIFS('25-BRA-I-090'!$EC:$EC,'25-BRA-I-090'!$I:$I,L114)</f>
        <v>0</v>
      </c>
      <c r="AI114" s="1040">
        <f>SUMIFS('25-BRA-I-090'!$DK:$DK,'25-BRA-I-090'!$I:$I,L114)+SUMIFS('25-BRA-I-090'!$ED:$ED,'25-BRA-I-090'!$I:$I,L114)</f>
        <v>0</v>
      </c>
      <c r="AJ114" s="1040">
        <f>SUMIFS('25-BRA-I-090'!$DO:$DO,'25-BRA-I-090'!$I:$I,L114)+26400*SUMIFS('25-BRA-I-090'!$EF:$EF,'25-BRA-I-090'!$I:$I,L114)</f>
        <v>0</v>
      </c>
      <c r="AK114" s="1072"/>
      <c r="AO114" s="1072"/>
      <c r="AR114" s="1064" t="s">
        <v>1170</v>
      </c>
      <c r="AS114" s="1065" t="s">
        <v>1171</v>
      </c>
      <c r="AT114" s="1065" t="s">
        <v>1172</v>
      </c>
      <c r="AU114" s="1066"/>
      <c r="AV114" s="1067" t="s">
        <v>345</v>
      </c>
    </row>
    <row r="115" spans="1:48" s="1039" customFormat="1" ht="30">
      <c r="A115" s="372"/>
      <c r="B115" s="1057" t="str">
        <f t="shared" si="14"/>
        <v>Threaded rod end SI_50_ES_2RS</v>
      </c>
      <c r="C115" s="1058">
        <f>VLOOKUP(L115,'25-BRA-I-090'!$I:$EZ,4,0)</f>
        <v>0</v>
      </c>
      <c r="D115" s="374" t="str">
        <f t="shared" si="11"/>
        <v>pcs</v>
      </c>
      <c r="E115" s="183"/>
      <c r="F115" s="184">
        <f t="shared" si="24"/>
        <v>40</v>
      </c>
      <c r="G115" s="185">
        <f t="shared" si="24"/>
        <v>0</v>
      </c>
      <c r="H115" s="185">
        <f t="shared" si="24"/>
        <v>0</v>
      </c>
      <c r="I115" s="185">
        <f t="shared" si="29"/>
        <v>0</v>
      </c>
      <c r="J115" s="185" t="e">
        <f t="shared" si="27"/>
        <v>#DIV/0!</v>
      </c>
      <c r="K115" s="185">
        <f t="shared" si="28"/>
        <v>0</v>
      </c>
      <c r="L115" s="1184" t="s">
        <v>1173</v>
      </c>
      <c r="M115" s="1059"/>
      <c r="N115" s="1059"/>
      <c r="O115" s="1038"/>
      <c r="P115" s="1054"/>
      <c r="Q115" s="1054"/>
      <c r="T115" s="1041"/>
      <c r="U115" s="1042"/>
      <c r="V115" s="1042"/>
      <c r="AA115" s="1039" t="str">
        <f>VLOOKUP(L115,'25-BRA-I-090'!$I:$EZ,2,0)</f>
        <v>Bạc trượt ren</v>
      </c>
      <c r="AB115" s="1039" t="str">
        <f>VLOOKUP(L115,'25-BRA-I-090'!$I:$EZ,3,0)</f>
        <v>Threaded rod end SI_50_ES_2RS</v>
      </c>
      <c r="AC115" s="1039" t="str">
        <f>VLOOKUP(L115,'25-BRA-I-090'!$I:$EZ,5,0)</f>
        <v>pcs</v>
      </c>
      <c r="AD115" s="1039">
        <f>SUMIFS('25-BRA-I-090'!$CS:$CS,'25-BRA-I-090'!$I:$I,L115)</f>
        <v>40</v>
      </c>
      <c r="AE115" s="1039">
        <f>SUMIFS('25-BRA-I-090'!$CT:$CT,'25-BRA-I-090'!$I:$I,L115)</f>
        <v>0</v>
      </c>
      <c r="AF115" s="1039">
        <f>SUMIFS('25-BRA-I-090'!$CW:$CW,'25-BRA-I-090'!$I:$I,L115)</f>
        <v>0</v>
      </c>
      <c r="AG115" s="1039">
        <f>SUMIFS('25-BRA-I-090'!$CX:$CX,'25-BRA-I-090'!$I:$I,L115)</f>
        <v>0</v>
      </c>
      <c r="AH115" s="1040">
        <f>SUMIFS('25-BRA-I-090'!$DJ:$DJ,'25-BRA-I-090'!$I:$I,L115)+SUMIFS('25-BRA-I-090'!$EC:$EC,'25-BRA-I-090'!$I:$I,L115)</f>
        <v>0</v>
      </c>
      <c r="AI115" s="1040">
        <f>SUMIFS('25-BRA-I-090'!$DK:$DK,'25-BRA-I-090'!$I:$I,L115)+SUMIFS('25-BRA-I-090'!$ED:$ED,'25-BRA-I-090'!$I:$I,L115)</f>
        <v>0</v>
      </c>
      <c r="AJ115" s="1040">
        <f>SUMIFS('25-BRA-I-090'!$DO:$DO,'25-BRA-I-090'!$I:$I,L115)+26400*SUMIFS('25-BRA-I-090'!$EF:$EF,'25-BRA-I-090'!$I:$I,L115)</f>
        <v>0</v>
      </c>
      <c r="AK115" s="1072"/>
      <c r="AO115" s="1072"/>
      <c r="AR115" s="1064" t="s">
        <v>1173</v>
      </c>
      <c r="AS115" s="1065" t="s">
        <v>1174</v>
      </c>
      <c r="AT115" s="1065" t="s">
        <v>1175</v>
      </c>
      <c r="AU115" s="1066"/>
      <c r="AV115" s="1067" t="s">
        <v>345</v>
      </c>
    </row>
    <row r="116" spans="1:48" s="1039" customFormat="1" ht="45">
      <c r="A116" s="372"/>
      <c r="B116" s="1057" t="str">
        <f t="shared" si="14"/>
        <v>Pipe D26.7x2.87-seamless pipe-L12000</v>
      </c>
      <c r="C116" s="1058" t="str">
        <f>VLOOKUP(L116,'25-BRA-I-090'!$I:$EZ,4,0)</f>
        <v>1.4401/SUS316</v>
      </c>
      <c r="D116" s="374" t="str">
        <f t="shared" si="11"/>
        <v>Kg</v>
      </c>
      <c r="E116" s="183"/>
      <c r="F116" s="184">
        <f t="shared" si="24"/>
        <v>30.6</v>
      </c>
      <c r="G116" s="185">
        <f t="shared" si="24"/>
        <v>51.713999999999999</v>
      </c>
      <c r="H116" s="185">
        <f t="shared" ref="H116:H117" si="30">AG116</f>
        <v>0</v>
      </c>
      <c r="I116" s="185">
        <f t="shared" ref="I116:I117" si="31">AI116</f>
        <v>49.5</v>
      </c>
      <c r="J116" s="185">
        <f t="shared" si="27"/>
        <v>129062.92011019283</v>
      </c>
      <c r="K116" s="185">
        <f t="shared" si="28"/>
        <v>6388614.5454545449</v>
      </c>
      <c r="L116" s="1184" t="s">
        <v>1299</v>
      </c>
      <c r="M116" s="1059"/>
      <c r="N116" s="1059"/>
      <c r="O116" s="1038"/>
      <c r="P116" s="1054"/>
      <c r="Q116" s="1054"/>
      <c r="T116" s="1041"/>
      <c r="U116" s="1042"/>
      <c r="V116" s="1042"/>
      <c r="AA116" s="1039" t="str">
        <f>VLOOKUP(L116,'25-BRA-I-090'!$I:$EZ,2,0)</f>
        <v>Ống</v>
      </c>
      <c r="AB116" s="1039" t="str">
        <f>VLOOKUP(L116,'25-BRA-I-090'!$I:$EZ,3,0)</f>
        <v>Pipe D26.7x2.87-seamless pipe-L12000</v>
      </c>
      <c r="AC116" s="1039" t="s">
        <v>2620</v>
      </c>
      <c r="AD116" s="1039">
        <f>SUMIFS('25-BRA-I-090'!$CS:$CS,'25-BRA-I-090'!$I:$I,L116)</f>
        <v>30.6</v>
      </c>
      <c r="AE116" s="1039">
        <f>SUMIFS('25-BRA-I-090'!$CT:$CT,'25-BRA-I-090'!$I:$I,L116)</f>
        <v>51.713999999999999</v>
      </c>
      <c r="AF116" s="1039">
        <f>SUMIFS('25-BRA-I-090'!$CW:$CW,'25-BRA-I-090'!$I:$I,L116)</f>
        <v>0</v>
      </c>
      <c r="AG116" s="1039">
        <f>SUMIFS('25-BRA-I-090'!$CX:$CX,'25-BRA-I-090'!$I:$I,L116)</f>
        <v>0</v>
      </c>
      <c r="AH116" s="1040">
        <f>SUMIFS('25-BRA-I-090'!$DJ:$DJ,'25-BRA-I-090'!$I:$I,L116)+SUMIFS('25-BRA-I-090'!$EC:$EC,'25-BRA-I-090'!$I:$I,L116)</f>
        <v>30</v>
      </c>
      <c r="AI116" s="1040">
        <f>SUMIFS('25-BRA-I-090'!$DK:$DK,'25-BRA-I-090'!$I:$I,L116)+SUMIFS('25-BRA-I-090'!$ED:$ED,'25-BRA-I-090'!$I:$I,L116)</f>
        <v>49.5</v>
      </c>
      <c r="AJ116" s="1040">
        <f>SUMIFS('25-BRA-I-090'!$DO:$DO,'25-BRA-I-090'!$I:$I,L116)+26400*SUMIFS('25-BRA-I-090'!$EF:$EF,'25-BRA-I-090'!$I:$I,L116)</f>
        <v>6388614.5454545449</v>
      </c>
      <c r="AK116" s="1072"/>
      <c r="AO116" s="1072"/>
      <c r="AR116" s="1065" t="s">
        <v>1299</v>
      </c>
      <c r="AS116" s="1065" t="s">
        <v>397</v>
      </c>
      <c r="AT116" s="1075" t="s">
        <v>1300</v>
      </c>
      <c r="AU116" s="1076" t="s">
        <v>1301</v>
      </c>
      <c r="AV116" s="1077" t="s">
        <v>61</v>
      </c>
    </row>
    <row r="117" spans="1:48" s="1039" customFormat="1" ht="45">
      <c r="A117" s="372"/>
      <c r="B117" s="1057" t="str">
        <f t="shared" si="14"/>
        <v>Pipe D114.3x6.02-seamless pipe-L12000</v>
      </c>
      <c r="C117" s="1058" t="str">
        <f>VLOOKUP(L117,'25-BRA-I-090'!$I:$EZ,4,0)</f>
        <v>SS304</v>
      </c>
      <c r="D117" s="374" t="str">
        <f t="shared" si="11"/>
        <v>Kg</v>
      </c>
      <c r="E117" s="183"/>
      <c r="F117" s="184">
        <f t="shared" si="24"/>
        <v>17.5</v>
      </c>
      <c r="G117" s="185">
        <f t="shared" si="24"/>
        <v>283.11111111111109</v>
      </c>
      <c r="H117" s="185">
        <f t="shared" si="30"/>
        <v>0</v>
      </c>
      <c r="I117" s="185">
        <f t="shared" si="31"/>
        <v>287.5</v>
      </c>
      <c r="J117" s="185">
        <f t="shared" si="27"/>
        <v>80000</v>
      </c>
      <c r="K117" s="185">
        <f t="shared" si="28"/>
        <v>23000000</v>
      </c>
      <c r="L117" s="1184" t="s">
        <v>1356</v>
      </c>
      <c r="M117" s="1059"/>
      <c r="N117" s="1059"/>
      <c r="O117" s="1038"/>
      <c r="P117" s="1054"/>
      <c r="Q117" s="1054"/>
      <c r="T117" s="1041"/>
      <c r="U117" s="1042"/>
      <c r="V117" s="1042"/>
      <c r="AA117" s="1039" t="str">
        <f>VLOOKUP(L117,'25-BRA-I-090'!$I:$EZ,2,0)</f>
        <v>Ống</v>
      </c>
      <c r="AB117" s="1039" t="str">
        <f>VLOOKUP(L117,'25-BRA-I-090'!$I:$EZ,3,0)</f>
        <v>Pipe D114.3x6.02-seamless pipe-L12000</v>
      </c>
      <c r="AC117" s="1039" t="s">
        <v>2620</v>
      </c>
      <c r="AD117" s="1039">
        <f>SUMIFS('25-BRA-I-090'!$CS:$CS,'25-BRA-I-090'!$I:$I,L117)</f>
        <v>17.5</v>
      </c>
      <c r="AE117" s="1039">
        <f>SUMIFS('25-BRA-I-090'!$CT:$CT,'25-BRA-I-090'!$I:$I,L117)</f>
        <v>283.11111111111109</v>
      </c>
      <c r="AF117" s="1039">
        <f>SUMIFS('25-BRA-I-090'!$CW:$CW,'25-BRA-I-090'!$I:$I,L117)</f>
        <v>0</v>
      </c>
      <c r="AG117" s="1039">
        <f>SUMIFS('25-BRA-I-090'!$CX:$CX,'25-BRA-I-090'!$I:$I,L117)</f>
        <v>0</v>
      </c>
      <c r="AH117" s="1040">
        <f>SUMIFS('25-BRA-I-090'!$DJ:$DJ,'25-BRA-I-090'!$I:$I,L117)+SUMIFS('25-BRA-I-090'!$EC:$EC,'25-BRA-I-090'!$I:$I,L117)</f>
        <v>18</v>
      </c>
      <c r="AI117" s="1040">
        <f>SUMIFS('25-BRA-I-090'!$DK:$DK,'25-BRA-I-090'!$I:$I,L117)+SUMIFS('25-BRA-I-090'!$ED:$ED,'25-BRA-I-090'!$I:$I,L117)</f>
        <v>287.5</v>
      </c>
      <c r="AJ117" s="1040">
        <f>SUMIFS('25-BRA-I-090'!$DO:$DO,'25-BRA-I-090'!$I:$I,L117)+26400*SUMIFS('25-BRA-I-090'!$EF:$EF,'25-BRA-I-090'!$I:$I,L117)</f>
        <v>23000000</v>
      </c>
      <c r="AK117" s="1072"/>
      <c r="AO117" s="1072"/>
      <c r="AR117" s="1065" t="s">
        <v>1356</v>
      </c>
      <c r="AS117" s="1065" t="s">
        <v>397</v>
      </c>
      <c r="AT117" s="1078" t="s">
        <v>1357</v>
      </c>
      <c r="AU117" s="1079" t="s">
        <v>1358</v>
      </c>
      <c r="AV117" s="1077" t="s">
        <v>61</v>
      </c>
    </row>
    <row r="118" spans="1:48" s="1039" customFormat="1" ht="30">
      <c r="A118" s="372"/>
      <c r="B118" s="1057" t="str">
        <f t="shared" si="14"/>
        <v>Long Elbow90-D114.3x6.02</v>
      </c>
      <c r="C118" s="1058" t="str">
        <f>VLOOKUP(L118,'25-BRA-I-090'!$I:$EZ,4,0)</f>
        <v>SS304</v>
      </c>
      <c r="D118" s="374" t="str">
        <f>AC118</f>
        <v>pcs</v>
      </c>
      <c r="E118" s="183"/>
      <c r="F118" s="184">
        <f>AD118</f>
        <v>5</v>
      </c>
      <c r="G118" s="185">
        <f>AE118</f>
        <v>25.5</v>
      </c>
      <c r="H118" s="185">
        <f>AF118</f>
        <v>0</v>
      </c>
      <c r="I118" s="185">
        <f>AH118</f>
        <v>5</v>
      </c>
      <c r="J118" s="185">
        <f>K118/I118</f>
        <v>785000</v>
      </c>
      <c r="K118" s="185">
        <f>AJ118</f>
        <v>3925000</v>
      </c>
      <c r="L118" s="1184" t="s">
        <v>1359</v>
      </c>
      <c r="M118" s="1059"/>
      <c r="N118" s="1059"/>
      <c r="O118" s="1038"/>
      <c r="P118" s="1054"/>
      <c r="Q118" s="1054"/>
      <c r="T118" s="1041"/>
      <c r="U118" s="1042"/>
      <c r="V118" s="1042"/>
      <c r="AA118" s="1039" t="str">
        <f>VLOOKUP(L118,'25-BRA-I-090'!$I:$EZ,2,0)</f>
        <v>Cút</v>
      </c>
      <c r="AB118" s="1039" t="str">
        <f>VLOOKUP(L118,'25-BRA-I-090'!$I:$EZ,3,0)</f>
        <v>Long Elbow90-D114.3x6.02</v>
      </c>
      <c r="AC118" s="1039" t="str">
        <f>VLOOKUP(L118,'25-BRA-I-090'!$I:$EZ,5,0)</f>
        <v>pcs</v>
      </c>
      <c r="AD118" s="1039">
        <f>SUMIFS('25-BRA-I-090'!$CS:$CS,'25-BRA-I-090'!$I:$I,L118)</f>
        <v>5</v>
      </c>
      <c r="AE118" s="1039">
        <f>SUMIFS('25-BRA-I-090'!$CT:$CT,'25-BRA-I-090'!$I:$I,L118)</f>
        <v>25.5</v>
      </c>
      <c r="AF118" s="1039">
        <f>SUMIFS('25-BRA-I-090'!$CW:$CW,'25-BRA-I-090'!$I:$I,L118)</f>
        <v>0</v>
      </c>
      <c r="AG118" s="1039">
        <f>SUMIFS('25-BRA-I-090'!$CX:$CX,'25-BRA-I-090'!$I:$I,L118)</f>
        <v>0</v>
      </c>
      <c r="AH118" s="1040">
        <f>SUMIFS('25-BRA-I-090'!$DJ:$DJ,'25-BRA-I-090'!$I:$I,L118)+SUMIFS('25-BRA-I-090'!$EC:$EC,'25-BRA-I-090'!$I:$I,L118)</f>
        <v>5</v>
      </c>
      <c r="AI118" s="1040">
        <f>SUMIFS('25-BRA-I-090'!$DK:$DK,'25-BRA-I-090'!$I:$I,L118)+SUMIFS('25-BRA-I-090'!$ED:$ED,'25-BRA-I-090'!$I:$I,L118)</f>
        <v>0</v>
      </c>
      <c r="AJ118" s="1040">
        <f>SUMIFS('25-BRA-I-090'!$DO:$DO,'25-BRA-I-090'!$I:$I,L118)+26400*SUMIFS('25-BRA-I-090'!$EF:$EF,'25-BRA-I-090'!$I:$I,L118)</f>
        <v>3925000</v>
      </c>
      <c r="AK118" s="1072"/>
      <c r="AO118" s="1072"/>
      <c r="AR118" s="1065" t="s">
        <v>1359</v>
      </c>
      <c r="AS118" s="1065" t="s">
        <v>1360</v>
      </c>
      <c r="AT118" s="1078" t="s">
        <v>1361</v>
      </c>
      <c r="AU118" s="1079" t="s">
        <v>1358</v>
      </c>
      <c r="AV118" s="1067" t="s">
        <v>345</v>
      </c>
    </row>
    <row r="119" spans="1:48" s="1039" customFormat="1">
      <c r="A119" s="372"/>
      <c r="B119" s="1057" t="str">
        <f t="shared" si="14"/>
        <v>PL10x450x850</v>
      </c>
      <c r="C119" s="1058" t="str">
        <f>VLOOKUP(L119,'25-BRA-I-090'!$I:$EZ,4,0)</f>
        <v>SS304</v>
      </c>
      <c r="D119" s="374" t="str">
        <f t="shared" si="11"/>
        <v>Kg</v>
      </c>
      <c r="E119" s="183"/>
      <c r="F119" s="184">
        <f t="shared" ref="F119:H134" si="32">AD119</f>
        <v>0.76500000000000001</v>
      </c>
      <c r="G119" s="185">
        <f t="shared" si="32"/>
        <v>60.664499999999997</v>
      </c>
      <c r="H119" s="185">
        <f t="shared" ref="H119:H120" si="33">AG119</f>
        <v>30.332249999999998</v>
      </c>
      <c r="I119" s="185">
        <f t="shared" ref="I119:I120" si="34">AI119</f>
        <v>30.2</v>
      </c>
      <c r="J119" s="185">
        <f t="shared" ref="J119:J182" si="35">K119/I119</f>
        <v>59090.909090909088</v>
      </c>
      <c r="K119" s="185">
        <f t="shared" ref="K119:K182" si="36">AJ119</f>
        <v>1784545.4545454544</v>
      </c>
      <c r="L119" s="1184" t="s">
        <v>1362</v>
      </c>
      <c r="M119" s="1059"/>
      <c r="N119" s="1059"/>
      <c r="O119" s="1038"/>
      <c r="P119" s="1054"/>
      <c r="Q119" s="1054"/>
      <c r="T119" s="1041"/>
      <c r="U119" s="1042"/>
      <c r="V119" s="1042"/>
      <c r="AA119" s="1039" t="str">
        <f>VLOOKUP(L119,'25-BRA-I-090'!$I:$EZ,2,0)</f>
        <v>Tôn tấm</v>
      </c>
      <c r="AB119" s="1039" t="str">
        <f>VLOOKUP(L119,'25-BRA-I-090'!$I:$EZ,3,0)</f>
        <v>PL10x450x850</v>
      </c>
      <c r="AC119" s="1039" t="s">
        <v>2620</v>
      </c>
      <c r="AD119" s="1039">
        <f>SUMIFS('25-BRA-I-090'!$CS:$CS,'25-BRA-I-090'!$I:$I,L119)</f>
        <v>0.76500000000000001</v>
      </c>
      <c r="AE119" s="1039">
        <f>SUMIFS('25-BRA-I-090'!$CT:$CT,'25-BRA-I-090'!$I:$I,L119)</f>
        <v>60.664499999999997</v>
      </c>
      <c r="AF119" s="1039">
        <f>SUMIFS('25-BRA-I-090'!$CW:$CW,'25-BRA-I-090'!$I:$I,L119)</f>
        <v>0.38250000000000001</v>
      </c>
      <c r="AG119" s="1039">
        <f>SUMIFS('25-BRA-I-090'!$CX:$CX,'25-BRA-I-090'!$I:$I,L119)</f>
        <v>30.332249999999998</v>
      </c>
      <c r="AH119" s="1040">
        <f>SUMIFS('25-BRA-I-090'!$DJ:$DJ,'25-BRA-I-090'!$I:$I,L119)+SUMIFS('25-BRA-I-090'!$EC:$EC,'25-BRA-I-090'!$I:$I,L119)</f>
        <v>0.38250000000000001</v>
      </c>
      <c r="AI119" s="1040">
        <f>SUMIFS('25-BRA-I-090'!$DK:$DK,'25-BRA-I-090'!$I:$I,L119)+SUMIFS('25-BRA-I-090'!$ED:$ED,'25-BRA-I-090'!$I:$I,L119)</f>
        <v>30.2</v>
      </c>
      <c r="AJ119" s="1040">
        <f>SUMIFS('25-BRA-I-090'!$DO:$DO,'25-BRA-I-090'!$I:$I,L119)+26400*SUMIFS('25-BRA-I-090'!$EF:$EF,'25-BRA-I-090'!$I:$I,L119)</f>
        <v>1784545.4545454544</v>
      </c>
      <c r="AK119" s="1072"/>
      <c r="AO119" s="1072"/>
      <c r="AR119" s="1065" t="s">
        <v>1362</v>
      </c>
      <c r="AS119" s="1065" t="s">
        <v>235</v>
      </c>
      <c r="AT119" s="1064" t="s">
        <v>1363</v>
      </c>
      <c r="AU119" s="1079" t="s">
        <v>1358</v>
      </c>
      <c r="AV119" s="1067" t="s">
        <v>44</v>
      </c>
    </row>
    <row r="120" spans="1:48" s="1039" customFormat="1">
      <c r="A120" s="372"/>
      <c r="B120" s="1057" t="str">
        <f t="shared" si="14"/>
        <v>PL2x1250x2500</v>
      </c>
      <c r="C120" s="1058" t="str">
        <f>VLOOKUP(L120,'25-BRA-I-090'!$I:$EZ,4,0)</f>
        <v>SS304</v>
      </c>
      <c r="D120" s="374" t="str">
        <f t="shared" si="11"/>
        <v>Kg</v>
      </c>
      <c r="E120" s="183"/>
      <c r="F120" s="184">
        <f t="shared" si="32"/>
        <v>359.375</v>
      </c>
      <c r="G120" s="185">
        <f t="shared" si="32"/>
        <v>5699.6875</v>
      </c>
      <c r="H120" s="185">
        <f t="shared" si="33"/>
        <v>438.96348470000004</v>
      </c>
      <c r="I120" s="185">
        <f t="shared" si="34"/>
        <v>5292</v>
      </c>
      <c r="J120" s="185">
        <f t="shared" si="35"/>
        <v>52091</v>
      </c>
      <c r="K120" s="185">
        <f t="shared" si="36"/>
        <v>275665572</v>
      </c>
      <c r="L120" s="1184" t="s">
        <v>1465</v>
      </c>
      <c r="M120" s="1059"/>
      <c r="N120" s="1059"/>
      <c r="O120" s="1038"/>
      <c r="P120" s="1054"/>
      <c r="Q120" s="1054"/>
      <c r="T120" s="1041"/>
      <c r="U120" s="1042"/>
      <c r="V120" s="1042"/>
      <c r="AA120" s="1039" t="str">
        <f>VLOOKUP(L120,'25-BRA-I-090'!$I:$EZ,2,0)</f>
        <v>Tôn tấm</v>
      </c>
      <c r="AB120" s="1039" t="str">
        <f>VLOOKUP(L120,'25-BRA-I-090'!$I:$EZ,3,0)</f>
        <v>PL2x1250x2500</v>
      </c>
      <c r="AC120" s="1039" t="s">
        <v>2620</v>
      </c>
      <c r="AD120" s="1039">
        <f>SUMIFS('25-BRA-I-090'!$CS:$CS,'25-BRA-I-090'!$I:$I,L120)</f>
        <v>359.375</v>
      </c>
      <c r="AE120" s="1039">
        <f>SUMIFS('25-BRA-I-090'!$CT:$CT,'25-BRA-I-090'!$I:$I,L120)</f>
        <v>5699.6875</v>
      </c>
      <c r="AF120" s="1039">
        <f>SUMIFS('25-BRA-I-090'!$CW:$CW,'25-BRA-I-090'!$I:$I,L120)</f>
        <v>27.677395000000004</v>
      </c>
      <c r="AG120" s="1039">
        <f>SUMIFS('25-BRA-I-090'!$CX:$CX,'25-BRA-I-090'!$I:$I,L120)</f>
        <v>438.96348470000004</v>
      </c>
      <c r="AH120" s="1040">
        <f>SUMIFS('25-BRA-I-090'!$DJ:$DJ,'25-BRA-I-090'!$I:$I,L120)+SUMIFS('25-BRA-I-090'!$EC:$EC,'25-BRA-I-090'!$I:$I,L120)</f>
        <v>340.16774999999996</v>
      </c>
      <c r="AI120" s="1040">
        <f>SUMIFS('25-BRA-I-090'!$DK:$DK,'25-BRA-I-090'!$I:$I,L120)+SUMIFS('25-BRA-I-090'!$ED:$ED,'25-BRA-I-090'!$I:$I,L120)</f>
        <v>5292</v>
      </c>
      <c r="AJ120" s="1040">
        <f>SUMIFS('25-BRA-I-090'!$DO:$DO,'25-BRA-I-090'!$I:$I,L120)+26400*SUMIFS('25-BRA-I-090'!$EF:$EF,'25-BRA-I-090'!$I:$I,L120)</f>
        <v>275665572</v>
      </c>
      <c r="AK120" s="1072"/>
      <c r="AO120" s="1072"/>
      <c r="AR120" s="1065" t="s">
        <v>1465</v>
      </c>
      <c r="AS120" s="1065" t="s">
        <v>235</v>
      </c>
      <c r="AT120" s="1064" t="s">
        <v>1466</v>
      </c>
      <c r="AU120" s="1079" t="s">
        <v>1358</v>
      </c>
      <c r="AV120" s="1067" t="s">
        <v>44</v>
      </c>
    </row>
    <row r="121" spans="1:48" s="1039" customFormat="1">
      <c r="A121" s="372"/>
      <c r="B121" s="1057" t="str">
        <f t="shared" si="14"/>
        <v>PL10x600x1500</v>
      </c>
      <c r="C121" s="1058" t="str">
        <f>VLOOKUP(L121,'25-BRA-I-090'!$I:$EZ,4,0)</f>
        <v>SS304</v>
      </c>
      <c r="D121" s="374" t="str">
        <f t="shared" si="11"/>
        <v>m2</v>
      </c>
      <c r="E121" s="183"/>
      <c r="F121" s="184">
        <f t="shared" si="32"/>
        <v>0.89999999999999991</v>
      </c>
      <c r="G121" s="185">
        <f t="shared" si="32"/>
        <v>71.36999999999999</v>
      </c>
      <c r="H121" s="185">
        <f t="shared" si="32"/>
        <v>0.89999999999999991</v>
      </c>
      <c r="I121" s="185">
        <f t="shared" ref="I121:I123" si="37">AH121</f>
        <v>0</v>
      </c>
      <c r="J121" s="185" t="e">
        <f t="shared" si="35"/>
        <v>#DIV/0!</v>
      </c>
      <c r="K121" s="185">
        <f t="shared" si="36"/>
        <v>0</v>
      </c>
      <c r="L121" s="1184" t="s">
        <v>1467</v>
      </c>
      <c r="M121" s="1059"/>
      <c r="N121" s="1059"/>
      <c r="O121" s="1038"/>
      <c r="P121" s="1054"/>
      <c r="Q121" s="1054"/>
      <c r="T121" s="1041"/>
      <c r="U121" s="1042"/>
      <c r="V121" s="1042"/>
      <c r="AA121" s="1039" t="str">
        <f>VLOOKUP(L121,'25-BRA-I-090'!$I:$EZ,2,0)</f>
        <v>Tôn tấm</v>
      </c>
      <c r="AB121" s="1039" t="str">
        <f>VLOOKUP(L121,'25-BRA-I-090'!$I:$EZ,3,0)</f>
        <v>PL10x600x1500</v>
      </c>
      <c r="AC121" s="1039" t="str">
        <f>VLOOKUP(L121,'25-BRA-I-090'!$I:$EZ,5,0)</f>
        <v>m2</v>
      </c>
      <c r="AD121" s="1039">
        <f>SUMIFS('25-BRA-I-090'!$CS:$CS,'25-BRA-I-090'!$I:$I,L121)</f>
        <v>0.89999999999999991</v>
      </c>
      <c r="AE121" s="1039">
        <f>SUMIFS('25-BRA-I-090'!$CT:$CT,'25-BRA-I-090'!$I:$I,L121)</f>
        <v>71.36999999999999</v>
      </c>
      <c r="AF121" s="1039">
        <f>SUMIFS('25-BRA-I-090'!$CW:$CW,'25-BRA-I-090'!$I:$I,L121)</f>
        <v>0.89999999999999991</v>
      </c>
      <c r="AG121" s="1039">
        <f>SUMIFS('25-BRA-I-090'!$CX:$CX,'25-BRA-I-090'!$I:$I,L121)</f>
        <v>71.36999999999999</v>
      </c>
      <c r="AH121" s="1040">
        <f>SUMIFS('25-BRA-I-090'!$DJ:$DJ,'25-BRA-I-090'!$I:$I,L121)+SUMIFS('25-BRA-I-090'!$EC:$EC,'25-BRA-I-090'!$I:$I,L121)</f>
        <v>0</v>
      </c>
      <c r="AI121" s="1040">
        <f>SUMIFS('25-BRA-I-090'!$DK:$DK,'25-BRA-I-090'!$I:$I,L121)+SUMIFS('25-BRA-I-090'!$ED:$ED,'25-BRA-I-090'!$I:$I,L121)</f>
        <v>0</v>
      </c>
      <c r="AJ121" s="1040">
        <f>SUMIFS('25-BRA-I-090'!$DO:$DO,'25-BRA-I-090'!$I:$I,L121)+26400*SUMIFS('25-BRA-I-090'!$EF:$EF,'25-BRA-I-090'!$I:$I,L121)</f>
        <v>0</v>
      </c>
      <c r="AK121" s="1072"/>
      <c r="AO121" s="1072"/>
      <c r="AR121" s="1065" t="s">
        <v>1467</v>
      </c>
      <c r="AS121" s="1065" t="s">
        <v>235</v>
      </c>
      <c r="AT121" s="1064" t="s">
        <v>1468</v>
      </c>
      <c r="AU121" s="1079" t="s">
        <v>1358</v>
      </c>
      <c r="AV121" s="1067" t="s">
        <v>44</v>
      </c>
    </row>
    <row r="122" spans="1:48" s="1039" customFormat="1" ht="30">
      <c r="A122" s="372"/>
      <c r="B122" s="1057" t="str">
        <f t="shared" si="14"/>
        <v>CPL4x1500x1000</v>
      </c>
      <c r="C122" s="1058" t="str">
        <f>VLOOKUP(L122,'25-BRA-I-090'!$I:$EZ,4,0)</f>
        <v>A36</v>
      </c>
      <c r="D122" s="374" t="str">
        <f t="shared" si="11"/>
        <v>m2</v>
      </c>
      <c r="E122" s="183"/>
      <c r="F122" s="184">
        <f t="shared" si="32"/>
        <v>1.5</v>
      </c>
      <c r="G122" s="185">
        <f t="shared" si="32"/>
        <v>52.5</v>
      </c>
      <c r="H122" s="185">
        <f t="shared" si="32"/>
        <v>1.5</v>
      </c>
      <c r="I122" s="185">
        <f t="shared" si="37"/>
        <v>0</v>
      </c>
      <c r="J122" s="185" t="e">
        <f t="shared" si="35"/>
        <v>#DIV/0!</v>
      </c>
      <c r="K122" s="185">
        <f t="shared" si="36"/>
        <v>0</v>
      </c>
      <c r="L122" s="1184" t="s">
        <v>1520</v>
      </c>
      <c r="M122" s="1059"/>
      <c r="N122" s="1059"/>
      <c r="O122" s="1038"/>
      <c r="P122" s="1054"/>
      <c r="Q122" s="1054"/>
      <c r="T122" s="1041"/>
      <c r="U122" s="1042"/>
      <c r="V122" s="1042"/>
      <c r="AA122" s="1039" t="str">
        <f>VLOOKUP(L122,'25-BRA-I-090'!$I:$EZ,2,0)</f>
        <v>Tôn chống trượt</v>
      </c>
      <c r="AB122" s="1039" t="str">
        <f>VLOOKUP(L122,'25-BRA-I-090'!$I:$EZ,3,0)</f>
        <v>CPL4x1500x1000</v>
      </c>
      <c r="AC122" s="1039" t="str">
        <f>VLOOKUP(L122,'25-BRA-I-090'!$I:$EZ,5,0)</f>
        <v>m2</v>
      </c>
      <c r="AD122" s="1039">
        <f>SUMIFS('25-BRA-I-090'!$CS:$CS,'25-BRA-I-090'!$I:$I,L122)</f>
        <v>1.5</v>
      </c>
      <c r="AE122" s="1039">
        <f>SUMIFS('25-BRA-I-090'!$CT:$CT,'25-BRA-I-090'!$I:$I,L122)</f>
        <v>52.5</v>
      </c>
      <c r="AF122" s="1039">
        <f>SUMIFS('25-BRA-I-090'!$CW:$CW,'25-BRA-I-090'!$I:$I,L122)</f>
        <v>1.5</v>
      </c>
      <c r="AG122" s="1039">
        <f>SUMIFS('25-BRA-I-090'!$CX:$CX,'25-BRA-I-090'!$I:$I,L122)</f>
        <v>52.5</v>
      </c>
      <c r="AH122" s="1040">
        <f>SUMIFS('25-BRA-I-090'!$DJ:$DJ,'25-BRA-I-090'!$I:$I,L122)+SUMIFS('25-BRA-I-090'!$EC:$EC,'25-BRA-I-090'!$I:$I,L122)</f>
        <v>0</v>
      </c>
      <c r="AI122" s="1040">
        <f>SUMIFS('25-BRA-I-090'!$DK:$DK,'25-BRA-I-090'!$I:$I,L122)+SUMIFS('25-BRA-I-090'!$ED:$ED,'25-BRA-I-090'!$I:$I,L122)</f>
        <v>0</v>
      </c>
      <c r="AJ122" s="1040">
        <f>SUMIFS('25-BRA-I-090'!$DO:$DO,'25-BRA-I-090'!$I:$I,L122)+26400*SUMIFS('25-BRA-I-090'!$EF:$EF,'25-BRA-I-090'!$I:$I,L122)</f>
        <v>0</v>
      </c>
      <c r="AK122" s="1072"/>
      <c r="AO122" s="1072"/>
      <c r="AR122" s="1065" t="s">
        <v>1520</v>
      </c>
      <c r="AS122" s="1065" t="s">
        <v>1521</v>
      </c>
      <c r="AT122" s="1064" t="s">
        <v>1522</v>
      </c>
      <c r="AU122" s="1079" t="s">
        <v>371</v>
      </c>
      <c r="AV122" s="1067" t="s">
        <v>44</v>
      </c>
    </row>
    <row r="123" spans="1:48" s="1039" customFormat="1">
      <c r="A123" s="372"/>
      <c r="B123" s="1057" t="str">
        <f t="shared" si="14"/>
        <v>C41x41x2-L6000</v>
      </c>
      <c r="C123" s="1058" t="str">
        <f>VLOOKUP(L123,'25-BRA-I-090'!$I:$EZ,4,0)</f>
        <v>St-Galv</v>
      </c>
      <c r="D123" s="374" t="str">
        <f t="shared" si="11"/>
        <v>m</v>
      </c>
      <c r="E123" s="183"/>
      <c r="F123" s="184">
        <f t="shared" si="32"/>
        <v>868</v>
      </c>
      <c r="G123" s="185">
        <f t="shared" si="32"/>
        <v>1822.8000000000002</v>
      </c>
      <c r="H123" s="185">
        <f t="shared" si="32"/>
        <v>0</v>
      </c>
      <c r="I123" s="185">
        <f t="shared" si="37"/>
        <v>870</v>
      </c>
      <c r="J123" s="185">
        <f t="shared" si="35"/>
        <v>70.509500000000003</v>
      </c>
      <c r="K123" s="185">
        <f t="shared" si="36"/>
        <v>61343.264999999999</v>
      </c>
      <c r="L123" s="1184" t="s">
        <v>1523</v>
      </c>
      <c r="M123" s="1059"/>
      <c r="N123" s="1059"/>
      <c r="O123" s="1038"/>
      <c r="P123" s="1054"/>
      <c r="Q123" s="1054"/>
      <c r="T123" s="1041"/>
      <c r="U123" s="1042"/>
      <c r="V123" s="1042"/>
      <c r="AA123" s="1039" t="str">
        <f>VLOOKUP(L123,'25-BRA-I-090'!$I:$EZ,2,0)</f>
        <v>Thép hình-C</v>
      </c>
      <c r="AB123" s="1039" t="str">
        <f>VLOOKUP(L123,'25-BRA-I-090'!$I:$EZ,3,0)</f>
        <v>C41x41x2-L6000</v>
      </c>
      <c r="AC123" s="1039" t="str">
        <f>VLOOKUP(L123,'25-BRA-I-090'!$I:$EZ,5,0)</f>
        <v>m</v>
      </c>
      <c r="AD123" s="1039">
        <f>SUMIFS('25-BRA-I-090'!$CS:$CS,'25-BRA-I-090'!$I:$I,L123)</f>
        <v>868</v>
      </c>
      <c r="AE123" s="1039">
        <f>SUMIFS('25-BRA-I-090'!$CT:$CT,'25-BRA-I-090'!$I:$I,L123)</f>
        <v>1822.8000000000002</v>
      </c>
      <c r="AF123" s="1039">
        <f>SUMIFS('25-BRA-I-090'!$CW:$CW,'25-BRA-I-090'!$I:$I,L123)</f>
        <v>0</v>
      </c>
      <c r="AG123" s="1039">
        <f>SUMIFS('25-BRA-I-090'!$CX:$CX,'25-BRA-I-090'!$I:$I,L123)</f>
        <v>0</v>
      </c>
      <c r="AH123" s="1040">
        <f>SUMIFS('25-BRA-I-090'!$DJ:$DJ,'25-BRA-I-090'!$I:$I,L123)+SUMIFS('25-BRA-I-090'!$EC:$EC,'25-BRA-I-090'!$I:$I,L123)</f>
        <v>870</v>
      </c>
      <c r="AI123" s="1040">
        <f>SUMIFS('25-BRA-I-090'!$DK:$DK,'25-BRA-I-090'!$I:$I,L123)+SUMIFS('25-BRA-I-090'!$ED:$ED,'25-BRA-I-090'!$I:$I,L123)</f>
        <v>0</v>
      </c>
      <c r="AJ123" s="1040">
        <f>SUMIFS('25-BRA-I-090'!$DO:$DO,'25-BRA-I-090'!$I:$I,L123)+26400*SUMIFS('25-BRA-I-090'!$EF:$EF,'25-BRA-I-090'!$I:$I,L123)</f>
        <v>61343.264999999999</v>
      </c>
      <c r="AK123" s="1072"/>
      <c r="AO123" s="1072"/>
      <c r="AR123" s="1065" t="s">
        <v>1523</v>
      </c>
      <c r="AS123" s="1065" t="s">
        <v>277</v>
      </c>
      <c r="AT123" s="1064" t="s">
        <v>1524</v>
      </c>
      <c r="AU123" s="1079" t="s">
        <v>838</v>
      </c>
      <c r="AV123" s="1067" t="s">
        <v>61</v>
      </c>
    </row>
    <row r="124" spans="1:48" s="1039" customFormat="1" ht="60">
      <c r="A124" s="372"/>
      <c r="B124" s="1057" t="str">
        <f t="shared" si="14"/>
        <v>HEB200(H200x200x9x15)/JIS H200x200x8x12-L12000</v>
      </c>
      <c r="C124" s="1058" t="str">
        <f>VLOOKUP(L124,'25-BRA-I-090'!$I:$EZ,4,0)</f>
        <v>ASTM A36/JIS G3101 SS400</v>
      </c>
      <c r="D124" s="374" t="str">
        <f t="shared" si="11"/>
        <v>Kg</v>
      </c>
      <c r="E124" s="183"/>
      <c r="F124" s="184">
        <f t="shared" si="32"/>
        <v>187</v>
      </c>
      <c r="G124" s="185">
        <f t="shared" si="32"/>
        <v>11463.099999999999</v>
      </c>
      <c r="H124" s="185">
        <f t="shared" ref="H124:H138" si="38">AG124</f>
        <v>0</v>
      </c>
      <c r="I124" s="185">
        <f t="shared" ref="I124:I138" si="39">AI124</f>
        <v>9580.7999999999993</v>
      </c>
      <c r="J124" s="185">
        <f t="shared" si="35"/>
        <v>17556.82</v>
      </c>
      <c r="K124" s="185">
        <f t="shared" si="36"/>
        <v>168208381.05599999</v>
      </c>
      <c r="L124" s="1184" t="s">
        <v>1525</v>
      </c>
      <c r="M124" s="1059"/>
      <c r="N124" s="1059"/>
      <c r="O124" s="1038"/>
      <c r="P124" s="1054"/>
      <c r="Q124" s="1054"/>
      <c r="T124" s="1041"/>
      <c r="U124" s="1042"/>
      <c r="V124" s="1042"/>
      <c r="AA124" s="1039" t="str">
        <f>VLOOKUP(L124,'25-BRA-I-090'!$I:$EZ,2,0)</f>
        <v>Thép hình-H</v>
      </c>
      <c r="AB124" s="1039" t="str">
        <f>VLOOKUP(L124,'25-BRA-I-090'!$I:$EZ,3,0)</f>
        <v>HEB200(H200x200x9x15)/JIS H200x200x8x12-L12000</v>
      </c>
      <c r="AC124" s="1039" t="s">
        <v>2620</v>
      </c>
      <c r="AD124" s="1039">
        <f>SUMIFS('25-BRA-I-090'!$CS:$CS,'25-BRA-I-090'!$I:$I,L124)</f>
        <v>187</v>
      </c>
      <c r="AE124" s="1039">
        <f>SUMIFS('25-BRA-I-090'!$CT:$CT,'25-BRA-I-090'!$I:$I,L124)</f>
        <v>11463.099999999999</v>
      </c>
      <c r="AF124" s="1039">
        <f>SUMIFS('25-BRA-I-090'!$CW:$CW,'25-BRA-I-090'!$I:$I,L124)</f>
        <v>0</v>
      </c>
      <c r="AG124" s="1039">
        <f>SUMIFS('25-BRA-I-090'!$CX:$CX,'25-BRA-I-090'!$I:$I,L124)</f>
        <v>0</v>
      </c>
      <c r="AH124" s="1040">
        <f>SUMIFS('25-BRA-I-090'!$DJ:$DJ,'25-BRA-I-090'!$I:$I,L124)+SUMIFS('25-BRA-I-090'!$EC:$EC,'25-BRA-I-090'!$I:$I,L124)</f>
        <v>192</v>
      </c>
      <c r="AI124" s="1040">
        <f>SUMIFS('25-BRA-I-090'!$DK:$DK,'25-BRA-I-090'!$I:$I,L124)+SUMIFS('25-BRA-I-090'!$ED:$ED,'25-BRA-I-090'!$I:$I,L124)</f>
        <v>9580.7999999999993</v>
      </c>
      <c r="AJ124" s="1040">
        <f>SUMIFS('25-BRA-I-090'!$DO:$DO,'25-BRA-I-090'!$I:$I,L124)+26400*SUMIFS('25-BRA-I-090'!$EF:$EF,'25-BRA-I-090'!$I:$I,L124)</f>
        <v>168208381.05599999</v>
      </c>
      <c r="AK124" s="1072"/>
      <c r="AO124" s="1072"/>
      <c r="AR124" s="1065" t="s">
        <v>1525</v>
      </c>
      <c r="AS124" s="1065" t="s">
        <v>267</v>
      </c>
      <c r="AT124" s="1064" t="s">
        <v>1526</v>
      </c>
      <c r="AU124" s="1079" t="s">
        <v>1527</v>
      </c>
      <c r="AV124" s="1067" t="s">
        <v>61</v>
      </c>
    </row>
    <row r="125" spans="1:48" s="1039" customFormat="1" ht="60">
      <c r="A125" s="372"/>
      <c r="B125" s="1057" t="str">
        <f t="shared" si="14"/>
        <v>UPN120(C120x55x7x9)/JIS C125x65x6x8-L12000</v>
      </c>
      <c r="C125" s="1058" t="str">
        <f>VLOOKUP(L125,'25-BRA-I-090'!$I:$EZ,4,0)</f>
        <v>ASTM A36/JIS G3101 SS400</v>
      </c>
      <c r="D125" s="374" t="str">
        <f t="shared" si="11"/>
        <v>Kg</v>
      </c>
      <c r="E125" s="183"/>
      <c r="F125" s="184">
        <f t="shared" si="32"/>
        <v>60</v>
      </c>
      <c r="G125" s="185">
        <f t="shared" si="32"/>
        <v>798</v>
      </c>
      <c r="H125" s="185">
        <f t="shared" si="38"/>
        <v>0</v>
      </c>
      <c r="I125" s="185">
        <f t="shared" si="39"/>
        <v>804.40000000000009</v>
      </c>
      <c r="J125" s="185">
        <f t="shared" si="35"/>
        <v>11045.519492789657</v>
      </c>
      <c r="K125" s="185">
        <f t="shared" si="36"/>
        <v>8885015.8800000008</v>
      </c>
      <c r="L125" s="1184" t="s">
        <v>1528</v>
      </c>
      <c r="M125" s="1059"/>
      <c r="N125" s="1059"/>
      <c r="O125" s="1038"/>
      <c r="P125" s="1054"/>
      <c r="Q125" s="1054"/>
      <c r="T125" s="1041"/>
      <c r="U125" s="1042"/>
      <c r="V125" s="1042"/>
      <c r="AA125" s="1039" t="str">
        <f>VLOOKUP(L125,'25-BRA-I-090'!$I:$EZ,2,0)</f>
        <v>Thép hình-C</v>
      </c>
      <c r="AB125" s="1039" t="str">
        <f>VLOOKUP(L125,'25-BRA-I-090'!$I:$EZ,3,0)</f>
        <v>UPN120(C120x55x7x9)/JIS C125x65x6x8-L12000</v>
      </c>
      <c r="AC125" s="1039" t="s">
        <v>2620</v>
      </c>
      <c r="AD125" s="1039">
        <f>SUMIFS('25-BRA-I-090'!$CS:$CS,'25-BRA-I-090'!$I:$I,L125)</f>
        <v>60</v>
      </c>
      <c r="AE125" s="1039">
        <f>SUMIFS('25-BRA-I-090'!$CT:$CT,'25-BRA-I-090'!$I:$I,L125)</f>
        <v>798</v>
      </c>
      <c r="AF125" s="1039">
        <f>SUMIFS('25-BRA-I-090'!$CW:$CW,'25-BRA-I-090'!$I:$I,L125)</f>
        <v>0</v>
      </c>
      <c r="AG125" s="1039">
        <f>SUMIFS('25-BRA-I-090'!$CX:$CX,'25-BRA-I-090'!$I:$I,L125)</f>
        <v>0</v>
      </c>
      <c r="AH125" s="1040">
        <f>SUMIFS('25-BRA-I-090'!$DJ:$DJ,'25-BRA-I-090'!$I:$I,L125)+SUMIFS('25-BRA-I-090'!$EC:$EC,'25-BRA-I-090'!$I:$I,L125)</f>
        <v>60</v>
      </c>
      <c r="AI125" s="1040">
        <f>SUMIFS('25-BRA-I-090'!$DK:$DK,'25-BRA-I-090'!$I:$I,L125)+SUMIFS('25-BRA-I-090'!$ED:$ED,'25-BRA-I-090'!$I:$I,L125)</f>
        <v>804.40000000000009</v>
      </c>
      <c r="AJ125" s="1040">
        <f>SUMIFS('25-BRA-I-090'!$DO:$DO,'25-BRA-I-090'!$I:$I,L125)+26400*SUMIFS('25-BRA-I-090'!$EF:$EF,'25-BRA-I-090'!$I:$I,L125)</f>
        <v>8885015.8800000008</v>
      </c>
      <c r="AK125" s="1072"/>
      <c r="AO125" s="1072"/>
      <c r="AR125" s="1065" t="s">
        <v>1528</v>
      </c>
      <c r="AS125" s="1065" t="s">
        <v>277</v>
      </c>
      <c r="AT125" s="1064" t="s">
        <v>1529</v>
      </c>
      <c r="AU125" s="1079" t="s">
        <v>1527</v>
      </c>
      <c r="AV125" s="1067" t="s">
        <v>61</v>
      </c>
    </row>
    <row r="126" spans="1:48" s="1039" customFormat="1">
      <c r="A126" s="372"/>
      <c r="B126" s="1057" t="str">
        <f t="shared" si="14"/>
        <v>Pipe D26.67x2.6</v>
      </c>
      <c r="C126" s="1058" t="str">
        <f>VLOOKUP(L126,'25-BRA-I-090'!$I:$EZ,4,0)</f>
        <v>SUS304</v>
      </c>
      <c r="D126" s="374" t="str">
        <f t="shared" si="11"/>
        <v>Kg</v>
      </c>
      <c r="E126" s="183"/>
      <c r="F126" s="184">
        <f t="shared" si="32"/>
        <v>3.1</v>
      </c>
      <c r="G126" s="185">
        <f t="shared" si="32"/>
        <v>4.8360000000000021</v>
      </c>
      <c r="H126" s="185">
        <f t="shared" si="38"/>
        <v>4.8360000000000021</v>
      </c>
      <c r="I126" s="185">
        <f t="shared" si="39"/>
        <v>0</v>
      </c>
      <c r="J126" s="185" t="e">
        <f t="shared" si="35"/>
        <v>#DIV/0!</v>
      </c>
      <c r="K126" s="185">
        <f t="shared" si="36"/>
        <v>0</v>
      </c>
      <c r="L126" s="1184" t="s">
        <v>1562</v>
      </c>
      <c r="M126" s="1059"/>
      <c r="N126" s="1059"/>
      <c r="O126" s="1038"/>
      <c r="P126" s="1054"/>
      <c r="Q126" s="1054"/>
      <c r="T126" s="1041"/>
      <c r="U126" s="1042"/>
      <c r="V126" s="1042"/>
      <c r="AA126" s="1039" t="str">
        <f>VLOOKUP(L126,'25-BRA-I-090'!$I:$EZ,2,0)</f>
        <v>Ống</v>
      </c>
      <c r="AB126" s="1039" t="str">
        <f>VLOOKUP(L126,'25-BRA-I-090'!$I:$EZ,3,0)</f>
        <v>Pipe D26.67x2.6</v>
      </c>
      <c r="AC126" s="1039" t="s">
        <v>2620</v>
      </c>
      <c r="AD126" s="1039">
        <f>SUMIFS('25-BRA-I-090'!$CS:$CS,'25-BRA-I-090'!$I:$I,L126)</f>
        <v>3.1</v>
      </c>
      <c r="AE126" s="1039">
        <f>SUMIFS('25-BRA-I-090'!$CT:$CT,'25-BRA-I-090'!$I:$I,L126)</f>
        <v>4.8360000000000021</v>
      </c>
      <c r="AF126" s="1039">
        <f>SUMIFS('25-BRA-I-090'!$CW:$CW,'25-BRA-I-090'!$I:$I,L126)</f>
        <v>3.1</v>
      </c>
      <c r="AG126" s="1039">
        <f>SUMIFS('25-BRA-I-090'!$CX:$CX,'25-BRA-I-090'!$I:$I,L126)</f>
        <v>4.8360000000000021</v>
      </c>
      <c r="AH126" s="1040">
        <f>SUMIFS('25-BRA-I-090'!$DJ:$DJ,'25-BRA-I-090'!$I:$I,L126)+SUMIFS('25-BRA-I-090'!$EC:$EC,'25-BRA-I-090'!$I:$I,L126)</f>
        <v>0</v>
      </c>
      <c r="AI126" s="1040">
        <f>SUMIFS('25-BRA-I-090'!$DK:$DK,'25-BRA-I-090'!$I:$I,L126)+SUMIFS('25-BRA-I-090'!$ED:$ED,'25-BRA-I-090'!$I:$I,L126)</f>
        <v>0</v>
      </c>
      <c r="AJ126" s="1040">
        <f>SUMIFS('25-BRA-I-090'!$DO:$DO,'25-BRA-I-090'!$I:$I,L126)+26400*SUMIFS('25-BRA-I-090'!$EF:$EF,'25-BRA-I-090'!$I:$I,L126)</f>
        <v>0</v>
      </c>
      <c r="AK126" s="1072"/>
      <c r="AO126" s="1072"/>
      <c r="AR126" s="1065" t="s">
        <v>1562</v>
      </c>
      <c r="AS126" s="1065" t="s">
        <v>397</v>
      </c>
      <c r="AT126" s="1065" t="s">
        <v>1563</v>
      </c>
      <c r="AU126" s="1080" t="s">
        <v>74</v>
      </c>
      <c r="AV126" s="1067" t="s">
        <v>61</v>
      </c>
    </row>
    <row r="127" spans="1:48" s="1039" customFormat="1">
      <c r="A127" s="372"/>
      <c r="B127" s="1057" t="str">
        <f t="shared" si="14"/>
        <v>PL1x350x400</v>
      </c>
      <c r="C127" s="1058" t="str">
        <f>VLOOKUP(L127,'25-BRA-I-090'!$I:$EZ,4,0)</f>
        <v>SUS304</v>
      </c>
      <c r="D127" s="374" t="str">
        <f t="shared" si="11"/>
        <v>Kg</v>
      </c>
      <c r="E127" s="183"/>
      <c r="F127" s="184">
        <f t="shared" si="32"/>
        <v>0.13999999999999999</v>
      </c>
      <c r="G127" s="185">
        <f t="shared" si="32"/>
        <v>1.1101999999999999</v>
      </c>
      <c r="H127" s="185">
        <f t="shared" si="38"/>
        <v>0</v>
      </c>
      <c r="I127" s="185">
        <f t="shared" si="39"/>
        <v>3.5</v>
      </c>
      <c r="J127" s="185">
        <f t="shared" si="35"/>
        <v>59090.909090909096</v>
      </c>
      <c r="K127" s="185">
        <f t="shared" si="36"/>
        <v>206818.18181818182</v>
      </c>
      <c r="L127" s="1184" t="s">
        <v>1564</v>
      </c>
      <c r="M127" s="1059"/>
      <c r="N127" s="1059"/>
      <c r="O127" s="1038"/>
      <c r="P127" s="1054"/>
      <c r="Q127" s="1054"/>
      <c r="T127" s="1041"/>
      <c r="U127" s="1042"/>
      <c r="V127" s="1042"/>
      <c r="AA127" s="1039" t="str">
        <f>VLOOKUP(L127,'25-BRA-I-090'!$I:$EZ,2,0)</f>
        <v>Tôn tấm</v>
      </c>
      <c r="AB127" s="1039" t="str">
        <f>VLOOKUP(L127,'25-BRA-I-090'!$I:$EZ,3,0)</f>
        <v>PL1x350x400</v>
      </c>
      <c r="AC127" s="1039" t="s">
        <v>2620</v>
      </c>
      <c r="AD127" s="1039">
        <f>SUMIFS('25-BRA-I-090'!$CS:$CS,'25-BRA-I-090'!$I:$I,L127)</f>
        <v>0.13999999999999999</v>
      </c>
      <c r="AE127" s="1039">
        <f>SUMIFS('25-BRA-I-090'!$CT:$CT,'25-BRA-I-090'!$I:$I,L127)</f>
        <v>1.1101999999999999</v>
      </c>
      <c r="AF127" s="1039">
        <f>SUMIFS('25-BRA-I-090'!$CW:$CW,'25-BRA-I-090'!$I:$I,L127)</f>
        <v>0</v>
      </c>
      <c r="AG127" s="1039">
        <f>SUMIFS('25-BRA-I-090'!$CX:$CX,'25-BRA-I-090'!$I:$I,L127)</f>
        <v>0</v>
      </c>
      <c r="AH127" s="1040">
        <f>SUMIFS('25-BRA-I-090'!$DJ:$DJ,'25-BRA-I-090'!$I:$I,L127)+SUMIFS('25-BRA-I-090'!$EC:$EC,'25-BRA-I-090'!$I:$I,L127)</f>
        <v>0.4375</v>
      </c>
      <c r="AI127" s="1040">
        <f>SUMIFS('25-BRA-I-090'!$DK:$DK,'25-BRA-I-090'!$I:$I,L127)+SUMIFS('25-BRA-I-090'!$ED:$ED,'25-BRA-I-090'!$I:$I,L127)</f>
        <v>3.5</v>
      </c>
      <c r="AJ127" s="1040">
        <f>SUMIFS('25-BRA-I-090'!$DO:$DO,'25-BRA-I-090'!$I:$I,L127)+26400*SUMIFS('25-BRA-I-090'!$EF:$EF,'25-BRA-I-090'!$I:$I,L127)</f>
        <v>206818.18181818182</v>
      </c>
      <c r="AK127" s="1072"/>
      <c r="AO127" s="1072"/>
      <c r="AR127" s="1065" t="s">
        <v>1564</v>
      </c>
      <c r="AS127" s="1065" t="s">
        <v>235</v>
      </c>
      <c r="AT127" s="1064" t="s">
        <v>1565</v>
      </c>
      <c r="AU127" s="1080" t="s">
        <v>74</v>
      </c>
      <c r="AV127" s="1067" t="s">
        <v>44</v>
      </c>
    </row>
    <row r="128" spans="1:48" s="1039" customFormat="1">
      <c r="A128" s="372"/>
      <c r="B128" s="1057" t="str">
        <f t="shared" si="14"/>
        <v>PL5x500x950</v>
      </c>
      <c r="C128" s="1058" t="str">
        <f>VLOOKUP(L128,'25-BRA-I-090'!$I:$EZ,4,0)</f>
        <v>SUS304</v>
      </c>
      <c r="D128" s="374" t="str">
        <f t="shared" si="11"/>
        <v>Kg</v>
      </c>
      <c r="E128" s="183"/>
      <c r="F128" s="184">
        <f t="shared" si="32"/>
        <v>0.47499999999999998</v>
      </c>
      <c r="G128" s="185">
        <f t="shared" si="32"/>
        <v>18.833749999999998</v>
      </c>
      <c r="H128" s="185">
        <f t="shared" si="38"/>
        <v>18.833749999999998</v>
      </c>
      <c r="I128" s="185">
        <f t="shared" si="39"/>
        <v>0</v>
      </c>
      <c r="J128" s="185" t="e">
        <f t="shared" si="35"/>
        <v>#DIV/0!</v>
      </c>
      <c r="K128" s="185">
        <f t="shared" si="36"/>
        <v>0</v>
      </c>
      <c r="L128" s="1184" t="s">
        <v>1566</v>
      </c>
      <c r="M128" s="1059"/>
      <c r="N128" s="1059"/>
      <c r="O128" s="1038"/>
      <c r="P128" s="1054"/>
      <c r="Q128" s="1054"/>
      <c r="T128" s="1041"/>
      <c r="U128" s="1042"/>
      <c r="V128" s="1042"/>
      <c r="AA128" s="1039" t="str">
        <f>VLOOKUP(L128,'25-BRA-I-090'!$I:$EZ,2,0)</f>
        <v>Tôn tấm</v>
      </c>
      <c r="AB128" s="1039" t="str">
        <f>VLOOKUP(L128,'25-BRA-I-090'!$I:$EZ,3,0)</f>
        <v>PL5x500x950</v>
      </c>
      <c r="AC128" s="1039" t="s">
        <v>2620</v>
      </c>
      <c r="AD128" s="1039">
        <f>SUMIFS('25-BRA-I-090'!$CS:$CS,'25-BRA-I-090'!$I:$I,L128)</f>
        <v>0.47499999999999998</v>
      </c>
      <c r="AE128" s="1039">
        <f>SUMIFS('25-BRA-I-090'!$CT:$CT,'25-BRA-I-090'!$I:$I,L128)</f>
        <v>18.833749999999998</v>
      </c>
      <c r="AF128" s="1039">
        <f>SUMIFS('25-BRA-I-090'!$CW:$CW,'25-BRA-I-090'!$I:$I,L128)</f>
        <v>0.47499999999999998</v>
      </c>
      <c r="AG128" s="1039">
        <f>SUMIFS('25-BRA-I-090'!$CX:$CX,'25-BRA-I-090'!$I:$I,L128)</f>
        <v>18.833749999999998</v>
      </c>
      <c r="AH128" s="1040">
        <f>SUMIFS('25-BRA-I-090'!$DJ:$DJ,'25-BRA-I-090'!$I:$I,L128)+SUMIFS('25-BRA-I-090'!$EC:$EC,'25-BRA-I-090'!$I:$I,L128)</f>
        <v>0</v>
      </c>
      <c r="AI128" s="1040">
        <f>SUMIFS('25-BRA-I-090'!$DK:$DK,'25-BRA-I-090'!$I:$I,L128)+SUMIFS('25-BRA-I-090'!$ED:$ED,'25-BRA-I-090'!$I:$I,L128)</f>
        <v>0</v>
      </c>
      <c r="AJ128" s="1040">
        <f>SUMIFS('25-BRA-I-090'!$DO:$DO,'25-BRA-I-090'!$I:$I,L128)+26400*SUMIFS('25-BRA-I-090'!$EF:$EF,'25-BRA-I-090'!$I:$I,L128)</f>
        <v>0</v>
      </c>
      <c r="AK128" s="1072"/>
      <c r="AO128" s="1072"/>
      <c r="AR128" s="1065" t="s">
        <v>1566</v>
      </c>
      <c r="AS128" s="1065" t="s">
        <v>235</v>
      </c>
      <c r="AT128" s="1064" t="s">
        <v>1567</v>
      </c>
      <c r="AU128" s="1080" t="s">
        <v>74</v>
      </c>
      <c r="AV128" s="1067" t="s">
        <v>44</v>
      </c>
    </row>
    <row r="129" spans="1:48" s="1039" customFormat="1">
      <c r="A129" s="372"/>
      <c r="B129" s="1057" t="str">
        <f t="shared" si="14"/>
        <v>PL40x750x800</v>
      </c>
      <c r="C129" s="1058" t="str">
        <f>VLOOKUP(L129,'25-BRA-I-090'!$I:$EZ,4,0)</f>
        <v>SUS304</v>
      </c>
      <c r="D129" s="374" t="str">
        <f t="shared" si="11"/>
        <v>Kg</v>
      </c>
      <c r="E129" s="183"/>
      <c r="F129" s="184">
        <f t="shared" si="32"/>
        <v>0.60000000000000009</v>
      </c>
      <c r="G129" s="185">
        <f t="shared" si="32"/>
        <v>190.32000000000002</v>
      </c>
      <c r="H129" s="185">
        <f t="shared" si="38"/>
        <v>0</v>
      </c>
      <c r="I129" s="185">
        <f t="shared" si="39"/>
        <v>357</v>
      </c>
      <c r="J129" s="185">
        <f t="shared" si="35"/>
        <v>70909.090909090897</v>
      </c>
      <c r="K129" s="185">
        <f t="shared" si="36"/>
        <v>25314545.454545449</v>
      </c>
      <c r="L129" s="1184" t="s">
        <v>1568</v>
      </c>
      <c r="M129" s="1059"/>
      <c r="N129" s="1059"/>
      <c r="O129" s="1038"/>
      <c r="P129" s="1054"/>
      <c r="Q129" s="1054"/>
      <c r="T129" s="1041"/>
      <c r="U129" s="1042"/>
      <c r="V129" s="1042"/>
      <c r="AA129" s="1039" t="str">
        <f>VLOOKUP(L129,'25-BRA-I-090'!$I:$EZ,2,0)</f>
        <v>Tôn tấm</v>
      </c>
      <c r="AB129" s="1039" t="str">
        <f>VLOOKUP(L129,'25-BRA-I-090'!$I:$EZ,3,0)</f>
        <v>PL40x750x800</v>
      </c>
      <c r="AC129" s="1039" t="s">
        <v>2620</v>
      </c>
      <c r="AD129" s="1039">
        <f>SUMIFS('25-BRA-I-090'!$CS:$CS,'25-BRA-I-090'!$I:$I,L129)</f>
        <v>0.60000000000000009</v>
      </c>
      <c r="AE129" s="1039">
        <f>SUMIFS('25-BRA-I-090'!$CT:$CT,'25-BRA-I-090'!$I:$I,L129)</f>
        <v>190.32000000000002</v>
      </c>
      <c r="AF129" s="1039">
        <f>SUMIFS('25-BRA-I-090'!$CW:$CW,'25-BRA-I-090'!$I:$I,L129)</f>
        <v>0</v>
      </c>
      <c r="AG129" s="1039">
        <f>SUMIFS('25-BRA-I-090'!$CX:$CX,'25-BRA-I-090'!$I:$I,L129)</f>
        <v>0</v>
      </c>
      <c r="AH129" s="1040">
        <f>SUMIFS('25-BRA-I-090'!$DJ:$DJ,'25-BRA-I-090'!$I:$I,L129)+SUMIFS('25-BRA-I-090'!$EC:$EC,'25-BRA-I-090'!$I:$I,L129)</f>
        <v>1.125</v>
      </c>
      <c r="AI129" s="1040">
        <f>SUMIFS('25-BRA-I-090'!$DK:$DK,'25-BRA-I-090'!$I:$I,L129)+SUMIFS('25-BRA-I-090'!$ED:$ED,'25-BRA-I-090'!$I:$I,L129)</f>
        <v>357</v>
      </c>
      <c r="AJ129" s="1040">
        <f>SUMIFS('25-BRA-I-090'!$DO:$DO,'25-BRA-I-090'!$I:$I,L129)+26400*SUMIFS('25-BRA-I-090'!$EF:$EF,'25-BRA-I-090'!$I:$I,L129)</f>
        <v>25314545.454545449</v>
      </c>
      <c r="AK129" s="1072"/>
      <c r="AO129" s="1072"/>
      <c r="AR129" s="1065" t="s">
        <v>1568</v>
      </c>
      <c r="AS129" s="1065" t="s">
        <v>235</v>
      </c>
      <c r="AT129" s="1064" t="s">
        <v>1569</v>
      </c>
      <c r="AU129" s="1080" t="s">
        <v>74</v>
      </c>
      <c r="AV129" s="1067" t="s">
        <v>44</v>
      </c>
    </row>
    <row r="130" spans="1:48" s="1039" customFormat="1">
      <c r="A130" s="372"/>
      <c r="B130" s="1057" t="str">
        <f t="shared" si="14"/>
        <v>RB10-L800</v>
      </c>
      <c r="C130" s="1058" t="str">
        <f>VLOOKUP(L130,'25-BRA-I-090'!$I:$EZ,4,0)</f>
        <v>SUS304</v>
      </c>
      <c r="D130" s="374" t="str">
        <f t="shared" si="11"/>
        <v>Kg</v>
      </c>
      <c r="E130" s="183"/>
      <c r="F130" s="184">
        <f t="shared" si="32"/>
        <v>0.8</v>
      </c>
      <c r="G130" s="185">
        <f t="shared" si="32"/>
        <v>0.49382716049382724</v>
      </c>
      <c r="H130" s="185">
        <f t="shared" si="38"/>
        <v>0.49382716049382724</v>
      </c>
      <c r="I130" s="185">
        <f t="shared" si="39"/>
        <v>0</v>
      </c>
      <c r="J130" s="185" t="e">
        <f t="shared" si="35"/>
        <v>#DIV/0!</v>
      </c>
      <c r="K130" s="185">
        <f t="shared" si="36"/>
        <v>0</v>
      </c>
      <c r="L130" s="1184" t="s">
        <v>1570</v>
      </c>
      <c r="M130" s="1059"/>
      <c r="N130" s="1059"/>
      <c r="O130" s="1038"/>
      <c r="P130" s="1054"/>
      <c r="Q130" s="1054"/>
      <c r="T130" s="1041"/>
      <c r="U130" s="1042"/>
      <c r="V130" s="1042"/>
      <c r="AA130" s="1039" t="str">
        <f>VLOOKUP(L130,'25-BRA-I-090'!$I:$EZ,2,0)</f>
        <v>Thép tròn</v>
      </c>
      <c r="AB130" s="1039" t="str">
        <f>VLOOKUP(L130,'25-BRA-I-090'!$I:$EZ,3,0)</f>
        <v>RB10-L800</v>
      </c>
      <c r="AC130" s="1039" t="s">
        <v>2620</v>
      </c>
      <c r="AD130" s="1039">
        <f>SUMIFS('25-BRA-I-090'!$CS:$CS,'25-BRA-I-090'!$I:$I,L130)</f>
        <v>0.8</v>
      </c>
      <c r="AE130" s="1039">
        <f>SUMIFS('25-BRA-I-090'!$CT:$CT,'25-BRA-I-090'!$I:$I,L130)</f>
        <v>0.49382716049382724</v>
      </c>
      <c r="AF130" s="1039">
        <f>SUMIFS('25-BRA-I-090'!$CW:$CW,'25-BRA-I-090'!$I:$I,L130)</f>
        <v>0.8</v>
      </c>
      <c r="AG130" s="1039">
        <f>SUMIFS('25-BRA-I-090'!$CX:$CX,'25-BRA-I-090'!$I:$I,L130)</f>
        <v>0.49382716049382724</v>
      </c>
      <c r="AH130" s="1040">
        <f>SUMIFS('25-BRA-I-090'!$DJ:$DJ,'25-BRA-I-090'!$I:$I,L130)+SUMIFS('25-BRA-I-090'!$EC:$EC,'25-BRA-I-090'!$I:$I,L130)</f>
        <v>0</v>
      </c>
      <c r="AI130" s="1040">
        <f>SUMIFS('25-BRA-I-090'!$DK:$DK,'25-BRA-I-090'!$I:$I,L130)+SUMIFS('25-BRA-I-090'!$ED:$ED,'25-BRA-I-090'!$I:$I,L130)</f>
        <v>0</v>
      </c>
      <c r="AJ130" s="1040">
        <f>SUMIFS('25-BRA-I-090'!$DO:$DO,'25-BRA-I-090'!$I:$I,L130)+26400*SUMIFS('25-BRA-I-090'!$EF:$EF,'25-BRA-I-090'!$I:$I,L130)</f>
        <v>0</v>
      </c>
      <c r="AK130" s="1072"/>
      <c r="AO130" s="1072"/>
      <c r="AR130" s="1065" t="s">
        <v>1570</v>
      </c>
      <c r="AS130" s="1065" t="s">
        <v>412</v>
      </c>
      <c r="AT130" s="1065" t="s">
        <v>1571</v>
      </c>
      <c r="AU130" s="1080" t="s">
        <v>74</v>
      </c>
      <c r="AV130" s="1067" t="s">
        <v>61</v>
      </c>
    </row>
    <row r="131" spans="1:48" s="1039" customFormat="1">
      <c r="A131" s="372"/>
      <c r="B131" s="1057" t="str">
        <f t="shared" si="14"/>
        <v>RB12-L4000</v>
      </c>
      <c r="C131" s="1058" t="str">
        <f>VLOOKUP(L131,'25-BRA-I-090'!$I:$EZ,4,0)</f>
        <v>SUS304</v>
      </c>
      <c r="D131" s="374" t="str">
        <f t="shared" si="11"/>
        <v>Kg</v>
      </c>
      <c r="E131" s="183"/>
      <c r="F131" s="184">
        <f t="shared" si="32"/>
        <v>4</v>
      </c>
      <c r="G131" s="185">
        <f t="shared" si="32"/>
        <v>3.5555555555555567</v>
      </c>
      <c r="H131" s="185">
        <f t="shared" si="38"/>
        <v>0</v>
      </c>
      <c r="I131" s="185">
        <f t="shared" si="39"/>
        <v>3.6</v>
      </c>
      <c r="J131" s="185">
        <f t="shared" si="35"/>
        <v>68181.818181818177</v>
      </c>
      <c r="K131" s="185">
        <f t="shared" si="36"/>
        <v>245454.54545454544</v>
      </c>
      <c r="L131" s="1184" t="s">
        <v>1572</v>
      </c>
      <c r="M131" s="1059"/>
      <c r="N131" s="1059"/>
      <c r="O131" s="1038"/>
      <c r="P131" s="1054"/>
      <c r="Q131" s="1054"/>
      <c r="T131" s="1041"/>
      <c r="U131" s="1042"/>
      <c r="V131" s="1042"/>
      <c r="AA131" s="1039" t="str">
        <f>VLOOKUP(L131,'25-BRA-I-090'!$I:$EZ,2,0)</f>
        <v>Thép tròn</v>
      </c>
      <c r="AB131" s="1039" t="str">
        <f>VLOOKUP(L131,'25-BRA-I-090'!$I:$EZ,3,0)</f>
        <v>RB12-L4000</v>
      </c>
      <c r="AC131" s="1039" t="s">
        <v>2620</v>
      </c>
      <c r="AD131" s="1039">
        <f>SUMIFS('25-BRA-I-090'!$CS:$CS,'25-BRA-I-090'!$I:$I,L131)</f>
        <v>4</v>
      </c>
      <c r="AE131" s="1039">
        <f>SUMIFS('25-BRA-I-090'!$CT:$CT,'25-BRA-I-090'!$I:$I,L131)</f>
        <v>3.5555555555555567</v>
      </c>
      <c r="AF131" s="1039">
        <f>SUMIFS('25-BRA-I-090'!$CW:$CW,'25-BRA-I-090'!$I:$I,L131)</f>
        <v>0</v>
      </c>
      <c r="AG131" s="1039">
        <f>SUMIFS('25-BRA-I-090'!$CX:$CX,'25-BRA-I-090'!$I:$I,L131)</f>
        <v>0</v>
      </c>
      <c r="AH131" s="1040">
        <f>SUMIFS('25-BRA-I-090'!$DJ:$DJ,'25-BRA-I-090'!$I:$I,L131)+SUMIFS('25-BRA-I-090'!$EC:$EC,'25-BRA-I-090'!$I:$I,L131)</f>
        <v>4</v>
      </c>
      <c r="AI131" s="1040">
        <f>SUMIFS('25-BRA-I-090'!$DK:$DK,'25-BRA-I-090'!$I:$I,L131)+SUMIFS('25-BRA-I-090'!$ED:$ED,'25-BRA-I-090'!$I:$I,L131)</f>
        <v>3.6</v>
      </c>
      <c r="AJ131" s="1040">
        <f>SUMIFS('25-BRA-I-090'!$DO:$DO,'25-BRA-I-090'!$I:$I,L131)+26400*SUMIFS('25-BRA-I-090'!$EF:$EF,'25-BRA-I-090'!$I:$I,L131)</f>
        <v>245454.54545454544</v>
      </c>
      <c r="AK131" s="1072"/>
      <c r="AO131" s="1072"/>
      <c r="AR131" s="1065" t="s">
        <v>1572</v>
      </c>
      <c r="AS131" s="1065" t="s">
        <v>412</v>
      </c>
      <c r="AT131" s="1065" t="s">
        <v>1573</v>
      </c>
      <c r="AU131" s="1080" t="s">
        <v>74</v>
      </c>
      <c r="AV131" s="1067" t="s">
        <v>61</v>
      </c>
    </row>
    <row r="132" spans="1:48" s="1039" customFormat="1">
      <c r="A132" s="372"/>
      <c r="B132" s="1057" t="str">
        <f t="shared" si="14"/>
        <v>RB15-L4100</v>
      </c>
      <c r="C132" s="1058" t="str">
        <f>VLOOKUP(L132,'25-BRA-I-090'!$I:$EZ,4,0)</f>
        <v>SUS304</v>
      </c>
      <c r="D132" s="374" t="str">
        <f t="shared" si="11"/>
        <v>Kg</v>
      </c>
      <c r="E132" s="183"/>
      <c r="F132" s="184">
        <f t="shared" si="32"/>
        <v>4.0999999999999996</v>
      </c>
      <c r="G132" s="185">
        <f t="shared" si="32"/>
        <v>5.6944444444444446</v>
      </c>
      <c r="H132" s="185">
        <f t="shared" si="38"/>
        <v>5.6944444444444446</v>
      </c>
      <c r="I132" s="185">
        <f t="shared" si="39"/>
        <v>0</v>
      </c>
      <c r="J132" s="185" t="e">
        <f t="shared" si="35"/>
        <v>#DIV/0!</v>
      </c>
      <c r="K132" s="185">
        <f t="shared" si="36"/>
        <v>0</v>
      </c>
      <c r="L132" s="1184" t="s">
        <v>1574</v>
      </c>
      <c r="M132" s="1059"/>
      <c r="N132" s="1059"/>
      <c r="O132" s="1038"/>
      <c r="P132" s="1054"/>
      <c r="Q132" s="1054"/>
      <c r="T132" s="1041"/>
      <c r="U132" s="1042"/>
      <c r="V132" s="1042"/>
      <c r="AA132" s="1039" t="str">
        <f>VLOOKUP(L132,'25-BRA-I-090'!$I:$EZ,2,0)</f>
        <v>Thép tròn</v>
      </c>
      <c r="AB132" s="1039" t="str">
        <f>VLOOKUP(L132,'25-BRA-I-090'!$I:$EZ,3,0)</f>
        <v>RB15-L4100</v>
      </c>
      <c r="AC132" s="1039" t="s">
        <v>2620</v>
      </c>
      <c r="AD132" s="1039">
        <f>SUMIFS('25-BRA-I-090'!$CS:$CS,'25-BRA-I-090'!$I:$I,L132)</f>
        <v>4.0999999999999996</v>
      </c>
      <c r="AE132" s="1039">
        <f>SUMIFS('25-BRA-I-090'!$CT:$CT,'25-BRA-I-090'!$I:$I,L132)</f>
        <v>5.6944444444444446</v>
      </c>
      <c r="AF132" s="1039">
        <f>SUMIFS('25-BRA-I-090'!$CW:$CW,'25-BRA-I-090'!$I:$I,L132)</f>
        <v>4.0999999999999996</v>
      </c>
      <c r="AG132" s="1039">
        <f>SUMIFS('25-BRA-I-090'!$CX:$CX,'25-BRA-I-090'!$I:$I,L132)</f>
        <v>5.6944444444444446</v>
      </c>
      <c r="AH132" s="1040">
        <f>SUMIFS('25-BRA-I-090'!$DJ:$DJ,'25-BRA-I-090'!$I:$I,L132)+SUMIFS('25-BRA-I-090'!$EC:$EC,'25-BRA-I-090'!$I:$I,L132)</f>
        <v>0</v>
      </c>
      <c r="AI132" s="1040">
        <f>SUMIFS('25-BRA-I-090'!$DK:$DK,'25-BRA-I-090'!$I:$I,L132)+SUMIFS('25-BRA-I-090'!$ED:$ED,'25-BRA-I-090'!$I:$I,L132)</f>
        <v>0</v>
      </c>
      <c r="AJ132" s="1040">
        <f>SUMIFS('25-BRA-I-090'!$DO:$DO,'25-BRA-I-090'!$I:$I,L132)+26400*SUMIFS('25-BRA-I-090'!$EF:$EF,'25-BRA-I-090'!$I:$I,L132)</f>
        <v>0</v>
      </c>
      <c r="AK132" s="1072"/>
      <c r="AO132" s="1072"/>
      <c r="AR132" s="1065" t="s">
        <v>1574</v>
      </c>
      <c r="AS132" s="1065" t="s">
        <v>412</v>
      </c>
      <c r="AT132" s="1065" t="s">
        <v>1575</v>
      </c>
      <c r="AU132" s="1080" t="s">
        <v>74</v>
      </c>
      <c r="AV132" s="1067" t="s">
        <v>61</v>
      </c>
    </row>
    <row r="133" spans="1:48" s="1039" customFormat="1">
      <c r="A133" s="372"/>
      <c r="B133" s="1057" t="str">
        <f t="shared" si="14"/>
        <v>RB20-L500</v>
      </c>
      <c r="C133" s="1058" t="str">
        <f>VLOOKUP(L133,'25-BRA-I-090'!$I:$EZ,4,0)</f>
        <v>SUS304</v>
      </c>
      <c r="D133" s="374" t="str">
        <f t="shared" si="11"/>
        <v>Kg</v>
      </c>
      <c r="E133" s="183"/>
      <c r="F133" s="184">
        <f t="shared" si="32"/>
        <v>0.5</v>
      </c>
      <c r="G133" s="185">
        <f t="shared" si="32"/>
        <v>1.2345679012345701</v>
      </c>
      <c r="H133" s="185">
        <f t="shared" si="38"/>
        <v>1.2345679012345701</v>
      </c>
      <c r="I133" s="185">
        <f t="shared" si="39"/>
        <v>0</v>
      </c>
      <c r="J133" s="185" t="e">
        <f t="shared" si="35"/>
        <v>#DIV/0!</v>
      </c>
      <c r="K133" s="185">
        <f t="shared" si="36"/>
        <v>0</v>
      </c>
      <c r="L133" s="1184" t="s">
        <v>1576</v>
      </c>
      <c r="M133" s="1059"/>
      <c r="N133" s="1059"/>
      <c r="O133" s="1038"/>
      <c r="P133" s="1054"/>
      <c r="Q133" s="1054"/>
      <c r="T133" s="1041"/>
      <c r="U133" s="1042"/>
      <c r="V133" s="1042"/>
      <c r="AA133" s="1039" t="str">
        <f>VLOOKUP(L133,'25-BRA-I-090'!$I:$EZ,2,0)</f>
        <v>Thép tròn</v>
      </c>
      <c r="AB133" s="1039" t="str">
        <f>VLOOKUP(L133,'25-BRA-I-090'!$I:$EZ,3,0)</f>
        <v>RB20-L500</v>
      </c>
      <c r="AC133" s="1039" t="s">
        <v>2620</v>
      </c>
      <c r="AD133" s="1039">
        <f>SUMIFS('25-BRA-I-090'!$CS:$CS,'25-BRA-I-090'!$I:$I,L133)</f>
        <v>0.5</v>
      </c>
      <c r="AE133" s="1039">
        <f>SUMIFS('25-BRA-I-090'!$CT:$CT,'25-BRA-I-090'!$I:$I,L133)</f>
        <v>1.2345679012345701</v>
      </c>
      <c r="AF133" s="1039">
        <f>SUMIFS('25-BRA-I-090'!$CW:$CW,'25-BRA-I-090'!$I:$I,L133)</f>
        <v>0.5</v>
      </c>
      <c r="AG133" s="1039">
        <f>SUMIFS('25-BRA-I-090'!$CX:$CX,'25-BRA-I-090'!$I:$I,L133)</f>
        <v>1.2345679012345701</v>
      </c>
      <c r="AH133" s="1040">
        <f>SUMIFS('25-BRA-I-090'!$DJ:$DJ,'25-BRA-I-090'!$I:$I,L133)+SUMIFS('25-BRA-I-090'!$EC:$EC,'25-BRA-I-090'!$I:$I,L133)</f>
        <v>0</v>
      </c>
      <c r="AI133" s="1040">
        <f>SUMIFS('25-BRA-I-090'!$DK:$DK,'25-BRA-I-090'!$I:$I,L133)+SUMIFS('25-BRA-I-090'!$ED:$ED,'25-BRA-I-090'!$I:$I,L133)</f>
        <v>0</v>
      </c>
      <c r="AJ133" s="1040">
        <f>SUMIFS('25-BRA-I-090'!$DO:$DO,'25-BRA-I-090'!$I:$I,L133)+26400*SUMIFS('25-BRA-I-090'!$EF:$EF,'25-BRA-I-090'!$I:$I,L133)</f>
        <v>0</v>
      </c>
      <c r="AK133" s="1072"/>
      <c r="AO133" s="1072"/>
      <c r="AR133" s="1065" t="s">
        <v>1576</v>
      </c>
      <c r="AS133" s="1065" t="s">
        <v>412</v>
      </c>
      <c r="AT133" s="1065" t="s">
        <v>1577</v>
      </c>
      <c r="AU133" s="1080" t="s">
        <v>74</v>
      </c>
      <c r="AV133" s="1067" t="s">
        <v>61</v>
      </c>
    </row>
    <row r="134" spans="1:48" s="1039" customFormat="1">
      <c r="A134" s="372"/>
      <c r="B134" s="1057" t="str">
        <f t="shared" si="14"/>
        <v>PL0.8x300x600</v>
      </c>
      <c r="C134" s="1058">
        <f>VLOOKUP(L134,'25-BRA-I-090'!$I:$EZ,4,0)</f>
        <v>2.0320999999999998</v>
      </c>
      <c r="D134" s="374" t="str">
        <f t="shared" si="11"/>
        <v>Kg</v>
      </c>
      <c r="E134" s="183"/>
      <c r="F134" s="184">
        <f t="shared" si="32"/>
        <v>0.18</v>
      </c>
      <c r="G134" s="185">
        <f t="shared" si="32"/>
        <v>0.27935999999999994</v>
      </c>
      <c r="H134" s="185">
        <f t="shared" si="38"/>
        <v>0</v>
      </c>
      <c r="I134" s="185">
        <f t="shared" si="39"/>
        <v>1</v>
      </c>
      <c r="J134" s="185">
        <f t="shared" si="35"/>
        <v>600000</v>
      </c>
      <c r="K134" s="185">
        <f t="shared" si="36"/>
        <v>600000</v>
      </c>
      <c r="L134" s="1184" t="s">
        <v>1595</v>
      </c>
      <c r="M134" s="1059"/>
      <c r="N134" s="1059"/>
      <c r="O134" s="1038"/>
      <c r="P134" s="1054"/>
      <c r="Q134" s="1054"/>
      <c r="T134" s="1041"/>
      <c r="U134" s="1042"/>
      <c r="V134" s="1042"/>
      <c r="AA134" s="1039" t="str">
        <f>VLOOKUP(L134,'25-BRA-I-090'!$I:$EZ,2,0)</f>
        <v>Plate-2.0321</v>
      </c>
      <c r="AB134" s="1039" t="str">
        <f>VLOOKUP(L134,'25-BRA-I-090'!$I:$EZ,3,0)</f>
        <v>PL0.8x300x600</v>
      </c>
      <c r="AC134" s="1039" t="s">
        <v>2620</v>
      </c>
      <c r="AD134" s="1039">
        <f>SUMIFS('25-BRA-I-090'!$CS:$CS,'25-BRA-I-090'!$I:$I,L134)</f>
        <v>0.18</v>
      </c>
      <c r="AE134" s="1039">
        <f>SUMIFS('25-BRA-I-090'!$CT:$CT,'25-BRA-I-090'!$I:$I,L134)</f>
        <v>0.27935999999999994</v>
      </c>
      <c r="AF134" s="1039">
        <f>SUMIFS('25-BRA-I-090'!$CW:$CW,'25-BRA-I-090'!$I:$I,L134)</f>
        <v>0</v>
      </c>
      <c r="AG134" s="1039">
        <f>SUMIFS('25-BRA-I-090'!$CX:$CX,'25-BRA-I-090'!$I:$I,L134)</f>
        <v>0</v>
      </c>
      <c r="AH134" s="1040">
        <f>SUMIFS('25-BRA-I-090'!$DJ:$DJ,'25-BRA-I-090'!$I:$I,L134)+SUMIFS('25-BRA-I-090'!$EC:$EC,'25-BRA-I-090'!$I:$I,L134)</f>
        <v>0.18</v>
      </c>
      <c r="AI134" s="1040">
        <f>SUMIFS('25-BRA-I-090'!$DK:$DK,'25-BRA-I-090'!$I:$I,L134)+SUMIFS('25-BRA-I-090'!$ED:$ED,'25-BRA-I-090'!$I:$I,L134)</f>
        <v>1</v>
      </c>
      <c r="AJ134" s="1040">
        <f>SUMIFS('25-BRA-I-090'!$DO:$DO,'25-BRA-I-090'!$I:$I,L134)+26400*SUMIFS('25-BRA-I-090'!$EF:$EF,'25-BRA-I-090'!$I:$I,L134)</f>
        <v>600000</v>
      </c>
      <c r="AK134" s="1072"/>
      <c r="AO134" s="1072"/>
      <c r="AR134" s="1065" t="s">
        <v>1595</v>
      </c>
      <c r="AS134" s="1065" t="s">
        <v>1596</v>
      </c>
      <c r="AT134" s="1065" t="s">
        <v>1597</v>
      </c>
      <c r="AU134" s="1070">
        <v>2.0320999999999998</v>
      </c>
      <c r="AV134" s="1067" t="s">
        <v>345</v>
      </c>
    </row>
    <row r="135" spans="1:48" s="1039" customFormat="1" ht="30">
      <c r="A135" s="372"/>
      <c r="B135" s="1057" t="str">
        <f t="shared" si="14"/>
        <v>SHS 80x40x2-L6000</v>
      </c>
      <c r="C135" s="1058" t="str">
        <f>VLOOKUP(L135,'25-BRA-I-090'!$I:$EZ,4,0)</f>
        <v>A36/SS400</v>
      </c>
      <c r="D135" s="374" t="str">
        <f t="shared" si="11"/>
        <v>Kg</v>
      </c>
      <c r="E135" s="183"/>
      <c r="F135" s="184">
        <f t="shared" ref="F135:H154" si="40">AD135</f>
        <v>97.9452</v>
      </c>
      <c r="G135" s="185">
        <f t="shared" si="40"/>
        <v>354.23514</v>
      </c>
      <c r="H135" s="185">
        <f t="shared" si="38"/>
        <v>0</v>
      </c>
      <c r="I135" s="185">
        <f t="shared" si="39"/>
        <v>369</v>
      </c>
      <c r="J135" s="185">
        <f t="shared" si="35"/>
        <v>17727.27</v>
      </c>
      <c r="K135" s="185">
        <f t="shared" si="36"/>
        <v>6541362.6299999999</v>
      </c>
      <c r="L135" s="1184" t="s">
        <v>1632</v>
      </c>
      <c r="M135" s="1059"/>
      <c r="N135" s="1059"/>
      <c r="O135" s="1038"/>
      <c r="P135" s="1054"/>
      <c r="Q135" s="1054"/>
      <c r="T135" s="1041"/>
      <c r="U135" s="1042"/>
      <c r="V135" s="1042"/>
      <c r="AA135" s="1039" t="str">
        <f>VLOOKUP(L135,'25-BRA-I-090'!$I:$EZ,2,0)</f>
        <v>Thép hộp</v>
      </c>
      <c r="AB135" s="1039" t="str">
        <f>VLOOKUP(L135,'25-BRA-I-090'!$I:$EZ,3,0)</f>
        <v>SHS 80x40x2-L6000</v>
      </c>
      <c r="AC135" s="1039" t="s">
        <v>2620</v>
      </c>
      <c r="AD135" s="1039">
        <f>SUMIFS('25-BRA-I-090'!$CS:$CS,'25-BRA-I-090'!$I:$I,L135)</f>
        <v>97.9452</v>
      </c>
      <c r="AE135" s="1039">
        <f>SUMIFS('25-BRA-I-090'!$CT:$CT,'25-BRA-I-090'!$I:$I,L135)</f>
        <v>354.23514</v>
      </c>
      <c r="AF135" s="1039">
        <f>SUMIFS('25-BRA-I-090'!$CW:$CW,'25-BRA-I-090'!$I:$I,L135)</f>
        <v>0</v>
      </c>
      <c r="AG135" s="1039">
        <f>SUMIFS('25-BRA-I-090'!$CX:$CX,'25-BRA-I-090'!$I:$I,L135)</f>
        <v>0</v>
      </c>
      <c r="AH135" s="1040">
        <f>SUMIFS('25-BRA-I-090'!$DJ:$DJ,'25-BRA-I-090'!$I:$I,L135)+SUMIFS('25-BRA-I-090'!$EC:$EC,'25-BRA-I-090'!$I:$I,L135)</f>
        <v>102</v>
      </c>
      <c r="AI135" s="1040">
        <f>SUMIFS('25-BRA-I-090'!$DK:$DK,'25-BRA-I-090'!$I:$I,L135)+SUMIFS('25-BRA-I-090'!$ED:$ED,'25-BRA-I-090'!$I:$I,L135)</f>
        <v>369</v>
      </c>
      <c r="AJ135" s="1040">
        <f>SUMIFS('25-BRA-I-090'!$DO:$DO,'25-BRA-I-090'!$I:$I,L135)+26400*SUMIFS('25-BRA-I-090'!$EF:$EF,'25-BRA-I-090'!$I:$I,L135)</f>
        <v>6541362.6299999999</v>
      </c>
      <c r="AK135" s="1072"/>
      <c r="AO135" s="1072"/>
      <c r="AR135" s="1065" t="s">
        <v>1632</v>
      </c>
      <c r="AS135" s="1065" t="s">
        <v>1633</v>
      </c>
      <c r="AT135" s="1065" t="s">
        <v>1634</v>
      </c>
      <c r="AU135" s="1070" t="s">
        <v>87</v>
      </c>
      <c r="AV135" s="1067" t="s">
        <v>61</v>
      </c>
    </row>
    <row r="136" spans="1:48" s="1039" customFormat="1" ht="30">
      <c r="A136" s="372"/>
      <c r="B136" s="1057" t="str">
        <f t="shared" si="14"/>
        <v>SHS 50x50x2-L6000</v>
      </c>
      <c r="C136" s="1058" t="str">
        <f>VLOOKUP(L136,'25-BRA-I-090'!$I:$EZ,4,0)</f>
        <v>A36/SS400</v>
      </c>
      <c r="D136" s="374" t="str">
        <f t="shared" si="11"/>
        <v>Kg</v>
      </c>
      <c r="E136" s="183"/>
      <c r="F136" s="184">
        <f t="shared" si="40"/>
        <v>30.78</v>
      </c>
      <c r="G136" s="185">
        <f t="shared" si="40"/>
        <v>92.032200000000003</v>
      </c>
      <c r="H136" s="185">
        <f t="shared" si="38"/>
        <v>0</v>
      </c>
      <c r="I136" s="185">
        <f t="shared" si="39"/>
        <v>108</v>
      </c>
      <c r="J136" s="185">
        <f t="shared" si="35"/>
        <v>17727.27</v>
      </c>
      <c r="K136" s="185">
        <f t="shared" si="36"/>
        <v>1914545.1600000001</v>
      </c>
      <c r="L136" s="1184" t="s">
        <v>1635</v>
      </c>
      <c r="M136" s="1059"/>
      <c r="N136" s="1059"/>
      <c r="O136" s="1038"/>
      <c r="P136" s="1054"/>
      <c r="Q136" s="1054"/>
      <c r="T136" s="1041"/>
      <c r="U136" s="1042"/>
      <c r="V136" s="1042"/>
      <c r="AA136" s="1039" t="str">
        <f>VLOOKUP(L136,'25-BRA-I-090'!$I:$EZ,2,0)</f>
        <v>Thép hộp</v>
      </c>
      <c r="AB136" s="1039" t="str">
        <f>VLOOKUP(L136,'25-BRA-I-090'!$I:$EZ,3,0)</f>
        <v>SHS 50x50x2-L6000</v>
      </c>
      <c r="AC136" s="1039" t="s">
        <v>2620</v>
      </c>
      <c r="AD136" s="1039">
        <f>SUMIFS('25-BRA-I-090'!$CS:$CS,'25-BRA-I-090'!$I:$I,L136)</f>
        <v>30.78</v>
      </c>
      <c r="AE136" s="1039">
        <f>SUMIFS('25-BRA-I-090'!$CT:$CT,'25-BRA-I-090'!$I:$I,L136)</f>
        <v>92.032200000000003</v>
      </c>
      <c r="AF136" s="1039">
        <f>SUMIFS('25-BRA-I-090'!$CW:$CW,'25-BRA-I-090'!$I:$I,L136)</f>
        <v>0</v>
      </c>
      <c r="AG136" s="1039">
        <f>SUMIFS('25-BRA-I-090'!$CX:$CX,'25-BRA-I-090'!$I:$I,L136)</f>
        <v>0</v>
      </c>
      <c r="AH136" s="1040">
        <f>SUMIFS('25-BRA-I-090'!$DJ:$DJ,'25-BRA-I-090'!$I:$I,L136)+SUMIFS('25-BRA-I-090'!$EC:$EC,'25-BRA-I-090'!$I:$I,L136)</f>
        <v>36</v>
      </c>
      <c r="AI136" s="1040">
        <f>SUMIFS('25-BRA-I-090'!$DK:$DK,'25-BRA-I-090'!$I:$I,L136)+SUMIFS('25-BRA-I-090'!$ED:$ED,'25-BRA-I-090'!$I:$I,L136)</f>
        <v>108</v>
      </c>
      <c r="AJ136" s="1040">
        <f>SUMIFS('25-BRA-I-090'!$DO:$DO,'25-BRA-I-090'!$I:$I,L136)+26400*SUMIFS('25-BRA-I-090'!$EF:$EF,'25-BRA-I-090'!$I:$I,L136)</f>
        <v>1914545.1600000001</v>
      </c>
      <c r="AK136" s="1072"/>
      <c r="AO136" s="1072"/>
      <c r="AR136" s="1065" t="s">
        <v>1635</v>
      </c>
      <c r="AS136" s="1065" t="s">
        <v>1633</v>
      </c>
      <c r="AT136" s="1065" t="s">
        <v>1636</v>
      </c>
      <c r="AU136" s="1070" t="s">
        <v>87</v>
      </c>
      <c r="AV136" s="1067" t="s">
        <v>61</v>
      </c>
    </row>
    <row r="137" spans="1:48" s="1039" customFormat="1" ht="30">
      <c r="A137" s="372"/>
      <c r="B137" s="1057" t="str">
        <f t="shared" si="14"/>
        <v>SHS 120x60x2-L6000</v>
      </c>
      <c r="C137" s="1058" t="str">
        <f>VLOOKUP(L137,'25-BRA-I-090'!$I:$EZ,4,0)</f>
        <v>A36/SS400</v>
      </c>
      <c r="D137" s="374" t="str">
        <f t="shared" ref="D137:D200" si="41">AC137</f>
        <v>Kg</v>
      </c>
      <c r="E137" s="183"/>
      <c r="F137" s="184">
        <f t="shared" si="40"/>
        <v>30.78</v>
      </c>
      <c r="G137" s="185">
        <f t="shared" si="40"/>
        <v>169.34129999999999</v>
      </c>
      <c r="H137" s="185">
        <f t="shared" si="38"/>
        <v>0</v>
      </c>
      <c r="I137" s="185">
        <f t="shared" si="39"/>
        <v>198</v>
      </c>
      <c r="J137" s="185">
        <f t="shared" si="35"/>
        <v>17727.27</v>
      </c>
      <c r="K137" s="185">
        <f t="shared" si="36"/>
        <v>3509999.46</v>
      </c>
      <c r="L137" s="1184" t="s">
        <v>1637</v>
      </c>
      <c r="M137" s="1059"/>
      <c r="N137" s="1059"/>
      <c r="O137" s="1038"/>
      <c r="P137" s="1054"/>
      <c r="Q137" s="1054"/>
      <c r="T137" s="1041"/>
      <c r="U137" s="1042"/>
      <c r="V137" s="1042"/>
      <c r="AA137" s="1039" t="str">
        <f>VLOOKUP(L137,'25-BRA-I-090'!$I:$EZ,2,0)</f>
        <v>Thép hộp</v>
      </c>
      <c r="AB137" s="1039" t="str">
        <f>VLOOKUP(L137,'25-BRA-I-090'!$I:$EZ,3,0)</f>
        <v>SHS 120x60x2-L6000</v>
      </c>
      <c r="AC137" s="1039" t="s">
        <v>2620</v>
      </c>
      <c r="AD137" s="1039">
        <f>SUMIFS('25-BRA-I-090'!$CS:$CS,'25-BRA-I-090'!$I:$I,L137)</f>
        <v>30.78</v>
      </c>
      <c r="AE137" s="1039">
        <f>SUMIFS('25-BRA-I-090'!$CT:$CT,'25-BRA-I-090'!$I:$I,L137)</f>
        <v>169.34129999999999</v>
      </c>
      <c r="AF137" s="1039">
        <f>SUMIFS('25-BRA-I-090'!$CW:$CW,'25-BRA-I-090'!$I:$I,L137)</f>
        <v>0</v>
      </c>
      <c r="AG137" s="1039">
        <f>SUMIFS('25-BRA-I-090'!$CX:$CX,'25-BRA-I-090'!$I:$I,L137)</f>
        <v>0</v>
      </c>
      <c r="AH137" s="1040">
        <f>SUMIFS('25-BRA-I-090'!$DJ:$DJ,'25-BRA-I-090'!$I:$I,L137)+SUMIFS('25-BRA-I-090'!$EC:$EC,'25-BRA-I-090'!$I:$I,L137)</f>
        <v>36</v>
      </c>
      <c r="AI137" s="1040">
        <f>SUMIFS('25-BRA-I-090'!$DK:$DK,'25-BRA-I-090'!$I:$I,L137)+SUMIFS('25-BRA-I-090'!$ED:$ED,'25-BRA-I-090'!$I:$I,L137)</f>
        <v>198</v>
      </c>
      <c r="AJ137" s="1040">
        <f>SUMIFS('25-BRA-I-090'!$DO:$DO,'25-BRA-I-090'!$I:$I,L137)+26400*SUMIFS('25-BRA-I-090'!$EF:$EF,'25-BRA-I-090'!$I:$I,L137)</f>
        <v>3509999.46</v>
      </c>
      <c r="AK137" s="1072"/>
      <c r="AO137" s="1072"/>
      <c r="AR137" s="1065" t="s">
        <v>1637</v>
      </c>
      <c r="AS137" s="1065" t="s">
        <v>1633</v>
      </c>
      <c r="AT137" s="1065" t="s">
        <v>1638</v>
      </c>
      <c r="AU137" s="1070" t="s">
        <v>87</v>
      </c>
      <c r="AV137" s="1067" t="s">
        <v>61</v>
      </c>
    </row>
    <row r="138" spans="1:48" s="1039" customFormat="1" ht="30">
      <c r="A138" s="372"/>
      <c r="B138" s="1057" t="str">
        <f t="shared" si="14"/>
        <v>SHS 40x40x3-L6000</v>
      </c>
      <c r="C138" s="1058" t="str">
        <f>VLOOKUP(L138,'25-BRA-I-090'!$I:$EZ,4,0)</f>
        <v>A36/SS400</v>
      </c>
      <c r="D138" s="374" t="str">
        <f t="shared" si="41"/>
        <v>Kg</v>
      </c>
      <c r="E138" s="183"/>
      <c r="F138" s="184">
        <f t="shared" si="40"/>
        <v>4560</v>
      </c>
      <c r="G138" s="185">
        <f t="shared" si="40"/>
        <v>15914.4</v>
      </c>
      <c r="H138" s="185">
        <f t="shared" si="38"/>
        <v>0</v>
      </c>
      <c r="I138" s="185">
        <f t="shared" si="39"/>
        <v>15647.7</v>
      </c>
      <c r="J138" s="185">
        <f t="shared" si="35"/>
        <v>16016.308799957238</v>
      </c>
      <c r="K138" s="185">
        <f t="shared" si="36"/>
        <v>250618395.20909089</v>
      </c>
      <c r="L138" s="1184" t="s">
        <v>1649</v>
      </c>
      <c r="M138" s="1059"/>
      <c r="N138" s="1059"/>
      <c r="O138" s="1038"/>
      <c r="P138" s="1054"/>
      <c r="Q138" s="1054"/>
      <c r="T138" s="1041"/>
      <c r="U138" s="1042"/>
      <c r="V138" s="1042"/>
      <c r="AA138" s="1039" t="str">
        <f>VLOOKUP(L138,'25-BRA-I-090'!$I:$EZ,2,0)</f>
        <v>Thép hộp</v>
      </c>
      <c r="AB138" s="1039" t="str">
        <f>VLOOKUP(L138,'25-BRA-I-090'!$I:$EZ,3,0)</f>
        <v>SHS 40x40x3-L6000</v>
      </c>
      <c r="AC138" s="1039" t="s">
        <v>2620</v>
      </c>
      <c r="AD138" s="1039">
        <f>SUMIFS('25-BRA-I-090'!$CS:$CS,'25-BRA-I-090'!$I:$I,L138)</f>
        <v>4560</v>
      </c>
      <c r="AE138" s="1039">
        <f>SUMIFS('25-BRA-I-090'!$CT:$CT,'25-BRA-I-090'!$I:$I,L138)</f>
        <v>15914.4</v>
      </c>
      <c r="AF138" s="1039">
        <f>SUMIFS('25-BRA-I-090'!$CW:$CW,'25-BRA-I-090'!$I:$I,L138)</f>
        <v>0</v>
      </c>
      <c r="AG138" s="1039">
        <f>SUMIFS('25-BRA-I-090'!$CX:$CX,'25-BRA-I-090'!$I:$I,L138)</f>
        <v>0</v>
      </c>
      <c r="AH138" s="1040">
        <f>SUMIFS('25-BRA-I-090'!$DJ:$DJ,'25-BRA-I-090'!$I:$I,L138)+SUMIFS('25-BRA-I-090'!$EC:$EC,'25-BRA-I-090'!$I:$I,L138)</f>
        <v>4566</v>
      </c>
      <c r="AI138" s="1040">
        <f>SUMIFS('25-BRA-I-090'!$DK:$DK,'25-BRA-I-090'!$I:$I,L138)+SUMIFS('25-BRA-I-090'!$ED:$ED,'25-BRA-I-090'!$I:$I,L138)</f>
        <v>15647.7</v>
      </c>
      <c r="AJ138" s="1040">
        <f>SUMIFS('25-BRA-I-090'!$DO:$DO,'25-BRA-I-090'!$I:$I,L138)+26400*SUMIFS('25-BRA-I-090'!$EF:$EF,'25-BRA-I-090'!$I:$I,L138)</f>
        <v>250618395.20909089</v>
      </c>
      <c r="AK138" s="1072"/>
      <c r="AO138" s="1072"/>
      <c r="AR138" s="1065" t="s">
        <v>1649</v>
      </c>
      <c r="AS138" s="1065" t="s">
        <v>1633</v>
      </c>
      <c r="AT138" s="1065" t="s">
        <v>1650</v>
      </c>
      <c r="AU138" s="1070" t="s">
        <v>87</v>
      </c>
      <c r="AV138" s="1067" t="s">
        <v>61</v>
      </c>
    </row>
    <row r="139" spans="1:48" s="1039" customFormat="1">
      <c r="A139" s="372"/>
      <c r="B139" s="1057" t="str">
        <f t="shared" ref="B139:B202" si="42">AB139</f>
        <v>Grating H30mm</v>
      </c>
      <c r="C139" s="1058" t="str">
        <f>VLOOKUP(L139,'25-BRA-I-090'!$I:$EZ,4,0)</f>
        <v>GRP-GRATING</v>
      </c>
      <c r="D139" s="374" t="str">
        <f t="shared" si="41"/>
        <v>pcs</v>
      </c>
      <c r="E139" s="183"/>
      <c r="F139" s="184">
        <f t="shared" si="40"/>
        <v>24</v>
      </c>
      <c r="G139" s="185">
        <f t="shared" si="40"/>
        <v>0</v>
      </c>
      <c r="H139" s="185">
        <f t="shared" si="40"/>
        <v>0</v>
      </c>
      <c r="I139" s="185">
        <f t="shared" ref="I139:I202" si="43">AH139</f>
        <v>36</v>
      </c>
      <c r="J139" s="185">
        <f t="shared" si="35"/>
        <v>666666.66666666663</v>
      </c>
      <c r="K139" s="185">
        <f t="shared" si="36"/>
        <v>24000000</v>
      </c>
      <c r="L139" s="1185" t="s">
        <v>1769</v>
      </c>
      <c r="M139" s="1059"/>
      <c r="N139" s="1059"/>
      <c r="O139" s="1038"/>
      <c r="P139" s="1054"/>
      <c r="Q139" s="1054"/>
      <c r="T139" s="1041"/>
      <c r="U139" s="1042"/>
      <c r="V139" s="1042"/>
      <c r="AA139" s="1039" t="str">
        <f>VLOOKUP(L139,'25-BRA-I-090'!$I:$EZ,2,0)</f>
        <v>Tấm sàn</v>
      </c>
      <c r="AB139" s="1039" t="str">
        <f>VLOOKUP(L139,'25-BRA-I-090'!$I:$EZ,3,0)</f>
        <v>Grating H30mm</v>
      </c>
      <c r="AC139" s="1039" t="str">
        <f>VLOOKUP(L139,'25-BRA-I-090'!$I:$EZ,5,0)</f>
        <v>pcs</v>
      </c>
      <c r="AD139" s="1039">
        <f>SUMIFS('25-BRA-I-090'!$CS:$CS,'25-BRA-I-090'!$I:$I,L139)</f>
        <v>24</v>
      </c>
      <c r="AE139" s="1039">
        <f>SUMIFS('25-BRA-I-090'!$CT:$CT,'25-BRA-I-090'!$I:$I,L139)</f>
        <v>0</v>
      </c>
      <c r="AF139" s="1039">
        <f>SUMIFS('25-BRA-I-090'!$CW:$CW,'25-BRA-I-090'!$I:$I,L139)</f>
        <v>0</v>
      </c>
      <c r="AG139" s="1039">
        <f>SUMIFS('25-BRA-I-090'!$CX:$CX,'25-BRA-I-090'!$I:$I,L139)</f>
        <v>0</v>
      </c>
      <c r="AH139" s="1040">
        <f>SUMIFS('25-BRA-I-090'!$DJ:$DJ,'25-BRA-I-090'!$I:$I,L139)+SUMIFS('25-BRA-I-090'!$EC:$EC,'25-BRA-I-090'!$I:$I,L139)</f>
        <v>36</v>
      </c>
      <c r="AI139" s="1040">
        <f>SUMIFS('25-BRA-I-090'!$DK:$DK,'25-BRA-I-090'!$I:$I,L139)+SUMIFS('25-BRA-I-090'!$ED:$ED,'25-BRA-I-090'!$I:$I,L139)</f>
        <v>0</v>
      </c>
      <c r="AJ139" s="1040">
        <f>SUMIFS('25-BRA-I-090'!$DO:$DO,'25-BRA-I-090'!$I:$I,L139)+26400*SUMIFS('25-BRA-I-090'!$EF:$EF,'25-BRA-I-090'!$I:$I,L139)</f>
        <v>24000000</v>
      </c>
      <c r="AK139" s="1072"/>
      <c r="AO139" s="1072"/>
      <c r="AR139" s="1081" t="s">
        <v>1769</v>
      </c>
      <c r="AS139" s="1064" t="s">
        <v>640</v>
      </c>
      <c r="AT139" s="1065" t="s">
        <v>1770</v>
      </c>
      <c r="AU139" s="1082" t="s">
        <v>642</v>
      </c>
      <c r="AV139" s="1067" t="s">
        <v>345</v>
      </c>
    </row>
    <row r="140" spans="1:48" s="1039" customFormat="1">
      <c r="A140" s="372"/>
      <c r="B140" s="1057" t="str">
        <f t="shared" si="42"/>
        <v>Grating H50mm</v>
      </c>
      <c r="C140" s="1058" t="str">
        <f>VLOOKUP(L140,'25-BRA-I-090'!$I:$EZ,4,0)</f>
        <v>GRP-GRATING</v>
      </c>
      <c r="D140" s="374" t="str">
        <f t="shared" si="41"/>
        <v>pcs</v>
      </c>
      <c r="E140" s="183"/>
      <c r="F140" s="184">
        <f t="shared" si="40"/>
        <v>16</v>
      </c>
      <c r="G140" s="185">
        <f t="shared" si="40"/>
        <v>0</v>
      </c>
      <c r="H140" s="185">
        <f t="shared" si="40"/>
        <v>0</v>
      </c>
      <c r="I140" s="185">
        <f t="shared" si="43"/>
        <v>0</v>
      </c>
      <c r="J140" s="185" t="e">
        <f t="shared" si="35"/>
        <v>#DIV/0!</v>
      </c>
      <c r="K140" s="185">
        <f t="shared" si="36"/>
        <v>0</v>
      </c>
      <c r="L140" s="1185" t="s">
        <v>2172</v>
      </c>
      <c r="M140" s="1059"/>
      <c r="N140" s="1059"/>
      <c r="O140" s="1038"/>
      <c r="P140" s="1054"/>
      <c r="Q140" s="1054"/>
      <c r="T140" s="1041"/>
      <c r="U140" s="1042"/>
      <c r="V140" s="1042"/>
      <c r="AA140" s="1039" t="str">
        <f>VLOOKUP(L140,'25-BRA-I-090'!$I:$EZ,2,0)</f>
        <v>Tấm sàn</v>
      </c>
      <c r="AB140" s="1039" t="str">
        <f>VLOOKUP(L140,'25-BRA-I-090'!$I:$EZ,3,0)</f>
        <v>Grating H50mm</v>
      </c>
      <c r="AC140" s="1039" t="str">
        <f>VLOOKUP(L140,'25-BRA-I-090'!$I:$EZ,5,0)</f>
        <v>pcs</v>
      </c>
      <c r="AD140" s="1039">
        <f>SUMIFS('25-BRA-I-090'!$CS:$CS,'25-BRA-I-090'!$I:$I,L140)</f>
        <v>16</v>
      </c>
      <c r="AE140" s="1039">
        <f>SUMIFS('25-BRA-I-090'!$CT:$CT,'25-BRA-I-090'!$I:$I,L140)</f>
        <v>0</v>
      </c>
      <c r="AF140" s="1039">
        <f>SUMIFS('25-BRA-I-090'!$CW:$CW,'25-BRA-I-090'!$I:$I,L140)</f>
        <v>0</v>
      </c>
      <c r="AG140" s="1039">
        <f>SUMIFS('25-BRA-I-090'!$CX:$CX,'25-BRA-I-090'!$I:$I,L140)</f>
        <v>0</v>
      </c>
      <c r="AH140" s="1040">
        <f>SUMIFS('25-BRA-I-090'!$DJ:$DJ,'25-BRA-I-090'!$I:$I,L140)+SUMIFS('25-BRA-I-090'!$EC:$EC,'25-BRA-I-090'!$I:$I,L140)</f>
        <v>0</v>
      </c>
      <c r="AI140" s="1040">
        <f>SUMIFS('25-BRA-I-090'!$DK:$DK,'25-BRA-I-090'!$I:$I,L140)+SUMIFS('25-BRA-I-090'!$ED:$ED,'25-BRA-I-090'!$I:$I,L140)</f>
        <v>0</v>
      </c>
      <c r="AJ140" s="1040">
        <f>SUMIFS('25-BRA-I-090'!$DO:$DO,'25-BRA-I-090'!$I:$I,L140)+26400*SUMIFS('25-BRA-I-090'!$EF:$EF,'25-BRA-I-090'!$I:$I,L140)</f>
        <v>0</v>
      </c>
      <c r="AK140" s="1072"/>
      <c r="AO140" s="1072"/>
      <c r="AR140" s="1081" t="s">
        <v>2172</v>
      </c>
      <c r="AS140" s="1064" t="s">
        <v>640</v>
      </c>
      <c r="AT140" s="1065" t="s">
        <v>2173</v>
      </c>
      <c r="AU140" s="1082" t="s">
        <v>642</v>
      </c>
      <c r="AV140" s="1067" t="s">
        <v>345</v>
      </c>
    </row>
    <row r="141" spans="1:48" s="1039" customFormat="1">
      <c r="A141" s="372"/>
      <c r="B141" s="1057" t="str">
        <f t="shared" si="42"/>
        <v>Grating H50mm</v>
      </c>
      <c r="C141" s="1058" t="str">
        <f>VLOOKUP(L141,'25-BRA-I-090'!$I:$EZ,4,0)</f>
        <v>GRP-GRATING</v>
      </c>
      <c r="D141" s="374" t="str">
        <f t="shared" si="41"/>
        <v>pcs</v>
      </c>
      <c r="E141" s="183"/>
      <c r="F141" s="184">
        <f t="shared" si="40"/>
        <v>36</v>
      </c>
      <c r="G141" s="185">
        <f t="shared" si="40"/>
        <v>0</v>
      </c>
      <c r="H141" s="185">
        <f t="shared" si="40"/>
        <v>0</v>
      </c>
      <c r="I141" s="185">
        <f t="shared" si="43"/>
        <v>163</v>
      </c>
      <c r="J141" s="185">
        <f t="shared" si="35"/>
        <v>1419901.8404907975</v>
      </c>
      <c r="K141" s="185">
        <f t="shared" si="36"/>
        <v>231444000</v>
      </c>
      <c r="L141" s="1185" t="s">
        <v>2239</v>
      </c>
      <c r="M141" s="1059"/>
      <c r="N141" s="1059"/>
      <c r="O141" s="1038"/>
      <c r="P141" s="1054"/>
      <c r="Q141" s="1054"/>
      <c r="T141" s="1041"/>
      <c r="U141" s="1042"/>
      <c r="V141" s="1042"/>
      <c r="AA141" s="1039" t="str">
        <f>VLOOKUP(L141,'25-BRA-I-090'!$I:$EZ,2,0)</f>
        <v>Tấm sàn</v>
      </c>
      <c r="AB141" s="1039" t="str">
        <f>VLOOKUP(L141,'25-BRA-I-090'!$I:$EZ,3,0)</f>
        <v>Grating H50mm</v>
      </c>
      <c r="AC141" s="1039" t="str">
        <f>VLOOKUP(L141,'25-BRA-I-090'!$I:$EZ,5,0)</f>
        <v>pcs</v>
      </c>
      <c r="AD141" s="1039">
        <f>SUMIFS('25-BRA-I-090'!$CS:$CS,'25-BRA-I-090'!$I:$I,L141)</f>
        <v>36</v>
      </c>
      <c r="AE141" s="1039">
        <f>SUMIFS('25-BRA-I-090'!$CT:$CT,'25-BRA-I-090'!$I:$I,L141)</f>
        <v>0</v>
      </c>
      <c r="AF141" s="1039">
        <f>SUMIFS('25-BRA-I-090'!$CW:$CW,'25-BRA-I-090'!$I:$I,L141)</f>
        <v>0</v>
      </c>
      <c r="AG141" s="1039">
        <f>SUMIFS('25-BRA-I-090'!$CX:$CX,'25-BRA-I-090'!$I:$I,L141)</f>
        <v>0</v>
      </c>
      <c r="AH141" s="1040">
        <f>SUMIFS('25-BRA-I-090'!$DJ:$DJ,'25-BRA-I-090'!$I:$I,L141)+SUMIFS('25-BRA-I-090'!$EC:$EC,'25-BRA-I-090'!$I:$I,L141)</f>
        <v>163</v>
      </c>
      <c r="AI141" s="1040">
        <f>SUMIFS('25-BRA-I-090'!$DK:$DK,'25-BRA-I-090'!$I:$I,L141)+SUMIFS('25-BRA-I-090'!$ED:$ED,'25-BRA-I-090'!$I:$I,L141)</f>
        <v>0</v>
      </c>
      <c r="AJ141" s="1040">
        <f>SUMIFS('25-BRA-I-090'!$DO:$DO,'25-BRA-I-090'!$I:$I,L141)+26400*SUMIFS('25-BRA-I-090'!$EF:$EF,'25-BRA-I-090'!$I:$I,L141)</f>
        <v>231444000</v>
      </c>
      <c r="AK141" s="1072"/>
      <c r="AO141" s="1072"/>
      <c r="AR141" s="1081" t="s">
        <v>2239</v>
      </c>
      <c r="AS141" s="1064" t="s">
        <v>640</v>
      </c>
      <c r="AT141" s="1065" t="s">
        <v>2173</v>
      </c>
      <c r="AU141" s="1082" t="s">
        <v>642</v>
      </c>
      <c r="AV141" s="1067" t="s">
        <v>345</v>
      </c>
    </row>
    <row r="142" spans="1:48" s="1039" customFormat="1">
      <c r="A142" s="372"/>
      <c r="B142" s="1057" t="str">
        <f t="shared" si="42"/>
        <v>Spring D2.2</v>
      </c>
      <c r="C142" s="1058" t="str">
        <f>VLOOKUP(L142,'25-BRA-I-090'!$I:$EZ,4,0)</f>
        <v>Steel</v>
      </c>
      <c r="D142" s="374" t="str">
        <f t="shared" si="41"/>
        <v>pcs</v>
      </c>
      <c r="E142" s="183"/>
      <c r="F142" s="184">
        <f t="shared" si="40"/>
        <v>8</v>
      </c>
      <c r="G142" s="185">
        <f t="shared" si="40"/>
        <v>0</v>
      </c>
      <c r="H142" s="185">
        <f t="shared" si="40"/>
        <v>0</v>
      </c>
      <c r="I142" s="185">
        <f t="shared" si="43"/>
        <v>5</v>
      </c>
      <c r="J142" s="185">
        <f t="shared" si="35"/>
        <v>150000</v>
      </c>
      <c r="K142" s="185">
        <f t="shared" si="36"/>
        <v>750000</v>
      </c>
      <c r="L142" s="1185" t="s">
        <v>2310</v>
      </c>
      <c r="M142" s="1059"/>
      <c r="N142" s="1059"/>
      <c r="O142" s="1038"/>
      <c r="P142" s="1054"/>
      <c r="Q142" s="1054"/>
      <c r="T142" s="1041"/>
      <c r="U142" s="1042"/>
      <c r="V142" s="1042"/>
      <c r="AA142" s="1039" t="str">
        <f>VLOOKUP(L142,'25-BRA-I-090'!$I:$EZ,2,0)</f>
        <v>Spring</v>
      </c>
      <c r="AB142" s="1039" t="str">
        <f>VLOOKUP(L142,'25-BRA-I-090'!$I:$EZ,3,0)</f>
        <v>Spring D2.2</v>
      </c>
      <c r="AC142" s="1039" t="str">
        <f>VLOOKUP(L142,'25-BRA-I-090'!$I:$EZ,5,0)</f>
        <v>pcs</v>
      </c>
      <c r="AD142" s="1039">
        <f>SUMIFS('25-BRA-I-090'!$CS:$CS,'25-BRA-I-090'!$I:$I,L142)</f>
        <v>8</v>
      </c>
      <c r="AE142" s="1039">
        <f>SUMIFS('25-BRA-I-090'!$CT:$CT,'25-BRA-I-090'!$I:$I,L142)</f>
        <v>0</v>
      </c>
      <c r="AF142" s="1039">
        <f>SUMIFS('25-BRA-I-090'!$CW:$CW,'25-BRA-I-090'!$I:$I,L142)</f>
        <v>0</v>
      </c>
      <c r="AG142" s="1039">
        <f>SUMIFS('25-BRA-I-090'!$CX:$CX,'25-BRA-I-090'!$I:$I,L142)</f>
        <v>0</v>
      </c>
      <c r="AH142" s="1040">
        <f>SUMIFS('25-BRA-I-090'!$DJ:$DJ,'25-BRA-I-090'!$I:$I,L142)+SUMIFS('25-BRA-I-090'!$EC:$EC,'25-BRA-I-090'!$I:$I,L142)</f>
        <v>5</v>
      </c>
      <c r="AI142" s="1040">
        <f>SUMIFS('25-BRA-I-090'!$DK:$DK,'25-BRA-I-090'!$I:$I,L142)+SUMIFS('25-BRA-I-090'!$ED:$ED,'25-BRA-I-090'!$I:$I,L142)</f>
        <v>0</v>
      </c>
      <c r="AJ142" s="1040">
        <f>SUMIFS('25-BRA-I-090'!$DO:$DO,'25-BRA-I-090'!$I:$I,L142)+26400*SUMIFS('25-BRA-I-090'!$EF:$EF,'25-BRA-I-090'!$I:$I,L142)</f>
        <v>750000</v>
      </c>
      <c r="AK142" s="1072"/>
      <c r="AO142" s="1072"/>
      <c r="AR142" s="1081" t="s">
        <v>2310</v>
      </c>
      <c r="AS142" s="1078" t="s">
        <v>700</v>
      </c>
      <c r="AT142" s="1083" t="s">
        <v>2311</v>
      </c>
      <c r="AU142" s="1084" t="s">
        <v>535</v>
      </c>
      <c r="AV142" s="1067" t="s">
        <v>345</v>
      </c>
    </row>
    <row r="143" spans="1:48" s="1039" customFormat="1" ht="30">
      <c r="A143" s="372"/>
      <c r="B143" s="1057" t="str">
        <f t="shared" si="42"/>
        <v xml:space="preserve"> chốt chẻ D5x40-ISO 1234</v>
      </c>
      <c r="C143" s="1058" t="str">
        <f>VLOOKUP(L143,'25-BRA-I-090'!$I:$EZ,4,0)</f>
        <v>Steel-hot dip gal'v or SUS304</v>
      </c>
      <c r="D143" s="374" t="str">
        <f t="shared" si="41"/>
        <v>pcs</v>
      </c>
      <c r="E143" s="183"/>
      <c r="F143" s="184">
        <f t="shared" si="40"/>
        <v>20</v>
      </c>
      <c r="G143" s="185">
        <f t="shared" si="40"/>
        <v>0</v>
      </c>
      <c r="H143" s="185">
        <f t="shared" si="40"/>
        <v>0</v>
      </c>
      <c r="I143" s="185">
        <f t="shared" si="43"/>
        <v>20</v>
      </c>
      <c r="J143" s="185">
        <f t="shared" si="35"/>
        <v>20000</v>
      </c>
      <c r="K143" s="185">
        <f t="shared" si="36"/>
        <v>400000</v>
      </c>
      <c r="L143" s="1185" t="s">
        <v>2553</v>
      </c>
      <c r="M143" s="1059"/>
      <c r="N143" s="1059"/>
      <c r="O143" s="1038"/>
      <c r="P143" s="1054"/>
      <c r="Q143" s="1054"/>
      <c r="T143" s="1041"/>
      <c r="U143" s="1042"/>
      <c r="V143" s="1042"/>
      <c r="AA143" s="1039" t="str">
        <f>VLOOKUP(L143,'25-BRA-I-090'!$I:$EZ,2,0)</f>
        <v>chốt chẻ</v>
      </c>
      <c r="AB143" s="1039" t="str">
        <f>VLOOKUP(L143,'25-BRA-I-090'!$I:$EZ,3,0)</f>
        <v xml:space="preserve"> chốt chẻ D5x40-ISO 1234</v>
      </c>
      <c r="AC143" s="1039" t="str">
        <f>VLOOKUP(L143,'25-BRA-I-090'!$I:$EZ,5,0)</f>
        <v>pcs</v>
      </c>
      <c r="AD143" s="1039">
        <f>SUMIFS('25-BRA-I-090'!$CS:$CS,'25-BRA-I-090'!$I:$I,L143)</f>
        <v>20</v>
      </c>
      <c r="AE143" s="1039">
        <f>SUMIFS('25-BRA-I-090'!$CT:$CT,'25-BRA-I-090'!$I:$I,L143)</f>
        <v>0</v>
      </c>
      <c r="AF143" s="1039">
        <f>SUMIFS('25-BRA-I-090'!$CW:$CW,'25-BRA-I-090'!$I:$I,L143)</f>
        <v>0</v>
      </c>
      <c r="AG143" s="1039">
        <f>SUMIFS('25-BRA-I-090'!$CX:$CX,'25-BRA-I-090'!$I:$I,L143)</f>
        <v>0</v>
      </c>
      <c r="AH143" s="1040">
        <f>SUMIFS('25-BRA-I-090'!$DJ:$DJ,'25-BRA-I-090'!$I:$I,L143)+SUMIFS('25-BRA-I-090'!$EC:$EC,'25-BRA-I-090'!$I:$I,L143)</f>
        <v>20</v>
      </c>
      <c r="AI143" s="1040">
        <f>SUMIFS('25-BRA-I-090'!$DK:$DK,'25-BRA-I-090'!$I:$I,L143)+SUMIFS('25-BRA-I-090'!$ED:$ED,'25-BRA-I-090'!$I:$I,L143)</f>
        <v>0</v>
      </c>
      <c r="AJ143" s="1040">
        <f>SUMIFS('25-BRA-I-090'!$DO:$DO,'25-BRA-I-090'!$I:$I,L143)+26400*SUMIFS('25-BRA-I-090'!$EF:$EF,'25-BRA-I-090'!$I:$I,L143)</f>
        <v>400000</v>
      </c>
      <c r="AK143" s="1072"/>
      <c r="AO143" s="1072"/>
      <c r="AR143" s="1081" t="s">
        <v>2553</v>
      </c>
      <c r="AS143" s="1078" t="s">
        <v>2554</v>
      </c>
      <c r="AT143" s="1083" t="s">
        <v>2555</v>
      </c>
      <c r="AU143" s="1084" t="s">
        <v>2556</v>
      </c>
      <c r="AV143" s="1067" t="s">
        <v>345</v>
      </c>
    </row>
    <row r="144" spans="1:48" s="1039" customFormat="1" ht="30">
      <c r="A144" s="372"/>
      <c r="B144" s="1057" t="str">
        <f t="shared" si="42"/>
        <v xml:space="preserve"> chốt chẻ D8x90-ISO 1234</v>
      </c>
      <c r="C144" s="1058" t="str">
        <f>VLOOKUP(L144,'25-BRA-I-090'!$I:$EZ,4,0)</f>
        <v>Steel-hot dip gal'v or SUS304</v>
      </c>
      <c r="D144" s="374" t="str">
        <f t="shared" si="41"/>
        <v>pcs</v>
      </c>
      <c r="E144" s="183"/>
      <c r="F144" s="184">
        <f t="shared" si="40"/>
        <v>4</v>
      </c>
      <c r="G144" s="185">
        <f t="shared" si="40"/>
        <v>0</v>
      </c>
      <c r="H144" s="185">
        <f t="shared" si="40"/>
        <v>0</v>
      </c>
      <c r="I144" s="185">
        <f t="shared" si="43"/>
        <v>4</v>
      </c>
      <c r="J144" s="185">
        <f t="shared" si="35"/>
        <v>20000</v>
      </c>
      <c r="K144" s="185">
        <f t="shared" si="36"/>
        <v>80000</v>
      </c>
      <c r="L144" s="1185" t="s">
        <v>2557</v>
      </c>
      <c r="M144" s="1059"/>
      <c r="N144" s="1059"/>
      <c r="O144" s="1038"/>
      <c r="P144" s="1054"/>
      <c r="Q144" s="1054"/>
      <c r="T144" s="1041"/>
      <c r="U144" s="1042"/>
      <c r="V144" s="1042"/>
      <c r="AA144" s="1039" t="str">
        <f>VLOOKUP(L144,'25-BRA-I-090'!$I:$EZ,2,0)</f>
        <v>chốt chẻ</v>
      </c>
      <c r="AB144" s="1039" t="str">
        <f>VLOOKUP(L144,'25-BRA-I-090'!$I:$EZ,3,0)</f>
        <v xml:space="preserve"> chốt chẻ D8x90-ISO 1234</v>
      </c>
      <c r="AC144" s="1039" t="str">
        <f>VLOOKUP(L144,'25-BRA-I-090'!$I:$EZ,5,0)</f>
        <v>pcs</v>
      </c>
      <c r="AD144" s="1039">
        <f>SUMIFS('25-BRA-I-090'!$CS:$CS,'25-BRA-I-090'!$I:$I,L144)</f>
        <v>4</v>
      </c>
      <c r="AE144" s="1039">
        <f>SUMIFS('25-BRA-I-090'!$CT:$CT,'25-BRA-I-090'!$I:$I,L144)</f>
        <v>0</v>
      </c>
      <c r="AF144" s="1039">
        <f>SUMIFS('25-BRA-I-090'!$CW:$CW,'25-BRA-I-090'!$I:$I,L144)</f>
        <v>0</v>
      </c>
      <c r="AG144" s="1039">
        <f>SUMIFS('25-BRA-I-090'!$CX:$CX,'25-BRA-I-090'!$I:$I,L144)</f>
        <v>0</v>
      </c>
      <c r="AH144" s="1040">
        <f>SUMIFS('25-BRA-I-090'!$DJ:$DJ,'25-BRA-I-090'!$I:$I,L144)+SUMIFS('25-BRA-I-090'!$EC:$EC,'25-BRA-I-090'!$I:$I,L144)</f>
        <v>4</v>
      </c>
      <c r="AI144" s="1040">
        <f>SUMIFS('25-BRA-I-090'!$DK:$DK,'25-BRA-I-090'!$I:$I,L144)+SUMIFS('25-BRA-I-090'!$ED:$ED,'25-BRA-I-090'!$I:$I,L144)</f>
        <v>0</v>
      </c>
      <c r="AJ144" s="1040">
        <f>SUMIFS('25-BRA-I-090'!$DO:$DO,'25-BRA-I-090'!$I:$I,L144)+26400*SUMIFS('25-BRA-I-090'!$EF:$EF,'25-BRA-I-090'!$I:$I,L144)</f>
        <v>80000</v>
      </c>
      <c r="AK144" s="1072"/>
      <c r="AO144" s="1072"/>
      <c r="AR144" s="1081" t="s">
        <v>2557</v>
      </c>
      <c r="AS144" s="1078" t="s">
        <v>2554</v>
      </c>
      <c r="AT144" s="1083" t="s">
        <v>2558</v>
      </c>
      <c r="AU144" s="1084" t="s">
        <v>2556</v>
      </c>
      <c r="AV144" s="1067" t="s">
        <v>345</v>
      </c>
    </row>
    <row r="145" spans="1:41" s="1039" customFormat="1" ht="30">
      <c r="A145" s="372"/>
      <c r="B145" s="1057" t="str">
        <f t="shared" si="42"/>
        <v>Bolt-M10x20-ISO4017-8.8-Galv</v>
      </c>
      <c r="C145" s="1058" t="str">
        <f>VLOOKUP(L145,'25-BRA-I-090'!$I:$EZ,4,0)</f>
        <v>8.8-Galv</v>
      </c>
      <c r="D145" s="374" t="str">
        <f t="shared" si="41"/>
        <v>pcs</v>
      </c>
      <c r="E145" s="183"/>
      <c r="F145" s="184">
        <f t="shared" si="40"/>
        <v>162</v>
      </c>
      <c r="G145" s="185">
        <f t="shared" si="40"/>
        <v>0</v>
      </c>
      <c r="H145" s="185">
        <f t="shared" si="40"/>
        <v>0</v>
      </c>
      <c r="I145" s="185">
        <f t="shared" si="43"/>
        <v>162</v>
      </c>
      <c r="J145" s="185">
        <f t="shared" si="35"/>
        <v>1480</v>
      </c>
      <c r="K145" s="185">
        <f t="shared" si="36"/>
        <v>239760</v>
      </c>
      <c r="L145" s="1184" t="s">
        <v>750</v>
      </c>
      <c r="M145" s="1059"/>
      <c r="N145" s="1059"/>
      <c r="O145" s="1038"/>
      <c r="P145" s="1054"/>
      <c r="Q145" s="1054"/>
      <c r="T145" s="1041"/>
      <c r="U145" s="1042"/>
      <c r="V145" s="1042"/>
      <c r="AA145" s="1039" t="str">
        <f>VLOOKUP(L145,'25-BRA-I-090'!$I:$EZ,2,0)</f>
        <v>Bu lông</v>
      </c>
      <c r="AB145" s="1039" t="str">
        <f>VLOOKUP(L145,'25-BRA-I-090'!$I:$EZ,3,0)</f>
        <v>Bolt-M10x20-ISO4017-8.8-Galv</v>
      </c>
      <c r="AC145" s="1039" t="str">
        <f>VLOOKUP(L145,'25-BRA-I-090'!$I:$EZ,5,0)</f>
        <v>pcs</v>
      </c>
      <c r="AD145" s="1039">
        <f>SUMIFS('25-BRA-I-090'!$CS:$CS,'25-BRA-I-090'!$I:$I,L145)</f>
        <v>162</v>
      </c>
      <c r="AE145" s="1039">
        <f>SUMIFS('25-BRA-I-090'!$CT:$CT,'25-BRA-I-090'!$I:$I,L145)</f>
        <v>0</v>
      </c>
      <c r="AF145" s="1039">
        <f>SUMIFS('25-BRA-I-090'!$CW:$CW,'25-BRA-I-090'!$I:$I,L145)</f>
        <v>0</v>
      </c>
      <c r="AG145" s="1039">
        <f>SUMIFS('25-BRA-I-090'!$CX:$CX,'25-BRA-I-090'!$I:$I,L145)</f>
        <v>0</v>
      </c>
      <c r="AH145" s="1040">
        <f>SUMIFS('25-BRA-I-090'!$DJ:$DJ,'25-BRA-I-090'!$I:$I,L145)+SUMIFS('25-BRA-I-090'!$EC:$EC,'25-BRA-I-090'!$I:$I,L145)</f>
        <v>162</v>
      </c>
      <c r="AI145" s="1040">
        <f>SUMIFS('25-BRA-I-090'!$DK:$DK,'25-BRA-I-090'!$I:$I,L145)+SUMIFS('25-BRA-I-090'!$ED:$ED,'25-BRA-I-090'!$I:$I,L145)</f>
        <v>0</v>
      </c>
      <c r="AJ145" s="1040">
        <f>SUMIFS('25-BRA-I-090'!$DO:$DO,'25-BRA-I-090'!$I:$I,L145)+26400*SUMIFS('25-BRA-I-090'!$EF:$EF,'25-BRA-I-090'!$I:$I,L145)</f>
        <v>239760</v>
      </c>
      <c r="AK145" s="1072"/>
      <c r="AO145" s="1072"/>
    </row>
    <row r="146" spans="1:41" s="1039" customFormat="1" ht="30">
      <c r="A146" s="372"/>
      <c r="B146" s="1057" t="str">
        <f t="shared" si="42"/>
        <v>Bolt-M10x30-ISO4017-8.8-Galv</v>
      </c>
      <c r="C146" s="1058" t="str">
        <f>VLOOKUP(L146,'25-BRA-I-090'!$I:$EZ,4,0)</f>
        <v>8.8-Galv</v>
      </c>
      <c r="D146" s="374" t="str">
        <f t="shared" si="41"/>
        <v>pcs</v>
      </c>
      <c r="E146" s="183"/>
      <c r="F146" s="184">
        <f t="shared" si="40"/>
        <v>128</v>
      </c>
      <c r="G146" s="185">
        <f t="shared" si="40"/>
        <v>0</v>
      </c>
      <c r="H146" s="185">
        <f t="shared" si="40"/>
        <v>0</v>
      </c>
      <c r="I146" s="185">
        <f t="shared" si="43"/>
        <v>128</v>
      </c>
      <c r="J146" s="185">
        <f t="shared" si="35"/>
        <v>1830</v>
      </c>
      <c r="K146" s="185">
        <f t="shared" si="36"/>
        <v>234240</v>
      </c>
      <c r="L146" s="1184" t="s">
        <v>754</v>
      </c>
      <c r="M146" s="1059"/>
      <c r="N146" s="1059"/>
      <c r="O146" s="1038"/>
      <c r="P146" s="1054"/>
      <c r="Q146" s="1054"/>
      <c r="T146" s="1041"/>
      <c r="U146" s="1042"/>
      <c r="V146" s="1042"/>
      <c r="AA146" s="1039" t="str">
        <f>VLOOKUP(L146,'25-BRA-I-090'!$I:$EZ,2,0)</f>
        <v>Bu lông</v>
      </c>
      <c r="AB146" s="1039" t="str">
        <f>VLOOKUP(L146,'25-BRA-I-090'!$I:$EZ,3,0)</f>
        <v>Bolt-M10x30-ISO4017-8.8-Galv</v>
      </c>
      <c r="AC146" s="1039" t="str">
        <f>VLOOKUP(L146,'25-BRA-I-090'!$I:$EZ,5,0)</f>
        <v>pcs</v>
      </c>
      <c r="AD146" s="1039">
        <f>SUMIFS('25-BRA-I-090'!$CS:$CS,'25-BRA-I-090'!$I:$I,L146)</f>
        <v>128</v>
      </c>
      <c r="AE146" s="1039">
        <f>SUMIFS('25-BRA-I-090'!$CT:$CT,'25-BRA-I-090'!$I:$I,L146)</f>
        <v>0</v>
      </c>
      <c r="AF146" s="1039">
        <f>SUMIFS('25-BRA-I-090'!$CW:$CW,'25-BRA-I-090'!$I:$I,L146)</f>
        <v>0</v>
      </c>
      <c r="AG146" s="1039">
        <f>SUMIFS('25-BRA-I-090'!$CX:$CX,'25-BRA-I-090'!$I:$I,L146)</f>
        <v>0</v>
      </c>
      <c r="AH146" s="1040">
        <f>SUMIFS('25-BRA-I-090'!$DJ:$DJ,'25-BRA-I-090'!$I:$I,L146)+SUMIFS('25-BRA-I-090'!$EC:$EC,'25-BRA-I-090'!$I:$I,L146)</f>
        <v>128</v>
      </c>
      <c r="AI146" s="1040">
        <f>SUMIFS('25-BRA-I-090'!$DK:$DK,'25-BRA-I-090'!$I:$I,L146)+SUMIFS('25-BRA-I-090'!$ED:$ED,'25-BRA-I-090'!$I:$I,L146)</f>
        <v>0</v>
      </c>
      <c r="AJ146" s="1040">
        <f>SUMIFS('25-BRA-I-090'!$DO:$DO,'25-BRA-I-090'!$I:$I,L146)+26400*SUMIFS('25-BRA-I-090'!$EF:$EF,'25-BRA-I-090'!$I:$I,L146)</f>
        <v>234240</v>
      </c>
      <c r="AK146" s="1072"/>
      <c r="AO146" s="1072"/>
    </row>
    <row r="147" spans="1:41" s="1039" customFormat="1" ht="30">
      <c r="A147" s="372"/>
      <c r="B147" s="1057" t="str">
        <f t="shared" si="42"/>
        <v>Bolt-M10x35-ISO4017-8.8-Galv</v>
      </c>
      <c r="C147" s="1058" t="str">
        <f>VLOOKUP(L147,'25-BRA-I-090'!$I:$EZ,4,0)</f>
        <v>8.8-Galv</v>
      </c>
      <c r="D147" s="374" t="str">
        <f t="shared" si="41"/>
        <v>pcs</v>
      </c>
      <c r="E147" s="183"/>
      <c r="F147" s="184">
        <f t="shared" si="40"/>
        <v>662</v>
      </c>
      <c r="G147" s="185">
        <f t="shared" si="40"/>
        <v>0</v>
      </c>
      <c r="H147" s="185">
        <f t="shared" si="40"/>
        <v>0</v>
      </c>
      <c r="I147" s="185">
        <f t="shared" si="43"/>
        <v>662</v>
      </c>
      <c r="J147" s="185">
        <f t="shared" si="35"/>
        <v>2180</v>
      </c>
      <c r="K147" s="185">
        <f t="shared" si="36"/>
        <v>1443160</v>
      </c>
      <c r="L147" s="1184" t="s">
        <v>756</v>
      </c>
      <c r="M147" s="1059"/>
      <c r="N147" s="1059"/>
      <c r="O147" s="1038"/>
      <c r="P147" s="1054"/>
      <c r="Q147" s="1054"/>
      <c r="T147" s="1041"/>
      <c r="U147" s="1042"/>
      <c r="V147" s="1042"/>
      <c r="AA147" s="1039" t="str">
        <f>VLOOKUP(L147,'25-BRA-I-090'!$I:$EZ,2,0)</f>
        <v>Bu lông</v>
      </c>
      <c r="AB147" s="1039" t="str">
        <f>VLOOKUP(L147,'25-BRA-I-090'!$I:$EZ,3,0)</f>
        <v>Bolt-M10x35-ISO4017-8.8-Galv</v>
      </c>
      <c r="AC147" s="1039" t="str">
        <f>VLOOKUP(L147,'25-BRA-I-090'!$I:$EZ,5,0)</f>
        <v>pcs</v>
      </c>
      <c r="AD147" s="1039">
        <f>SUMIFS('25-BRA-I-090'!$CS:$CS,'25-BRA-I-090'!$I:$I,L147)</f>
        <v>662</v>
      </c>
      <c r="AE147" s="1039">
        <f>SUMIFS('25-BRA-I-090'!$CT:$CT,'25-BRA-I-090'!$I:$I,L147)</f>
        <v>0</v>
      </c>
      <c r="AF147" s="1039">
        <f>SUMIFS('25-BRA-I-090'!$CW:$CW,'25-BRA-I-090'!$I:$I,L147)</f>
        <v>0</v>
      </c>
      <c r="AG147" s="1039">
        <f>SUMIFS('25-BRA-I-090'!$CX:$CX,'25-BRA-I-090'!$I:$I,L147)</f>
        <v>0</v>
      </c>
      <c r="AH147" s="1040">
        <f>SUMIFS('25-BRA-I-090'!$DJ:$DJ,'25-BRA-I-090'!$I:$I,L147)+SUMIFS('25-BRA-I-090'!$EC:$EC,'25-BRA-I-090'!$I:$I,L147)</f>
        <v>662</v>
      </c>
      <c r="AI147" s="1040">
        <f>SUMIFS('25-BRA-I-090'!$DK:$DK,'25-BRA-I-090'!$I:$I,L147)+SUMIFS('25-BRA-I-090'!$ED:$ED,'25-BRA-I-090'!$I:$I,L147)</f>
        <v>0</v>
      </c>
      <c r="AJ147" s="1040">
        <f>SUMIFS('25-BRA-I-090'!$DO:$DO,'25-BRA-I-090'!$I:$I,L147)+26400*SUMIFS('25-BRA-I-090'!$EF:$EF,'25-BRA-I-090'!$I:$I,L147)</f>
        <v>1443160</v>
      </c>
      <c r="AK147" s="1072"/>
      <c r="AO147" s="1072"/>
    </row>
    <row r="148" spans="1:41" s="1039" customFormat="1" ht="30">
      <c r="A148" s="372"/>
      <c r="B148" s="1057" t="str">
        <f t="shared" si="42"/>
        <v>Bolt-M10x40-ISO4017-8.8-Galv</v>
      </c>
      <c r="C148" s="1058" t="str">
        <f>VLOOKUP(L148,'25-BRA-I-090'!$I:$EZ,4,0)</f>
        <v>8.8-Galv</v>
      </c>
      <c r="D148" s="374" t="str">
        <f t="shared" si="41"/>
        <v>pcs</v>
      </c>
      <c r="E148" s="183"/>
      <c r="F148" s="184">
        <f t="shared" si="40"/>
        <v>162</v>
      </c>
      <c r="G148" s="185">
        <f t="shared" si="40"/>
        <v>0</v>
      </c>
      <c r="H148" s="185">
        <f t="shared" si="40"/>
        <v>0</v>
      </c>
      <c r="I148" s="185">
        <f t="shared" si="43"/>
        <v>162</v>
      </c>
      <c r="J148" s="185">
        <f t="shared" si="35"/>
        <v>2180</v>
      </c>
      <c r="K148" s="185">
        <f t="shared" si="36"/>
        <v>353160</v>
      </c>
      <c r="L148" s="1184" t="s">
        <v>758</v>
      </c>
      <c r="M148" s="1059"/>
      <c r="N148" s="1059"/>
      <c r="O148" s="1038"/>
      <c r="P148" s="1054"/>
      <c r="Q148" s="1054"/>
      <c r="T148" s="1041"/>
      <c r="U148" s="1042"/>
      <c r="V148" s="1042"/>
      <c r="AA148" s="1039" t="str">
        <f>VLOOKUP(L148,'25-BRA-I-090'!$I:$EZ,2,0)</f>
        <v>Bu lông</v>
      </c>
      <c r="AB148" s="1039" t="str">
        <f>VLOOKUP(L148,'25-BRA-I-090'!$I:$EZ,3,0)</f>
        <v>Bolt-M10x40-ISO4017-8.8-Galv</v>
      </c>
      <c r="AC148" s="1039" t="str">
        <f>VLOOKUP(L148,'25-BRA-I-090'!$I:$EZ,5,0)</f>
        <v>pcs</v>
      </c>
      <c r="AD148" s="1039">
        <f>SUMIFS('25-BRA-I-090'!$CS:$CS,'25-BRA-I-090'!$I:$I,L148)</f>
        <v>162</v>
      </c>
      <c r="AE148" s="1039">
        <f>SUMIFS('25-BRA-I-090'!$CT:$CT,'25-BRA-I-090'!$I:$I,L148)</f>
        <v>0</v>
      </c>
      <c r="AF148" s="1039">
        <f>SUMIFS('25-BRA-I-090'!$CW:$CW,'25-BRA-I-090'!$I:$I,L148)</f>
        <v>0</v>
      </c>
      <c r="AG148" s="1039">
        <f>SUMIFS('25-BRA-I-090'!$CX:$CX,'25-BRA-I-090'!$I:$I,L148)</f>
        <v>0</v>
      </c>
      <c r="AH148" s="1040">
        <f>SUMIFS('25-BRA-I-090'!$DJ:$DJ,'25-BRA-I-090'!$I:$I,L148)+SUMIFS('25-BRA-I-090'!$EC:$EC,'25-BRA-I-090'!$I:$I,L148)</f>
        <v>162</v>
      </c>
      <c r="AI148" s="1040">
        <f>SUMIFS('25-BRA-I-090'!$DK:$DK,'25-BRA-I-090'!$I:$I,L148)+SUMIFS('25-BRA-I-090'!$ED:$ED,'25-BRA-I-090'!$I:$I,L148)</f>
        <v>0</v>
      </c>
      <c r="AJ148" s="1040">
        <f>SUMIFS('25-BRA-I-090'!$DO:$DO,'25-BRA-I-090'!$I:$I,L148)+26400*SUMIFS('25-BRA-I-090'!$EF:$EF,'25-BRA-I-090'!$I:$I,L148)</f>
        <v>353160</v>
      </c>
      <c r="AK148" s="1072"/>
      <c r="AO148" s="1072"/>
    </row>
    <row r="149" spans="1:41" s="1039" customFormat="1" ht="30">
      <c r="A149" s="372"/>
      <c r="B149" s="1057" t="str">
        <f t="shared" si="42"/>
        <v>Bolt-M10x45-DIN912-8.8-Galv</v>
      </c>
      <c r="C149" s="1058" t="str">
        <f>VLOOKUP(L149,'25-BRA-I-090'!$I:$EZ,4,0)</f>
        <v>8.8-Galv</v>
      </c>
      <c r="D149" s="374" t="str">
        <f t="shared" si="41"/>
        <v>pcs</v>
      </c>
      <c r="E149" s="183"/>
      <c r="F149" s="184">
        <f t="shared" si="40"/>
        <v>50</v>
      </c>
      <c r="G149" s="185">
        <f t="shared" si="40"/>
        <v>0</v>
      </c>
      <c r="H149" s="185">
        <f t="shared" si="40"/>
        <v>0</v>
      </c>
      <c r="I149" s="185">
        <f t="shared" si="43"/>
        <v>50</v>
      </c>
      <c r="J149" s="185">
        <f t="shared" si="35"/>
        <v>7520</v>
      </c>
      <c r="K149" s="185">
        <f t="shared" si="36"/>
        <v>376000</v>
      </c>
      <c r="L149" s="1184" t="s">
        <v>760</v>
      </c>
      <c r="M149" s="1059"/>
      <c r="N149" s="1059"/>
      <c r="O149" s="1038"/>
      <c r="P149" s="1054"/>
      <c r="Q149" s="1054"/>
      <c r="T149" s="1041"/>
      <c r="U149" s="1042"/>
      <c r="V149" s="1042"/>
      <c r="AA149" s="1039" t="str">
        <f>VLOOKUP(L149,'25-BRA-I-090'!$I:$EZ,2,0)</f>
        <v>Bu lông</v>
      </c>
      <c r="AB149" s="1039" t="str">
        <f>VLOOKUP(L149,'25-BRA-I-090'!$I:$EZ,3,0)</f>
        <v>Bolt-M10x45-DIN912-8.8-Galv</v>
      </c>
      <c r="AC149" s="1039" t="str">
        <f>VLOOKUP(L149,'25-BRA-I-090'!$I:$EZ,5,0)</f>
        <v>pcs</v>
      </c>
      <c r="AD149" s="1039">
        <f>SUMIFS('25-BRA-I-090'!$CS:$CS,'25-BRA-I-090'!$I:$I,L149)</f>
        <v>50</v>
      </c>
      <c r="AE149" s="1039">
        <f>SUMIFS('25-BRA-I-090'!$CT:$CT,'25-BRA-I-090'!$I:$I,L149)</f>
        <v>0</v>
      </c>
      <c r="AF149" s="1039">
        <f>SUMIFS('25-BRA-I-090'!$CW:$CW,'25-BRA-I-090'!$I:$I,L149)</f>
        <v>0</v>
      </c>
      <c r="AG149" s="1039">
        <f>SUMIFS('25-BRA-I-090'!$CX:$CX,'25-BRA-I-090'!$I:$I,L149)</f>
        <v>0</v>
      </c>
      <c r="AH149" s="1040">
        <f>SUMIFS('25-BRA-I-090'!$DJ:$DJ,'25-BRA-I-090'!$I:$I,L149)+SUMIFS('25-BRA-I-090'!$EC:$EC,'25-BRA-I-090'!$I:$I,L149)</f>
        <v>50</v>
      </c>
      <c r="AI149" s="1040">
        <f>SUMIFS('25-BRA-I-090'!$DK:$DK,'25-BRA-I-090'!$I:$I,L149)+SUMIFS('25-BRA-I-090'!$ED:$ED,'25-BRA-I-090'!$I:$I,L149)</f>
        <v>0</v>
      </c>
      <c r="AJ149" s="1040">
        <f>SUMIFS('25-BRA-I-090'!$DO:$DO,'25-BRA-I-090'!$I:$I,L149)+26400*SUMIFS('25-BRA-I-090'!$EF:$EF,'25-BRA-I-090'!$I:$I,L149)</f>
        <v>376000</v>
      </c>
      <c r="AK149" s="1072"/>
      <c r="AO149" s="1072"/>
    </row>
    <row r="150" spans="1:41" s="1039" customFormat="1" ht="30">
      <c r="A150" s="372"/>
      <c r="B150" s="1057" t="str">
        <f t="shared" si="42"/>
        <v>Bolt-M12x35-ISO10642-8.8-Galv</v>
      </c>
      <c r="C150" s="1058" t="str">
        <f>VLOOKUP(L150,'25-BRA-I-090'!$I:$EZ,4,0)</f>
        <v>8.8-Galv</v>
      </c>
      <c r="D150" s="374" t="str">
        <f t="shared" si="41"/>
        <v>pcs</v>
      </c>
      <c r="E150" s="183"/>
      <c r="F150" s="184">
        <f t="shared" si="40"/>
        <v>2736</v>
      </c>
      <c r="G150" s="185">
        <f t="shared" si="40"/>
        <v>0</v>
      </c>
      <c r="H150" s="185">
        <f t="shared" si="40"/>
        <v>0</v>
      </c>
      <c r="I150" s="185">
        <f t="shared" si="43"/>
        <v>2736</v>
      </c>
      <c r="J150" s="185">
        <f t="shared" si="35"/>
        <v>4820</v>
      </c>
      <c r="K150" s="185">
        <f t="shared" si="36"/>
        <v>13187520</v>
      </c>
      <c r="L150" s="1184" t="s">
        <v>762</v>
      </c>
      <c r="M150" s="1059"/>
      <c r="N150" s="1059"/>
      <c r="O150" s="1038"/>
      <c r="P150" s="1054"/>
      <c r="Q150" s="1054"/>
      <c r="T150" s="1041"/>
      <c r="U150" s="1042"/>
      <c r="V150" s="1042"/>
      <c r="AA150" s="1039" t="str">
        <f>VLOOKUP(L150,'25-BRA-I-090'!$I:$EZ,2,0)</f>
        <v>Bu lông</v>
      </c>
      <c r="AB150" s="1039" t="str">
        <f>VLOOKUP(L150,'25-BRA-I-090'!$I:$EZ,3,0)</f>
        <v>Bolt-M12x35-ISO10642-8.8-Galv</v>
      </c>
      <c r="AC150" s="1039" t="str">
        <f>VLOOKUP(L150,'25-BRA-I-090'!$I:$EZ,5,0)</f>
        <v>pcs</v>
      </c>
      <c r="AD150" s="1039">
        <f>SUMIFS('25-BRA-I-090'!$CS:$CS,'25-BRA-I-090'!$I:$I,L150)</f>
        <v>2736</v>
      </c>
      <c r="AE150" s="1039">
        <f>SUMIFS('25-BRA-I-090'!$CT:$CT,'25-BRA-I-090'!$I:$I,L150)</f>
        <v>0</v>
      </c>
      <c r="AF150" s="1039">
        <f>SUMIFS('25-BRA-I-090'!$CW:$CW,'25-BRA-I-090'!$I:$I,L150)</f>
        <v>0</v>
      </c>
      <c r="AG150" s="1039">
        <f>SUMIFS('25-BRA-I-090'!$CX:$CX,'25-BRA-I-090'!$I:$I,L150)</f>
        <v>0</v>
      </c>
      <c r="AH150" s="1040">
        <f>SUMIFS('25-BRA-I-090'!$DJ:$DJ,'25-BRA-I-090'!$I:$I,L150)+SUMIFS('25-BRA-I-090'!$EC:$EC,'25-BRA-I-090'!$I:$I,L150)</f>
        <v>2736</v>
      </c>
      <c r="AI150" s="1040">
        <f>SUMIFS('25-BRA-I-090'!$DK:$DK,'25-BRA-I-090'!$I:$I,L150)+SUMIFS('25-BRA-I-090'!$ED:$ED,'25-BRA-I-090'!$I:$I,L150)</f>
        <v>0</v>
      </c>
      <c r="AJ150" s="1040">
        <f>SUMIFS('25-BRA-I-090'!$DO:$DO,'25-BRA-I-090'!$I:$I,L150)+26400*SUMIFS('25-BRA-I-090'!$EF:$EF,'25-BRA-I-090'!$I:$I,L150)</f>
        <v>13187520</v>
      </c>
      <c r="AK150" s="1072"/>
      <c r="AO150" s="1072"/>
    </row>
    <row r="151" spans="1:41" s="1039" customFormat="1" ht="30">
      <c r="A151" s="372"/>
      <c r="B151" s="1057" t="str">
        <f t="shared" si="42"/>
        <v>Bolt-M12x35-ISO4017-8.8-Galv</v>
      </c>
      <c r="C151" s="1058" t="str">
        <f>VLOOKUP(L151,'25-BRA-I-090'!$I:$EZ,4,0)</f>
        <v>8.8-Galv</v>
      </c>
      <c r="D151" s="374" t="str">
        <f t="shared" si="41"/>
        <v>pcs</v>
      </c>
      <c r="E151" s="183"/>
      <c r="F151" s="184">
        <f t="shared" si="40"/>
        <v>160</v>
      </c>
      <c r="G151" s="185">
        <f t="shared" si="40"/>
        <v>0</v>
      </c>
      <c r="H151" s="185">
        <f t="shared" si="40"/>
        <v>0</v>
      </c>
      <c r="I151" s="185">
        <f t="shared" si="43"/>
        <v>160</v>
      </c>
      <c r="J151" s="185">
        <f t="shared" si="35"/>
        <v>3140</v>
      </c>
      <c r="K151" s="185">
        <f t="shared" si="36"/>
        <v>502400</v>
      </c>
      <c r="L151" s="1184" t="s">
        <v>764</v>
      </c>
      <c r="M151" s="1059"/>
      <c r="N151" s="1059"/>
      <c r="O151" s="1038"/>
      <c r="P151" s="1054"/>
      <c r="Q151" s="1054"/>
      <c r="T151" s="1041"/>
      <c r="U151" s="1042"/>
      <c r="V151" s="1042"/>
      <c r="AA151" s="1039" t="str">
        <f>VLOOKUP(L151,'25-BRA-I-090'!$I:$EZ,2,0)</f>
        <v>Bu lông</v>
      </c>
      <c r="AB151" s="1039" t="str">
        <f>VLOOKUP(L151,'25-BRA-I-090'!$I:$EZ,3,0)</f>
        <v>Bolt-M12x35-ISO4017-8.8-Galv</v>
      </c>
      <c r="AC151" s="1039" t="str">
        <f>VLOOKUP(L151,'25-BRA-I-090'!$I:$EZ,5,0)</f>
        <v>pcs</v>
      </c>
      <c r="AD151" s="1039">
        <f>SUMIFS('25-BRA-I-090'!$CS:$CS,'25-BRA-I-090'!$I:$I,L151)</f>
        <v>160</v>
      </c>
      <c r="AE151" s="1039">
        <f>SUMIFS('25-BRA-I-090'!$CT:$CT,'25-BRA-I-090'!$I:$I,L151)</f>
        <v>0</v>
      </c>
      <c r="AF151" s="1039">
        <f>SUMIFS('25-BRA-I-090'!$CW:$CW,'25-BRA-I-090'!$I:$I,L151)</f>
        <v>0</v>
      </c>
      <c r="AG151" s="1039">
        <f>SUMIFS('25-BRA-I-090'!$CX:$CX,'25-BRA-I-090'!$I:$I,L151)</f>
        <v>0</v>
      </c>
      <c r="AH151" s="1040">
        <f>SUMIFS('25-BRA-I-090'!$DJ:$DJ,'25-BRA-I-090'!$I:$I,L151)+SUMIFS('25-BRA-I-090'!$EC:$EC,'25-BRA-I-090'!$I:$I,L151)</f>
        <v>160</v>
      </c>
      <c r="AI151" s="1040">
        <f>SUMIFS('25-BRA-I-090'!$DK:$DK,'25-BRA-I-090'!$I:$I,L151)+SUMIFS('25-BRA-I-090'!$ED:$ED,'25-BRA-I-090'!$I:$I,L151)</f>
        <v>0</v>
      </c>
      <c r="AJ151" s="1040">
        <f>SUMIFS('25-BRA-I-090'!$DO:$DO,'25-BRA-I-090'!$I:$I,L151)+26400*SUMIFS('25-BRA-I-090'!$EF:$EF,'25-BRA-I-090'!$I:$I,L151)</f>
        <v>502400</v>
      </c>
      <c r="AK151" s="1072"/>
      <c r="AO151" s="1072"/>
    </row>
    <row r="152" spans="1:41" s="1039" customFormat="1" ht="30">
      <c r="A152" s="372"/>
      <c r="B152" s="1057" t="str">
        <f t="shared" si="42"/>
        <v>Bolt-M12x40-ISO4017-8.8-Galv</v>
      </c>
      <c r="C152" s="1058" t="str">
        <f>VLOOKUP(L152,'25-BRA-I-090'!$I:$EZ,4,0)</f>
        <v>8.8-Galv</v>
      </c>
      <c r="D152" s="374" t="str">
        <f t="shared" si="41"/>
        <v>pcs</v>
      </c>
      <c r="E152" s="183"/>
      <c r="F152" s="184">
        <f t="shared" si="40"/>
        <v>112</v>
      </c>
      <c r="G152" s="185">
        <f t="shared" si="40"/>
        <v>0</v>
      </c>
      <c r="H152" s="185">
        <f t="shared" si="40"/>
        <v>0</v>
      </c>
      <c r="I152" s="185">
        <f t="shared" si="43"/>
        <v>42</v>
      </c>
      <c r="J152" s="185">
        <f t="shared" si="35"/>
        <v>3140</v>
      </c>
      <c r="K152" s="185">
        <f t="shared" si="36"/>
        <v>131880</v>
      </c>
      <c r="L152" s="1184" t="s">
        <v>766</v>
      </c>
      <c r="M152" s="1059"/>
      <c r="N152" s="1059"/>
      <c r="O152" s="1038"/>
      <c r="P152" s="1054"/>
      <c r="Q152" s="1054"/>
      <c r="T152" s="1041"/>
      <c r="U152" s="1042"/>
      <c r="V152" s="1042"/>
      <c r="AA152" s="1039" t="str">
        <f>VLOOKUP(L152,'25-BRA-I-090'!$I:$EZ,2,0)</f>
        <v>Bu lông</v>
      </c>
      <c r="AB152" s="1039" t="str">
        <f>VLOOKUP(L152,'25-BRA-I-090'!$I:$EZ,3,0)</f>
        <v>Bolt-M12x40-ISO4017-8.8-Galv</v>
      </c>
      <c r="AC152" s="1039" t="str">
        <f>VLOOKUP(L152,'25-BRA-I-090'!$I:$EZ,5,0)</f>
        <v>pcs</v>
      </c>
      <c r="AD152" s="1039">
        <f>SUMIFS('25-BRA-I-090'!$CS:$CS,'25-BRA-I-090'!$I:$I,L152)</f>
        <v>112</v>
      </c>
      <c r="AE152" s="1039">
        <f>SUMIFS('25-BRA-I-090'!$CT:$CT,'25-BRA-I-090'!$I:$I,L152)</f>
        <v>0</v>
      </c>
      <c r="AF152" s="1039">
        <f>SUMIFS('25-BRA-I-090'!$CW:$CW,'25-BRA-I-090'!$I:$I,L152)</f>
        <v>0</v>
      </c>
      <c r="AG152" s="1039">
        <f>SUMIFS('25-BRA-I-090'!$CX:$CX,'25-BRA-I-090'!$I:$I,L152)</f>
        <v>0</v>
      </c>
      <c r="AH152" s="1040">
        <f>SUMIFS('25-BRA-I-090'!$DJ:$DJ,'25-BRA-I-090'!$I:$I,L152)+SUMIFS('25-BRA-I-090'!$EC:$EC,'25-BRA-I-090'!$I:$I,L152)</f>
        <v>42</v>
      </c>
      <c r="AI152" s="1040">
        <f>SUMIFS('25-BRA-I-090'!$DK:$DK,'25-BRA-I-090'!$I:$I,L152)+SUMIFS('25-BRA-I-090'!$ED:$ED,'25-BRA-I-090'!$I:$I,L152)</f>
        <v>0</v>
      </c>
      <c r="AJ152" s="1040">
        <f>SUMIFS('25-BRA-I-090'!$DO:$DO,'25-BRA-I-090'!$I:$I,L152)+26400*SUMIFS('25-BRA-I-090'!$EF:$EF,'25-BRA-I-090'!$I:$I,L152)</f>
        <v>131880</v>
      </c>
      <c r="AK152" s="1072"/>
      <c r="AO152" s="1072"/>
    </row>
    <row r="153" spans="1:41" s="1039" customFormat="1" ht="30">
      <c r="A153" s="372"/>
      <c r="B153" s="1057" t="str">
        <f t="shared" si="42"/>
        <v>Bolt-M12x45-ISO4017-8.8-Galv</v>
      </c>
      <c r="C153" s="1058" t="str">
        <f>VLOOKUP(L153,'25-BRA-I-090'!$I:$EZ,4,0)</f>
        <v>8.8-Galv</v>
      </c>
      <c r="D153" s="374" t="str">
        <f t="shared" si="41"/>
        <v>pcs</v>
      </c>
      <c r="E153" s="183"/>
      <c r="F153" s="184">
        <f t="shared" si="40"/>
        <v>340</v>
      </c>
      <c r="G153" s="185">
        <f t="shared" si="40"/>
        <v>0</v>
      </c>
      <c r="H153" s="185">
        <f t="shared" si="40"/>
        <v>0</v>
      </c>
      <c r="I153" s="185">
        <f t="shared" si="43"/>
        <v>340</v>
      </c>
      <c r="J153" s="185">
        <f t="shared" si="35"/>
        <v>3640</v>
      </c>
      <c r="K153" s="185">
        <f t="shared" si="36"/>
        <v>1237600</v>
      </c>
      <c r="L153" s="1184" t="s">
        <v>768</v>
      </c>
      <c r="M153" s="1059"/>
      <c r="N153" s="1059"/>
      <c r="O153" s="1038"/>
      <c r="P153" s="1054"/>
      <c r="Q153" s="1054"/>
      <c r="T153" s="1041"/>
      <c r="U153" s="1042"/>
      <c r="V153" s="1042"/>
      <c r="AA153" s="1039" t="str">
        <f>VLOOKUP(L153,'25-BRA-I-090'!$I:$EZ,2,0)</f>
        <v>Bu lông</v>
      </c>
      <c r="AB153" s="1039" t="str">
        <f>VLOOKUP(L153,'25-BRA-I-090'!$I:$EZ,3,0)</f>
        <v>Bolt-M12x45-ISO4017-8.8-Galv</v>
      </c>
      <c r="AC153" s="1039" t="str">
        <f>VLOOKUP(L153,'25-BRA-I-090'!$I:$EZ,5,0)</f>
        <v>pcs</v>
      </c>
      <c r="AD153" s="1039">
        <f>SUMIFS('25-BRA-I-090'!$CS:$CS,'25-BRA-I-090'!$I:$I,L153)</f>
        <v>340</v>
      </c>
      <c r="AE153" s="1039">
        <f>SUMIFS('25-BRA-I-090'!$CT:$CT,'25-BRA-I-090'!$I:$I,L153)</f>
        <v>0</v>
      </c>
      <c r="AF153" s="1039">
        <f>SUMIFS('25-BRA-I-090'!$CW:$CW,'25-BRA-I-090'!$I:$I,L153)</f>
        <v>0</v>
      </c>
      <c r="AG153" s="1039">
        <f>SUMIFS('25-BRA-I-090'!$CX:$CX,'25-BRA-I-090'!$I:$I,L153)</f>
        <v>0</v>
      </c>
      <c r="AH153" s="1040">
        <f>SUMIFS('25-BRA-I-090'!$DJ:$DJ,'25-BRA-I-090'!$I:$I,L153)+SUMIFS('25-BRA-I-090'!$EC:$EC,'25-BRA-I-090'!$I:$I,L153)</f>
        <v>340</v>
      </c>
      <c r="AI153" s="1040">
        <f>SUMIFS('25-BRA-I-090'!$DK:$DK,'25-BRA-I-090'!$I:$I,L153)+SUMIFS('25-BRA-I-090'!$ED:$ED,'25-BRA-I-090'!$I:$I,L153)</f>
        <v>0</v>
      </c>
      <c r="AJ153" s="1040">
        <f>SUMIFS('25-BRA-I-090'!$DO:$DO,'25-BRA-I-090'!$I:$I,L153)+26400*SUMIFS('25-BRA-I-090'!$EF:$EF,'25-BRA-I-090'!$I:$I,L153)</f>
        <v>1237600</v>
      </c>
      <c r="AK153" s="1072"/>
      <c r="AO153" s="1072"/>
    </row>
    <row r="154" spans="1:41" s="1039" customFormat="1" ht="30">
      <c r="A154" s="372"/>
      <c r="B154" s="1057" t="str">
        <f t="shared" si="42"/>
        <v>Bolt-M12x50-ISO4017-8.8-Galv</v>
      </c>
      <c r="C154" s="1058" t="str">
        <f>VLOOKUP(L154,'25-BRA-I-090'!$I:$EZ,4,0)</f>
        <v>8.8-Galv</v>
      </c>
      <c r="D154" s="374" t="str">
        <f t="shared" si="41"/>
        <v>pcs</v>
      </c>
      <c r="E154" s="183"/>
      <c r="F154" s="184">
        <f t="shared" si="40"/>
        <v>64</v>
      </c>
      <c r="G154" s="185">
        <f t="shared" si="40"/>
        <v>0</v>
      </c>
      <c r="H154" s="185">
        <f t="shared" si="40"/>
        <v>0</v>
      </c>
      <c r="I154" s="185">
        <f t="shared" si="43"/>
        <v>64</v>
      </c>
      <c r="J154" s="185">
        <f t="shared" si="35"/>
        <v>3640</v>
      </c>
      <c r="K154" s="185">
        <f t="shared" si="36"/>
        <v>232960</v>
      </c>
      <c r="L154" s="1184" t="s">
        <v>770</v>
      </c>
      <c r="M154" s="1059"/>
      <c r="N154" s="1059"/>
      <c r="O154" s="1038"/>
      <c r="P154" s="1054"/>
      <c r="Q154" s="1054"/>
      <c r="T154" s="1041"/>
      <c r="U154" s="1042"/>
      <c r="V154" s="1042"/>
      <c r="AA154" s="1039" t="str">
        <f>VLOOKUP(L154,'25-BRA-I-090'!$I:$EZ,2,0)</f>
        <v>Bu lông</v>
      </c>
      <c r="AB154" s="1039" t="str">
        <f>VLOOKUP(L154,'25-BRA-I-090'!$I:$EZ,3,0)</f>
        <v>Bolt-M12x50-ISO4017-8.8-Galv</v>
      </c>
      <c r="AC154" s="1039" t="str">
        <f>VLOOKUP(L154,'25-BRA-I-090'!$I:$EZ,5,0)</f>
        <v>pcs</v>
      </c>
      <c r="AD154" s="1039">
        <f>SUMIFS('25-BRA-I-090'!$CS:$CS,'25-BRA-I-090'!$I:$I,L154)</f>
        <v>64</v>
      </c>
      <c r="AE154" s="1039">
        <f>SUMIFS('25-BRA-I-090'!$CT:$CT,'25-BRA-I-090'!$I:$I,L154)</f>
        <v>0</v>
      </c>
      <c r="AF154" s="1039">
        <f>SUMIFS('25-BRA-I-090'!$CW:$CW,'25-BRA-I-090'!$I:$I,L154)</f>
        <v>0</v>
      </c>
      <c r="AG154" s="1039">
        <f>SUMIFS('25-BRA-I-090'!$CX:$CX,'25-BRA-I-090'!$I:$I,L154)</f>
        <v>0</v>
      </c>
      <c r="AH154" s="1040">
        <f>SUMIFS('25-BRA-I-090'!$DJ:$DJ,'25-BRA-I-090'!$I:$I,L154)+SUMIFS('25-BRA-I-090'!$EC:$EC,'25-BRA-I-090'!$I:$I,L154)</f>
        <v>64</v>
      </c>
      <c r="AI154" s="1040">
        <f>SUMIFS('25-BRA-I-090'!$DK:$DK,'25-BRA-I-090'!$I:$I,L154)+SUMIFS('25-BRA-I-090'!$ED:$ED,'25-BRA-I-090'!$I:$I,L154)</f>
        <v>0</v>
      </c>
      <c r="AJ154" s="1040">
        <f>SUMIFS('25-BRA-I-090'!$DO:$DO,'25-BRA-I-090'!$I:$I,L154)+26400*SUMIFS('25-BRA-I-090'!$EF:$EF,'25-BRA-I-090'!$I:$I,L154)</f>
        <v>232960</v>
      </c>
      <c r="AK154" s="1072"/>
      <c r="AO154" s="1072"/>
    </row>
    <row r="155" spans="1:41" s="1039" customFormat="1" ht="30">
      <c r="A155" s="372"/>
      <c r="B155" s="1057" t="str">
        <f t="shared" si="42"/>
        <v>Bolt-M16x40-DIN912-8.8-Galv</v>
      </c>
      <c r="C155" s="1058" t="str">
        <f>VLOOKUP(L155,'25-BRA-I-090'!$I:$EZ,4,0)</f>
        <v>8.8-Galv</v>
      </c>
      <c r="D155" s="374" t="str">
        <f t="shared" si="41"/>
        <v>pcs</v>
      </c>
      <c r="E155" s="183"/>
      <c r="F155" s="184">
        <f t="shared" ref="F155:H218" si="44">AD155</f>
        <v>90</v>
      </c>
      <c r="G155" s="185">
        <f t="shared" si="44"/>
        <v>0</v>
      </c>
      <c r="H155" s="185">
        <f t="shared" si="44"/>
        <v>0</v>
      </c>
      <c r="I155" s="185">
        <f t="shared" si="43"/>
        <v>90</v>
      </c>
      <c r="J155" s="185">
        <f t="shared" si="35"/>
        <v>13650</v>
      </c>
      <c r="K155" s="185">
        <f t="shared" si="36"/>
        <v>1228500</v>
      </c>
      <c r="L155" s="1184" t="s">
        <v>772</v>
      </c>
      <c r="M155" s="1059"/>
      <c r="N155" s="1059"/>
      <c r="O155" s="1038"/>
      <c r="P155" s="1054"/>
      <c r="Q155" s="1054"/>
      <c r="T155" s="1041"/>
      <c r="U155" s="1042"/>
      <c r="V155" s="1042"/>
      <c r="AA155" s="1039" t="str">
        <f>VLOOKUP(L155,'25-BRA-I-090'!$I:$EZ,2,0)</f>
        <v>Bu lông</v>
      </c>
      <c r="AB155" s="1039" t="str">
        <f>VLOOKUP(L155,'25-BRA-I-090'!$I:$EZ,3,0)</f>
        <v>Bolt-M16x40-DIN912-8.8-Galv</v>
      </c>
      <c r="AC155" s="1039" t="str">
        <f>VLOOKUP(L155,'25-BRA-I-090'!$I:$EZ,5,0)</f>
        <v>pcs</v>
      </c>
      <c r="AD155" s="1039">
        <f>SUMIFS('25-BRA-I-090'!$CS:$CS,'25-BRA-I-090'!$I:$I,L155)</f>
        <v>90</v>
      </c>
      <c r="AE155" s="1039">
        <f>SUMIFS('25-BRA-I-090'!$CT:$CT,'25-BRA-I-090'!$I:$I,L155)</f>
        <v>0</v>
      </c>
      <c r="AF155" s="1039">
        <f>SUMIFS('25-BRA-I-090'!$CW:$CW,'25-BRA-I-090'!$I:$I,L155)</f>
        <v>0</v>
      </c>
      <c r="AG155" s="1039">
        <f>SUMIFS('25-BRA-I-090'!$CX:$CX,'25-BRA-I-090'!$I:$I,L155)</f>
        <v>0</v>
      </c>
      <c r="AH155" s="1040">
        <f>SUMIFS('25-BRA-I-090'!$DJ:$DJ,'25-BRA-I-090'!$I:$I,L155)+SUMIFS('25-BRA-I-090'!$EC:$EC,'25-BRA-I-090'!$I:$I,L155)</f>
        <v>90</v>
      </c>
      <c r="AI155" s="1040">
        <f>SUMIFS('25-BRA-I-090'!$DK:$DK,'25-BRA-I-090'!$I:$I,L155)+SUMIFS('25-BRA-I-090'!$ED:$ED,'25-BRA-I-090'!$I:$I,L155)</f>
        <v>0</v>
      </c>
      <c r="AJ155" s="1040">
        <f>SUMIFS('25-BRA-I-090'!$DO:$DO,'25-BRA-I-090'!$I:$I,L155)+26400*SUMIFS('25-BRA-I-090'!$EF:$EF,'25-BRA-I-090'!$I:$I,L155)</f>
        <v>1228500</v>
      </c>
      <c r="AK155" s="1072"/>
      <c r="AO155" s="1072"/>
    </row>
    <row r="156" spans="1:41" s="1039" customFormat="1" ht="30">
      <c r="A156" s="372"/>
      <c r="B156" s="1057" t="str">
        <f t="shared" si="42"/>
        <v>Bolt-M16x45-ISO4017-8.8-Galv</v>
      </c>
      <c r="C156" s="1058" t="str">
        <f>VLOOKUP(L156,'25-BRA-I-090'!$I:$EZ,4,0)</f>
        <v>8.8-Galv</v>
      </c>
      <c r="D156" s="374" t="str">
        <f t="shared" si="41"/>
        <v>pcs</v>
      </c>
      <c r="E156" s="183"/>
      <c r="F156" s="184">
        <f t="shared" si="44"/>
        <v>50</v>
      </c>
      <c r="G156" s="185">
        <f t="shared" si="44"/>
        <v>0</v>
      </c>
      <c r="H156" s="185">
        <f t="shared" si="44"/>
        <v>0</v>
      </c>
      <c r="I156" s="185">
        <f t="shared" si="43"/>
        <v>50</v>
      </c>
      <c r="J156" s="185">
        <f t="shared" si="35"/>
        <v>7210</v>
      </c>
      <c r="K156" s="185">
        <f t="shared" si="36"/>
        <v>360500</v>
      </c>
      <c r="L156" s="1184" t="s">
        <v>774</v>
      </c>
      <c r="M156" s="1059"/>
      <c r="N156" s="1059"/>
      <c r="O156" s="1038"/>
      <c r="P156" s="1054"/>
      <c r="Q156" s="1054"/>
      <c r="T156" s="1041"/>
      <c r="U156" s="1042"/>
      <c r="V156" s="1042"/>
      <c r="AA156" s="1039" t="str">
        <f>VLOOKUP(L156,'25-BRA-I-090'!$I:$EZ,2,0)</f>
        <v>Bu lông</v>
      </c>
      <c r="AB156" s="1039" t="str">
        <f>VLOOKUP(L156,'25-BRA-I-090'!$I:$EZ,3,0)</f>
        <v>Bolt-M16x45-ISO4017-8.8-Galv</v>
      </c>
      <c r="AC156" s="1039" t="str">
        <f>VLOOKUP(L156,'25-BRA-I-090'!$I:$EZ,5,0)</f>
        <v>pcs</v>
      </c>
      <c r="AD156" s="1039">
        <f>SUMIFS('25-BRA-I-090'!$CS:$CS,'25-BRA-I-090'!$I:$I,L156)</f>
        <v>50</v>
      </c>
      <c r="AE156" s="1039">
        <f>SUMIFS('25-BRA-I-090'!$CT:$CT,'25-BRA-I-090'!$I:$I,L156)</f>
        <v>0</v>
      </c>
      <c r="AF156" s="1039">
        <f>SUMIFS('25-BRA-I-090'!$CW:$CW,'25-BRA-I-090'!$I:$I,L156)</f>
        <v>0</v>
      </c>
      <c r="AG156" s="1039">
        <f>SUMIFS('25-BRA-I-090'!$CX:$CX,'25-BRA-I-090'!$I:$I,L156)</f>
        <v>0</v>
      </c>
      <c r="AH156" s="1040">
        <f>SUMIFS('25-BRA-I-090'!$DJ:$DJ,'25-BRA-I-090'!$I:$I,L156)+SUMIFS('25-BRA-I-090'!$EC:$EC,'25-BRA-I-090'!$I:$I,L156)</f>
        <v>50</v>
      </c>
      <c r="AI156" s="1040">
        <f>SUMIFS('25-BRA-I-090'!$DK:$DK,'25-BRA-I-090'!$I:$I,L156)+SUMIFS('25-BRA-I-090'!$ED:$ED,'25-BRA-I-090'!$I:$I,L156)</f>
        <v>0</v>
      </c>
      <c r="AJ156" s="1040">
        <f>SUMIFS('25-BRA-I-090'!$DO:$DO,'25-BRA-I-090'!$I:$I,L156)+26400*SUMIFS('25-BRA-I-090'!$EF:$EF,'25-BRA-I-090'!$I:$I,L156)</f>
        <v>360500</v>
      </c>
      <c r="AK156" s="1072"/>
      <c r="AO156" s="1072"/>
    </row>
    <row r="157" spans="1:41" s="1039" customFormat="1" ht="30">
      <c r="A157" s="372"/>
      <c r="B157" s="1057" t="str">
        <f t="shared" si="42"/>
        <v>Bolt-M16x50-ISO4017-8.8-Galv</v>
      </c>
      <c r="C157" s="1058" t="str">
        <f>VLOOKUP(L157,'25-BRA-I-090'!$I:$EZ,4,0)</f>
        <v>8.8-Galv</v>
      </c>
      <c r="D157" s="374" t="str">
        <f t="shared" si="41"/>
        <v>pcs</v>
      </c>
      <c r="E157" s="183"/>
      <c r="F157" s="184">
        <f t="shared" si="44"/>
        <v>3268</v>
      </c>
      <c r="G157" s="185">
        <f t="shared" si="44"/>
        <v>0</v>
      </c>
      <c r="H157" s="185">
        <f t="shared" si="44"/>
        <v>0</v>
      </c>
      <c r="I157" s="185">
        <f t="shared" si="43"/>
        <v>3268</v>
      </c>
      <c r="J157" s="185">
        <f t="shared" si="35"/>
        <v>7210</v>
      </c>
      <c r="K157" s="185">
        <f t="shared" si="36"/>
        <v>23562280</v>
      </c>
      <c r="L157" s="1184" t="s">
        <v>776</v>
      </c>
      <c r="M157" s="1059"/>
      <c r="N157" s="1059"/>
      <c r="O157" s="1038"/>
      <c r="P157" s="1054"/>
      <c r="Q157" s="1054"/>
      <c r="T157" s="1041"/>
      <c r="U157" s="1042"/>
      <c r="V157" s="1042"/>
      <c r="AA157" s="1039" t="str">
        <f>VLOOKUP(L157,'25-BRA-I-090'!$I:$EZ,2,0)</f>
        <v>Bu lông</v>
      </c>
      <c r="AB157" s="1039" t="str">
        <f>VLOOKUP(L157,'25-BRA-I-090'!$I:$EZ,3,0)</f>
        <v>Bolt-M16x50-ISO4017-8.8-Galv</v>
      </c>
      <c r="AC157" s="1039" t="str">
        <f>VLOOKUP(L157,'25-BRA-I-090'!$I:$EZ,5,0)</f>
        <v>pcs</v>
      </c>
      <c r="AD157" s="1039">
        <f>SUMIFS('25-BRA-I-090'!$CS:$CS,'25-BRA-I-090'!$I:$I,L157)</f>
        <v>3268</v>
      </c>
      <c r="AE157" s="1039">
        <f>SUMIFS('25-BRA-I-090'!$CT:$CT,'25-BRA-I-090'!$I:$I,L157)</f>
        <v>0</v>
      </c>
      <c r="AF157" s="1039">
        <f>SUMIFS('25-BRA-I-090'!$CW:$CW,'25-BRA-I-090'!$I:$I,L157)</f>
        <v>0</v>
      </c>
      <c r="AG157" s="1039">
        <f>SUMIFS('25-BRA-I-090'!$CX:$CX,'25-BRA-I-090'!$I:$I,L157)</f>
        <v>0</v>
      </c>
      <c r="AH157" s="1040">
        <f>SUMIFS('25-BRA-I-090'!$DJ:$DJ,'25-BRA-I-090'!$I:$I,L157)+SUMIFS('25-BRA-I-090'!$EC:$EC,'25-BRA-I-090'!$I:$I,L157)</f>
        <v>3268</v>
      </c>
      <c r="AI157" s="1040">
        <f>SUMIFS('25-BRA-I-090'!$DK:$DK,'25-BRA-I-090'!$I:$I,L157)+SUMIFS('25-BRA-I-090'!$ED:$ED,'25-BRA-I-090'!$I:$I,L157)</f>
        <v>0</v>
      </c>
      <c r="AJ157" s="1040">
        <f>SUMIFS('25-BRA-I-090'!$DO:$DO,'25-BRA-I-090'!$I:$I,L157)+26400*SUMIFS('25-BRA-I-090'!$EF:$EF,'25-BRA-I-090'!$I:$I,L157)</f>
        <v>23562280</v>
      </c>
      <c r="AK157" s="1072"/>
      <c r="AO157" s="1072"/>
    </row>
    <row r="158" spans="1:41" s="1039" customFormat="1" ht="30">
      <c r="A158" s="372"/>
      <c r="B158" s="1057" t="str">
        <f t="shared" si="42"/>
        <v>Bolt-M16x55-ISO4017-8.8-Galv</v>
      </c>
      <c r="C158" s="1058" t="str">
        <f>VLOOKUP(L158,'25-BRA-I-090'!$I:$EZ,4,0)</f>
        <v>8.8-Galv</v>
      </c>
      <c r="D158" s="374" t="str">
        <f t="shared" si="41"/>
        <v>pcs</v>
      </c>
      <c r="E158" s="183"/>
      <c r="F158" s="184">
        <f t="shared" si="44"/>
        <v>2876</v>
      </c>
      <c r="G158" s="185">
        <f t="shared" si="44"/>
        <v>0</v>
      </c>
      <c r="H158" s="185">
        <f t="shared" si="44"/>
        <v>0</v>
      </c>
      <c r="I158" s="185">
        <f t="shared" si="43"/>
        <v>2876</v>
      </c>
      <c r="J158" s="185">
        <f t="shared" si="35"/>
        <v>8190</v>
      </c>
      <c r="K158" s="185">
        <f t="shared" si="36"/>
        <v>23554440</v>
      </c>
      <c r="L158" s="1184" t="s">
        <v>778</v>
      </c>
      <c r="M158" s="1059"/>
      <c r="N158" s="1059"/>
      <c r="O158" s="1038"/>
      <c r="P158" s="1054"/>
      <c r="Q158" s="1054"/>
      <c r="T158" s="1041"/>
      <c r="U158" s="1042"/>
      <c r="V158" s="1042"/>
      <c r="AA158" s="1039" t="str">
        <f>VLOOKUP(L158,'25-BRA-I-090'!$I:$EZ,2,0)</f>
        <v>Bu lông</v>
      </c>
      <c r="AB158" s="1039" t="str">
        <f>VLOOKUP(L158,'25-BRA-I-090'!$I:$EZ,3,0)</f>
        <v>Bolt-M16x55-ISO4017-8.8-Galv</v>
      </c>
      <c r="AC158" s="1039" t="str">
        <f>VLOOKUP(L158,'25-BRA-I-090'!$I:$EZ,5,0)</f>
        <v>pcs</v>
      </c>
      <c r="AD158" s="1039">
        <f>SUMIFS('25-BRA-I-090'!$CS:$CS,'25-BRA-I-090'!$I:$I,L158)</f>
        <v>2876</v>
      </c>
      <c r="AE158" s="1039">
        <f>SUMIFS('25-BRA-I-090'!$CT:$CT,'25-BRA-I-090'!$I:$I,L158)</f>
        <v>0</v>
      </c>
      <c r="AF158" s="1039">
        <f>SUMIFS('25-BRA-I-090'!$CW:$CW,'25-BRA-I-090'!$I:$I,L158)</f>
        <v>0</v>
      </c>
      <c r="AG158" s="1039">
        <f>SUMIFS('25-BRA-I-090'!$CX:$CX,'25-BRA-I-090'!$I:$I,L158)</f>
        <v>0</v>
      </c>
      <c r="AH158" s="1040">
        <f>SUMIFS('25-BRA-I-090'!$DJ:$DJ,'25-BRA-I-090'!$I:$I,L158)+SUMIFS('25-BRA-I-090'!$EC:$EC,'25-BRA-I-090'!$I:$I,L158)</f>
        <v>2876</v>
      </c>
      <c r="AI158" s="1040">
        <f>SUMIFS('25-BRA-I-090'!$DK:$DK,'25-BRA-I-090'!$I:$I,L158)+SUMIFS('25-BRA-I-090'!$ED:$ED,'25-BRA-I-090'!$I:$I,L158)</f>
        <v>0</v>
      </c>
      <c r="AJ158" s="1040">
        <f>SUMIFS('25-BRA-I-090'!$DO:$DO,'25-BRA-I-090'!$I:$I,L158)+26400*SUMIFS('25-BRA-I-090'!$EF:$EF,'25-BRA-I-090'!$I:$I,L158)</f>
        <v>23554440</v>
      </c>
      <c r="AK158" s="1072"/>
      <c r="AO158" s="1072"/>
    </row>
    <row r="159" spans="1:41" s="1039" customFormat="1" ht="30">
      <c r="A159" s="372"/>
      <c r="B159" s="1057" t="str">
        <f t="shared" si="42"/>
        <v>Bolt-M16x60-ISO4017-8.8-Galv</v>
      </c>
      <c r="C159" s="1058" t="str">
        <f>VLOOKUP(L159,'25-BRA-I-090'!$I:$EZ,4,0)</f>
        <v>8.8-Galv</v>
      </c>
      <c r="D159" s="374" t="str">
        <f t="shared" si="41"/>
        <v>pcs</v>
      </c>
      <c r="E159" s="183"/>
      <c r="F159" s="184">
        <f t="shared" si="44"/>
        <v>9358</v>
      </c>
      <c r="G159" s="185">
        <f t="shared" si="44"/>
        <v>0</v>
      </c>
      <c r="H159" s="185">
        <f t="shared" si="44"/>
        <v>0</v>
      </c>
      <c r="I159" s="185">
        <f t="shared" si="43"/>
        <v>9358</v>
      </c>
      <c r="J159" s="185">
        <f t="shared" si="35"/>
        <v>8190</v>
      </c>
      <c r="K159" s="185">
        <f t="shared" si="36"/>
        <v>76642020</v>
      </c>
      <c r="L159" s="1184" t="s">
        <v>780</v>
      </c>
      <c r="M159" s="1059"/>
      <c r="N159" s="1059"/>
      <c r="O159" s="1038"/>
      <c r="P159" s="1054"/>
      <c r="Q159" s="1054"/>
      <c r="T159" s="1041"/>
      <c r="U159" s="1042"/>
      <c r="V159" s="1042"/>
      <c r="AA159" s="1039" t="str">
        <f>VLOOKUP(L159,'25-BRA-I-090'!$I:$EZ,2,0)</f>
        <v>Bu lông</v>
      </c>
      <c r="AB159" s="1039" t="str">
        <f>VLOOKUP(L159,'25-BRA-I-090'!$I:$EZ,3,0)</f>
        <v>Bolt-M16x60-ISO4017-8.8-Galv</v>
      </c>
      <c r="AC159" s="1039" t="str">
        <f>VLOOKUP(L159,'25-BRA-I-090'!$I:$EZ,5,0)</f>
        <v>pcs</v>
      </c>
      <c r="AD159" s="1039">
        <f>SUMIFS('25-BRA-I-090'!$CS:$CS,'25-BRA-I-090'!$I:$I,L159)</f>
        <v>9358</v>
      </c>
      <c r="AE159" s="1039">
        <f>SUMIFS('25-BRA-I-090'!$CT:$CT,'25-BRA-I-090'!$I:$I,L159)</f>
        <v>0</v>
      </c>
      <c r="AF159" s="1039">
        <f>SUMIFS('25-BRA-I-090'!$CW:$CW,'25-BRA-I-090'!$I:$I,L159)</f>
        <v>0</v>
      </c>
      <c r="AG159" s="1039">
        <f>SUMIFS('25-BRA-I-090'!$CX:$CX,'25-BRA-I-090'!$I:$I,L159)</f>
        <v>0</v>
      </c>
      <c r="AH159" s="1040">
        <f>SUMIFS('25-BRA-I-090'!$DJ:$DJ,'25-BRA-I-090'!$I:$I,L159)+SUMIFS('25-BRA-I-090'!$EC:$EC,'25-BRA-I-090'!$I:$I,L159)</f>
        <v>9358</v>
      </c>
      <c r="AI159" s="1040">
        <f>SUMIFS('25-BRA-I-090'!$DK:$DK,'25-BRA-I-090'!$I:$I,L159)+SUMIFS('25-BRA-I-090'!$ED:$ED,'25-BRA-I-090'!$I:$I,L159)</f>
        <v>0</v>
      </c>
      <c r="AJ159" s="1040">
        <f>SUMIFS('25-BRA-I-090'!$DO:$DO,'25-BRA-I-090'!$I:$I,L159)+26400*SUMIFS('25-BRA-I-090'!$EF:$EF,'25-BRA-I-090'!$I:$I,L159)</f>
        <v>76642020</v>
      </c>
      <c r="AK159" s="1072"/>
      <c r="AO159" s="1072"/>
    </row>
    <row r="160" spans="1:41" s="1039" customFormat="1" ht="30">
      <c r="A160" s="372"/>
      <c r="B160" s="1057" t="str">
        <f t="shared" si="42"/>
        <v>Bolt-M16x65-ISO4014-8.8-Galv</v>
      </c>
      <c r="C160" s="1058" t="str">
        <f>VLOOKUP(L160,'25-BRA-I-090'!$I:$EZ,4,0)</f>
        <v>8.8-Galv</v>
      </c>
      <c r="D160" s="374" t="str">
        <f t="shared" si="41"/>
        <v>pcs</v>
      </c>
      <c r="E160" s="183"/>
      <c r="F160" s="184">
        <f t="shared" si="44"/>
        <v>50</v>
      </c>
      <c r="G160" s="185">
        <f t="shared" si="44"/>
        <v>0</v>
      </c>
      <c r="H160" s="185">
        <f t="shared" si="44"/>
        <v>0</v>
      </c>
      <c r="I160" s="185">
        <f t="shared" si="43"/>
        <v>50</v>
      </c>
      <c r="J160" s="185">
        <f t="shared" si="35"/>
        <v>9730</v>
      </c>
      <c r="K160" s="185">
        <f t="shared" si="36"/>
        <v>486500</v>
      </c>
      <c r="L160" s="1184" t="s">
        <v>782</v>
      </c>
      <c r="M160" s="1059"/>
      <c r="N160" s="1059"/>
      <c r="O160" s="1038"/>
      <c r="P160" s="1054"/>
      <c r="Q160" s="1054"/>
      <c r="T160" s="1041"/>
      <c r="U160" s="1042"/>
      <c r="V160" s="1042"/>
      <c r="AA160" s="1039" t="str">
        <f>VLOOKUP(L160,'25-BRA-I-090'!$I:$EZ,2,0)</f>
        <v>Bu lông</v>
      </c>
      <c r="AB160" s="1039" t="str">
        <f>VLOOKUP(L160,'25-BRA-I-090'!$I:$EZ,3,0)</f>
        <v>Bolt-M16x65-ISO4014-8.8-Galv</v>
      </c>
      <c r="AC160" s="1039" t="str">
        <f>VLOOKUP(L160,'25-BRA-I-090'!$I:$EZ,5,0)</f>
        <v>pcs</v>
      </c>
      <c r="AD160" s="1039">
        <f>SUMIFS('25-BRA-I-090'!$CS:$CS,'25-BRA-I-090'!$I:$I,L160)</f>
        <v>50</v>
      </c>
      <c r="AE160" s="1039">
        <f>SUMIFS('25-BRA-I-090'!$CT:$CT,'25-BRA-I-090'!$I:$I,L160)</f>
        <v>0</v>
      </c>
      <c r="AF160" s="1039">
        <f>SUMIFS('25-BRA-I-090'!$CW:$CW,'25-BRA-I-090'!$I:$I,L160)</f>
        <v>0</v>
      </c>
      <c r="AG160" s="1039">
        <f>SUMIFS('25-BRA-I-090'!$CX:$CX,'25-BRA-I-090'!$I:$I,L160)</f>
        <v>0</v>
      </c>
      <c r="AH160" s="1040">
        <f>SUMIFS('25-BRA-I-090'!$DJ:$DJ,'25-BRA-I-090'!$I:$I,L160)+SUMIFS('25-BRA-I-090'!$EC:$EC,'25-BRA-I-090'!$I:$I,L160)</f>
        <v>50</v>
      </c>
      <c r="AI160" s="1040">
        <f>SUMIFS('25-BRA-I-090'!$DK:$DK,'25-BRA-I-090'!$I:$I,L160)+SUMIFS('25-BRA-I-090'!$ED:$ED,'25-BRA-I-090'!$I:$I,L160)</f>
        <v>0</v>
      </c>
      <c r="AJ160" s="1040">
        <f>SUMIFS('25-BRA-I-090'!$DO:$DO,'25-BRA-I-090'!$I:$I,L160)+26400*SUMIFS('25-BRA-I-090'!$EF:$EF,'25-BRA-I-090'!$I:$I,L160)</f>
        <v>486500</v>
      </c>
      <c r="AK160" s="1072"/>
      <c r="AO160" s="1072"/>
    </row>
    <row r="161" spans="1:41" s="1039" customFormat="1" ht="30">
      <c r="A161" s="372"/>
      <c r="B161" s="1057" t="str">
        <f t="shared" si="42"/>
        <v>Bolt-M16x70-DIN186B-8.8-Galv</v>
      </c>
      <c r="C161" s="1058" t="str">
        <f>VLOOKUP(L161,'25-BRA-I-090'!$I:$EZ,4,0)</f>
        <v>8.8-Galv</v>
      </c>
      <c r="D161" s="374" t="str">
        <f t="shared" si="41"/>
        <v>pcs</v>
      </c>
      <c r="E161" s="183"/>
      <c r="F161" s="184">
        <f t="shared" si="44"/>
        <v>350</v>
      </c>
      <c r="G161" s="185">
        <f t="shared" si="44"/>
        <v>0</v>
      </c>
      <c r="H161" s="185">
        <f t="shared" si="44"/>
        <v>0</v>
      </c>
      <c r="I161" s="185">
        <f t="shared" si="43"/>
        <v>350</v>
      </c>
      <c r="J161" s="185">
        <f t="shared" si="35"/>
        <v>34000</v>
      </c>
      <c r="K161" s="185">
        <f t="shared" si="36"/>
        <v>11900000</v>
      </c>
      <c r="L161" s="1184" t="s">
        <v>784</v>
      </c>
      <c r="M161" s="1059"/>
      <c r="N161" s="1059"/>
      <c r="O161" s="1038"/>
      <c r="P161" s="1054"/>
      <c r="Q161" s="1054"/>
      <c r="T161" s="1041"/>
      <c r="U161" s="1042"/>
      <c r="V161" s="1042"/>
      <c r="AA161" s="1039" t="str">
        <f>VLOOKUP(L161,'25-BRA-I-090'!$I:$EZ,2,0)</f>
        <v>Bu lông</v>
      </c>
      <c r="AB161" s="1039" t="str">
        <f>VLOOKUP(L161,'25-BRA-I-090'!$I:$EZ,3,0)</f>
        <v>Bolt-M16x70-DIN186B-8.8-Galv</v>
      </c>
      <c r="AC161" s="1039" t="str">
        <f>VLOOKUP(L161,'25-BRA-I-090'!$I:$EZ,5,0)</f>
        <v>pcs</v>
      </c>
      <c r="AD161" s="1039">
        <f>SUMIFS('25-BRA-I-090'!$CS:$CS,'25-BRA-I-090'!$I:$I,L161)</f>
        <v>350</v>
      </c>
      <c r="AE161" s="1039">
        <f>SUMIFS('25-BRA-I-090'!$CT:$CT,'25-BRA-I-090'!$I:$I,L161)</f>
        <v>0</v>
      </c>
      <c r="AF161" s="1039">
        <f>SUMIFS('25-BRA-I-090'!$CW:$CW,'25-BRA-I-090'!$I:$I,L161)</f>
        <v>0</v>
      </c>
      <c r="AG161" s="1039">
        <f>SUMIFS('25-BRA-I-090'!$CX:$CX,'25-BRA-I-090'!$I:$I,L161)</f>
        <v>0</v>
      </c>
      <c r="AH161" s="1040">
        <f>SUMIFS('25-BRA-I-090'!$DJ:$DJ,'25-BRA-I-090'!$I:$I,L161)+SUMIFS('25-BRA-I-090'!$EC:$EC,'25-BRA-I-090'!$I:$I,L161)</f>
        <v>350</v>
      </c>
      <c r="AI161" s="1040">
        <f>SUMIFS('25-BRA-I-090'!$DK:$DK,'25-BRA-I-090'!$I:$I,L161)+SUMIFS('25-BRA-I-090'!$ED:$ED,'25-BRA-I-090'!$I:$I,L161)</f>
        <v>0</v>
      </c>
      <c r="AJ161" s="1040">
        <f>SUMIFS('25-BRA-I-090'!$DO:$DO,'25-BRA-I-090'!$I:$I,L161)+26400*SUMIFS('25-BRA-I-090'!$EF:$EF,'25-BRA-I-090'!$I:$I,L161)</f>
        <v>11900000</v>
      </c>
      <c r="AK161" s="1072"/>
      <c r="AO161" s="1072"/>
    </row>
    <row r="162" spans="1:41" s="1039" customFormat="1" ht="30">
      <c r="A162" s="372"/>
      <c r="B162" s="1057" t="str">
        <f t="shared" si="42"/>
        <v>Bolt-M16x70-ISO4017-8.8-Galv</v>
      </c>
      <c r="C162" s="1058" t="str">
        <f>VLOOKUP(L162,'25-BRA-I-090'!$I:$EZ,4,0)</f>
        <v>8.8-Galv</v>
      </c>
      <c r="D162" s="374" t="str">
        <f t="shared" si="41"/>
        <v>pcs</v>
      </c>
      <c r="E162" s="183"/>
      <c r="F162" s="184">
        <f t="shared" si="44"/>
        <v>544</v>
      </c>
      <c r="G162" s="185">
        <f t="shared" si="44"/>
        <v>0</v>
      </c>
      <c r="H162" s="185">
        <f t="shared" si="44"/>
        <v>0</v>
      </c>
      <c r="I162" s="185">
        <f t="shared" si="43"/>
        <v>544</v>
      </c>
      <c r="J162" s="185">
        <f t="shared" si="35"/>
        <v>9100</v>
      </c>
      <c r="K162" s="185">
        <f t="shared" si="36"/>
        <v>4950400</v>
      </c>
      <c r="L162" s="1184" t="s">
        <v>786</v>
      </c>
      <c r="M162" s="1059"/>
      <c r="N162" s="1059"/>
      <c r="O162" s="1038"/>
      <c r="P162" s="1054"/>
      <c r="Q162" s="1054"/>
      <c r="T162" s="1041"/>
      <c r="U162" s="1042"/>
      <c r="V162" s="1042"/>
      <c r="AA162" s="1039" t="str">
        <f>VLOOKUP(L162,'25-BRA-I-090'!$I:$EZ,2,0)</f>
        <v>Bu lông</v>
      </c>
      <c r="AB162" s="1039" t="str">
        <f>VLOOKUP(L162,'25-BRA-I-090'!$I:$EZ,3,0)</f>
        <v>Bolt-M16x70-ISO4017-8.8-Galv</v>
      </c>
      <c r="AC162" s="1039" t="str">
        <f>VLOOKUP(L162,'25-BRA-I-090'!$I:$EZ,5,0)</f>
        <v>pcs</v>
      </c>
      <c r="AD162" s="1039">
        <f>SUMIFS('25-BRA-I-090'!$CS:$CS,'25-BRA-I-090'!$I:$I,L162)</f>
        <v>544</v>
      </c>
      <c r="AE162" s="1039">
        <f>SUMIFS('25-BRA-I-090'!$CT:$CT,'25-BRA-I-090'!$I:$I,L162)</f>
        <v>0</v>
      </c>
      <c r="AF162" s="1039">
        <f>SUMIFS('25-BRA-I-090'!$CW:$CW,'25-BRA-I-090'!$I:$I,L162)</f>
        <v>0</v>
      </c>
      <c r="AG162" s="1039">
        <f>SUMIFS('25-BRA-I-090'!$CX:$CX,'25-BRA-I-090'!$I:$I,L162)</f>
        <v>0</v>
      </c>
      <c r="AH162" s="1040">
        <f>SUMIFS('25-BRA-I-090'!$DJ:$DJ,'25-BRA-I-090'!$I:$I,L162)+SUMIFS('25-BRA-I-090'!$EC:$EC,'25-BRA-I-090'!$I:$I,L162)</f>
        <v>544</v>
      </c>
      <c r="AI162" s="1040">
        <f>SUMIFS('25-BRA-I-090'!$DK:$DK,'25-BRA-I-090'!$I:$I,L162)+SUMIFS('25-BRA-I-090'!$ED:$ED,'25-BRA-I-090'!$I:$I,L162)</f>
        <v>0</v>
      </c>
      <c r="AJ162" s="1040">
        <f>SUMIFS('25-BRA-I-090'!$DO:$DO,'25-BRA-I-090'!$I:$I,L162)+26400*SUMIFS('25-BRA-I-090'!$EF:$EF,'25-BRA-I-090'!$I:$I,L162)</f>
        <v>4950400</v>
      </c>
      <c r="AK162" s="1072"/>
      <c r="AO162" s="1072"/>
    </row>
    <row r="163" spans="1:41" s="1039" customFormat="1" ht="30">
      <c r="A163" s="372"/>
      <c r="B163" s="1057" t="str">
        <f t="shared" si="42"/>
        <v>Bolt-M16x80-ISO4014-8.8-Galv</v>
      </c>
      <c r="C163" s="1058" t="str">
        <f>VLOOKUP(L163,'25-BRA-I-090'!$I:$EZ,4,0)</f>
        <v>8.8-Galv</v>
      </c>
      <c r="D163" s="374" t="str">
        <f t="shared" si="41"/>
        <v>pcs</v>
      </c>
      <c r="E163" s="183"/>
      <c r="F163" s="184">
        <f t="shared" si="44"/>
        <v>170</v>
      </c>
      <c r="G163" s="185">
        <f t="shared" si="44"/>
        <v>0</v>
      </c>
      <c r="H163" s="185">
        <f t="shared" si="44"/>
        <v>0</v>
      </c>
      <c r="I163" s="185">
        <f t="shared" si="43"/>
        <v>170</v>
      </c>
      <c r="J163" s="185">
        <f t="shared" si="35"/>
        <v>10850</v>
      </c>
      <c r="K163" s="185">
        <f t="shared" si="36"/>
        <v>1844500</v>
      </c>
      <c r="L163" s="1184" t="s">
        <v>788</v>
      </c>
      <c r="M163" s="1059"/>
      <c r="N163" s="1059"/>
      <c r="O163" s="1038"/>
      <c r="P163" s="1054"/>
      <c r="Q163" s="1054"/>
      <c r="T163" s="1041"/>
      <c r="U163" s="1042"/>
      <c r="V163" s="1042"/>
      <c r="AA163" s="1039" t="str">
        <f>VLOOKUP(L163,'25-BRA-I-090'!$I:$EZ,2,0)</f>
        <v>Bu lông</v>
      </c>
      <c r="AB163" s="1039" t="str">
        <f>VLOOKUP(L163,'25-BRA-I-090'!$I:$EZ,3,0)</f>
        <v>Bolt-M16x80-ISO4014-8.8-Galv</v>
      </c>
      <c r="AC163" s="1039" t="str">
        <f>VLOOKUP(L163,'25-BRA-I-090'!$I:$EZ,5,0)</f>
        <v>pcs</v>
      </c>
      <c r="AD163" s="1039">
        <f>SUMIFS('25-BRA-I-090'!$CS:$CS,'25-BRA-I-090'!$I:$I,L163)</f>
        <v>170</v>
      </c>
      <c r="AE163" s="1039">
        <f>SUMIFS('25-BRA-I-090'!$CT:$CT,'25-BRA-I-090'!$I:$I,L163)</f>
        <v>0</v>
      </c>
      <c r="AF163" s="1039">
        <f>SUMIFS('25-BRA-I-090'!$CW:$CW,'25-BRA-I-090'!$I:$I,L163)</f>
        <v>0</v>
      </c>
      <c r="AG163" s="1039">
        <f>SUMIFS('25-BRA-I-090'!$CX:$CX,'25-BRA-I-090'!$I:$I,L163)</f>
        <v>0</v>
      </c>
      <c r="AH163" s="1040">
        <f>SUMIFS('25-BRA-I-090'!$DJ:$DJ,'25-BRA-I-090'!$I:$I,L163)+SUMIFS('25-BRA-I-090'!$EC:$EC,'25-BRA-I-090'!$I:$I,L163)</f>
        <v>170</v>
      </c>
      <c r="AI163" s="1040">
        <f>SUMIFS('25-BRA-I-090'!$DK:$DK,'25-BRA-I-090'!$I:$I,L163)+SUMIFS('25-BRA-I-090'!$ED:$ED,'25-BRA-I-090'!$I:$I,L163)</f>
        <v>0</v>
      </c>
      <c r="AJ163" s="1040">
        <f>SUMIFS('25-BRA-I-090'!$DO:$DO,'25-BRA-I-090'!$I:$I,L163)+26400*SUMIFS('25-BRA-I-090'!$EF:$EF,'25-BRA-I-090'!$I:$I,L163)</f>
        <v>1844500</v>
      </c>
      <c r="AK163" s="1072"/>
      <c r="AO163" s="1072"/>
    </row>
    <row r="164" spans="1:41" s="1039" customFormat="1" ht="30">
      <c r="A164" s="372"/>
      <c r="B164" s="1057" t="str">
        <f t="shared" si="42"/>
        <v>Bolt-M16x80-ISO4017-8.8-Galv</v>
      </c>
      <c r="C164" s="1058" t="str">
        <f>VLOOKUP(L164,'25-BRA-I-090'!$I:$EZ,4,0)</f>
        <v>8.8-Galv</v>
      </c>
      <c r="D164" s="374" t="str">
        <f t="shared" si="41"/>
        <v>pcs</v>
      </c>
      <c r="E164" s="183"/>
      <c r="F164" s="184">
        <f t="shared" si="44"/>
        <v>170</v>
      </c>
      <c r="G164" s="185">
        <f t="shared" si="44"/>
        <v>0</v>
      </c>
      <c r="H164" s="185">
        <f t="shared" si="44"/>
        <v>0</v>
      </c>
      <c r="I164" s="185">
        <f t="shared" si="43"/>
        <v>170</v>
      </c>
      <c r="J164" s="185">
        <f t="shared" si="35"/>
        <v>9100</v>
      </c>
      <c r="K164" s="185">
        <f t="shared" si="36"/>
        <v>1547000</v>
      </c>
      <c r="L164" s="1184" t="s">
        <v>790</v>
      </c>
      <c r="M164" s="1059"/>
      <c r="N164" s="1059"/>
      <c r="O164" s="1038"/>
      <c r="P164" s="1054"/>
      <c r="Q164" s="1054"/>
      <c r="T164" s="1041"/>
      <c r="U164" s="1042"/>
      <c r="V164" s="1042"/>
      <c r="AA164" s="1039" t="str">
        <f>VLOOKUP(L164,'25-BRA-I-090'!$I:$EZ,2,0)</f>
        <v>Bu lông</v>
      </c>
      <c r="AB164" s="1039" t="str">
        <f>VLOOKUP(L164,'25-BRA-I-090'!$I:$EZ,3,0)</f>
        <v>Bolt-M16x80-ISO4017-8.8-Galv</v>
      </c>
      <c r="AC164" s="1039" t="str">
        <f>VLOOKUP(L164,'25-BRA-I-090'!$I:$EZ,5,0)</f>
        <v>pcs</v>
      </c>
      <c r="AD164" s="1039">
        <f>SUMIFS('25-BRA-I-090'!$CS:$CS,'25-BRA-I-090'!$I:$I,L164)</f>
        <v>170</v>
      </c>
      <c r="AE164" s="1039">
        <f>SUMIFS('25-BRA-I-090'!$CT:$CT,'25-BRA-I-090'!$I:$I,L164)</f>
        <v>0</v>
      </c>
      <c r="AF164" s="1039">
        <f>SUMIFS('25-BRA-I-090'!$CW:$CW,'25-BRA-I-090'!$I:$I,L164)</f>
        <v>0</v>
      </c>
      <c r="AG164" s="1039">
        <f>SUMIFS('25-BRA-I-090'!$CX:$CX,'25-BRA-I-090'!$I:$I,L164)</f>
        <v>0</v>
      </c>
      <c r="AH164" s="1040">
        <f>SUMIFS('25-BRA-I-090'!$DJ:$DJ,'25-BRA-I-090'!$I:$I,L164)+SUMIFS('25-BRA-I-090'!$EC:$EC,'25-BRA-I-090'!$I:$I,L164)</f>
        <v>170</v>
      </c>
      <c r="AI164" s="1040">
        <f>SUMIFS('25-BRA-I-090'!$DK:$DK,'25-BRA-I-090'!$I:$I,L164)+SUMIFS('25-BRA-I-090'!$ED:$ED,'25-BRA-I-090'!$I:$I,L164)</f>
        <v>0</v>
      </c>
      <c r="AJ164" s="1040">
        <f>SUMIFS('25-BRA-I-090'!$DO:$DO,'25-BRA-I-090'!$I:$I,L164)+26400*SUMIFS('25-BRA-I-090'!$EF:$EF,'25-BRA-I-090'!$I:$I,L164)</f>
        <v>1547000</v>
      </c>
      <c r="AK164" s="1072"/>
      <c r="AO164" s="1072"/>
    </row>
    <row r="165" spans="1:41" s="1039" customFormat="1" ht="30">
      <c r="A165" s="372"/>
      <c r="B165" s="1057" t="str">
        <f t="shared" si="42"/>
        <v>Bolt-M20x100-ISO4014-8.8-Galv</v>
      </c>
      <c r="C165" s="1058" t="str">
        <f>VLOOKUP(L165,'25-BRA-I-090'!$I:$EZ,4,0)</f>
        <v>8.8-Galv</v>
      </c>
      <c r="D165" s="374" t="str">
        <f t="shared" si="41"/>
        <v>pcs</v>
      </c>
      <c r="E165" s="183"/>
      <c r="F165" s="184">
        <f t="shared" si="44"/>
        <v>204</v>
      </c>
      <c r="G165" s="185">
        <f t="shared" si="44"/>
        <v>0</v>
      </c>
      <c r="H165" s="185">
        <f t="shared" si="44"/>
        <v>0</v>
      </c>
      <c r="I165" s="185">
        <f t="shared" si="43"/>
        <v>204</v>
      </c>
      <c r="J165" s="185">
        <f t="shared" si="35"/>
        <v>21210</v>
      </c>
      <c r="K165" s="185">
        <f t="shared" si="36"/>
        <v>4326840</v>
      </c>
      <c r="L165" s="1184" t="s">
        <v>792</v>
      </c>
      <c r="M165" s="1059"/>
      <c r="N165" s="1059"/>
      <c r="O165" s="1038"/>
      <c r="P165" s="1054"/>
      <c r="Q165" s="1054"/>
      <c r="T165" s="1041"/>
      <c r="U165" s="1042"/>
      <c r="V165" s="1042"/>
      <c r="AA165" s="1039" t="str">
        <f>VLOOKUP(L165,'25-BRA-I-090'!$I:$EZ,2,0)</f>
        <v>Bu lông</v>
      </c>
      <c r="AB165" s="1039" t="str">
        <f>VLOOKUP(L165,'25-BRA-I-090'!$I:$EZ,3,0)</f>
        <v>Bolt-M20x100-ISO4014-8.8-Galv</v>
      </c>
      <c r="AC165" s="1039" t="str">
        <f>VLOOKUP(L165,'25-BRA-I-090'!$I:$EZ,5,0)</f>
        <v>pcs</v>
      </c>
      <c r="AD165" s="1039">
        <f>SUMIFS('25-BRA-I-090'!$CS:$CS,'25-BRA-I-090'!$I:$I,L165)</f>
        <v>204</v>
      </c>
      <c r="AE165" s="1039">
        <f>SUMIFS('25-BRA-I-090'!$CT:$CT,'25-BRA-I-090'!$I:$I,L165)</f>
        <v>0</v>
      </c>
      <c r="AF165" s="1039">
        <f>SUMIFS('25-BRA-I-090'!$CW:$CW,'25-BRA-I-090'!$I:$I,L165)</f>
        <v>0</v>
      </c>
      <c r="AG165" s="1039">
        <f>SUMIFS('25-BRA-I-090'!$CX:$CX,'25-BRA-I-090'!$I:$I,L165)</f>
        <v>0</v>
      </c>
      <c r="AH165" s="1040">
        <f>SUMIFS('25-BRA-I-090'!$DJ:$DJ,'25-BRA-I-090'!$I:$I,L165)+SUMIFS('25-BRA-I-090'!$EC:$EC,'25-BRA-I-090'!$I:$I,L165)</f>
        <v>204</v>
      </c>
      <c r="AI165" s="1040">
        <f>SUMIFS('25-BRA-I-090'!$DK:$DK,'25-BRA-I-090'!$I:$I,L165)+SUMIFS('25-BRA-I-090'!$ED:$ED,'25-BRA-I-090'!$I:$I,L165)</f>
        <v>0</v>
      </c>
      <c r="AJ165" s="1040">
        <f>SUMIFS('25-BRA-I-090'!$DO:$DO,'25-BRA-I-090'!$I:$I,L165)+26400*SUMIFS('25-BRA-I-090'!$EF:$EF,'25-BRA-I-090'!$I:$I,L165)</f>
        <v>4326840</v>
      </c>
      <c r="AK165" s="1072"/>
      <c r="AO165" s="1072"/>
    </row>
    <row r="166" spans="1:41" s="1039" customFormat="1" ht="30">
      <c r="A166" s="372"/>
      <c r="B166" s="1057" t="str">
        <f t="shared" si="42"/>
        <v>Bolt-M20x100-ISO4017-10.9-Galv</v>
      </c>
      <c r="C166" s="1058" t="str">
        <f>VLOOKUP(L166,'25-BRA-I-090'!$I:$EZ,4,0)</f>
        <v>10.9-Galv</v>
      </c>
      <c r="D166" s="374" t="str">
        <f t="shared" si="41"/>
        <v>pcs</v>
      </c>
      <c r="E166" s="183"/>
      <c r="F166" s="184">
        <f t="shared" si="44"/>
        <v>90</v>
      </c>
      <c r="G166" s="185">
        <f t="shared" si="44"/>
        <v>0</v>
      </c>
      <c r="H166" s="185">
        <f t="shared" si="44"/>
        <v>0</v>
      </c>
      <c r="I166" s="185">
        <f t="shared" si="43"/>
        <v>90</v>
      </c>
      <c r="J166" s="185">
        <f t="shared" si="35"/>
        <v>41850</v>
      </c>
      <c r="K166" s="185">
        <f t="shared" si="36"/>
        <v>3766500</v>
      </c>
      <c r="L166" s="1184" t="s">
        <v>794</v>
      </c>
      <c r="M166" s="1059"/>
      <c r="N166" s="1059"/>
      <c r="O166" s="1038"/>
      <c r="P166" s="1054"/>
      <c r="Q166" s="1054"/>
      <c r="T166" s="1041"/>
      <c r="U166" s="1042"/>
      <c r="V166" s="1042"/>
      <c r="AA166" s="1039" t="str">
        <f>VLOOKUP(L166,'25-BRA-I-090'!$I:$EZ,2,0)</f>
        <v>Bu lông</v>
      </c>
      <c r="AB166" s="1039" t="str">
        <f>VLOOKUP(L166,'25-BRA-I-090'!$I:$EZ,3,0)</f>
        <v>Bolt-M20x100-ISO4017-10.9-Galv</v>
      </c>
      <c r="AC166" s="1039" t="str">
        <f>VLOOKUP(L166,'25-BRA-I-090'!$I:$EZ,5,0)</f>
        <v>pcs</v>
      </c>
      <c r="AD166" s="1039">
        <f>SUMIFS('25-BRA-I-090'!$CS:$CS,'25-BRA-I-090'!$I:$I,L166)</f>
        <v>90</v>
      </c>
      <c r="AE166" s="1039">
        <f>SUMIFS('25-BRA-I-090'!$CT:$CT,'25-BRA-I-090'!$I:$I,L166)</f>
        <v>0</v>
      </c>
      <c r="AF166" s="1039">
        <f>SUMIFS('25-BRA-I-090'!$CW:$CW,'25-BRA-I-090'!$I:$I,L166)</f>
        <v>0</v>
      </c>
      <c r="AG166" s="1039">
        <f>SUMIFS('25-BRA-I-090'!$CX:$CX,'25-BRA-I-090'!$I:$I,L166)</f>
        <v>0</v>
      </c>
      <c r="AH166" s="1040">
        <f>SUMIFS('25-BRA-I-090'!$DJ:$DJ,'25-BRA-I-090'!$I:$I,L166)+SUMIFS('25-BRA-I-090'!$EC:$EC,'25-BRA-I-090'!$I:$I,L166)</f>
        <v>90</v>
      </c>
      <c r="AI166" s="1040">
        <f>SUMIFS('25-BRA-I-090'!$DK:$DK,'25-BRA-I-090'!$I:$I,L166)+SUMIFS('25-BRA-I-090'!$ED:$ED,'25-BRA-I-090'!$I:$I,L166)</f>
        <v>0</v>
      </c>
      <c r="AJ166" s="1040">
        <f>SUMIFS('25-BRA-I-090'!$DO:$DO,'25-BRA-I-090'!$I:$I,L166)+26400*SUMIFS('25-BRA-I-090'!$EF:$EF,'25-BRA-I-090'!$I:$I,L166)</f>
        <v>3766500</v>
      </c>
      <c r="AK166" s="1072"/>
      <c r="AO166" s="1072"/>
    </row>
    <row r="167" spans="1:41" s="1039" customFormat="1" ht="30">
      <c r="A167" s="372"/>
      <c r="B167" s="1057" t="str">
        <f t="shared" si="42"/>
        <v>Bolt-M20x100-ISO4017-8.8-Galv</v>
      </c>
      <c r="C167" s="1058" t="str">
        <f>VLOOKUP(L167,'25-BRA-I-090'!$I:$EZ,4,0)</f>
        <v>8.8-Galv</v>
      </c>
      <c r="D167" s="374" t="str">
        <f t="shared" si="41"/>
        <v>pcs</v>
      </c>
      <c r="E167" s="183"/>
      <c r="F167" s="184">
        <f t="shared" si="44"/>
        <v>90</v>
      </c>
      <c r="G167" s="185">
        <f t="shared" si="44"/>
        <v>0</v>
      </c>
      <c r="H167" s="185">
        <f t="shared" si="44"/>
        <v>0</v>
      </c>
      <c r="I167" s="185">
        <f t="shared" si="43"/>
        <v>90</v>
      </c>
      <c r="J167" s="185">
        <f t="shared" si="35"/>
        <v>19530</v>
      </c>
      <c r="K167" s="185">
        <f t="shared" si="36"/>
        <v>1757700</v>
      </c>
      <c r="L167" s="1184" t="s">
        <v>797</v>
      </c>
      <c r="M167" s="1059"/>
      <c r="N167" s="1059"/>
      <c r="O167" s="1038"/>
      <c r="P167" s="1054"/>
      <c r="Q167" s="1054"/>
      <c r="T167" s="1041"/>
      <c r="U167" s="1042"/>
      <c r="V167" s="1042"/>
      <c r="AA167" s="1039" t="str">
        <f>VLOOKUP(L167,'25-BRA-I-090'!$I:$EZ,2,0)</f>
        <v>Bu lông</v>
      </c>
      <c r="AB167" s="1039" t="str">
        <f>VLOOKUP(L167,'25-BRA-I-090'!$I:$EZ,3,0)</f>
        <v>Bolt-M20x100-ISO4017-8.8-Galv</v>
      </c>
      <c r="AC167" s="1039" t="str">
        <f>VLOOKUP(L167,'25-BRA-I-090'!$I:$EZ,5,0)</f>
        <v>pcs</v>
      </c>
      <c r="AD167" s="1039">
        <f>SUMIFS('25-BRA-I-090'!$CS:$CS,'25-BRA-I-090'!$I:$I,L167)</f>
        <v>90</v>
      </c>
      <c r="AE167" s="1039">
        <f>SUMIFS('25-BRA-I-090'!$CT:$CT,'25-BRA-I-090'!$I:$I,L167)</f>
        <v>0</v>
      </c>
      <c r="AF167" s="1039">
        <f>SUMIFS('25-BRA-I-090'!$CW:$CW,'25-BRA-I-090'!$I:$I,L167)</f>
        <v>0</v>
      </c>
      <c r="AG167" s="1039">
        <f>SUMIFS('25-BRA-I-090'!$CX:$CX,'25-BRA-I-090'!$I:$I,L167)</f>
        <v>0</v>
      </c>
      <c r="AH167" s="1040">
        <f>SUMIFS('25-BRA-I-090'!$DJ:$DJ,'25-BRA-I-090'!$I:$I,L167)+SUMIFS('25-BRA-I-090'!$EC:$EC,'25-BRA-I-090'!$I:$I,L167)</f>
        <v>90</v>
      </c>
      <c r="AI167" s="1040">
        <f>SUMIFS('25-BRA-I-090'!$DK:$DK,'25-BRA-I-090'!$I:$I,L167)+SUMIFS('25-BRA-I-090'!$ED:$ED,'25-BRA-I-090'!$I:$I,L167)</f>
        <v>0</v>
      </c>
      <c r="AJ167" s="1040">
        <f>SUMIFS('25-BRA-I-090'!$DO:$DO,'25-BRA-I-090'!$I:$I,L167)+26400*SUMIFS('25-BRA-I-090'!$EF:$EF,'25-BRA-I-090'!$I:$I,L167)</f>
        <v>1757700</v>
      </c>
      <c r="AK167" s="1072"/>
      <c r="AO167" s="1072"/>
    </row>
    <row r="168" spans="1:41" s="1039" customFormat="1" ht="30">
      <c r="A168" s="372"/>
      <c r="B168" s="1057" t="str">
        <f t="shared" si="42"/>
        <v>Bolt-M20x110-ISO4017-8.8-Galv</v>
      </c>
      <c r="C168" s="1058" t="str">
        <f>VLOOKUP(L168,'25-BRA-I-090'!$I:$EZ,4,0)</f>
        <v>8.8-Galv</v>
      </c>
      <c r="D168" s="374" t="str">
        <f t="shared" si="41"/>
        <v>pcs</v>
      </c>
      <c r="E168" s="183"/>
      <c r="F168" s="184">
        <f t="shared" si="44"/>
        <v>408</v>
      </c>
      <c r="G168" s="185">
        <f t="shared" si="44"/>
        <v>0</v>
      </c>
      <c r="H168" s="185">
        <f t="shared" si="44"/>
        <v>0</v>
      </c>
      <c r="I168" s="185">
        <f t="shared" si="43"/>
        <v>408</v>
      </c>
      <c r="J168" s="185">
        <f t="shared" si="35"/>
        <v>21000</v>
      </c>
      <c r="K168" s="185">
        <f t="shared" si="36"/>
        <v>8568000</v>
      </c>
      <c r="L168" s="1184" t="s">
        <v>799</v>
      </c>
      <c r="M168" s="1059"/>
      <c r="N168" s="1059"/>
      <c r="O168" s="1038"/>
      <c r="P168" s="1054"/>
      <c r="Q168" s="1054"/>
      <c r="T168" s="1041"/>
      <c r="U168" s="1042"/>
      <c r="V168" s="1042"/>
      <c r="AA168" s="1039" t="str">
        <f>VLOOKUP(L168,'25-BRA-I-090'!$I:$EZ,2,0)</f>
        <v>Bu lông</v>
      </c>
      <c r="AB168" s="1039" t="str">
        <f>VLOOKUP(L168,'25-BRA-I-090'!$I:$EZ,3,0)</f>
        <v>Bolt-M20x110-ISO4017-8.8-Galv</v>
      </c>
      <c r="AC168" s="1039" t="str">
        <f>VLOOKUP(L168,'25-BRA-I-090'!$I:$EZ,5,0)</f>
        <v>pcs</v>
      </c>
      <c r="AD168" s="1039">
        <f>SUMIFS('25-BRA-I-090'!$CS:$CS,'25-BRA-I-090'!$I:$I,L168)</f>
        <v>408</v>
      </c>
      <c r="AE168" s="1039">
        <f>SUMIFS('25-BRA-I-090'!$CT:$CT,'25-BRA-I-090'!$I:$I,L168)</f>
        <v>0</v>
      </c>
      <c r="AF168" s="1039">
        <f>SUMIFS('25-BRA-I-090'!$CW:$CW,'25-BRA-I-090'!$I:$I,L168)</f>
        <v>0</v>
      </c>
      <c r="AG168" s="1039">
        <f>SUMIFS('25-BRA-I-090'!$CX:$CX,'25-BRA-I-090'!$I:$I,L168)</f>
        <v>0</v>
      </c>
      <c r="AH168" s="1040">
        <f>SUMIFS('25-BRA-I-090'!$DJ:$DJ,'25-BRA-I-090'!$I:$I,L168)+SUMIFS('25-BRA-I-090'!$EC:$EC,'25-BRA-I-090'!$I:$I,L168)</f>
        <v>408</v>
      </c>
      <c r="AI168" s="1040">
        <f>SUMIFS('25-BRA-I-090'!$DK:$DK,'25-BRA-I-090'!$I:$I,L168)+SUMIFS('25-BRA-I-090'!$ED:$ED,'25-BRA-I-090'!$I:$I,L168)</f>
        <v>0</v>
      </c>
      <c r="AJ168" s="1040">
        <f>SUMIFS('25-BRA-I-090'!$DO:$DO,'25-BRA-I-090'!$I:$I,L168)+26400*SUMIFS('25-BRA-I-090'!$EF:$EF,'25-BRA-I-090'!$I:$I,L168)</f>
        <v>8568000</v>
      </c>
      <c r="AK168" s="1072"/>
      <c r="AO168" s="1072"/>
    </row>
    <row r="169" spans="1:41" s="1039" customFormat="1" ht="30">
      <c r="A169" s="372"/>
      <c r="B169" s="1057" t="str">
        <f t="shared" si="42"/>
        <v>Bolt-M20x120-ISO4017-8.8-Galv</v>
      </c>
      <c r="C169" s="1058" t="str">
        <f>VLOOKUP(L169,'25-BRA-I-090'!$I:$EZ,4,0)</f>
        <v>8.8-Galv</v>
      </c>
      <c r="D169" s="374" t="str">
        <f t="shared" si="41"/>
        <v>pcs</v>
      </c>
      <c r="E169" s="183"/>
      <c r="F169" s="184">
        <f t="shared" si="44"/>
        <v>90</v>
      </c>
      <c r="G169" s="185">
        <f t="shared" si="44"/>
        <v>0</v>
      </c>
      <c r="H169" s="185">
        <f t="shared" si="44"/>
        <v>0</v>
      </c>
      <c r="I169" s="185">
        <f t="shared" si="43"/>
        <v>90</v>
      </c>
      <c r="J169" s="185">
        <f t="shared" si="35"/>
        <v>22400</v>
      </c>
      <c r="K169" s="185">
        <f t="shared" si="36"/>
        <v>2016000</v>
      </c>
      <c r="L169" s="1184" t="s">
        <v>801</v>
      </c>
      <c r="M169" s="1059"/>
      <c r="N169" s="1059"/>
      <c r="O169" s="1038"/>
      <c r="P169" s="1054"/>
      <c r="Q169" s="1054"/>
      <c r="T169" s="1041"/>
      <c r="U169" s="1042"/>
      <c r="V169" s="1042"/>
      <c r="AA169" s="1039" t="str">
        <f>VLOOKUP(L169,'25-BRA-I-090'!$I:$EZ,2,0)</f>
        <v>Bu lông</v>
      </c>
      <c r="AB169" s="1039" t="str">
        <f>VLOOKUP(L169,'25-BRA-I-090'!$I:$EZ,3,0)</f>
        <v>Bolt-M20x120-ISO4017-8.8-Galv</v>
      </c>
      <c r="AC169" s="1039" t="str">
        <f>VLOOKUP(L169,'25-BRA-I-090'!$I:$EZ,5,0)</f>
        <v>pcs</v>
      </c>
      <c r="AD169" s="1039">
        <f>SUMIFS('25-BRA-I-090'!$CS:$CS,'25-BRA-I-090'!$I:$I,L169)</f>
        <v>90</v>
      </c>
      <c r="AE169" s="1039">
        <f>SUMIFS('25-BRA-I-090'!$CT:$CT,'25-BRA-I-090'!$I:$I,L169)</f>
        <v>0</v>
      </c>
      <c r="AF169" s="1039">
        <f>SUMIFS('25-BRA-I-090'!$CW:$CW,'25-BRA-I-090'!$I:$I,L169)</f>
        <v>0</v>
      </c>
      <c r="AG169" s="1039">
        <f>SUMIFS('25-BRA-I-090'!$CX:$CX,'25-BRA-I-090'!$I:$I,L169)</f>
        <v>0</v>
      </c>
      <c r="AH169" s="1040">
        <f>SUMIFS('25-BRA-I-090'!$DJ:$DJ,'25-BRA-I-090'!$I:$I,L169)+SUMIFS('25-BRA-I-090'!$EC:$EC,'25-BRA-I-090'!$I:$I,L169)</f>
        <v>90</v>
      </c>
      <c r="AI169" s="1040">
        <f>SUMIFS('25-BRA-I-090'!$DK:$DK,'25-BRA-I-090'!$I:$I,L169)+SUMIFS('25-BRA-I-090'!$ED:$ED,'25-BRA-I-090'!$I:$I,L169)</f>
        <v>0</v>
      </c>
      <c r="AJ169" s="1040">
        <f>SUMIFS('25-BRA-I-090'!$DO:$DO,'25-BRA-I-090'!$I:$I,L169)+26400*SUMIFS('25-BRA-I-090'!$EF:$EF,'25-BRA-I-090'!$I:$I,L169)</f>
        <v>2016000</v>
      </c>
      <c r="AK169" s="1072"/>
      <c r="AO169" s="1072"/>
    </row>
    <row r="170" spans="1:41" s="1039" customFormat="1" ht="30">
      <c r="A170" s="372"/>
      <c r="B170" s="1057" t="str">
        <f t="shared" si="42"/>
        <v>Bolt-M20x150-ISO4014-10.9-Galv</v>
      </c>
      <c r="C170" s="1058" t="str">
        <f>VLOOKUP(L170,'25-BRA-I-090'!$I:$EZ,4,0)</f>
        <v>10.9-Galv</v>
      </c>
      <c r="D170" s="374" t="str">
        <f t="shared" si="41"/>
        <v>pcs</v>
      </c>
      <c r="E170" s="183"/>
      <c r="F170" s="184">
        <f t="shared" si="44"/>
        <v>68</v>
      </c>
      <c r="G170" s="185">
        <f t="shared" si="44"/>
        <v>0</v>
      </c>
      <c r="H170" s="185">
        <f t="shared" si="44"/>
        <v>0</v>
      </c>
      <c r="I170" s="185">
        <f t="shared" si="43"/>
        <v>68</v>
      </c>
      <c r="J170" s="185">
        <f t="shared" si="35"/>
        <v>29540</v>
      </c>
      <c r="K170" s="185">
        <f t="shared" si="36"/>
        <v>2008720</v>
      </c>
      <c r="L170" s="1184" t="s">
        <v>803</v>
      </c>
      <c r="M170" s="1059"/>
      <c r="N170" s="1059"/>
      <c r="O170" s="1038"/>
      <c r="P170" s="1054"/>
      <c r="Q170" s="1054"/>
      <c r="T170" s="1041"/>
      <c r="U170" s="1042"/>
      <c r="V170" s="1042"/>
      <c r="AA170" s="1039" t="str">
        <f>VLOOKUP(L170,'25-BRA-I-090'!$I:$EZ,2,0)</f>
        <v>Bu lông</v>
      </c>
      <c r="AB170" s="1039" t="str">
        <f>VLOOKUP(L170,'25-BRA-I-090'!$I:$EZ,3,0)</f>
        <v>Bolt-M20x150-ISO4014-10.9-Galv</v>
      </c>
      <c r="AC170" s="1039" t="str">
        <f>VLOOKUP(L170,'25-BRA-I-090'!$I:$EZ,5,0)</f>
        <v>pcs</v>
      </c>
      <c r="AD170" s="1039">
        <f>SUMIFS('25-BRA-I-090'!$CS:$CS,'25-BRA-I-090'!$I:$I,L170)</f>
        <v>68</v>
      </c>
      <c r="AE170" s="1039">
        <f>SUMIFS('25-BRA-I-090'!$CT:$CT,'25-BRA-I-090'!$I:$I,L170)</f>
        <v>0</v>
      </c>
      <c r="AF170" s="1039">
        <f>SUMIFS('25-BRA-I-090'!$CW:$CW,'25-BRA-I-090'!$I:$I,L170)</f>
        <v>0</v>
      </c>
      <c r="AG170" s="1039">
        <f>SUMIFS('25-BRA-I-090'!$CX:$CX,'25-BRA-I-090'!$I:$I,L170)</f>
        <v>0</v>
      </c>
      <c r="AH170" s="1040">
        <f>SUMIFS('25-BRA-I-090'!$DJ:$DJ,'25-BRA-I-090'!$I:$I,L170)+SUMIFS('25-BRA-I-090'!$EC:$EC,'25-BRA-I-090'!$I:$I,L170)</f>
        <v>68</v>
      </c>
      <c r="AI170" s="1040">
        <f>SUMIFS('25-BRA-I-090'!$DK:$DK,'25-BRA-I-090'!$I:$I,L170)+SUMIFS('25-BRA-I-090'!$ED:$ED,'25-BRA-I-090'!$I:$I,L170)</f>
        <v>0</v>
      </c>
      <c r="AJ170" s="1040">
        <f>SUMIFS('25-BRA-I-090'!$DO:$DO,'25-BRA-I-090'!$I:$I,L170)+26400*SUMIFS('25-BRA-I-090'!$EF:$EF,'25-BRA-I-090'!$I:$I,L170)</f>
        <v>2008720</v>
      </c>
      <c r="AK170" s="1072"/>
      <c r="AO170" s="1072"/>
    </row>
    <row r="171" spans="1:41" s="1039" customFormat="1" ht="30">
      <c r="A171" s="372"/>
      <c r="B171" s="1057" t="str">
        <f t="shared" si="42"/>
        <v>Bolt-M20x160-ISO4014-8.8-Galv</v>
      </c>
      <c r="C171" s="1058" t="str">
        <f>VLOOKUP(L171,'25-BRA-I-090'!$I:$EZ,4,0)</f>
        <v>8.8-Galv</v>
      </c>
      <c r="D171" s="374" t="str">
        <f t="shared" si="41"/>
        <v>pcs</v>
      </c>
      <c r="E171" s="183"/>
      <c r="F171" s="184">
        <f t="shared" si="44"/>
        <v>102</v>
      </c>
      <c r="G171" s="185">
        <f t="shared" si="44"/>
        <v>0</v>
      </c>
      <c r="H171" s="185">
        <f t="shared" si="44"/>
        <v>0</v>
      </c>
      <c r="I171" s="185">
        <f t="shared" si="43"/>
        <v>102</v>
      </c>
      <c r="J171" s="185">
        <f t="shared" si="35"/>
        <v>31220</v>
      </c>
      <c r="K171" s="185">
        <f t="shared" si="36"/>
        <v>3184440</v>
      </c>
      <c r="L171" s="1184" t="s">
        <v>805</v>
      </c>
      <c r="M171" s="1059"/>
      <c r="N171" s="1059"/>
      <c r="O171" s="1038"/>
      <c r="P171" s="1054"/>
      <c r="Q171" s="1054"/>
      <c r="T171" s="1041"/>
      <c r="U171" s="1042"/>
      <c r="V171" s="1042"/>
      <c r="AA171" s="1039" t="str">
        <f>VLOOKUP(L171,'25-BRA-I-090'!$I:$EZ,2,0)</f>
        <v>Bu lông</v>
      </c>
      <c r="AB171" s="1039" t="str">
        <f>VLOOKUP(L171,'25-BRA-I-090'!$I:$EZ,3,0)</f>
        <v>Bolt-M20x160-ISO4014-8.8-Galv</v>
      </c>
      <c r="AC171" s="1039" t="str">
        <f>VLOOKUP(L171,'25-BRA-I-090'!$I:$EZ,5,0)</f>
        <v>pcs</v>
      </c>
      <c r="AD171" s="1039">
        <f>SUMIFS('25-BRA-I-090'!$CS:$CS,'25-BRA-I-090'!$I:$I,L171)</f>
        <v>102</v>
      </c>
      <c r="AE171" s="1039">
        <f>SUMIFS('25-BRA-I-090'!$CT:$CT,'25-BRA-I-090'!$I:$I,L171)</f>
        <v>0</v>
      </c>
      <c r="AF171" s="1039">
        <f>SUMIFS('25-BRA-I-090'!$CW:$CW,'25-BRA-I-090'!$I:$I,L171)</f>
        <v>0</v>
      </c>
      <c r="AG171" s="1039">
        <f>SUMIFS('25-BRA-I-090'!$CX:$CX,'25-BRA-I-090'!$I:$I,L171)</f>
        <v>0</v>
      </c>
      <c r="AH171" s="1040">
        <f>SUMIFS('25-BRA-I-090'!$DJ:$DJ,'25-BRA-I-090'!$I:$I,L171)+SUMIFS('25-BRA-I-090'!$EC:$EC,'25-BRA-I-090'!$I:$I,L171)</f>
        <v>102</v>
      </c>
      <c r="AI171" s="1040">
        <f>SUMIFS('25-BRA-I-090'!$DK:$DK,'25-BRA-I-090'!$I:$I,L171)+SUMIFS('25-BRA-I-090'!$ED:$ED,'25-BRA-I-090'!$I:$I,L171)</f>
        <v>0</v>
      </c>
      <c r="AJ171" s="1040">
        <f>SUMIFS('25-BRA-I-090'!$DO:$DO,'25-BRA-I-090'!$I:$I,L171)+26400*SUMIFS('25-BRA-I-090'!$EF:$EF,'25-BRA-I-090'!$I:$I,L171)</f>
        <v>3184440</v>
      </c>
      <c r="AK171" s="1072"/>
      <c r="AO171" s="1072"/>
    </row>
    <row r="172" spans="1:41" s="1039" customFormat="1" ht="30">
      <c r="A172" s="372"/>
      <c r="B172" s="1057" t="str">
        <f t="shared" si="42"/>
        <v>Bolt-M20x50-ISO4017-8.8-Galv</v>
      </c>
      <c r="C172" s="1058" t="str">
        <f>VLOOKUP(L172,'25-BRA-I-090'!$I:$EZ,4,0)</f>
        <v>8.8-Galv</v>
      </c>
      <c r="D172" s="374" t="str">
        <f t="shared" si="41"/>
        <v>pcs</v>
      </c>
      <c r="E172" s="183"/>
      <c r="F172" s="184">
        <f t="shared" si="44"/>
        <v>352</v>
      </c>
      <c r="G172" s="185">
        <f t="shared" si="44"/>
        <v>0</v>
      </c>
      <c r="H172" s="185">
        <f t="shared" si="44"/>
        <v>0</v>
      </c>
      <c r="I172" s="185">
        <f t="shared" si="43"/>
        <v>352</v>
      </c>
      <c r="J172" s="185">
        <f t="shared" si="35"/>
        <v>12320</v>
      </c>
      <c r="K172" s="185">
        <f t="shared" si="36"/>
        <v>4336640</v>
      </c>
      <c r="L172" s="1184" t="s">
        <v>807</v>
      </c>
      <c r="M172" s="1059"/>
      <c r="N172" s="1059"/>
      <c r="O172" s="1038"/>
      <c r="P172" s="1054"/>
      <c r="Q172" s="1054"/>
      <c r="T172" s="1041"/>
      <c r="U172" s="1042"/>
      <c r="V172" s="1042"/>
      <c r="AA172" s="1039" t="str">
        <f>VLOOKUP(L172,'25-BRA-I-090'!$I:$EZ,2,0)</f>
        <v>Bu lông</v>
      </c>
      <c r="AB172" s="1039" t="str">
        <f>VLOOKUP(L172,'25-BRA-I-090'!$I:$EZ,3,0)</f>
        <v>Bolt-M20x50-ISO4017-8.8-Galv</v>
      </c>
      <c r="AC172" s="1039" t="str">
        <f>VLOOKUP(L172,'25-BRA-I-090'!$I:$EZ,5,0)</f>
        <v>pcs</v>
      </c>
      <c r="AD172" s="1039">
        <f>SUMIFS('25-BRA-I-090'!$CS:$CS,'25-BRA-I-090'!$I:$I,L172)</f>
        <v>352</v>
      </c>
      <c r="AE172" s="1039">
        <f>SUMIFS('25-BRA-I-090'!$CT:$CT,'25-BRA-I-090'!$I:$I,L172)</f>
        <v>0</v>
      </c>
      <c r="AF172" s="1039">
        <f>SUMIFS('25-BRA-I-090'!$CW:$CW,'25-BRA-I-090'!$I:$I,L172)</f>
        <v>0</v>
      </c>
      <c r="AG172" s="1039">
        <f>SUMIFS('25-BRA-I-090'!$CX:$CX,'25-BRA-I-090'!$I:$I,L172)</f>
        <v>0</v>
      </c>
      <c r="AH172" s="1040">
        <f>SUMIFS('25-BRA-I-090'!$DJ:$DJ,'25-BRA-I-090'!$I:$I,L172)+SUMIFS('25-BRA-I-090'!$EC:$EC,'25-BRA-I-090'!$I:$I,L172)</f>
        <v>352</v>
      </c>
      <c r="AI172" s="1040">
        <f>SUMIFS('25-BRA-I-090'!$DK:$DK,'25-BRA-I-090'!$I:$I,L172)+SUMIFS('25-BRA-I-090'!$ED:$ED,'25-BRA-I-090'!$I:$I,L172)</f>
        <v>0</v>
      </c>
      <c r="AJ172" s="1040">
        <f>SUMIFS('25-BRA-I-090'!$DO:$DO,'25-BRA-I-090'!$I:$I,L172)+26400*SUMIFS('25-BRA-I-090'!$EF:$EF,'25-BRA-I-090'!$I:$I,L172)</f>
        <v>4336640</v>
      </c>
      <c r="AK172" s="1072"/>
      <c r="AO172" s="1072"/>
    </row>
    <row r="173" spans="1:41" s="1039" customFormat="1" ht="30">
      <c r="A173" s="372"/>
      <c r="B173" s="1057" t="str">
        <f t="shared" si="42"/>
        <v>Bolt-M20x55-ISO4017-8.8-Galv</v>
      </c>
      <c r="C173" s="1058" t="str">
        <f>VLOOKUP(L173,'25-BRA-I-090'!$I:$EZ,4,0)</f>
        <v>8.8-Galv</v>
      </c>
      <c r="D173" s="374" t="str">
        <f t="shared" si="41"/>
        <v>pcs</v>
      </c>
      <c r="E173" s="183"/>
      <c r="F173" s="184">
        <f t="shared" si="44"/>
        <v>605</v>
      </c>
      <c r="G173" s="185">
        <f t="shared" si="44"/>
        <v>0</v>
      </c>
      <c r="H173" s="185">
        <f t="shared" si="44"/>
        <v>0</v>
      </c>
      <c r="I173" s="185">
        <f t="shared" si="43"/>
        <v>550</v>
      </c>
      <c r="J173" s="185">
        <f t="shared" si="35"/>
        <v>13720</v>
      </c>
      <c r="K173" s="185">
        <f t="shared" si="36"/>
        <v>7546000</v>
      </c>
      <c r="L173" s="1184" t="s">
        <v>809</v>
      </c>
      <c r="M173" s="1059"/>
      <c r="N173" s="1059"/>
      <c r="O173" s="1038"/>
      <c r="P173" s="1054"/>
      <c r="Q173" s="1054"/>
      <c r="T173" s="1041"/>
      <c r="U173" s="1042"/>
      <c r="V173" s="1042"/>
      <c r="AA173" s="1039" t="str">
        <f>VLOOKUP(L173,'25-BRA-I-090'!$I:$EZ,2,0)</f>
        <v>Bu lông</v>
      </c>
      <c r="AB173" s="1039" t="str">
        <f>VLOOKUP(L173,'25-BRA-I-090'!$I:$EZ,3,0)</f>
        <v>Bolt-M20x55-ISO4017-8.8-Galv</v>
      </c>
      <c r="AC173" s="1039" t="str">
        <f>VLOOKUP(L173,'25-BRA-I-090'!$I:$EZ,5,0)</f>
        <v>pcs</v>
      </c>
      <c r="AD173" s="1039">
        <f>SUMIFS('25-BRA-I-090'!$CS:$CS,'25-BRA-I-090'!$I:$I,L173)</f>
        <v>605</v>
      </c>
      <c r="AE173" s="1039">
        <f>SUMIFS('25-BRA-I-090'!$CT:$CT,'25-BRA-I-090'!$I:$I,L173)</f>
        <v>0</v>
      </c>
      <c r="AF173" s="1039">
        <f>SUMIFS('25-BRA-I-090'!$CW:$CW,'25-BRA-I-090'!$I:$I,L173)</f>
        <v>0</v>
      </c>
      <c r="AG173" s="1039">
        <f>SUMIFS('25-BRA-I-090'!$CX:$CX,'25-BRA-I-090'!$I:$I,L173)</f>
        <v>0</v>
      </c>
      <c r="AH173" s="1040">
        <f>SUMIFS('25-BRA-I-090'!$DJ:$DJ,'25-BRA-I-090'!$I:$I,L173)+SUMIFS('25-BRA-I-090'!$EC:$EC,'25-BRA-I-090'!$I:$I,L173)</f>
        <v>550</v>
      </c>
      <c r="AI173" s="1040">
        <f>SUMIFS('25-BRA-I-090'!$DK:$DK,'25-BRA-I-090'!$I:$I,L173)+SUMIFS('25-BRA-I-090'!$ED:$ED,'25-BRA-I-090'!$I:$I,L173)</f>
        <v>0</v>
      </c>
      <c r="AJ173" s="1040">
        <f>SUMIFS('25-BRA-I-090'!$DO:$DO,'25-BRA-I-090'!$I:$I,L173)+26400*SUMIFS('25-BRA-I-090'!$EF:$EF,'25-BRA-I-090'!$I:$I,L173)</f>
        <v>7546000</v>
      </c>
      <c r="AK173" s="1072"/>
      <c r="AO173" s="1072"/>
    </row>
    <row r="174" spans="1:41" s="1039" customFormat="1" ht="30">
      <c r="A174" s="372"/>
      <c r="B174" s="1057" t="str">
        <f t="shared" si="42"/>
        <v>Bolt-M20x65-ISO4017-8.8-Galv</v>
      </c>
      <c r="C174" s="1058" t="str">
        <f>VLOOKUP(L174,'25-BRA-I-090'!$I:$EZ,4,0)</f>
        <v>8.8-Galv</v>
      </c>
      <c r="D174" s="374" t="str">
        <f t="shared" si="41"/>
        <v>pcs</v>
      </c>
      <c r="E174" s="183"/>
      <c r="F174" s="184">
        <f t="shared" si="44"/>
        <v>2658</v>
      </c>
      <c r="G174" s="185">
        <f t="shared" si="44"/>
        <v>0</v>
      </c>
      <c r="H174" s="185">
        <f t="shared" si="44"/>
        <v>0</v>
      </c>
      <c r="I174" s="185">
        <f t="shared" si="43"/>
        <v>1310</v>
      </c>
      <c r="J174" s="185">
        <f t="shared" si="35"/>
        <v>15190</v>
      </c>
      <c r="K174" s="185">
        <f t="shared" si="36"/>
        <v>19898900</v>
      </c>
      <c r="L174" s="1184" t="s">
        <v>811</v>
      </c>
      <c r="M174" s="1059"/>
      <c r="N174" s="1059"/>
      <c r="O174" s="1038"/>
      <c r="P174" s="1054"/>
      <c r="Q174" s="1054"/>
      <c r="T174" s="1041"/>
      <c r="U174" s="1042"/>
      <c r="V174" s="1042"/>
      <c r="AA174" s="1039" t="str">
        <f>VLOOKUP(L174,'25-BRA-I-090'!$I:$EZ,2,0)</f>
        <v>Bu lông</v>
      </c>
      <c r="AB174" s="1039" t="str">
        <f>VLOOKUP(L174,'25-BRA-I-090'!$I:$EZ,3,0)</f>
        <v>Bolt-M20x65-ISO4017-8.8-Galv</v>
      </c>
      <c r="AC174" s="1039" t="str">
        <f>VLOOKUP(L174,'25-BRA-I-090'!$I:$EZ,5,0)</f>
        <v>pcs</v>
      </c>
      <c r="AD174" s="1039">
        <f>SUMIFS('25-BRA-I-090'!$CS:$CS,'25-BRA-I-090'!$I:$I,L174)</f>
        <v>2658</v>
      </c>
      <c r="AE174" s="1039">
        <f>SUMIFS('25-BRA-I-090'!$CT:$CT,'25-BRA-I-090'!$I:$I,L174)</f>
        <v>0</v>
      </c>
      <c r="AF174" s="1039">
        <f>SUMIFS('25-BRA-I-090'!$CW:$CW,'25-BRA-I-090'!$I:$I,L174)</f>
        <v>0</v>
      </c>
      <c r="AG174" s="1039">
        <f>SUMIFS('25-BRA-I-090'!$CX:$CX,'25-BRA-I-090'!$I:$I,L174)</f>
        <v>0</v>
      </c>
      <c r="AH174" s="1040">
        <f>SUMIFS('25-BRA-I-090'!$DJ:$DJ,'25-BRA-I-090'!$I:$I,L174)+SUMIFS('25-BRA-I-090'!$EC:$EC,'25-BRA-I-090'!$I:$I,L174)</f>
        <v>1310</v>
      </c>
      <c r="AI174" s="1040">
        <f>SUMIFS('25-BRA-I-090'!$DK:$DK,'25-BRA-I-090'!$I:$I,L174)+SUMIFS('25-BRA-I-090'!$ED:$ED,'25-BRA-I-090'!$I:$I,L174)</f>
        <v>0</v>
      </c>
      <c r="AJ174" s="1040">
        <f>SUMIFS('25-BRA-I-090'!$DO:$DO,'25-BRA-I-090'!$I:$I,L174)+26400*SUMIFS('25-BRA-I-090'!$EF:$EF,'25-BRA-I-090'!$I:$I,L174)</f>
        <v>19898900</v>
      </c>
      <c r="AK174" s="1072"/>
      <c r="AO174" s="1072"/>
    </row>
    <row r="175" spans="1:41" s="1039" customFormat="1" ht="30">
      <c r="A175" s="372"/>
      <c r="B175" s="1057" t="str">
        <f t="shared" si="42"/>
        <v>Bolt-M20x80-ISO4017-8.8-Galv</v>
      </c>
      <c r="C175" s="1058" t="str">
        <f>VLOOKUP(L175,'25-BRA-I-090'!$I:$EZ,4,0)</f>
        <v>8.8-Galv</v>
      </c>
      <c r="D175" s="374" t="str">
        <f t="shared" si="41"/>
        <v>pcs</v>
      </c>
      <c r="E175" s="183"/>
      <c r="F175" s="184">
        <f t="shared" si="44"/>
        <v>30</v>
      </c>
      <c r="G175" s="185">
        <f t="shared" si="44"/>
        <v>0</v>
      </c>
      <c r="H175" s="185">
        <f t="shared" si="44"/>
        <v>0</v>
      </c>
      <c r="I175" s="185">
        <f t="shared" si="43"/>
        <v>30</v>
      </c>
      <c r="J175" s="185">
        <f t="shared" si="35"/>
        <v>16660</v>
      </c>
      <c r="K175" s="185">
        <f t="shared" si="36"/>
        <v>499800</v>
      </c>
      <c r="L175" s="1184" t="s">
        <v>813</v>
      </c>
      <c r="M175" s="1059"/>
      <c r="N175" s="1059"/>
      <c r="O175" s="1038"/>
      <c r="P175" s="1054"/>
      <c r="Q175" s="1054"/>
      <c r="T175" s="1041"/>
      <c r="U175" s="1042"/>
      <c r="V175" s="1042"/>
      <c r="AA175" s="1039" t="str">
        <f>VLOOKUP(L175,'25-BRA-I-090'!$I:$EZ,2,0)</f>
        <v>Bu lông</v>
      </c>
      <c r="AB175" s="1039" t="str">
        <f>VLOOKUP(L175,'25-BRA-I-090'!$I:$EZ,3,0)</f>
        <v>Bolt-M20x80-ISO4017-8.8-Galv</v>
      </c>
      <c r="AC175" s="1039" t="str">
        <f>VLOOKUP(L175,'25-BRA-I-090'!$I:$EZ,5,0)</f>
        <v>pcs</v>
      </c>
      <c r="AD175" s="1039">
        <f>SUMIFS('25-BRA-I-090'!$CS:$CS,'25-BRA-I-090'!$I:$I,L175)</f>
        <v>30</v>
      </c>
      <c r="AE175" s="1039">
        <f>SUMIFS('25-BRA-I-090'!$CT:$CT,'25-BRA-I-090'!$I:$I,L175)</f>
        <v>0</v>
      </c>
      <c r="AF175" s="1039">
        <f>SUMIFS('25-BRA-I-090'!$CW:$CW,'25-BRA-I-090'!$I:$I,L175)</f>
        <v>0</v>
      </c>
      <c r="AG175" s="1039">
        <f>SUMIFS('25-BRA-I-090'!$CX:$CX,'25-BRA-I-090'!$I:$I,L175)</f>
        <v>0</v>
      </c>
      <c r="AH175" s="1040">
        <f>SUMIFS('25-BRA-I-090'!$DJ:$DJ,'25-BRA-I-090'!$I:$I,L175)+SUMIFS('25-BRA-I-090'!$EC:$EC,'25-BRA-I-090'!$I:$I,L175)</f>
        <v>30</v>
      </c>
      <c r="AI175" s="1040">
        <f>SUMIFS('25-BRA-I-090'!$DK:$DK,'25-BRA-I-090'!$I:$I,L175)+SUMIFS('25-BRA-I-090'!$ED:$ED,'25-BRA-I-090'!$I:$I,L175)</f>
        <v>0</v>
      </c>
      <c r="AJ175" s="1040">
        <f>SUMIFS('25-BRA-I-090'!$DO:$DO,'25-BRA-I-090'!$I:$I,L175)+26400*SUMIFS('25-BRA-I-090'!$EF:$EF,'25-BRA-I-090'!$I:$I,L175)</f>
        <v>499800</v>
      </c>
      <c r="AK175" s="1072"/>
      <c r="AO175" s="1072"/>
    </row>
    <row r="176" spans="1:41" s="1039" customFormat="1" ht="30">
      <c r="A176" s="372"/>
      <c r="B176" s="1057" t="str">
        <f t="shared" si="42"/>
        <v>Bolt-M24x110-DIN933-10.9-Galv</v>
      </c>
      <c r="C176" s="1058" t="str">
        <f>VLOOKUP(L176,'25-BRA-I-090'!$I:$EZ,4,0)</f>
        <v>10.9-Galv</v>
      </c>
      <c r="D176" s="374" t="str">
        <f t="shared" si="41"/>
        <v>pcs</v>
      </c>
      <c r="E176" s="183"/>
      <c r="F176" s="184">
        <f t="shared" si="44"/>
        <v>170</v>
      </c>
      <c r="G176" s="185">
        <f t="shared" si="44"/>
        <v>0</v>
      </c>
      <c r="H176" s="185">
        <f t="shared" si="44"/>
        <v>0</v>
      </c>
      <c r="I176" s="185">
        <f t="shared" si="43"/>
        <v>170</v>
      </c>
      <c r="J176" s="185">
        <f t="shared" si="35"/>
        <v>45300</v>
      </c>
      <c r="K176" s="185">
        <f t="shared" si="36"/>
        <v>7701000</v>
      </c>
      <c r="L176" s="1184" t="s">
        <v>815</v>
      </c>
      <c r="M176" s="1059"/>
      <c r="N176" s="1059"/>
      <c r="O176" s="1038"/>
      <c r="P176" s="1054"/>
      <c r="Q176" s="1054"/>
      <c r="T176" s="1041"/>
      <c r="U176" s="1042"/>
      <c r="V176" s="1042"/>
      <c r="AA176" s="1039" t="str">
        <f>VLOOKUP(L176,'25-BRA-I-090'!$I:$EZ,2,0)</f>
        <v>Bu lông</v>
      </c>
      <c r="AB176" s="1039" t="str">
        <f>VLOOKUP(L176,'25-BRA-I-090'!$I:$EZ,3,0)</f>
        <v>Bolt-M24x110-DIN933-10.9-Galv</v>
      </c>
      <c r="AC176" s="1039" t="str">
        <f>VLOOKUP(L176,'25-BRA-I-090'!$I:$EZ,5,0)</f>
        <v>pcs</v>
      </c>
      <c r="AD176" s="1039">
        <f>SUMIFS('25-BRA-I-090'!$CS:$CS,'25-BRA-I-090'!$I:$I,L176)</f>
        <v>170</v>
      </c>
      <c r="AE176" s="1039">
        <f>SUMIFS('25-BRA-I-090'!$CT:$CT,'25-BRA-I-090'!$I:$I,L176)</f>
        <v>0</v>
      </c>
      <c r="AF176" s="1039">
        <f>SUMIFS('25-BRA-I-090'!$CW:$CW,'25-BRA-I-090'!$I:$I,L176)</f>
        <v>0</v>
      </c>
      <c r="AG176" s="1039">
        <f>SUMIFS('25-BRA-I-090'!$CX:$CX,'25-BRA-I-090'!$I:$I,L176)</f>
        <v>0</v>
      </c>
      <c r="AH176" s="1040">
        <f>SUMIFS('25-BRA-I-090'!$DJ:$DJ,'25-BRA-I-090'!$I:$I,L176)+SUMIFS('25-BRA-I-090'!$EC:$EC,'25-BRA-I-090'!$I:$I,L176)</f>
        <v>170</v>
      </c>
      <c r="AI176" s="1040">
        <f>SUMIFS('25-BRA-I-090'!$DK:$DK,'25-BRA-I-090'!$I:$I,L176)+SUMIFS('25-BRA-I-090'!$ED:$ED,'25-BRA-I-090'!$I:$I,L176)</f>
        <v>0</v>
      </c>
      <c r="AJ176" s="1040">
        <f>SUMIFS('25-BRA-I-090'!$DO:$DO,'25-BRA-I-090'!$I:$I,L176)+26400*SUMIFS('25-BRA-I-090'!$EF:$EF,'25-BRA-I-090'!$I:$I,L176)</f>
        <v>7701000</v>
      </c>
      <c r="AK176" s="1072"/>
      <c r="AO176" s="1072"/>
    </row>
    <row r="177" spans="1:41" s="1039" customFormat="1" ht="30">
      <c r="A177" s="372"/>
      <c r="B177" s="1057" t="str">
        <f t="shared" si="42"/>
        <v>Bolt-M24x120-ISO4014-10.9-Galv</v>
      </c>
      <c r="C177" s="1058" t="str">
        <f>VLOOKUP(L177,'25-BRA-I-090'!$I:$EZ,4,0)</f>
        <v>10.9-Galv</v>
      </c>
      <c r="D177" s="374" t="str">
        <f t="shared" si="41"/>
        <v>pcs</v>
      </c>
      <c r="E177" s="183"/>
      <c r="F177" s="184">
        <f t="shared" si="44"/>
        <v>680</v>
      </c>
      <c r="G177" s="185">
        <f t="shared" si="44"/>
        <v>0</v>
      </c>
      <c r="H177" s="185">
        <f t="shared" si="44"/>
        <v>0</v>
      </c>
      <c r="I177" s="185">
        <f t="shared" si="43"/>
        <v>680</v>
      </c>
      <c r="J177" s="185">
        <f t="shared" si="35"/>
        <v>53500</v>
      </c>
      <c r="K177" s="185">
        <f t="shared" si="36"/>
        <v>36380000</v>
      </c>
      <c r="L177" s="1184" t="s">
        <v>817</v>
      </c>
      <c r="M177" s="1059"/>
      <c r="N177" s="1059"/>
      <c r="O177" s="1038"/>
      <c r="P177" s="1054"/>
      <c r="Q177" s="1054"/>
      <c r="T177" s="1041"/>
      <c r="U177" s="1042"/>
      <c r="V177" s="1042"/>
      <c r="AA177" s="1039" t="str">
        <f>VLOOKUP(L177,'25-BRA-I-090'!$I:$EZ,2,0)</f>
        <v>Bu lông</v>
      </c>
      <c r="AB177" s="1039" t="str">
        <f>VLOOKUP(L177,'25-BRA-I-090'!$I:$EZ,3,0)</f>
        <v>Bolt-M24x120-ISO4014-10.9-Galv</v>
      </c>
      <c r="AC177" s="1039" t="str">
        <f>VLOOKUP(L177,'25-BRA-I-090'!$I:$EZ,5,0)</f>
        <v>pcs</v>
      </c>
      <c r="AD177" s="1039">
        <f>SUMIFS('25-BRA-I-090'!$CS:$CS,'25-BRA-I-090'!$I:$I,L177)</f>
        <v>680</v>
      </c>
      <c r="AE177" s="1039">
        <f>SUMIFS('25-BRA-I-090'!$CT:$CT,'25-BRA-I-090'!$I:$I,L177)</f>
        <v>0</v>
      </c>
      <c r="AF177" s="1039">
        <f>SUMIFS('25-BRA-I-090'!$CW:$CW,'25-BRA-I-090'!$I:$I,L177)</f>
        <v>0</v>
      </c>
      <c r="AG177" s="1039">
        <f>SUMIFS('25-BRA-I-090'!$CX:$CX,'25-BRA-I-090'!$I:$I,L177)</f>
        <v>0</v>
      </c>
      <c r="AH177" s="1040">
        <f>SUMIFS('25-BRA-I-090'!$DJ:$DJ,'25-BRA-I-090'!$I:$I,L177)+SUMIFS('25-BRA-I-090'!$EC:$EC,'25-BRA-I-090'!$I:$I,L177)</f>
        <v>680</v>
      </c>
      <c r="AI177" s="1040">
        <f>SUMIFS('25-BRA-I-090'!$DK:$DK,'25-BRA-I-090'!$I:$I,L177)+SUMIFS('25-BRA-I-090'!$ED:$ED,'25-BRA-I-090'!$I:$I,L177)</f>
        <v>0</v>
      </c>
      <c r="AJ177" s="1040">
        <f>SUMIFS('25-BRA-I-090'!$DO:$DO,'25-BRA-I-090'!$I:$I,L177)+26400*SUMIFS('25-BRA-I-090'!$EF:$EF,'25-BRA-I-090'!$I:$I,L177)</f>
        <v>36380000</v>
      </c>
      <c r="AK177" s="1072"/>
      <c r="AO177" s="1072"/>
    </row>
    <row r="178" spans="1:41" s="1039" customFormat="1" ht="30">
      <c r="A178" s="372"/>
      <c r="B178" s="1057" t="str">
        <f t="shared" si="42"/>
        <v>Bolt-M24x120-ISO4014-8.8-Galv</v>
      </c>
      <c r="C178" s="1058" t="str">
        <f>VLOOKUP(L178,'25-BRA-I-090'!$I:$EZ,4,0)</f>
        <v>8.8-Galv</v>
      </c>
      <c r="D178" s="374" t="str">
        <f t="shared" si="41"/>
        <v>pcs</v>
      </c>
      <c r="E178" s="183"/>
      <c r="F178" s="184">
        <f t="shared" si="44"/>
        <v>1466</v>
      </c>
      <c r="G178" s="185">
        <f t="shared" si="44"/>
        <v>0</v>
      </c>
      <c r="H178" s="185">
        <f t="shared" si="44"/>
        <v>0</v>
      </c>
      <c r="I178" s="185">
        <f t="shared" si="43"/>
        <v>1466</v>
      </c>
      <c r="J178" s="185">
        <f t="shared" si="35"/>
        <v>37450</v>
      </c>
      <c r="K178" s="185">
        <f t="shared" si="36"/>
        <v>54901700</v>
      </c>
      <c r="L178" s="1184" t="s">
        <v>819</v>
      </c>
      <c r="M178" s="1059"/>
      <c r="N178" s="1059"/>
      <c r="O178" s="1038"/>
      <c r="P178" s="1054"/>
      <c r="Q178" s="1054"/>
      <c r="T178" s="1041"/>
      <c r="U178" s="1042"/>
      <c r="V178" s="1042"/>
      <c r="AA178" s="1039" t="str">
        <f>VLOOKUP(L178,'25-BRA-I-090'!$I:$EZ,2,0)</f>
        <v>Bu lông</v>
      </c>
      <c r="AB178" s="1039" t="str">
        <f>VLOOKUP(L178,'25-BRA-I-090'!$I:$EZ,3,0)</f>
        <v>Bolt-M24x120-ISO4014-8.8-Galv</v>
      </c>
      <c r="AC178" s="1039" t="str">
        <f>VLOOKUP(L178,'25-BRA-I-090'!$I:$EZ,5,0)</f>
        <v>pcs</v>
      </c>
      <c r="AD178" s="1039">
        <f>SUMIFS('25-BRA-I-090'!$CS:$CS,'25-BRA-I-090'!$I:$I,L178)</f>
        <v>1466</v>
      </c>
      <c r="AE178" s="1039">
        <f>SUMIFS('25-BRA-I-090'!$CT:$CT,'25-BRA-I-090'!$I:$I,L178)</f>
        <v>0</v>
      </c>
      <c r="AF178" s="1039">
        <f>SUMIFS('25-BRA-I-090'!$CW:$CW,'25-BRA-I-090'!$I:$I,L178)</f>
        <v>0</v>
      </c>
      <c r="AG178" s="1039">
        <f>SUMIFS('25-BRA-I-090'!$CX:$CX,'25-BRA-I-090'!$I:$I,L178)</f>
        <v>0</v>
      </c>
      <c r="AH178" s="1040">
        <f>SUMIFS('25-BRA-I-090'!$DJ:$DJ,'25-BRA-I-090'!$I:$I,L178)+SUMIFS('25-BRA-I-090'!$EC:$EC,'25-BRA-I-090'!$I:$I,L178)</f>
        <v>1466</v>
      </c>
      <c r="AI178" s="1040">
        <f>SUMIFS('25-BRA-I-090'!$DK:$DK,'25-BRA-I-090'!$I:$I,L178)+SUMIFS('25-BRA-I-090'!$ED:$ED,'25-BRA-I-090'!$I:$I,L178)</f>
        <v>0</v>
      </c>
      <c r="AJ178" s="1040">
        <f>SUMIFS('25-BRA-I-090'!$DO:$DO,'25-BRA-I-090'!$I:$I,L178)+26400*SUMIFS('25-BRA-I-090'!$EF:$EF,'25-BRA-I-090'!$I:$I,L178)</f>
        <v>54901700</v>
      </c>
      <c r="AK178" s="1072"/>
      <c r="AO178" s="1072"/>
    </row>
    <row r="179" spans="1:41" s="1039" customFormat="1" ht="45">
      <c r="A179" s="372"/>
      <c r="B179" s="1057" t="str">
        <f t="shared" si="42"/>
        <v>Bolt-M24x85-EN14399-4-10.9-tZn</v>
      </c>
      <c r="C179" s="1058" t="str">
        <f>VLOOKUP(L179,'25-BRA-I-090'!$I:$EZ,4,0)</f>
        <v>10.9-tZn</v>
      </c>
      <c r="D179" s="374" t="str">
        <f t="shared" si="41"/>
        <v>pcs</v>
      </c>
      <c r="E179" s="183"/>
      <c r="F179" s="184">
        <f t="shared" si="44"/>
        <v>90</v>
      </c>
      <c r="G179" s="185">
        <f t="shared" si="44"/>
        <v>0</v>
      </c>
      <c r="H179" s="185">
        <f t="shared" si="44"/>
        <v>0</v>
      </c>
      <c r="I179" s="185">
        <f t="shared" si="43"/>
        <v>90</v>
      </c>
      <c r="J179" s="185">
        <f t="shared" si="35"/>
        <v>85000</v>
      </c>
      <c r="K179" s="185">
        <f t="shared" si="36"/>
        <v>7650000</v>
      </c>
      <c r="L179" s="1184" t="s">
        <v>821</v>
      </c>
      <c r="M179" s="1059"/>
      <c r="N179" s="1059"/>
      <c r="O179" s="1038"/>
      <c r="P179" s="1054"/>
      <c r="Q179" s="1054"/>
      <c r="T179" s="1041"/>
      <c r="U179" s="1042"/>
      <c r="V179" s="1042"/>
      <c r="AA179" s="1039" t="str">
        <f>VLOOKUP(L179,'25-BRA-I-090'!$I:$EZ,2,0)</f>
        <v>Bu lông</v>
      </c>
      <c r="AB179" s="1039" t="str">
        <f>VLOOKUP(L179,'25-BRA-I-090'!$I:$EZ,3,0)</f>
        <v>Bolt-M24x85-EN14399-4-10.9-tZn</v>
      </c>
      <c r="AC179" s="1039" t="str">
        <f>VLOOKUP(L179,'25-BRA-I-090'!$I:$EZ,5,0)</f>
        <v>pcs</v>
      </c>
      <c r="AD179" s="1039">
        <f>SUMIFS('25-BRA-I-090'!$CS:$CS,'25-BRA-I-090'!$I:$I,L179)</f>
        <v>90</v>
      </c>
      <c r="AE179" s="1039">
        <f>SUMIFS('25-BRA-I-090'!$CT:$CT,'25-BRA-I-090'!$I:$I,L179)</f>
        <v>0</v>
      </c>
      <c r="AF179" s="1039">
        <f>SUMIFS('25-BRA-I-090'!$CW:$CW,'25-BRA-I-090'!$I:$I,L179)</f>
        <v>0</v>
      </c>
      <c r="AG179" s="1039">
        <f>SUMIFS('25-BRA-I-090'!$CX:$CX,'25-BRA-I-090'!$I:$I,L179)</f>
        <v>0</v>
      </c>
      <c r="AH179" s="1040">
        <f>SUMIFS('25-BRA-I-090'!$DJ:$DJ,'25-BRA-I-090'!$I:$I,L179)+SUMIFS('25-BRA-I-090'!$EC:$EC,'25-BRA-I-090'!$I:$I,L179)</f>
        <v>90</v>
      </c>
      <c r="AI179" s="1040">
        <f>SUMIFS('25-BRA-I-090'!$DK:$DK,'25-BRA-I-090'!$I:$I,L179)+SUMIFS('25-BRA-I-090'!$ED:$ED,'25-BRA-I-090'!$I:$I,L179)</f>
        <v>0</v>
      </c>
      <c r="AJ179" s="1040">
        <f>SUMIFS('25-BRA-I-090'!$DO:$DO,'25-BRA-I-090'!$I:$I,L179)+26400*SUMIFS('25-BRA-I-090'!$EF:$EF,'25-BRA-I-090'!$I:$I,L179)</f>
        <v>7650000</v>
      </c>
      <c r="AK179" s="1072"/>
      <c r="AO179" s="1072"/>
    </row>
    <row r="180" spans="1:41" s="1039" customFormat="1" ht="30">
      <c r="A180" s="372"/>
      <c r="B180" s="1057" t="str">
        <f t="shared" si="42"/>
        <v>Bolt-M30x140-ISO4014-8.8-Galv</v>
      </c>
      <c r="C180" s="1058" t="str">
        <f>VLOOKUP(L180,'25-BRA-I-090'!$I:$EZ,4,0)</f>
        <v>8.8-Galv</v>
      </c>
      <c r="D180" s="374" t="str">
        <f t="shared" si="41"/>
        <v>pcs</v>
      </c>
      <c r="E180" s="183"/>
      <c r="F180" s="184">
        <f t="shared" si="44"/>
        <v>306</v>
      </c>
      <c r="G180" s="185">
        <f t="shared" si="44"/>
        <v>0</v>
      </c>
      <c r="H180" s="185">
        <f t="shared" si="44"/>
        <v>0</v>
      </c>
      <c r="I180" s="185">
        <f t="shared" si="43"/>
        <v>306</v>
      </c>
      <c r="J180" s="185">
        <f t="shared" si="35"/>
        <v>97500</v>
      </c>
      <c r="K180" s="185">
        <f t="shared" si="36"/>
        <v>29835000</v>
      </c>
      <c r="L180" s="1184" t="s">
        <v>824</v>
      </c>
      <c r="M180" s="1059"/>
      <c r="N180" s="1059"/>
      <c r="O180" s="1038"/>
      <c r="P180" s="1054"/>
      <c r="Q180" s="1054"/>
      <c r="T180" s="1041"/>
      <c r="U180" s="1042"/>
      <c r="V180" s="1042"/>
      <c r="AA180" s="1039" t="str">
        <f>VLOOKUP(L180,'25-BRA-I-090'!$I:$EZ,2,0)</f>
        <v>Bu lông</v>
      </c>
      <c r="AB180" s="1039" t="str">
        <f>VLOOKUP(L180,'25-BRA-I-090'!$I:$EZ,3,0)</f>
        <v>Bolt-M30x140-ISO4014-8.8-Galv</v>
      </c>
      <c r="AC180" s="1039" t="str">
        <f>VLOOKUP(L180,'25-BRA-I-090'!$I:$EZ,5,0)</f>
        <v>pcs</v>
      </c>
      <c r="AD180" s="1039">
        <f>SUMIFS('25-BRA-I-090'!$CS:$CS,'25-BRA-I-090'!$I:$I,L180)</f>
        <v>306</v>
      </c>
      <c r="AE180" s="1039">
        <f>SUMIFS('25-BRA-I-090'!$CT:$CT,'25-BRA-I-090'!$I:$I,L180)</f>
        <v>0</v>
      </c>
      <c r="AF180" s="1039">
        <f>SUMIFS('25-BRA-I-090'!$CW:$CW,'25-BRA-I-090'!$I:$I,L180)</f>
        <v>0</v>
      </c>
      <c r="AG180" s="1039">
        <f>SUMIFS('25-BRA-I-090'!$CX:$CX,'25-BRA-I-090'!$I:$I,L180)</f>
        <v>0</v>
      </c>
      <c r="AH180" s="1040">
        <f>SUMIFS('25-BRA-I-090'!$DJ:$DJ,'25-BRA-I-090'!$I:$I,L180)+SUMIFS('25-BRA-I-090'!$EC:$EC,'25-BRA-I-090'!$I:$I,L180)</f>
        <v>306</v>
      </c>
      <c r="AI180" s="1040">
        <f>SUMIFS('25-BRA-I-090'!$DK:$DK,'25-BRA-I-090'!$I:$I,L180)+SUMIFS('25-BRA-I-090'!$ED:$ED,'25-BRA-I-090'!$I:$I,L180)</f>
        <v>0</v>
      </c>
      <c r="AJ180" s="1040">
        <f>SUMIFS('25-BRA-I-090'!$DO:$DO,'25-BRA-I-090'!$I:$I,L180)+26400*SUMIFS('25-BRA-I-090'!$EF:$EF,'25-BRA-I-090'!$I:$I,L180)</f>
        <v>29835000</v>
      </c>
      <c r="AK180" s="1072"/>
      <c r="AO180" s="1072"/>
    </row>
    <row r="181" spans="1:41" s="1039" customFormat="1" ht="30">
      <c r="A181" s="372"/>
      <c r="B181" s="1057" t="str">
        <f t="shared" si="42"/>
        <v>Bolt-M30x150-ISO4014-8.8-Galv</v>
      </c>
      <c r="C181" s="1058" t="str">
        <f>VLOOKUP(L181,'25-BRA-I-090'!$I:$EZ,4,0)</f>
        <v>8.8-Galv</v>
      </c>
      <c r="D181" s="374" t="str">
        <f t="shared" si="41"/>
        <v>pcs</v>
      </c>
      <c r="E181" s="183"/>
      <c r="F181" s="184">
        <f t="shared" si="44"/>
        <v>374</v>
      </c>
      <c r="G181" s="185">
        <f t="shared" si="44"/>
        <v>0</v>
      </c>
      <c r="H181" s="185">
        <f t="shared" si="44"/>
        <v>0</v>
      </c>
      <c r="I181" s="185">
        <f t="shared" si="43"/>
        <v>374</v>
      </c>
      <c r="J181" s="185">
        <f t="shared" si="35"/>
        <v>103000</v>
      </c>
      <c r="K181" s="185">
        <f t="shared" si="36"/>
        <v>38522000</v>
      </c>
      <c r="L181" s="1184" t="s">
        <v>826</v>
      </c>
      <c r="M181" s="1059"/>
      <c r="N181" s="1059"/>
      <c r="O181" s="1038"/>
      <c r="P181" s="1054"/>
      <c r="Q181" s="1054"/>
      <c r="T181" s="1041"/>
      <c r="U181" s="1042"/>
      <c r="V181" s="1042"/>
      <c r="AA181" s="1039" t="str">
        <f>VLOOKUP(L181,'25-BRA-I-090'!$I:$EZ,2,0)</f>
        <v>Bu lông</v>
      </c>
      <c r="AB181" s="1039" t="str">
        <f>VLOOKUP(L181,'25-BRA-I-090'!$I:$EZ,3,0)</f>
        <v>Bolt-M30x150-ISO4014-8.8-Galv</v>
      </c>
      <c r="AC181" s="1039" t="str">
        <f>VLOOKUP(L181,'25-BRA-I-090'!$I:$EZ,5,0)</f>
        <v>pcs</v>
      </c>
      <c r="AD181" s="1039">
        <f>SUMIFS('25-BRA-I-090'!$CS:$CS,'25-BRA-I-090'!$I:$I,L181)</f>
        <v>374</v>
      </c>
      <c r="AE181" s="1039">
        <f>SUMIFS('25-BRA-I-090'!$CT:$CT,'25-BRA-I-090'!$I:$I,L181)</f>
        <v>0</v>
      </c>
      <c r="AF181" s="1039">
        <f>SUMIFS('25-BRA-I-090'!$CW:$CW,'25-BRA-I-090'!$I:$I,L181)</f>
        <v>0</v>
      </c>
      <c r="AG181" s="1039">
        <f>SUMIFS('25-BRA-I-090'!$CX:$CX,'25-BRA-I-090'!$I:$I,L181)</f>
        <v>0</v>
      </c>
      <c r="AH181" s="1040">
        <f>SUMIFS('25-BRA-I-090'!$DJ:$DJ,'25-BRA-I-090'!$I:$I,L181)+SUMIFS('25-BRA-I-090'!$EC:$EC,'25-BRA-I-090'!$I:$I,L181)</f>
        <v>374</v>
      </c>
      <c r="AI181" s="1040">
        <f>SUMIFS('25-BRA-I-090'!$DK:$DK,'25-BRA-I-090'!$I:$I,L181)+SUMIFS('25-BRA-I-090'!$ED:$ED,'25-BRA-I-090'!$I:$I,L181)</f>
        <v>0</v>
      </c>
      <c r="AJ181" s="1040">
        <f>SUMIFS('25-BRA-I-090'!$DO:$DO,'25-BRA-I-090'!$I:$I,L181)+26400*SUMIFS('25-BRA-I-090'!$EF:$EF,'25-BRA-I-090'!$I:$I,L181)</f>
        <v>38522000</v>
      </c>
      <c r="AK181" s="1072"/>
      <c r="AO181" s="1072"/>
    </row>
    <row r="182" spans="1:41" s="1039" customFormat="1" ht="30">
      <c r="A182" s="372"/>
      <c r="B182" s="1057" t="str">
        <f t="shared" si="42"/>
        <v>Bolt-M30x80-ISO4017-8.8-Galv</v>
      </c>
      <c r="C182" s="1058" t="str">
        <f>VLOOKUP(L182,'25-BRA-I-090'!$I:$EZ,4,0)</f>
        <v>8.8-Galv</v>
      </c>
      <c r="D182" s="374" t="str">
        <f t="shared" si="41"/>
        <v>pcs</v>
      </c>
      <c r="E182" s="183"/>
      <c r="F182" s="184">
        <f t="shared" si="44"/>
        <v>90</v>
      </c>
      <c r="G182" s="185">
        <f t="shared" si="44"/>
        <v>0</v>
      </c>
      <c r="H182" s="185">
        <f t="shared" si="44"/>
        <v>0</v>
      </c>
      <c r="I182" s="185">
        <f t="shared" si="43"/>
        <v>90</v>
      </c>
      <c r="J182" s="185">
        <f t="shared" si="35"/>
        <v>63700</v>
      </c>
      <c r="K182" s="185">
        <f t="shared" si="36"/>
        <v>5733000</v>
      </c>
      <c r="L182" s="1184" t="s">
        <v>828</v>
      </c>
      <c r="M182" s="1059"/>
      <c r="N182" s="1059"/>
      <c r="O182" s="1038"/>
      <c r="P182" s="1054"/>
      <c r="Q182" s="1054"/>
      <c r="T182" s="1041"/>
      <c r="U182" s="1042"/>
      <c r="V182" s="1042"/>
      <c r="AA182" s="1039" t="str">
        <f>VLOOKUP(L182,'25-BRA-I-090'!$I:$EZ,2,0)</f>
        <v>Bu lông</v>
      </c>
      <c r="AB182" s="1039" t="str">
        <f>VLOOKUP(L182,'25-BRA-I-090'!$I:$EZ,3,0)</f>
        <v>Bolt-M30x80-ISO4017-8.8-Galv</v>
      </c>
      <c r="AC182" s="1039" t="str">
        <f>VLOOKUP(L182,'25-BRA-I-090'!$I:$EZ,5,0)</f>
        <v>pcs</v>
      </c>
      <c r="AD182" s="1039">
        <f>SUMIFS('25-BRA-I-090'!$CS:$CS,'25-BRA-I-090'!$I:$I,L182)</f>
        <v>90</v>
      </c>
      <c r="AE182" s="1039">
        <f>SUMIFS('25-BRA-I-090'!$CT:$CT,'25-BRA-I-090'!$I:$I,L182)</f>
        <v>0</v>
      </c>
      <c r="AF182" s="1039">
        <f>SUMIFS('25-BRA-I-090'!$CW:$CW,'25-BRA-I-090'!$I:$I,L182)</f>
        <v>0</v>
      </c>
      <c r="AG182" s="1039">
        <f>SUMIFS('25-BRA-I-090'!$CX:$CX,'25-BRA-I-090'!$I:$I,L182)</f>
        <v>0</v>
      </c>
      <c r="AH182" s="1040">
        <f>SUMIFS('25-BRA-I-090'!$DJ:$DJ,'25-BRA-I-090'!$I:$I,L182)+SUMIFS('25-BRA-I-090'!$EC:$EC,'25-BRA-I-090'!$I:$I,L182)</f>
        <v>90</v>
      </c>
      <c r="AI182" s="1040">
        <f>SUMIFS('25-BRA-I-090'!$DK:$DK,'25-BRA-I-090'!$I:$I,L182)+SUMIFS('25-BRA-I-090'!$ED:$ED,'25-BRA-I-090'!$I:$I,L182)</f>
        <v>0</v>
      </c>
      <c r="AJ182" s="1040">
        <f>SUMIFS('25-BRA-I-090'!$DO:$DO,'25-BRA-I-090'!$I:$I,L182)+26400*SUMIFS('25-BRA-I-090'!$EF:$EF,'25-BRA-I-090'!$I:$I,L182)</f>
        <v>5733000</v>
      </c>
      <c r="AK182" s="1072"/>
      <c r="AO182" s="1072"/>
    </row>
    <row r="183" spans="1:41" s="1039" customFormat="1" ht="30">
      <c r="A183" s="372"/>
      <c r="B183" s="1057" t="str">
        <f t="shared" si="42"/>
        <v>Bolt-M4x10-ISO4017-8.8-Galv</v>
      </c>
      <c r="C183" s="1058" t="str">
        <f>VLOOKUP(L183,'25-BRA-I-090'!$I:$EZ,4,0)</f>
        <v>8.8-Galv</v>
      </c>
      <c r="D183" s="374" t="str">
        <f t="shared" si="41"/>
        <v>pcs</v>
      </c>
      <c r="E183" s="183"/>
      <c r="F183" s="184">
        <f t="shared" si="44"/>
        <v>100</v>
      </c>
      <c r="G183" s="185">
        <f t="shared" si="44"/>
        <v>0</v>
      </c>
      <c r="H183" s="185">
        <f t="shared" si="44"/>
        <v>0</v>
      </c>
      <c r="I183" s="185">
        <f t="shared" si="43"/>
        <v>100</v>
      </c>
      <c r="J183" s="185">
        <f t="shared" ref="J183:J246" si="45">K183/I183</f>
        <v>2000</v>
      </c>
      <c r="K183" s="185">
        <f t="shared" ref="K183:K246" si="46">AJ183</f>
        <v>200000</v>
      </c>
      <c r="L183" s="1184" t="s">
        <v>830</v>
      </c>
      <c r="M183" s="1059"/>
      <c r="N183" s="1059"/>
      <c r="O183" s="1038"/>
      <c r="P183" s="1054"/>
      <c r="Q183" s="1054"/>
      <c r="T183" s="1041"/>
      <c r="U183" s="1042"/>
      <c r="V183" s="1042"/>
      <c r="AA183" s="1039" t="str">
        <f>VLOOKUP(L183,'25-BRA-I-090'!$I:$EZ,2,0)</f>
        <v>Bu lông</v>
      </c>
      <c r="AB183" s="1039" t="str">
        <f>VLOOKUP(L183,'25-BRA-I-090'!$I:$EZ,3,0)</f>
        <v>Bolt-M4x10-ISO4017-8.8-Galv</v>
      </c>
      <c r="AC183" s="1039" t="str">
        <f>VLOOKUP(L183,'25-BRA-I-090'!$I:$EZ,5,0)</f>
        <v>pcs</v>
      </c>
      <c r="AD183" s="1039">
        <f>SUMIFS('25-BRA-I-090'!$CS:$CS,'25-BRA-I-090'!$I:$I,L183)</f>
        <v>100</v>
      </c>
      <c r="AE183" s="1039">
        <f>SUMIFS('25-BRA-I-090'!$CT:$CT,'25-BRA-I-090'!$I:$I,L183)</f>
        <v>0</v>
      </c>
      <c r="AF183" s="1039">
        <f>SUMIFS('25-BRA-I-090'!$CW:$CW,'25-BRA-I-090'!$I:$I,L183)</f>
        <v>0</v>
      </c>
      <c r="AG183" s="1039">
        <f>SUMIFS('25-BRA-I-090'!$CX:$CX,'25-BRA-I-090'!$I:$I,L183)</f>
        <v>0</v>
      </c>
      <c r="AH183" s="1040">
        <f>SUMIFS('25-BRA-I-090'!$DJ:$DJ,'25-BRA-I-090'!$I:$I,L183)+SUMIFS('25-BRA-I-090'!$EC:$EC,'25-BRA-I-090'!$I:$I,L183)</f>
        <v>100</v>
      </c>
      <c r="AI183" s="1040">
        <f>SUMIFS('25-BRA-I-090'!$DK:$DK,'25-BRA-I-090'!$I:$I,L183)+SUMIFS('25-BRA-I-090'!$ED:$ED,'25-BRA-I-090'!$I:$I,L183)</f>
        <v>0</v>
      </c>
      <c r="AJ183" s="1040">
        <f>SUMIFS('25-BRA-I-090'!$DO:$DO,'25-BRA-I-090'!$I:$I,L183)+26400*SUMIFS('25-BRA-I-090'!$EF:$EF,'25-BRA-I-090'!$I:$I,L183)</f>
        <v>200000</v>
      </c>
      <c r="AK183" s="1072"/>
      <c r="AO183" s="1072"/>
    </row>
    <row r="184" spans="1:41" s="1039" customFormat="1" ht="30">
      <c r="A184" s="372"/>
      <c r="B184" s="1057" t="str">
        <f t="shared" si="42"/>
        <v>Bolt-M5x16-DIN912-8.8-Galv</v>
      </c>
      <c r="C184" s="1058" t="str">
        <f>VLOOKUP(L184,'25-BRA-I-090'!$I:$EZ,4,0)</f>
        <v>8.8-Galv</v>
      </c>
      <c r="D184" s="374" t="str">
        <f t="shared" si="41"/>
        <v>pcs</v>
      </c>
      <c r="E184" s="183"/>
      <c r="F184" s="184">
        <f t="shared" si="44"/>
        <v>92</v>
      </c>
      <c r="G184" s="185">
        <f t="shared" si="44"/>
        <v>0</v>
      </c>
      <c r="H184" s="185">
        <f t="shared" si="44"/>
        <v>0</v>
      </c>
      <c r="I184" s="185">
        <f t="shared" si="43"/>
        <v>92</v>
      </c>
      <c r="J184" s="185">
        <f t="shared" si="45"/>
        <v>3000</v>
      </c>
      <c r="K184" s="185">
        <f t="shared" si="46"/>
        <v>276000</v>
      </c>
      <c r="L184" s="1184" t="s">
        <v>832</v>
      </c>
      <c r="M184" s="1059"/>
      <c r="N184" s="1059"/>
      <c r="O184" s="1038"/>
      <c r="P184" s="1054"/>
      <c r="Q184" s="1054"/>
      <c r="T184" s="1041"/>
      <c r="U184" s="1042"/>
      <c r="V184" s="1042"/>
      <c r="AA184" s="1039" t="str">
        <f>VLOOKUP(L184,'25-BRA-I-090'!$I:$EZ,2,0)</f>
        <v>Bu lông</v>
      </c>
      <c r="AB184" s="1039" t="str">
        <f>VLOOKUP(L184,'25-BRA-I-090'!$I:$EZ,3,0)</f>
        <v>Bolt-M5x16-DIN912-8.8-Galv</v>
      </c>
      <c r="AC184" s="1039" t="str">
        <f>VLOOKUP(L184,'25-BRA-I-090'!$I:$EZ,5,0)</f>
        <v>pcs</v>
      </c>
      <c r="AD184" s="1039">
        <f>SUMIFS('25-BRA-I-090'!$CS:$CS,'25-BRA-I-090'!$I:$I,L184)</f>
        <v>92</v>
      </c>
      <c r="AE184" s="1039">
        <f>SUMIFS('25-BRA-I-090'!$CT:$CT,'25-BRA-I-090'!$I:$I,L184)</f>
        <v>0</v>
      </c>
      <c r="AF184" s="1039">
        <f>SUMIFS('25-BRA-I-090'!$CW:$CW,'25-BRA-I-090'!$I:$I,L184)</f>
        <v>0</v>
      </c>
      <c r="AG184" s="1039">
        <f>SUMIFS('25-BRA-I-090'!$CX:$CX,'25-BRA-I-090'!$I:$I,L184)</f>
        <v>0</v>
      </c>
      <c r="AH184" s="1040">
        <f>SUMIFS('25-BRA-I-090'!$DJ:$DJ,'25-BRA-I-090'!$I:$I,L184)+SUMIFS('25-BRA-I-090'!$EC:$EC,'25-BRA-I-090'!$I:$I,L184)</f>
        <v>92</v>
      </c>
      <c r="AI184" s="1040">
        <f>SUMIFS('25-BRA-I-090'!$DK:$DK,'25-BRA-I-090'!$I:$I,L184)+SUMIFS('25-BRA-I-090'!$ED:$ED,'25-BRA-I-090'!$I:$I,L184)</f>
        <v>0</v>
      </c>
      <c r="AJ184" s="1040">
        <f>SUMIFS('25-BRA-I-090'!$DO:$DO,'25-BRA-I-090'!$I:$I,L184)+26400*SUMIFS('25-BRA-I-090'!$EF:$EF,'25-BRA-I-090'!$I:$I,L184)</f>
        <v>276000</v>
      </c>
      <c r="AK184" s="1072"/>
      <c r="AO184" s="1072"/>
    </row>
    <row r="185" spans="1:41" s="1039" customFormat="1" ht="30">
      <c r="A185" s="372"/>
      <c r="B185" s="1057" t="str">
        <f t="shared" si="42"/>
        <v>Bolt-M5x45-DIN912-8.8-Galv</v>
      </c>
      <c r="C185" s="1058" t="str">
        <f>VLOOKUP(L185,'25-BRA-I-090'!$I:$EZ,4,0)</f>
        <v>8.8-Galv</v>
      </c>
      <c r="D185" s="374" t="str">
        <f t="shared" si="41"/>
        <v>pcs</v>
      </c>
      <c r="E185" s="183"/>
      <c r="F185" s="184">
        <f t="shared" si="44"/>
        <v>68</v>
      </c>
      <c r="G185" s="185">
        <f t="shared" si="44"/>
        <v>0</v>
      </c>
      <c r="H185" s="185">
        <f t="shared" si="44"/>
        <v>0</v>
      </c>
      <c r="I185" s="185">
        <f t="shared" si="43"/>
        <v>68</v>
      </c>
      <c r="J185" s="185">
        <f t="shared" si="45"/>
        <v>4500</v>
      </c>
      <c r="K185" s="185">
        <f t="shared" si="46"/>
        <v>306000</v>
      </c>
      <c r="L185" s="1184" t="s">
        <v>834</v>
      </c>
      <c r="M185" s="1059"/>
      <c r="N185" s="1059"/>
      <c r="O185" s="1038"/>
      <c r="P185" s="1054"/>
      <c r="Q185" s="1054"/>
      <c r="T185" s="1041"/>
      <c r="U185" s="1042"/>
      <c r="V185" s="1042"/>
      <c r="AA185" s="1039" t="str">
        <f>VLOOKUP(L185,'25-BRA-I-090'!$I:$EZ,2,0)</f>
        <v>Bu lông</v>
      </c>
      <c r="AB185" s="1039" t="str">
        <f>VLOOKUP(L185,'25-BRA-I-090'!$I:$EZ,3,0)</f>
        <v>Bolt-M5x45-DIN912-8.8-Galv</v>
      </c>
      <c r="AC185" s="1039" t="str">
        <f>VLOOKUP(L185,'25-BRA-I-090'!$I:$EZ,5,0)</f>
        <v>pcs</v>
      </c>
      <c r="AD185" s="1039">
        <f>SUMIFS('25-BRA-I-090'!$CS:$CS,'25-BRA-I-090'!$I:$I,L185)</f>
        <v>68</v>
      </c>
      <c r="AE185" s="1039">
        <f>SUMIFS('25-BRA-I-090'!$CT:$CT,'25-BRA-I-090'!$I:$I,L185)</f>
        <v>0</v>
      </c>
      <c r="AF185" s="1039">
        <f>SUMIFS('25-BRA-I-090'!$CW:$CW,'25-BRA-I-090'!$I:$I,L185)</f>
        <v>0</v>
      </c>
      <c r="AG185" s="1039">
        <f>SUMIFS('25-BRA-I-090'!$CX:$CX,'25-BRA-I-090'!$I:$I,L185)</f>
        <v>0</v>
      </c>
      <c r="AH185" s="1040">
        <f>SUMIFS('25-BRA-I-090'!$DJ:$DJ,'25-BRA-I-090'!$I:$I,L185)+SUMIFS('25-BRA-I-090'!$EC:$EC,'25-BRA-I-090'!$I:$I,L185)</f>
        <v>68</v>
      </c>
      <c r="AI185" s="1040">
        <f>SUMIFS('25-BRA-I-090'!$DK:$DK,'25-BRA-I-090'!$I:$I,L185)+SUMIFS('25-BRA-I-090'!$ED:$ED,'25-BRA-I-090'!$I:$I,L185)</f>
        <v>0</v>
      </c>
      <c r="AJ185" s="1040">
        <f>SUMIFS('25-BRA-I-090'!$DO:$DO,'25-BRA-I-090'!$I:$I,L185)+26400*SUMIFS('25-BRA-I-090'!$EF:$EF,'25-BRA-I-090'!$I:$I,L185)</f>
        <v>306000</v>
      </c>
      <c r="AK185" s="1072"/>
      <c r="AO185" s="1072"/>
    </row>
    <row r="186" spans="1:41" s="1039" customFormat="1" ht="30">
      <c r="A186" s="372"/>
      <c r="B186" s="1057" t="str">
        <f t="shared" si="42"/>
        <v>Bolt-M6x12-DIN7500-St-Galv</v>
      </c>
      <c r="C186" s="1058" t="str">
        <f>VLOOKUP(L186,'25-BRA-I-090'!$I:$EZ,4,0)</f>
        <v>St-Galv</v>
      </c>
      <c r="D186" s="374" t="str">
        <f t="shared" si="41"/>
        <v>pcs</v>
      </c>
      <c r="E186" s="183"/>
      <c r="F186" s="184">
        <f t="shared" si="44"/>
        <v>633</v>
      </c>
      <c r="G186" s="185">
        <f t="shared" si="44"/>
        <v>0</v>
      </c>
      <c r="H186" s="185">
        <f t="shared" si="44"/>
        <v>0</v>
      </c>
      <c r="I186" s="185">
        <f t="shared" si="43"/>
        <v>508</v>
      </c>
      <c r="J186" s="185">
        <f t="shared" si="45"/>
        <v>4200</v>
      </c>
      <c r="K186" s="185">
        <f t="shared" si="46"/>
        <v>2133600</v>
      </c>
      <c r="L186" s="1184" t="s">
        <v>836</v>
      </c>
      <c r="M186" s="1059"/>
      <c r="N186" s="1059"/>
      <c r="O186" s="1038"/>
      <c r="P186" s="1054"/>
      <c r="Q186" s="1054"/>
      <c r="T186" s="1041"/>
      <c r="U186" s="1042"/>
      <c r="V186" s="1042"/>
      <c r="AA186" s="1039" t="str">
        <f>VLOOKUP(L186,'25-BRA-I-090'!$I:$EZ,2,0)</f>
        <v>Bu lông</v>
      </c>
      <c r="AB186" s="1039" t="str">
        <f>VLOOKUP(L186,'25-BRA-I-090'!$I:$EZ,3,0)</f>
        <v>Bolt-M6x12-DIN7500-St-Galv</v>
      </c>
      <c r="AC186" s="1039" t="str">
        <f>VLOOKUP(L186,'25-BRA-I-090'!$I:$EZ,5,0)</f>
        <v>pcs</v>
      </c>
      <c r="AD186" s="1039">
        <f>SUMIFS('25-BRA-I-090'!$CS:$CS,'25-BRA-I-090'!$I:$I,L186)</f>
        <v>633</v>
      </c>
      <c r="AE186" s="1039">
        <f>SUMIFS('25-BRA-I-090'!$CT:$CT,'25-BRA-I-090'!$I:$I,L186)</f>
        <v>0</v>
      </c>
      <c r="AF186" s="1039">
        <f>SUMIFS('25-BRA-I-090'!$CW:$CW,'25-BRA-I-090'!$I:$I,L186)</f>
        <v>0</v>
      </c>
      <c r="AG186" s="1039">
        <f>SUMIFS('25-BRA-I-090'!$CX:$CX,'25-BRA-I-090'!$I:$I,L186)</f>
        <v>0</v>
      </c>
      <c r="AH186" s="1040">
        <f>SUMIFS('25-BRA-I-090'!$DJ:$DJ,'25-BRA-I-090'!$I:$I,L186)+SUMIFS('25-BRA-I-090'!$EC:$EC,'25-BRA-I-090'!$I:$I,L186)</f>
        <v>508</v>
      </c>
      <c r="AI186" s="1040">
        <f>SUMIFS('25-BRA-I-090'!$DK:$DK,'25-BRA-I-090'!$I:$I,L186)+SUMIFS('25-BRA-I-090'!$ED:$ED,'25-BRA-I-090'!$I:$I,L186)</f>
        <v>0</v>
      </c>
      <c r="AJ186" s="1040">
        <f>SUMIFS('25-BRA-I-090'!$DO:$DO,'25-BRA-I-090'!$I:$I,L186)+26400*SUMIFS('25-BRA-I-090'!$EF:$EF,'25-BRA-I-090'!$I:$I,L186)</f>
        <v>2133600</v>
      </c>
      <c r="AK186" s="1072"/>
      <c r="AO186" s="1072"/>
    </row>
    <row r="187" spans="1:41" s="1039" customFormat="1" ht="30">
      <c r="A187" s="372"/>
      <c r="B187" s="1057" t="str">
        <f t="shared" si="42"/>
        <v>Bolt-M6x12-ISO4017-8.8-Galv</v>
      </c>
      <c r="C187" s="1058" t="str">
        <f>VLOOKUP(L187,'25-BRA-I-090'!$I:$EZ,4,0)</f>
        <v>8.8-Galv</v>
      </c>
      <c r="D187" s="374" t="str">
        <f t="shared" si="41"/>
        <v>pcs</v>
      </c>
      <c r="E187" s="183"/>
      <c r="F187" s="184">
        <f t="shared" si="44"/>
        <v>12</v>
      </c>
      <c r="G187" s="185">
        <f t="shared" si="44"/>
        <v>0</v>
      </c>
      <c r="H187" s="185">
        <f t="shared" si="44"/>
        <v>0</v>
      </c>
      <c r="I187" s="185">
        <f t="shared" si="43"/>
        <v>12</v>
      </c>
      <c r="J187" s="185">
        <f t="shared" si="45"/>
        <v>4200</v>
      </c>
      <c r="K187" s="185">
        <f t="shared" si="46"/>
        <v>50400</v>
      </c>
      <c r="L187" s="1184" t="s">
        <v>839</v>
      </c>
      <c r="M187" s="1059"/>
      <c r="N187" s="1059"/>
      <c r="O187" s="1038"/>
      <c r="P187" s="1054"/>
      <c r="Q187" s="1054"/>
      <c r="T187" s="1041"/>
      <c r="U187" s="1042"/>
      <c r="V187" s="1042"/>
      <c r="AA187" s="1039" t="str">
        <f>VLOOKUP(L187,'25-BRA-I-090'!$I:$EZ,2,0)</f>
        <v>Bu lông</v>
      </c>
      <c r="AB187" s="1039" t="str">
        <f>VLOOKUP(L187,'25-BRA-I-090'!$I:$EZ,3,0)</f>
        <v>Bolt-M6x12-ISO4017-8.8-Galv</v>
      </c>
      <c r="AC187" s="1039" t="str">
        <f>VLOOKUP(L187,'25-BRA-I-090'!$I:$EZ,5,0)</f>
        <v>pcs</v>
      </c>
      <c r="AD187" s="1039">
        <f>SUMIFS('25-BRA-I-090'!$CS:$CS,'25-BRA-I-090'!$I:$I,L187)</f>
        <v>12</v>
      </c>
      <c r="AE187" s="1039">
        <f>SUMIFS('25-BRA-I-090'!$CT:$CT,'25-BRA-I-090'!$I:$I,L187)</f>
        <v>0</v>
      </c>
      <c r="AF187" s="1039">
        <f>SUMIFS('25-BRA-I-090'!$CW:$CW,'25-BRA-I-090'!$I:$I,L187)</f>
        <v>0</v>
      </c>
      <c r="AG187" s="1039">
        <f>SUMIFS('25-BRA-I-090'!$CX:$CX,'25-BRA-I-090'!$I:$I,L187)</f>
        <v>0</v>
      </c>
      <c r="AH187" s="1040">
        <f>SUMIFS('25-BRA-I-090'!$DJ:$DJ,'25-BRA-I-090'!$I:$I,L187)+SUMIFS('25-BRA-I-090'!$EC:$EC,'25-BRA-I-090'!$I:$I,L187)</f>
        <v>12</v>
      </c>
      <c r="AI187" s="1040">
        <f>SUMIFS('25-BRA-I-090'!$DK:$DK,'25-BRA-I-090'!$I:$I,L187)+SUMIFS('25-BRA-I-090'!$ED:$ED,'25-BRA-I-090'!$I:$I,L187)</f>
        <v>0</v>
      </c>
      <c r="AJ187" s="1040">
        <f>SUMIFS('25-BRA-I-090'!$DO:$DO,'25-BRA-I-090'!$I:$I,L187)+26400*SUMIFS('25-BRA-I-090'!$EF:$EF,'25-BRA-I-090'!$I:$I,L187)</f>
        <v>50400</v>
      </c>
      <c r="AK187" s="1072"/>
      <c r="AO187" s="1072"/>
    </row>
    <row r="188" spans="1:41" s="1039" customFormat="1" ht="30">
      <c r="A188" s="372"/>
      <c r="B188" s="1057" t="str">
        <f t="shared" si="42"/>
        <v>Bolt-M6x12-ISO7045-4.8-Galv</v>
      </c>
      <c r="C188" s="1058" t="str">
        <f>VLOOKUP(L188,'25-BRA-I-090'!$I:$EZ,4,0)</f>
        <v>4.8-Galv</v>
      </c>
      <c r="D188" s="374" t="str">
        <f t="shared" si="41"/>
        <v>pcs</v>
      </c>
      <c r="E188" s="183"/>
      <c r="F188" s="184">
        <f t="shared" si="44"/>
        <v>126</v>
      </c>
      <c r="G188" s="185">
        <f t="shared" si="44"/>
        <v>0</v>
      </c>
      <c r="H188" s="185">
        <f t="shared" si="44"/>
        <v>0</v>
      </c>
      <c r="I188" s="185">
        <f t="shared" si="43"/>
        <v>126</v>
      </c>
      <c r="J188" s="185">
        <f t="shared" si="45"/>
        <v>4200</v>
      </c>
      <c r="K188" s="185">
        <f t="shared" si="46"/>
        <v>529200</v>
      </c>
      <c r="L188" s="1184" t="s">
        <v>841</v>
      </c>
      <c r="M188" s="1059"/>
      <c r="N188" s="1059"/>
      <c r="O188" s="1038"/>
      <c r="P188" s="1054"/>
      <c r="Q188" s="1054"/>
      <c r="T188" s="1041"/>
      <c r="U188" s="1042"/>
      <c r="V188" s="1042"/>
      <c r="AA188" s="1039" t="str">
        <f>VLOOKUP(L188,'25-BRA-I-090'!$I:$EZ,2,0)</f>
        <v>Bu lông</v>
      </c>
      <c r="AB188" s="1039" t="str">
        <f>VLOOKUP(L188,'25-BRA-I-090'!$I:$EZ,3,0)</f>
        <v>Bolt-M6x12-ISO7045-4.8-Galv</v>
      </c>
      <c r="AC188" s="1039" t="str">
        <f>VLOOKUP(L188,'25-BRA-I-090'!$I:$EZ,5,0)</f>
        <v>pcs</v>
      </c>
      <c r="AD188" s="1039">
        <f>SUMIFS('25-BRA-I-090'!$CS:$CS,'25-BRA-I-090'!$I:$I,L188)</f>
        <v>126</v>
      </c>
      <c r="AE188" s="1039">
        <f>SUMIFS('25-BRA-I-090'!$CT:$CT,'25-BRA-I-090'!$I:$I,L188)</f>
        <v>0</v>
      </c>
      <c r="AF188" s="1039">
        <f>SUMIFS('25-BRA-I-090'!$CW:$CW,'25-BRA-I-090'!$I:$I,L188)</f>
        <v>0</v>
      </c>
      <c r="AG188" s="1039">
        <f>SUMIFS('25-BRA-I-090'!$CX:$CX,'25-BRA-I-090'!$I:$I,L188)</f>
        <v>0</v>
      </c>
      <c r="AH188" s="1040">
        <f>SUMIFS('25-BRA-I-090'!$DJ:$DJ,'25-BRA-I-090'!$I:$I,L188)+SUMIFS('25-BRA-I-090'!$EC:$EC,'25-BRA-I-090'!$I:$I,L188)</f>
        <v>126</v>
      </c>
      <c r="AI188" s="1040">
        <f>SUMIFS('25-BRA-I-090'!$DK:$DK,'25-BRA-I-090'!$I:$I,L188)+SUMIFS('25-BRA-I-090'!$ED:$ED,'25-BRA-I-090'!$I:$I,L188)</f>
        <v>0</v>
      </c>
      <c r="AJ188" s="1040">
        <f>SUMIFS('25-BRA-I-090'!$DO:$DO,'25-BRA-I-090'!$I:$I,L188)+26400*SUMIFS('25-BRA-I-090'!$EF:$EF,'25-BRA-I-090'!$I:$I,L188)</f>
        <v>529200</v>
      </c>
      <c r="AK188" s="1072"/>
      <c r="AO188" s="1072"/>
    </row>
    <row r="189" spans="1:41" s="1039" customFormat="1" ht="30">
      <c r="A189" s="372"/>
      <c r="B189" s="1057" t="str">
        <f t="shared" si="42"/>
        <v>Bolt-M6x12-ISO7045-St-Galv</v>
      </c>
      <c r="C189" s="1058" t="str">
        <f>VLOOKUP(L189,'25-BRA-I-090'!$I:$EZ,4,0)</f>
        <v>St-Galv</v>
      </c>
      <c r="D189" s="374" t="str">
        <f t="shared" si="41"/>
        <v>pcs</v>
      </c>
      <c r="E189" s="183"/>
      <c r="F189" s="184">
        <f t="shared" si="44"/>
        <v>84</v>
      </c>
      <c r="G189" s="185">
        <f t="shared" si="44"/>
        <v>0</v>
      </c>
      <c r="H189" s="185">
        <f t="shared" si="44"/>
        <v>0</v>
      </c>
      <c r="I189" s="185">
        <f t="shared" si="43"/>
        <v>84</v>
      </c>
      <c r="J189" s="185">
        <f t="shared" si="45"/>
        <v>4200</v>
      </c>
      <c r="K189" s="185">
        <f t="shared" si="46"/>
        <v>352800</v>
      </c>
      <c r="L189" s="1184" t="s">
        <v>844</v>
      </c>
      <c r="M189" s="1059"/>
      <c r="N189" s="1059"/>
      <c r="O189" s="1038"/>
      <c r="P189" s="1054"/>
      <c r="Q189" s="1054"/>
      <c r="T189" s="1041"/>
      <c r="U189" s="1042"/>
      <c r="V189" s="1042"/>
      <c r="AA189" s="1039" t="str">
        <f>VLOOKUP(L189,'25-BRA-I-090'!$I:$EZ,2,0)</f>
        <v>Bu lông</v>
      </c>
      <c r="AB189" s="1039" t="str">
        <f>VLOOKUP(L189,'25-BRA-I-090'!$I:$EZ,3,0)</f>
        <v>Bolt-M6x12-ISO7045-St-Galv</v>
      </c>
      <c r="AC189" s="1039" t="str">
        <f>VLOOKUP(L189,'25-BRA-I-090'!$I:$EZ,5,0)</f>
        <v>pcs</v>
      </c>
      <c r="AD189" s="1039">
        <f>SUMIFS('25-BRA-I-090'!$CS:$CS,'25-BRA-I-090'!$I:$I,L189)</f>
        <v>84</v>
      </c>
      <c r="AE189" s="1039">
        <f>SUMIFS('25-BRA-I-090'!$CT:$CT,'25-BRA-I-090'!$I:$I,L189)</f>
        <v>0</v>
      </c>
      <c r="AF189" s="1039">
        <f>SUMIFS('25-BRA-I-090'!$CW:$CW,'25-BRA-I-090'!$I:$I,L189)</f>
        <v>0</v>
      </c>
      <c r="AG189" s="1039">
        <f>SUMIFS('25-BRA-I-090'!$CX:$CX,'25-BRA-I-090'!$I:$I,L189)</f>
        <v>0</v>
      </c>
      <c r="AH189" s="1040">
        <f>SUMIFS('25-BRA-I-090'!$DJ:$DJ,'25-BRA-I-090'!$I:$I,L189)+SUMIFS('25-BRA-I-090'!$EC:$EC,'25-BRA-I-090'!$I:$I,L189)</f>
        <v>84</v>
      </c>
      <c r="AI189" s="1040">
        <f>SUMIFS('25-BRA-I-090'!$DK:$DK,'25-BRA-I-090'!$I:$I,L189)+SUMIFS('25-BRA-I-090'!$ED:$ED,'25-BRA-I-090'!$I:$I,L189)</f>
        <v>0</v>
      </c>
      <c r="AJ189" s="1040">
        <f>SUMIFS('25-BRA-I-090'!$DO:$DO,'25-BRA-I-090'!$I:$I,L189)+26400*SUMIFS('25-BRA-I-090'!$EF:$EF,'25-BRA-I-090'!$I:$I,L189)</f>
        <v>352800</v>
      </c>
      <c r="AK189" s="1072"/>
      <c r="AO189" s="1072"/>
    </row>
    <row r="190" spans="1:41" s="1039" customFormat="1" ht="30">
      <c r="A190" s="372"/>
      <c r="B190" s="1057" t="str">
        <f t="shared" si="42"/>
        <v>Bolt-M6x20-DIN7500-St-Galv</v>
      </c>
      <c r="C190" s="1058" t="str">
        <f>VLOOKUP(L190,'25-BRA-I-090'!$I:$EZ,4,0)</f>
        <v>St-Galv</v>
      </c>
      <c r="D190" s="374" t="str">
        <f t="shared" si="41"/>
        <v>pcs</v>
      </c>
      <c r="E190" s="183"/>
      <c r="F190" s="184">
        <f t="shared" si="44"/>
        <v>36</v>
      </c>
      <c r="G190" s="185">
        <f t="shared" si="44"/>
        <v>0</v>
      </c>
      <c r="H190" s="185">
        <f t="shared" si="44"/>
        <v>0</v>
      </c>
      <c r="I190" s="185">
        <f t="shared" si="43"/>
        <v>28</v>
      </c>
      <c r="J190" s="185">
        <f t="shared" si="45"/>
        <v>4200</v>
      </c>
      <c r="K190" s="185">
        <f t="shared" si="46"/>
        <v>117600</v>
      </c>
      <c r="L190" s="1184" t="s">
        <v>846</v>
      </c>
      <c r="M190" s="1059"/>
      <c r="N190" s="1059"/>
      <c r="O190" s="1038"/>
      <c r="P190" s="1054"/>
      <c r="Q190" s="1054"/>
      <c r="T190" s="1041"/>
      <c r="U190" s="1042"/>
      <c r="V190" s="1042"/>
      <c r="AA190" s="1039" t="str">
        <f>VLOOKUP(L190,'25-BRA-I-090'!$I:$EZ,2,0)</f>
        <v>Bu lông</v>
      </c>
      <c r="AB190" s="1039" t="str">
        <f>VLOOKUP(L190,'25-BRA-I-090'!$I:$EZ,3,0)</f>
        <v>Bolt-M6x20-DIN7500-St-Galv</v>
      </c>
      <c r="AC190" s="1039" t="str">
        <f>VLOOKUP(L190,'25-BRA-I-090'!$I:$EZ,5,0)</f>
        <v>pcs</v>
      </c>
      <c r="AD190" s="1039">
        <f>SUMIFS('25-BRA-I-090'!$CS:$CS,'25-BRA-I-090'!$I:$I,L190)</f>
        <v>36</v>
      </c>
      <c r="AE190" s="1039">
        <f>SUMIFS('25-BRA-I-090'!$CT:$CT,'25-BRA-I-090'!$I:$I,L190)</f>
        <v>0</v>
      </c>
      <c r="AF190" s="1039">
        <f>SUMIFS('25-BRA-I-090'!$CW:$CW,'25-BRA-I-090'!$I:$I,L190)</f>
        <v>0</v>
      </c>
      <c r="AG190" s="1039">
        <f>SUMIFS('25-BRA-I-090'!$CX:$CX,'25-BRA-I-090'!$I:$I,L190)</f>
        <v>0</v>
      </c>
      <c r="AH190" s="1040">
        <f>SUMIFS('25-BRA-I-090'!$DJ:$DJ,'25-BRA-I-090'!$I:$I,L190)+SUMIFS('25-BRA-I-090'!$EC:$EC,'25-BRA-I-090'!$I:$I,L190)</f>
        <v>28</v>
      </c>
      <c r="AI190" s="1040">
        <f>SUMIFS('25-BRA-I-090'!$DK:$DK,'25-BRA-I-090'!$I:$I,L190)+SUMIFS('25-BRA-I-090'!$ED:$ED,'25-BRA-I-090'!$I:$I,L190)</f>
        <v>0</v>
      </c>
      <c r="AJ190" s="1040">
        <f>SUMIFS('25-BRA-I-090'!$DO:$DO,'25-BRA-I-090'!$I:$I,L190)+26400*SUMIFS('25-BRA-I-090'!$EF:$EF,'25-BRA-I-090'!$I:$I,L190)</f>
        <v>117600</v>
      </c>
      <c r="AK190" s="1072"/>
      <c r="AO190" s="1072"/>
    </row>
    <row r="191" spans="1:41" s="1039" customFormat="1" ht="30">
      <c r="A191" s="372"/>
      <c r="B191" s="1057" t="str">
        <f t="shared" si="42"/>
        <v>Bolt-M6x20-DIN933-8.8-Galv</v>
      </c>
      <c r="C191" s="1058" t="str">
        <f>VLOOKUP(L191,'25-BRA-I-090'!$I:$EZ,4,0)</f>
        <v>8.8-Galv</v>
      </c>
      <c r="D191" s="374" t="str">
        <f t="shared" si="41"/>
        <v>pcs</v>
      </c>
      <c r="E191" s="183"/>
      <c r="F191" s="184">
        <f t="shared" si="44"/>
        <v>680</v>
      </c>
      <c r="G191" s="185">
        <f t="shared" si="44"/>
        <v>0</v>
      </c>
      <c r="H191" s="185">
        <f t="shared" si="44"/>
        <v>0</v>
      </c>
      <c r="I191" s="185">
        <f t="shared" si="43"/>
        <v>680</v>
      </c>
      <c r="J191" s="185">
        <f t="shared" si="45"/>
        <v>5000</v>
      </c>
      <c r="K191" s="185">
        <f t="shared" si="46"/>
        <v>3400000</v>
      </c>
      <c r="L191" s="1184" t="s">
        <v>848</v>
      </c>
      <c r="M191" s="1059"/>
      <c r="N191" s="1059"/>
      <c r="O191" s="1038"/>
      <c r="P191" s="1054"/>
      <c r="Q191" s="1054"/>
      <c r="T191" s="1041"/>
      <c r="U191" s="1042"/>
      <c r="V191" s="1042"/>
      <c r="AA191" s="1039" t="str">
        <f>VLOOKUP(L191,'25-BRA-I-090'!$I:$EZ,2,0)</f>
        <v>Bu lông</v>
      </c>
      <c r="AB191" s="1039" t="str">
        <f>VLOOKUP(L191,'25-BRA-I-090'!$I:$EZ,3,0)</f>
        <v>Bolt-M6x20-DIN933-8.8-Galv</v>
      </c>
      <c r="AC191" s="1039" t="str">
        <f>VLOOKUP(L191,'25-BRA-I-090'!$I:$EZ,5,0)</f>
        <v>pcs</v>
      </c>
      <c r="AD191" s="1039">
        <f>SUMIFS('25-BRA-I-090'!$CS:$CS,'25-BRA-I-090'!$I:$I,L191)</f>
        <v>680</v>
      </c>
      <c r="AE191" s="1039">
        <f>SUMIFS('25-BRA-I-090'!$CT:$CT,'25-BRA-I-090'!$I:$I,L191)</f>
        <v>0</v>
      </c>
      <c r="AF191" s="1039">
        <f>SUMIFS('25-BRA-I-090'!$CW:$CW,'25-BRA-I-090'!$I:$I,L191)</f>
        <v>0</v>
      </c>
      <c r="AG191" s="1039">
        <f>SUMIFS('25-BRA-I-090'!$CX:$CX,'25-BRA-I-090'!$I:$I,L191)</f>
        <v>0</v>
      </c>
      <c r="AH191" s="1040">
        <f>SUMIFS('25-BRA-I-090'!$DJ:$DJ,'25-BRA-I-090'!$I:$I,L191)+SUMIFS('25-BRA-I-090'!$EC:$EC,'25-BRA-I-090'!$I:$I,L191)</f>
        <v>680</v>
      </c>
      <c r="AI191" s="1040">
        <f>SUMIFS('25-BRA-I-090'!$DK:$DK,'25-BRA-I-090'!$I:$I,L191)+SUMIFS('25-BRA-I-090'!$ED:$ED,'25-BRA-I-090'!$I:$I,L191)</f>
        <v>0</v>
      </c>
      <c r="AJ191" s="1040">
        <f>SUMIFS('25-BRA-I-090'!$DO:$DO,'25-BRA-I-090'!$I:$I,L191)+26400*SUMIFS('25-BRA-I-090'!$EF:$EF,'25-BRA-I-090'!$I:$I,L191)</f>
        <v>3400000</v>
      </c>
      <c r="AK191" s="1072"/>
      <c r="AO191" s="1072"/>
    </row>
    <row r="192" spans="1:41" s="1039" customFormat="1" ht="30">
      <c r="A192" s="372"/>
      <c r="B192" s="1057" t="str">
        <f t="shared" si="42"/>
        <v>Bolt-M6x25-ISO4017-8.8-Galv</v>
      </c>
      <c r="C192" s="1058" t="str">
        <f>VLOOKUP(L192,'25-BRA-I-090'!$I:$EZ,4,0)</f>
        <v>8.8-Galv</v>
      </c>
      <c r="D192" s="374" t="str">
        <f t="shared" si="41"/>
        <v>pcs</v>
      </c>
      <c r="E192" s="183"/>
      <c r="F192" s="184">
        <f t="shared" si="44"/>
        <v>380</v>
      </c>
      <c r="G192" s="185">
        <f t="shared" si="44"/>
        <v>0</v>
      </c>
      <c r="H192" s="185">
        <f t="shared" si="44"/>
        <v>0</v>
      </c>
      <c r="I192" s="185">
        <f t="shared" si="43"/>
        <v>300</v>
      </c>
      <c r="J192" s="185">
        <f t="shared" si="45"/>
        <v>5500</v>
      </c>
      <c r="K192" s="185">
        <f t="shared" si="46"/>
        <v>1650000</v>
      </c>
      <c r="L192" s="1184" t="s">
        <v>850</v>
      </c>
      <c r="M192" s="1059"/>
      <c r="N192" s="1059"/>
      <c r="O192" s="1038"/>
      <c r="P192" s="1054"/>
      <c r="Q192" s="1054"/>
      <c r="T192" s="1041"/>
      <c r="U192" s="1042"/>
      <c r="V192" s="1042"/>
      <c r="AA192" s="1039" t="str">
        <f>VLOOKUP(L192,'25-BRA-I-090'!$I:$EZ,2,0)</f>
        <v>Bu lông</v>
      </c>
      <c r="AB192" s="1039" t="str">
        <f>VLOOKUP(L192,'25-BRA-I-090'!$I:$EZ,3,0)</f>
        <v>Bolt-M6x25-ISO4017-8.8-Galv</v>
      </c>
      <c r="AC192" s="1039" t="str">
        <f>VLOOKUP(L192,'25-BRA-I-090'!$I:$EZ,5,0)</f>
        <v>pcs</v>
      </c>
      <c r="AD192" s="1039">
        <f>SUMIFS('25-BRA-I-090'!$CS:$CS,'25-BRA-I-090'!$I:$I,L192)</f>
        <v>380</v>
      </c>
      <c r="AE192" s="1039">
        <f>SUMIFS('25-BRA-I-090'!$CT:$CT,'25-BRA-I-090'!$I:$I,L192)</f>
        <v>0</v>
      </c>
      <c r="AF192" s="1039">
        <f>SUMIFS('25-BRA-I-090'!$CW:$CW,'25-BRA-I-090'!$I:$I,L192)</f>
        <v>0</v>
      </c>
      <c r="AG192" s="1039">
        <f>SUMIFS('25-BRA-I-090'!$CX:$CX,'25-BRA-I-090'!$I:$I,L192)</f>
        <v>0</v>
      </c>
      <c r="AH192" s="1040">
        <f>SUMIFS('25-BRA-I-090'!$DJ:$DJ,'25-BRA-I-090'!$I:$I,L192)+SUMIFS('25-BRA-I-090'!$EC:$EC,'25-BRA-I-090'!$I:$I,L192)</f>
        <v>300</v>
      </c>
      <c r="AI192" s="1040">
        <f>SUMIFS('25-BRA-I-090'!$DK:$DK,'25-BRA-I-090'!$I:$I,L192)+SUMIFS('25-BRA-I-090'!$ED:$ED,'25-BRA-I-090'!$I:$I,L192)</f>
        <v>0</v>
      </c>
      <c r="AJ192" s="1040">
        <f>SUMIFS('25-BRA-I-090'!$DO:$DO,'25-BRA-I-090'!$I:$I,L192)+26400*SUMIFS('25-BRA-I-090'!$EF:$EF,'25-BRA-I-090'!$I:$I,L192)</f>
        <v>1650000</v>
      </c>
      <c r="AK192" s="1072"/>
      <c r="AO192" s="1072"/>
    </row>
    <row r="193" spans="1:41" s="1039" customFormat="1" ht="30">
      <c r="A193" s="372"/>
      <c r="B193" s="1057" t="str">
        <f t="shared" si="42"/>
        <v>BOLT-M8x20-ISO4017-8.8-Galv</v>
      </c>
      <c r="C193" s="1058" t="str">
        <f>VLOOKUP(L193,'25-BRA-I-090'!$I:$EZ,4,0)</f>
        <v>8.8-Galv</v>
      </c>
      <c r="D193" s="374" t="str">
        <f t="shared" si="41"/>
        <v>pcs</v>
      </c>
      <c r="E193" s="183"/>
      <c r="F193" s="184">
        <f t="shared" si="44"/>
        <v>12</v>
      </c>
      <c r="G193" s="185">
        <f t="shared" si="44"/>
        <v>0</v>
      </c>
      <c r="H193" s="185">
        <f t="shared" si="44"/>
        <v>0</v>
      </c>
      <c r="I193" s="185">
        <f t="shared" si="43"/>
        <v>12</v>
      </c>
      <c r="J193" s="185">
        <f t="shared" si="45"/>
        <v>860</v>
      </c>
      <c r="K193" s="185">
        <f t="shared" si="46"/>
        <v>10320</v>
      </c>
      <c r="L193" s="1184" t="s">
        <v>852</v>
      </c>
      <c r="M193" s="1059"/>
      <c r="N193" s="1059"/>
      <c r="O193" s="1038"/>
      <c r="P193" s="1054"/>
      <c r="Q193" s="1054"/>
      <c r="T193" s="1041"/>
      <c r="U193" s="1042"/>
      <c r="V193" s="1042"/>
      <c r="AA193" s="1039" t="str">
        <f>VLOOKUP(L193,'25-BRA-I-090'!$I:$EZ,2,0)</f>
        <v>Bu lông</v>
      </c>
      <c r="AB193" s="1039" t="str">
        <f>VLOOKUP(L193,'25-BRA-I-090'!$I:$EZ,3,0)</f>
        <v>BOLT-M8x20-ISO4017-8.8-Galv</v>
      </c>
      <c r="AC193" s="1039" t="str">
        <f>VLOOKUP(L193,'25-BRA-I-090'!$I:$EZ,5,0)</f>
        <v>pcs</v>
      </c>
      <c r="AD193" s="1039">
        <f>SUMIFS('25-BRA-I-090'!$CS:$CS,'25-BRA-I-090'!$I:$I,L193)</f>
        <v>12</v>
      </c>
      <c r="AE193" s="1039">
        <f>SUMIFS('25-BRA-I-090'!$CT:$CT,'25-BRA-I-090'!$I:$I,L193)</f>
        <v>0</v>
      </c>
      <c r="AF193" s="1039">
        <f>SUMIFS('25-BRA-I-090'!$CW:$CW,'25-BRA-I-090'!$I:$I,L193)</f>
        <v>0</v>
      </c>
      <c r="AG193" s="1039">
        <f>SUMIFS('25-BRA-I-090'!$CX:$CX,'25-BRA-I-090'!$I:$I,L193)</f>
        <v>0</v>
      </c>
      <c r="AH193" s="1040">
        <f>SUMIFS('25-BRA-I-090'!$DJ:$DJ,'25-BRA-I-090'!$I:$I,L193)+SUMIFS('25-BRA-I-090'!$EC:$EC,'25-BRA-I-090'!$I:$I,L193)</f>
        <v>12</v>
      </c>
      <c r="AI193" s="1040">
        <f>SUMIFS('25-BRA-I-090'!$DK:$DK,'25-BRA-I-090'!$I:$I,L193)+SUMIFS('25-BRA-I-090'!$ED:$ED,'25-BRA-I-090'!$I:$I,L193)</f>
        <v>0</v>
      </c>
      <c r="AJ193" s="1040">
        <f>SUMIFS('25-BRA-I-090'!$DO:$DO,'25-BRA-I-090'!$I:$I,L193)+26400*SUMIFS('25-BRA-I-090'!$EF:$EF,'25-BRA-I-090'!$I:$I,L193)</f>
        <v>10320</v>
      </c>
      <c r="AK193" s="1072"/>
      <c r="AO193" s="1072"/>
    </row>
    <row r="194" spans="1:41" s="1039" customFormat="1" ht="30">
      <c r="A194" s="372"/>
      <c r="B194" s="1057" t="str">
        <f t="shared" si="42"/>
        <v>Bolt-M8x25-ISO4017-8.8-Galv</v>
      </c>
      <c r="C194" s="1058" t="str">
        <f>VLOOKUP(L194,'25-BRA-I-090'!$I:$EZ,4,0)</f>
        <v>8.8-Galv</v>
      </c>
      <c r="D194" s="374" t="str">
        <f t="shared" si="41"/>
        <v>pcs</v>
      </c>
      <c r="E194" s="183"/>
      <c r="F194" s="184">
        <f t="shared" si="44"/>
        <v>64</v>
      </c>
      <c r="G194" s="185">
        <f t="shared" si="44"/>
        <v>0</v>
      </c>
      <c r="H194" s="185">
        <f t="shared" si="44"/>
        <v>0</v>
      </c>
      <c r="I194" s="185">
        <f t="shared" si="43"/>
        <v>64</v>
      </c>
      <c r="J194" s="185">
        <f t="shared" si="45"/>
        <v>1090</v>
      </c>
      <c r="K194" s="185">
        <f t="shared" si="46"/>
        <v>69760</v>
      </c>
      <c r="L194" s="1184" t="s">
        <v>854</v>
      </c>
      <c r="M194" s="1059"/>
      <c r="N194" s="1059"/>
      <c r="O194" s="1038"/>
      <c r="P194" s="1054"/>
      <c r="Q194" s="1054"/>
      <c r="T194" s="1041"/>
      <c r="U194" s="1042"/>
      <c r="V194" s="1042"/>
      <c r="AA194" s="1039" t="str">
        <f>VLOOKUP(L194,'25-BRA-I-090'!$I:$EZ,2,0)</f>
        <v>Bu lông</v>
      </c>
      <c r="AB194" s="1039" t="str">
        <f>VLOOKUP(L194,'25-BRA-I-090'!$I:$EZ,3,0)</f>
        <v>Bolt-M8x25-ISO4017-8.8-Galv</v>
      </c>
      <c r="AC194" s="1039" t="str">
        <f>VLOOKUP(L194,'25-BRA-I-090'!$I:$EZ,5,0)</f>
        <v>pcs</v>
      </c>
      <c r="AD194" s="1039">
        <f>SUMIFS('25-BRA-I-090'!$CS:$CS,'25-BRA-I-090'!$I:$I,L194)</f>
        <v>64</v>
      </c>
      <c r="AE194" s="1039">
        <f>SUMIFS('25-BRA-I-090'!$CT:$CT,'25-BRA-I-090'!$I:$I,L194)</f>
        <v>0</v>
      </c>
      <c r="AF194" s="1039">
        <f>SUMIFS('25-BRA-I-090'!$CW:$CW,'25-BRA-I-090'!$I:$I,L194)</f>
        <v>0</v>
      </c>
      <c r="AG194" s="1039">
        <f>SUMIFS('25-BRA-I-090'!$CX:$CX,'25-BRA-I-090'!$I:$I,L194)</f>
        <v>0</v>
      </c>
      <c r="AH194" s="1040">
        <f>SUMIFS('25-BRA-I-090'!$DJ:$DJ,'25-BRA-I-090'!$I:$I,L194)+SUMIFS('25-BRA-I-090'!$EC:$EC,'25-BRA-I-090'!$I:$I,L194)</f>
        <v>64</v>
      </c>
      <c r="AI194" s="1040">
        <f>SUMIFS('25-BRA-I-090'!$DK:$DK,'25-BRA-I-090'!$I:$I,L194)+SUMIFS('25-BRA-I-090'!$ED:$ED,'25-BRA-I-090'!$I:$I,L194)</f>
        <v>0</v>
      </c>
      <c r="AJ194" s="1040">
        <f>SUMIFS('25-BRA-I-090'!$DO:$DO,'25-BRA-I-090'!$I:$I,L194)+26400*SUMIFS('25-BRA-I-090'!$EF:$EF,'25-BRA-I-090'!$I:$I,L194)</f>
        <v>69760</v>
      </c>
      <c r="AK194" s="1072"/>
      <c r="AO194" s="1072"/>
    </row>
    <row r="195" spans="1:41" s="1039" customFormat="1" ht="30">
      <c r="A195" s="372"/>
      <c r="B195" s="1057" t="str">
        <f t="shared" si="42"/>
        <v>Bolt-M8x30-ISO4017-8.8-Galv</v>
      </c>
      <c r="C195" s="1058" t="str">
        <f>VLOOKUP(L195,'25-BRA-I-090'!$I:$EZ,4,0)</f>
        <v>8.8-Galv</v>
      </c>
      <c r="D195" s="374" t="str">
        <f t="shared" si="41"/>
        <v>pcs</v>
      </c>
      <c r="E195" s="183"/>
      <c r="F195" s="184">
        <f t="shared" si="44"/>
        <v>50</v>
      </c>
      <c r="G195" s="185">
        <f t="shared" si="44"/>
        <v>0</v>
      </c>
      <c r="H195" s="185">
        <f t="shared" si="44"/>
        <v>0</v>
      </c>
      <c r="I195" s="185">
        <f t="shared" si="43"/>
        <v>50</v>
      </c>
      <c r="J195" s="185">
        <f t="shared" si="45"/>
        <v>1090</v>
      </c>
      <c r="K195" s="185">
        <f t="shared" si="46"/>
        <v>54500</v>
      </c>
      <c r="L195" s="1184" t="s">
        <v>856</v>
      </c>
      <c r="M195" s="1059"/>
      <c r="N195" s="1059"/>
      <c r="O195" s="1038"/>
      <c r="P195" s="1054"/>
      <c r="Q195" s="1054"/>
      <c r="T195" s="1041"/>
      <c r="U195" s="1042"/>
      <c r="V195" s="1042"/>
      <c r="AA195" s="1039" t="str">
        <f>VLOOKUP(L195,'25-BRA-I-090'!$I:$EZ,2,0)</f>
        <v>Bu lông</v>
      </c>
      <c r="AB195" s="1039" t="str">
        <f>VLOOKUP(L195,'25-BRA-I-090'!$I:$EZ,3,0)</f>
        <v>Bolt-M8x30-ISO4017-8.8-Galv</v>
      </c>
      <c r="AC195" s="1039" t="str">
        <f>VLOOKUP(L195,'25-BRA-I-090'!$I:$EZ,5,0)</f>
        <v>pcs</v>
      </c>
      <c r="AD195" s="1039">
        <f>SUMIFS('25-BRA-I-090'!$CS:$CS,'25-BRA-I-090'!$I:$I,L195)</f>
        <v>50</v>
      </c>
      <c r="AE195" s="1039">
        <f>SUMIFS('25-BRA-I-090'!$CT:$CT,'25-BRA-I-090'!$I:$I,L195)</f>
        <v>0</v>
      </c>
      <c r="AF195" s="1039">
        <f>SUMIFS('25-BRA-I-090'!$CW:$CW,'25-BRA-I-090'!$I:$I,L195)</f>
        <v>0</v>
      </c>
      <c r="AG195" s="1039">
        <f>SUMIFS('25-BRA-I-090'!$CX:$CX,'25-BRA-I-090'!$I:$I,L195)</f>
        <v>0</v>
      </c>
      <c r="AH195" s="1040">
        <f>SUMIFS('25-BRA-I-090'!$DJ:$DJ,'25-BRA-I-090'!$I:$I,L195)+SUMIFS('25-BRA-I-090'!$EC:$EC,'25-BRA-I-090'!$I:$I,L195)</f>
        <v>50</v>
      </c>
      <c r="AI195" s="1040">
        <f>SUMIFS('25-BRA-I-090'!$DK:$DK,'25-BRA-I-090'!$I:$I,L195)+SUMIFS('25-BRA-I-090'!$ED:$ED,'25-BRA-I-090'!$I:$I,L195)</f>
        <v>0</v>
      </c>
      <c r="AJ195" s="1040">
        <f>SUMIFS('25-BRA-I-090'!$DO:$DO,'25-BRA-I-090'!$I:$I,L195)+26400*SUMIFS('25-BRA-I-090'!$EF:$EF,'25-BRA-I-090'!$I:$I,L195)</f>
        <v>54500</v>
      </c>
      <c r="AK195" s="1072"/>
      <c r="AO195" s="1072"/>
    </row>
    <row r="196" spans="1:41" s="1039" customFormat="1" ht="30">
      <c r="A196" s="372"/>
      <c r="B196" s="1057" t="str">
        <f t="shared" si="42"/>
        <v>Bolt-M8x50-DIN603-8.8-Galv</v>
      </c>
      <c r="C196" s="1058" t="str">
        <f>VLOOKUP(L196,'25-BRA-I-090'!$I:$EZ,4,0)</f>
        <v>8.8-Galv</v>
      </c>
      <c r="D196" s="374" t="str">
        <f t="shared" si="41"/>
        <v>pcs</v>
      </c>
      <c r="E196" s="183"/>
      <c r="F196" s="184">
        <f t="shared" si="44"/>
        <v>224</v>
      </c>
      <c r="G196" s="185">
        <f t="shared" si="44"/>
        <v>0</v>
      </c>
      <c r="H196" s="185">
        <f t="shared" si="44"/>
        <v>0</v>
      </c>
      <c r="I196" s="185">
        <f t="shared" si="43"/>
        <v>224</v>
      </c>
      <c r="J196" s="185">
        <f t="shared" si="45"/>
        <v>8000</v>
      </c>
      <c r="K196" s="185">
        <f t="shared" si="46"/>
        <v>1792000</v>
      </c>
      <c r="L196" s="1184" t="s">
        <v>858</v>
      </c>
      <c r="M196" s="1059"/>
      <c r="N196" s="1059"/>
      <c r="O196" s="1038"/>
      <c r="P196" s="1054"/>
      <c r="Q196" s="1054"/>
      <c r="T196" s="1041"/>
      <c r="U196" s="1042"/>
      <c r="V196" s="1042"/>
      <c r="AA196" s="1039" t="str">
        <f>VLOOKUP(L196,'25-BRA-I-090'!$I:$EZ,2,0)</f>
        <v>Bu lông</v>
      </c>
      <c r="AB196" s="1039" t="str">
        <f>VLOOKUP(L196,'25-BRA-I-090'!$I:$EZ,3,0)</f>
        <v>Bolt-M8x50-DIN603-8.8-Galv</v>
      </c>
      <c r="AC196" s="1039" t="str">
        <f>VLOOKUP(L196,'25-BRA-I-090'!$I:$EZ,5,0)</f>
        <v>pcs</v>
      </c>
      <c r="AD196" s="1039">
        <f>SUMIFS('25-BRA-I-090'!$CS:$CS,'25-BRA-I-090'!$I:$I,L196)</f>
        <v>224</v>
      </c>
      <c r="AE196" s="1039">
        <f>SUMIFS('25-BRA-I-090'!$CT:$CT,'25-BRA-I-090'!$I:$I,L196)</f>
        <v>0</v>
      </c>
      <c r="AF196" s="1039">
        <f>SUMIFS('25-BRA-I-090'!$CW:$CW,'25-BRA-I-090'!$I:$I,L196)</f>
        <v>0</v>
      </c>
      <c r="AG196" s="1039">
        <f>SUMIFS('25-BRA-I-090'!$CX:$CX,'25-BRA-I-090'!$I:$I,L196)</f>
        <v>0</v>
      </c>
      <c r="AH196" s="1040">
        <f>SUMIFS('25-BRA-I-090'!$DJ:$DJ,'25-BRA-I-090'!$I:$I,L196)+SUMIFS('25-BRA-I-090'!$EC:$EC,'25-BRA-I-090'!$I:$I,L196)</f>
        <v>224</v>
      </c>
      <c r="AI196" s="1040">
        <f>SUMIFS('25-BRA-I-090'!$DK:$DK,'25-BRA-I-090'!$I:$I,L196)+SUMIFS('25-BRA-I-090'!$ED:$ED,'25-BRA-I-090'!$I:$I,L196)</f>
        <v>0</v>
      </c>
      <c r="AJ196" s="1040">
        <f>SUMIFS('25-BRA-I-090'!$DO:$DO,'25-BRA-I-090'!$I:$I,L196)+26400*SUMIFS('25-BRA-I-090'!$EF:$EF,'25-BRA-I-090'!$I:$I,L196)</f>
        <v>1792000</v>
      </c>
      <c r="AK196" s="1072"/>
      <c r="AO196" s="1072"/>
    </row>
    <row r="197" spans="1:41" s="1039" customFormat="1" ht="30">
      <c r="A197" s="372"/>
      <c r="B197" s="1057" t="str">
        <f t="shared" si="42"/>
        <v>Bolt-M8x75-ISO4017-8.8-Galv</v>
      </c>
      <c r="C197" s="1058" t="str">
        <f>VLOOKUP(L197,'25-BRA-I-090'!$I:$EZ,4,0)</f>
        <v>8.8-Galv</v>
      </c>
      <c r="D197" s="374" t="str">
        <f t="shared" si="41"/>
        <v>pcs</v>
      </c>
      <c r="E197" s="183"/>
      <c r="F197" s="184">
        <f t="shared" si="44"/>
        <v>114</v>
      </c>
      <c r="G197" s="185">
        <f t="shared" si="44"/>
        <v>0</v>
      </c>
      <c r="H197" s="185">
        <f t="shared" si="44"/>
        <v>0</v>
      </c>
      <c r="I197" s="185">
        <f t="shared" si="43"/>
        <v>114</v>
      </c>
      <c r="J197" s="185">
        <f t="shared" si="45"/>
        <v>2200</v>
      </c>
      <c r="K197" s="185">
        <f t="shared" si="46"/>
        <v>250800</v>
      </c>
      <c r="L197" s="1184" t="s">
        <v>860</v>
      </c>
      <c r="M197" s="1059"/>
      <c r="N197" s="1059"/>
      <c r="O197" s="1038"/>
      <c r="P197" s="1054"/>
      <c r="Q197" s="1054"/>
      <c r="T197" s="1041"/>
      <c r="U197" s="1042"/>
      <c r="V197" s="1042"/>
      <c r="AA197" s="1039" t="str">
        <f>VLOOKUP(L197,'25-BRA-I-090'!$I:$EZ,2,0)</f>
        <v>Bu lông</v>
      </c>
      <c r="AB197" s="1039" t="str">
        <f>VLOOKUP(L197,'25-BRA-I-090'!$I:$EZ,3,0)</f>
        <v>Bolt-M8x75-ISO4017-8.8-Galv</v>
      </c>
      <c r="AC197" s="1039" t="str">
        <f>VLOOKUP(L197,'25-BRA-I-090'!$I:$EZ,5,0)</f>
        <v>pcs</v>
      </c>
      <c r="AD197" s="1039">
        <f>SUMIFS('25-BRA-I-090'!$CS:$CS,'25-BRA-I-090'!$I:$I,L197)</f>
        <v>114</v>
      </c>
      <c r="AE197" s="1039">
        <f>SUMIFS('25-BRA-I-090'!$CT:$CT,'25-BRA-I-090'!$I:$I,L197)</f>
        <v>0</v>
      </c>
      <c r="AF197" s="1039">
        <f>SUMIFS('25-BRA-I-090'!$CW:$CW,'25-BRA-I-090'!$I:$I,L197)</f>
        <v>0</v>
      </c>
      <c r="AG197" s="1039">
        <f>SUMIFS('25-BRA-I-090'!$CX:$CX,'25-BRA-I-090'!$I:$I,L197)</f>
        <v>0</v>
      </c>
      <c r="AH197" s="1040">
        <f>SUMIFS('25-BRA-I-090'!$DJ:$DJ,'25-BRA-I-090'!$I:$I,L197)+SUMIFS('25-BRA-I-090'!$EC:$EC,'25-BRA-I-090'!$I:$I,L197)</f>
        <v>114</v>
      </c>
      <c r="AI197" s="1040">
        <f>SUMIFS('25-BRA-I-090'!$DK:$DK,'25-BRA-I-090'!$I:$I,L197)+SUMIFS('25-BRA-I-090'!$ED:$ED,'25-BRA-I-090'!$I:$I,L197)</f>
        <v>0</v>
      </c>
      <c r="AJ197" s="1040">
        <f>SUMIFS('25-BRA-I-090'!$DO:$DO,'25-BRA-I-090'!$I:$I,L197)+26400*SUMIFS('25-BRA-I-090'!$EF:$EF,'25-BRA-I-090'!$I:$I,L197)</f>
        <v>250800</v>
      </c>
      <c r="AK197" s="1072"/>
      <c r="AO197" s="1072"/>
    </row>
    <row r="198" spans="1:41" s="1039" customFormat="1" ht="30">
      <c r="A198" s="372"/>
      <c r="B198" s="1057" t="str">
        <f t="shared" si="42"/>
        <v>Nut-M10-ISO4032-8-Galv</v>
      </c>
      <c r="C198" s="1058" t="str">
        <f>VLOOKUP(L198,'25-BRA-I-090'!$I:$EZ,4,0)</f>
        <v>8-Galv</v>
      </c>
      <c r="D198" s="374" t="str">
        <f t="shared" si="41"/>
        <v>pcs</v>
      </c>
      <c r="E198" s="183"/>
      <c r="F198" s="184">
        <f t="shared" si="44"/>
        <v>320</v>
      </c>
      <c r="G198" s="185">
        <f t="shared" si="44"/>
        <v>0</v>
      </c>
      <c r="H198" s="185">
        <f t="shared" si="44"/>
        <v>0</v>
      </c>
      <c r="I198" s="185">
        <f t="shared" si="43"/>
        <v>320</v>
      </c>
      <c r="J198" s="185">
        <f t="shared" si="45"/>
        <v>810</v>
      </c>
      <c r="K198" s="185">
        <f t="shared" si="46"/>
        <v>259200</v>
      </c>
      <c r="L198" s="1184" t="s">
        <v>862</v>
      </c>
      <c r="M198" s="1059"/>
      <c r="N198" s="1059"/>
      <c r="O198" s="1038"/>
      <c r="P198" s="1054"/>
      <c r="Q198" s="1054"/>
      <c r="T198" s="1041"/>
      <c r="U198" s="1042"/>
      <c r="V198" s="1042"/>
      <c r="AA198" s="1039" t="str">
        <f>VLOOKUP(L198,'25-BRA-I-090'!$I:$EZ,2,0)</f>
        <v>Ốc</v>
      </c>
      <c r="AB198" s="1039" t="str">
        <f>VLOOKUP(L198,'25-BRA-I-090'!$I:$EZ,3,0)</f>
        <v>Nut-M10-ISO4032-8-Galv</v>
      </c>
      <c r="AC198" s="1039" t="str">
        <f>VLOOKUP(L198,'25-BRA-I-090'!$I:$EZ,5,0)</f>
        <v>pcs</v>
      </c>
      <c r="AD198" s="1039">
        <f>SUMIFS('25-BRA-I-090'!$CS:$CS,'25-BRA-I-090'!$I:$I,L198)</f>
        <v>320</v>
      </c>
      <c r="AE198" s="1039">
        <f>SUMIFS('25-BRA-I-090'!$CT:$CT,'25-BRA-I-090'!$I:$I,L198)</f>
        <v>0</v>
      </c>
      <c r="AF198" s="1039">
        <f>SUMIFS('25-BRA-I-090'!$CW:$CW,'25-BRA-I-090'!$I:$I,L198)</f>
        <v>0</v>
      </c>
      <c r="AG198" s="1039">
        <f>SUMIFS('25-BRA-I-090'!$CX:$CX,'25-BRA-I-090'!$I:$I,L198)</f>
        <v>0</v>
      </c>
      <c r="AH198" s="1040">
        <f>SUMIFS('25-BRA-I-090'!$DJ:$DJ,'25-BRA-I-090'!$I:$I,L198)+SUMIFS('25-BRA-I-090'!$EC:$EC,'25-BRA-I-090'!$I:$I,L198)</f>
        <v>320</v>
      </c>
      <c r="AI198" s="1040">
        <f>SUMIFS('25-BRA-I-090'!$DK:$DK,'25-BRA-I-090'!$I:$I,L198)+SUMIFS('25-BRA-I-090'!$ED:$ED,'25-BRA-I-090'!$I:$I,L198)</f>
        <v>0</v>
      </c>
      <c r="AJ198" s="1040">
        <f>SUMIFS('25-BRA-I-090'!$DO:$DO,'25-BRA-I-090'!$I:$I,L198)+26400*SUMIFS('25-BRA-I-090'!$EF:$EF,'25-BRA-I-090'!$I:$I,L198)</f>
        <v>259200</v>
      </c>
      <c r="AK198" s="1072"/>
      <c r="AO198" s="1072"/>
    </row>
    <row r="199" spans="1:41" s="1039" customFormat="1" ht="30">
      <c r="A199" s="372"/>
      <c r="B199" s="1057" t="str">
        <f t="shared" si="42"/>
        <v>Nut-M10-ISO4032-8-tZn</v>
      </c>
      <c r="C199" s="1058" t="str">
        <f>VLOOKUP(L199,'25-BRA-I-090'!$I:$EZ,4,0)</f>
        <v>8-tZn</v>
      </c>
      <c r="D199" s="374" t="str">
        <f t="shared" si="41"/>
        <v>pcs</v>
      </c>
      <c r="E199" s="183"/>
      <c r="F199" s="184">
        <f t="shared" si="44"/>
        <v>872</v>
      </c>
      <c r="G199" s="185">
        <f t="shared" si="44"/>
        <v>0</v>
      </c>
      <c r="H199" s="185">
        <f t="shared" si="44"/>
        <v>0</v>
      </c>
      <c r="I199" s="185">
        <f t="shared" si="43"/>
        <v>872</v>
      </c>
      <c r="J199" s="185">
        <f t="shared" si="45"/>
        <v>810</v>
      </c>
      <c r="K199" s="185">
        <f t="shared" si="46"/>
        <v>706320</v>
      </c>
      <c r="L199" s="1184" t="s">
        <v>866</v>
      </c>
      <c r="M199" s="1059"/>
      <c r="N199" s="1059"/>
      <c r="O199" s="1038"/>
      <c r="P199" s="1054"/>
      <c r="Q199" s="1054"/>
      <c r="T199" s="1041"/>
      <c r="U199" s="1042"/>
      <c r="V199" s="1042"/>
      <c r="AA199" s="1039" t="str">
        <f>VLOOKUP(L199,'25-BRA-I-090'!$I:$EZ,2,0)</f>
        <v>Ốc</v>
      </c>
      <c r="AB199" s="1039" t="str">
        <f>VLOOKUP(L199,'25-BRA-I-090'!$I:$EZ,3,0)</f>
        <v>Nut-M10-ISO4032-8-tZn</v>
      </c>
      <c r="AC199" s="1039" t="str">
        <f>VLOOKUP(L199,'25-BRA-I-090'!$I:$EZ,5,0)</f>
        <v>pcs</v>
      </c>
      <c r="AD199" s="1039">
        <f>SUMIFS('25-BRA-I-090'!$CS:$CS,'25-BRA-I-090'!$I:$I,L199)</f>
        <v>872</v>
      </c>
      <c r="AE199" s="1039">
        <f>SUMIFS('25-BRA-I-090'!$CT:$CT,'25-BRA-I-090'!$I:$I,L199)</f>
        <v>0</v>
      </c>
      <c r="AF199" s="1039">
        <f>SUMIFS('25-BRA-I-090'!$CW:$CW,'25-BRA-I-090'!$I:$I,L199)</f>
        <v>0</v>
      </c>
      <c r="AG199" s="1039">
        <f>SUMIFS('25-BRA-I-090'!$CX:$CX,'25-BRA-I-090'!$I:$I,L199)</f>
        <v>0</v>
      </c>
      <c r="AH199" s="1040">
        <f>SUMIFS('25-BRA-I-090'!$DJ:$DJ,'25-BRA-I-090'!$I:$I,L199)+SUMIFS('25-BRA-I-090'!$EC:$EC,'25-BRA-I-090'!$I:$I,L199)</f>
        <v>872</v>
      </c>
      <c r="AI199" s="1040">
        <f>SUMIFS('25-BRA-I-090'!$DK:$DK,'25-BRA-I-090'!$I:$I,L199)+SUMIFS('25-BRA-I-090'!$ED:$ED,'25-BRA-I-090'!$I:$I,L199)</f>
        <v>0</v>
      </c>
      <c r="AJ199" s="1040">
        <f>SUMIFS('25-BRA-I-090'!$DO:$DO,'25-BRA-I-090'!$I:$I,L199)+26400*SUMIFS('25-BRA-I-090'!$EF:$EF,'25-BRA-I-090'!$I:$I,L199)</f>
        <v>706320</v>
      </c>
      <c r="AK199" s="1072"/>
      <c r="AO199" s="1072"/>
    </row>
    <row r="200" spans="1:41" s="1039" customFormat="1" ht="30">
      <c r="A200" s="372"/>
      <c r="B200" s="1057" t="str">
        <f t="shared" si="42"/>
        <v>Nut-M12-ISO4032-8-Galv</v>
      </c>
      <c r="C200" s="1058" t="str">
        <f>VLOOKUP(L200,'25-BRA-I-090'!$I:$EZ,4,0)</f>
        <v>8-Galv</v>
      </c>
      <c r="D200" s="374" t="str">
        <f t="shared" si="41"/>
        <v>pcs</v>
      </c>
      <c r="E200" s="183"/>
      <c r="F200" s="184">
        <f t="shared" si="44"/>
        <v>390</v>
      </c>
      <c r="G200" s="185">
        <f t="shared" si="44"/>
        <v>0</v>
      </c>
      <c r="H200" s="185">
        <f t="shared" si="44"/>
        <v>0</v>
      </c>
      <c r="I200" s="185">
        <f t="shared" si="43"/>
        <v>390</v>
      </c>
      <c r="J200" s="185">
        <f t="shared" si="45"/>
        <v>1210</v>
      </c>
      <c r="K200" s="185">
        <f t="shared" si="46"/>
        <v>471900</v>
      </c>
      <c r="L200" s="1184" t="s">
        <v>869</v>
      </c>
      <c r="M200" s="1059"/>
      <c r="N200" s="1059"/>
      <c r="O200" s="1038"/>
      <c r="P200" s="1054"/>
      <c r="Q200" s="1054"/>
      <c r="T200" s="1041"/>
      <c r="U200" s="1042"/>
      <c r="V200" s="1042"/>
      <c r="AA200" s="1039" t="str">
        <f>VLOOKUP(L200,'25-BRA-I-090'!$I:$EZ,2,0)</f>
        <v>Ốc</v>
      </c>
      <c r="AB200" s="1039" t="str">
        <f>VLOOKUP(L200,'25-BRA-I-090'!$I:$EZ,3,0)</f>
        <v>Nut-M12-ISO4032-8-Galv</v>
      </c>
      <c r="AC200" s="1039" t="str">
        <f>VLOOKUP(L200,'25-BRA-I-090'!$I:$EZ,5,0)</f>
        <v>pcs</v>
      </c>
      <c r="AD200" s="1039">
        <f>SUMIFS('25-BRA-I-090'!$CS:$CS,'25-BRA-I-090'!$I:$I,L200)</f>
        <v>390</v>
      </c>
      <c r="AE200" s="1039">
        <f>SUMIFS('25-BRA-I-090'!$CT:$CT,'25-BRA-I-090'!$I:$I,L200)</f>
        <v>0</v>
      </c>
      <c r="AF200" s="1039">
        <f>SUMIFS('25-BRA-I-090'!$CW:$CW,'25-BRA-I-090'!$I:$I,L200)</f>
        <v>0</v>
      </c>
      <c r="AG200" s="1039">
        <f>SUMIFS('25-BRA-I-090'!$CX:$CX,'25-BRA-I-090'!$I:$I,L200)</f>
        <v>0</v>
      </c>
      <c r="AH200" s="1040">
        <f>SUMIFS('25-BRA-I-090'!$DJ:$DJ,'25-BRA-I-090'!$I:$I,L200)+SUMIFS('25-BRA-I-090'!$EC:$EC,'25-BRA-I-090'!$I:$I,L200)</f>
        <v>390</v>
      </c>
      <c r="AI200" s="1040">
        <f>SUMIFS('25-BRA-I-090'!$DK:$DK,'25-BRA-I-090'!$I:$I,L200)+SUMIFS('25-BRA-I-090'!$ED:$ED,'25-BRA-I-090'!$I:$I,L200)</f>
        <v>0</v>
      </c>
      <c r="AJ200" s="1040">
        <f>SUMIFS('25-BRA-I-090'!$DO:$DO,'25-BRA-I-090'!$I:$I,L200)+26400*SUMIFS('25-BRA-I-090'!$EF:$EF,'25-BRA-I-090'!$I:$I,L200)</f>
        <v>471900</v>
      </c>
      <c r="AK200" s="1072"/>
      <c r="AO200" s="1072"/>
    </row>
    <row r="201" spans="1:41" s="1039" customFormat="1" ht="30">
      <c r="A201" s="372"/>
      <c r="B201" s="1057" t="str">
        <f t="shared" si="42"/>
        <v>Nut-M12-ISO4032-8-tZn</v>
      </c>
      <c r="C201" s="1058" t="str">
        <f>VLOOKUP(L201,'25-BRA-I-090'!$I:$EZ,4,0)</f>
        <v>8-tZn</v>
      </c>
      <c r="D201" s="374" t="str">
        <f t="shared" ref="D201:D264" si="47">AC201</f>
        <v>pcs</v>
      </c>
      <c r="E201" s="183"/>
      <c r="F201" s="184">
        <f t="shared" si="44"/>
        <v>4082</v>
      </c>
      <c r="G201" s="185">
        <f t="shared" si="44"/>
        <v>0</v>
      </c>
      <c r="H201" s="185">
        <f t="shared" si="44"/>
        <v>0</v>
      </c>
      <c r="I201" s="185">
        <f t="shared" si="43"/>
        <v>4082</v>
      </c>
      <c r="J201" s="185">
        <f t="shared" si="45"/>
        <v>1210</v>
      </c>
      <c r="K201" s="185">
        <f t="shared" si="46"/>
        <v>4939220</v>
      </c>
      <c r="L201" s="1184" t="s">
        <v>871</v>
      </c>
      <c r="M201" s="1059"/>
      <c r="N201" s="1059"/>
      <c r="O201" s="1038"/>
      <c r="P201" s="1054"/>
      <c r="Q201" s="1054"/>
      <c r="T201" s="1041"/>
      <c r="U201" s="1042"/>
      <c r="V201" s="1042"/>
      <c r="AA201" s="1039" t="str">
        <f>VLOOKUP(L201,'25-BRA-I-090'!$I:$EZ,2,0)</f>
        <v>Ốc</v>
      </c>
      <c r="AB201" s="1039" t="str">
        <f>VLOOKUP(L201,'25-BRA-I-090'!$I:$EZ,3,0)</f>
        <v>Nut-M12-ISO4032-8-tZn</v>
      </c>
      <c r="AC201" s="1039" t="str">
        <f>VLOOKUP(L201,'25-BRA-I-090'!$I:$EZ,5,0)</f>
        <v>pcs</v>
      </c>
      <c r="AD201" s="1039">
        <f>SUMIFS('25-BRA-I-090'!$CS:$CS,'25-BRA-I-090'!$I:$I,L201)</f>
        <v>4082</v>
      </c>
      <c r="AE201" s="1039">
        <f>SUMIFS('25-BRA-I-090'!$CT:$CT,'25-BRA-I-090'!$I:$I,L201)</f>
        <v>0</v>
      </c>
      <c r="AF201" s="1039">
        <f>SUMIFS('25-BRA-I-090'!$CW:$CW,'25-BRA-I-090'!$I:$I,L201)</f>
        <v>0</v>
      </c>
      <c r="AG201" s="1039">
        <f>SUMIFS('25-BRA-I-090'!$CX:$CX,'25-BRA-I-090'!$I:$I,L201)</f>
        <v>0</v>
      </c>
      <c r="AH201" s="1040">
        <f>SUMIFS('25-BRA-I-090'!$DJ:$DJ,'25-BRA-I-090'!$I:$I,L201)+SUMIFS('25-BRA-I-090'!$EC:$EC,'25-BRA-I-090'!$I:$I,L201)</f>
        <v>4082</v>
      </c>
      <c r="AI201" s="1040">
        <f>SUMIFS('25-BRA-I-090'!$DK:$DK,'25-BRA-I-090'!$I:$I,L201)+SUMIFS('25-BRA-I-090'!$ED:$ED,'25-BRA-I-090'!$I:$I,L201)</f>
        <v>0</v>
      </c>
      <c r="AJ201" s="1040">
        <f>SUMIFS('25-BRA-I-090'!$DO:$DO,'25-BRA-I-090'!$I:$I,L201)+26400*SUMIFS('25-BRA-I-090'!$EF:$EF,'25-BRA-I-090'!$I:$I,L201)</f>
        <v>4939220</v>
      </c>
      <c r="AK201" s="1072"/>
      <c r="AO201" s="1072"/>
    </row>
    <row r="202" spans="1:41" s="1039" customFormat="1" ht="30">
      <c r="A202" s="372"/>
      <c r="B202" s="1057" t="str">
        <f t="shared" si="42"/>
        <v>Nut-M16-DIN929-St-Black</v>
      </c>
      <c r="C202" s="1058" t="str">
        <f>VLOOKUP(L202,'25-BRA-I-090'!$I:$EZ,4,0)</f>
        <v>St-Black</v>
      </c>
      <c r="D202" s="374" t="str">
        <f t="shared" si="47"/>
        <v>pcs</v>
      </c>
      <c r="E202" s="183"/>
      <c r="F202" s="184">
        <f t="shared" si="44"/>
        <v>260</v>
      </c>
      <c r="G202" s="185">
        <f t="shared" si="44"/>
        <v>0</v>
      </c>
      <c r="H202" s="185">
        <f t="shared" si="44"/>
        <v>0</v>
      </c>
      <c r="I202" s="185">
        <f t="shared" si="43"/>
        <v>260</v>
      </c>
      <c r="J202" s="185">
        <f t="shared" si="45"/>
        <v>5000</v>
      </c>
      <c r="K202" s="185">
        <f t="shared" si="46"/>
        <v>1300000</v>
      </c>
      <c r="L202" s="1184" t="s">
        <v>873</v>
      </c>
      <c r="M202" s="1059"/>
      <c r="N202" s="1059"/>
      <c r="O202" s="1038"/>
      <c r="P202" s="1054"/>
      <c r="Q202" s="1054"/>
      <c r="T202" s="1041"/>
      <c r="U202" s="1042"/>
      <c r="V202" s="1042"/>
      <c r="AA202" s="1039" t="str">
        <f>VLOOKUP(L202,'25-BRA-I-090'!$I:$EZ,2,0)</f>
        <v>Ốc</v>
      </c>
      <c r="AB202" s="1039" t="str">
        <f>VLOOKUP(L202,'25-BRA-I-090'!$I:$EZ,3,0)</f>
        <v>Nut-M16-DIN929-St-Black</v>
      </c>
      <c r="AC202" s="1039" t="str">
        <f>VLOOKUP(L202,'25-BRA-I-090'!$I:$EZ,5,0)</f>
        <v>pcs</v>
      </c>
      <c r="AD202" s="1039">
        <f>SUMIFS('25-BRA-I-090'!$CS:$CS,'25-BRA-I-090'!$I:$I,L202)</f>
        <v>260</v>
      </c>
      <c r="AE202" s="1039">
        <f>SUMIFS('25-BRA-I-090'!$CT:$CT,'25-BRA-I-090'!$I:$I,L202)</f>
        <v>0</v>
      </c>
      <c r="AF202" s="1039">
        <f>SUMIFS('25-BRA-I-090'!$CW:$CW,'25-BRA-I-090'!$I:$I,L202)</f>
        <v>0</v>
      </c>
      <c r="AG202" s="1039">
        <f>SUMIFS('25-BRA-I-090'!$CX:$CX,'25-BRA-I-090'!$I:$I,L202)</f>
        <v>0</v>
      </c>
      <c r="AH202" s="1040">
        <f>SUMIFS('25-BRA-I-090'!$DJ:$DJ,'25-BRA-I-090'!$I:$I,L202)+SUMIFS('25-BRA-I-090'!$EC:$EC,'25-BRA-I-090'!$I:$I,L202)</f>
        <v>260</v>
      </c>
      <c r="AI202" s="1040">
        <f>SUMIFS('25-BRA-I-090'!$DK:$DK,'25-BRA-I-090'!$I:$I,L202)+SUMIFS('25-BRA-I-090'!$ED:$ED,'25-BRA-I-090'!$I:$I,L202)</f>
        <v>0</v>
      </c>
      <c r="AJ202" s="1040">
        <f>SUMIFS('25-BRA-I-090'!$DO:$DO,'25-BRA-I-090'!$I:$I,L202)+26400*SUMIFS('25-BRA-I-090'!$EF:$EF,'25-BRA-I-090'!$I:$I,L202)</f>
        <v>1300000</v>
      </c>
      <c r="AK202" s="1072"/>
      <c r="AO202" s="1072"/>
    </row>
    <row r="203" spans="1:41" s="1039" customFormat="1" ht="30">
      <c r="A203" s="372"/>
      <c r="B203" s="1057" t="str">
        <f t="shared" ref="B203:B266" si="48">AB203</f>
        <v>Nut-M16-ISO4032-8-Galv</v>
      </c>
      <c r="C203" s="1058" t="str">
        <f>VLOOKUP(L203,'25-BRA-I-090'!$I:$EZ,4,0)</f>
        <v>8-Galv</v>
      </c>
      <c r="D203" s="374" t="str">
        <f t="shared" si="47"/>
        <v>pcs</v>
      </c>
      <c r="E203" s="183"/>
      <c r="F203" s="184">
        <f t="shared" si="44"/>
        <v>10012</v>
      </c>
      <c r="G203" s="185">
        <f t="shared" si="44"/>
        <v>0</v>
      </c>
      <c r="H203" s="185">
        <f t="shared" si="44"/>
        <v>0</v>
      </c>
      <c r="I203" s="185">
        <f t="shared" ref="I203:I266" si="49">AH203</f>
        <v>10012</v>
      </c>
      <c r="J203" s="185">
        <f t="shared" si="45"/>
        <v>2330</v>
      </c>
      <c r="K203" s="185">
        <f t="shared" si="46"/>
        <v>23327960</v>
      </c>
      <c r="L203" s="1184" t="s">
        <v>876</v>
      </c>
      <c r="M203" s="1059"/>
      <c r="N203" s="1059"/>
      <c r="O203" s="1038"/>
      <c r="P203" s="1054"/>
      <c r="Q203" s="1054"/>
      <c r="T203" s="1041"/>
      <c r="U203" s="1042"/>
      <c r="V203" s="1042"/>
      <c r="AA203" s="1039" t="str">
        <f>VLOOKUP(L203,'25-BRA-I-090'!$I:$EZ,2,0)</f>
        <v>Ốc</v>
      </c>
      <c r="AB203" s="1039" t="str">
        <f>VLOOKUP(L203,'25-BRA-I-090'!$I:$EZ,3,0)</f>
        <v>Nut-M16-ISO4032-8-Galv</v>
      </c>
      <c r="AC203" s="1039" t="str">
        <f>VLOOKUP(L203,'25-BRA-I-090'!$I:$EZ,5,0)</f>
        <v>pcs</v>
      </c>
      <c r="AD203" s="1039">
        <f>SUMIFS('25-BRA-I-090'!$CS:$CS,'25-BRA-I-090'!$I:$I,L203)</f>
        <v>10012</v>
      </c>
      <c r="AE203" s="1039">
        <f>SUMIFS('25-BRA-I-090'!$CT:$CT,'25-BRA-I-090'!$I:$I,L203)</f>
        <v>0</v>
      </c>
      <c r="AF203" s="1039">
        <f>SUMIFS('25-BRA-I-090'!$CW:$CW,'25-BRA-I-090'!$I:$I,L203)</f>
        <v>0</v>
      </c>
      <c r="AG203" s="1039">
        <f>SUMIFS('25-BRA-I-090'!$CX:$CX,'25-BRA-I-090'!$I:$I,L203)</f>
        <v>0</v>
      </c>
      <c r="AH203" s="1040">
        <f>SUMIFS('25-BRA-I-090'!$DJ:$DJ,'25-BRA-I-090'!$I:$I,L203)+SUMIFS('25-BRA-I-090'!$EC:$EC,'25-BRA-I-090'!$I:$I,L203)</f>
        <v>10012</v>
      </c>
      <c r="AI203" s="1040">
        <f>SUMIFS('25-BRA-I-090'!$DK:$DK,'25-BRA-I-090'!$I:$I,L203)+SUMIFS('25-BRA-I-090'!$ED:$ED,'25-BRA-I-090'!$I:$I,L203)</f>
        <v>0</v>
      </c>
      <c r="AJ203" s="1040">
        <f>SUMIFS('25-BRA-I-090'!$DO:$DO,'25-BRA-I-090'!$I:$I,L203)+26400*SUMIFS('25-BRA-I-090'!$EF:$EF,'25-BRA-I-090'!$I:$I,L203)</f>
        <v>23327960</v>
      </c>
      <c r="AK203" s="1072"/>
      <c r="AO203" s="1072"/>
    </row>
    <row r="204" spans="1:41" s="1039" customFormat="1" ht="30">
      <c r="A204" s="372"/>
      <c r="B204" s="1057" t="str">
        <f t="shared" si="48"/>
        <v>Nut-M16-ISO4032-8-tZn</v>
      </c>
      <c r="C204" s="1058" t="str">
        <f>VLOOKUP(L204,'25-BRA-I-090'!$I:$EZ,4,0)</f>
        <v>8-tZn</v>
      </c>
      <c r="D204" s="374" t="str">
        <f t="shared" si="47"/>
        <v>pcs</v>
      </c>
      <c r="E204" s="183"/>
      <c r="F204" s="184">
        <f t="shared" si="44"/>
        <v>6512</v>
      </c>
      <c r="G204" s="185">
        <f t="shared" si="44"/>
        <v>0</v>
      </c>
      <c r="H204" s="185">
        <f t="shared" si="44"/>
        <v>0</v>
      </c>
      <c r="I204" s="185">
        <f t="shared" si="49"/>
        <v>6512</v>
      </c>
      <c r="J204" s="185">
        <f t="shared" si="45"/>
        <v>2330</v>
      </c>
      <c r="K204" s="185">
        <f t="shared" si="46"/>
        <v>15172960</v>
      </c>
      <c r="L204" s="1184" t="s">
        <v>878</v>
      </c>
      <c r="M204" s="1059"/>
      <c r="N204" s="1059"/>
      <c r="O204" s="1038"/>
      <c r="P204" s="1054"/>
      <c r="Q204" s="1054"/>
      <c r="T204" s="1041"/>
      <c r="U204" s="1042"/>
      <c r="V204" s="1042"/>
      <c r="AA204" s="1039" t="str">
        <f>VLOOKUP(L204,'25-BRA-I-090'!$I:$EZ,2,0)</f>
        <v>Ốc</v>
      </c>
      <c r="AB204" s="1039" t="str">
        <f>VLOOKUP(L204,'25-BRA-I-090'!$I:$EZ,3,0)</f>
        <v>Nut-M16-ISO4032-8-tZn</v>
      </c>
      <c r="AC204" s="1039" t="str">
        <f>VLOOKUP(L204,'25-BRA-I-090'!$I:$EZ,5,0)</f>
        <v>pcs</v>
      </c>
      <c r="AD204" s="1039">
        <f>SUMIFS('25-BRA-I-090'!$CS:$CS,'25-BRA-I-090'!$I:$I,L204)</f>
        <v>6512</v>
      </c>
      <c r="AE204" s="1039">
        <f>SUMIFS('25-BRA-I-090'!$CT:$CT,'25-BRA-I-090'!$I:$I,L204)</f>
        <v>0</v>
      </c>
      <c r="AF204" s="1039">
        <f>SUMIFS('25-BRA-I-090'!$CW:$CW,'25-BRA-I-090'!$I:$I,L204)</f>
        <v>0</v>
      </c>
      <c r="AG204" s="1039">
        <f>SUMIFS('25-BRA-I-090'!$CX:$CX,'25-BRA-I-090'!$I:$I,L204)</f>
        <v>0</v>
      </c>
      <c r="AH204" s="1040">
        <f>SUMIFS('25-BRA-I-090'!$DJ:$DJ,'25-BRA-I-090'!$I:$I,L204)+SUMIFS('25-BRA-I-090'!$EC:$EC,'25-BRA-I-090'!$I:$I,L204)</f>
        <v>6512</v>
      </c>
      <c r="AI204" s="1040">
        <f>SUMIFS('25-BRA-I-090'!$DK:$DK,'25-BRA-I-090'!$I:$I,L204)+SUMIFS('25-BRA-I-090'!$ED:$ED,'25-BRA-I-090'!$I:$I,L204)</f>
        <v>0</v>
      </c>
      <c r="AJ204" s="1040">
        <f>SUMIFS('25-BRA-I-090'!$DO:$DO,'25-BRA-I-090'!$I:$I,L204)+26400*SUMIFS('25-BRA-I-090'!$EF:$EF,'25-BRA-I-090'!$I:$I,L204)</f>
        <v>15172960</v>
      </c>
      <c r="AK204" s="1072"/>
      <c r="AO204" s="1072"/>
    </row>
    <row r="205" spans="1:41" s="1039" customFormat="1" ht="30">
      <c r="A205" s="372"/>
      <c r="B205" s="1057" t="str">
        <f t="shared" si="48"/>
        <v>Nut-M20-DIN934-10-Galv</v>
      </c>
      <c r="C205" s="1058" t="str">
        <f>VLOOKUP(L205,'25-BRA-I-090'!$I:$EZ,4,0)</f>
        <v>10-Galv</v>
      </c>
      <c r="D205" s="374" t="str">
        <f t="shared" si="47"/>
        <v>pcs</v>
      </c>
      <c r="E205" s="183"/>
      <c r="F205" s="184">
        <f t="shared" si="44"/>
        <v>1360</v>
      </c>
      <c r="G205" s="185">
        <f t="shared" si="44"/>
        <v>0</v>
      </c>
      <c r="H205" s="185">
        <f t="shared" si="44"/>
        <v>0</v>
      </c>
      <c r="I205" s="185">
        <f t="shared" si="49"/>
        <v>1360</v>
      </c>
      <c r="J205" s="185">
        <f t="shared" si="45"/>
        <v>6440</v>
      </c>
      <c r="K205" s="185">
        <f t="shared" si="46"/>
        <v>8758400</v>
      </c>
      <c r="L205" s="1184" t="s">
        <v>880</v>
      </c>
      <c r="M205" s="1059"/>
      <c r="N205" s="1059"/>
      <c r="O205" s="1038"/>
      <c r="P205" s="1054"/>
      <c r="Q205" s="1054"/>
      <c r="T205" s="1041"/>
      <c r="U205" s="1042"/>
      <c r="V205" s="1042"/>
      <c r="AA205" s="1039" t="str">
        <f>VLOOKUP(L205,'25-BRA-I-090'!$I:$EZ,2,0)</f>
        <v>Ốc</v>
      </c>
      <c r="AB205" s="1039" t="str">
        <f>VLOOKUP(L205,'25-BRA-I-090'!$I:$EZ,3,0)</f>
        <v>Nut-M20-DIN934-10-Galv</v>
      </c>
      <c r="AC205" s="1039" t="str">
        <f>VLOOKUP(L205,'25-BRA-I-090'!$I:$EZ,5,0)</f>
        <v>pcs</v>
      </c>
      <c r="AD205" s="1039">
        <f>SUMIFS('25-BRA-I-090'!$CS:$CS,'25-BRA-I-090'!$I:$I,L205)</f>
        <v>1360</v>
      </c>
      <c r="AE205" s="1039">
        <f>SUMIFS('25-BRA-I-090'!$CT:$CT,'25-BRA-I-090'!$I:$I,L205)</f>
        <v>0</v>
      </c>
      <c r="AF205" s="1039">
        <f>SUMIFS('25-BRA-I-090'!$CW:$CW,'25-BRA-I-090'!$I:$I,L205)</f>
        <v>0</v>
      </c>
      <c r="AG205" s="1039">
        <f>SUMIFS('25-BRA-I-090'!$CX:$CX,'25-BRA-I-090'!$I:$I,L205)</f>
        <v>0</v>
      </c>
      <c r="AH205" s="1040">
        <f>SUMIFS('25-BRA-I-090'!$DJ:$DJ,'25-BRA-I-090'!$I:$I,L205)+SUMIFS('25-BRA-I-090'!$EC:$EC,'25-BRA-I-090'!$I:$I,L205)</f>
        <v>1360</v>
      </c>
      <c r="AI205" s="1040">
        <f>SUMIFS('25-BRA-I-090'!$DK:$DK,'25-BRA-I-090'!$I:$I,L205)+SUMIFS('25-BRA-I-090'!$ED:$ED,'25-BRA-I-090'!$I:$I,L205)</f>
        <v>0</v>
      </c>
      <c r="AJ205" s="1040">
        <f>SUMIFS('25-BRA-I-090'!$DO:$DO,'25-BRA-I-090'!$I:$I,L205)+26400*SUMIFS('25-BRA-I-090'!$EF:$EF,'25-BRA-I-090'!$I:$I,L205)</f>
        <v>8758400</v>
      </c>
      <c r="AK205" s="1072"/>
      <c r="AO205" s="1072"/>
    </row>
    <row r="206" spans="1:41" s="1039" customFormat="1" ht="30">
      <c r="A206" s="372"/>
      <c r="B206" s="1057" t="str">
        <f t="shared" si="48"/>
        <v>Nut-M20-ISO4032-10.9-tZn</v>
      </c>
      <c r="C206" s="1058" t="str">
        <f>VLOOKUP(L206,'25-BRA-I-090'!$I:$EZ,4,0)</f>
        <v>10.9-tZn</v>
      </c>
      <c r="D206" s="374" t="str">
        <f t="shared" si="47"/>
        <v>pcs</v>
      </c>
      <c r="E206" s="183"/>
      <c r="F206" s="184">
        <f t="shared" si="44"/>
        <v>90</v>
      </c>
      <c r="G206" s="185">
        <f t="shared" si="44"/>
        <v>0</v>
      </c>
      <c r="H206" s="185">
        <f t="shared" si="44"/>
        <v>0</v>
      </c>
      <c r="I206" s="185">
        <f t="shared" si="49"/>
        <v>90</v>
      </c>
      <c r="J206" s="185">
        <f t="shared" si="45"/>
        <v>6440</v>
      </c>
      <c r="K206" s="185">
        <f t="shared" si="46"/>
        <v>579600</v>
      </c>
      <c r="L206" s="1184" t="s">
        <v>883</v>
      </c>
      <c r="M206" s="1059"/>
      <c r="N206" s="1059"/>
      <c r="O206" s="1038"/>
      <c r="P206" s="1054"/>
      <c r="Q206" s="1054"/>
      <c r="T206" s="1041"/>
      <c r="U206" s="1042"/>
      <c r="V206" s="1042"/>
      <c r="AA206" s="1039" t="str">
        <f>VLOOKUP(L206,'25-BRA-I-090'!$I:$EZ,2,0)</f>
        <v>Ốc</v>
      </c>
      <c r="AB206" s="1039" t="str">
        <f>VLOOKUP(L206,'25-BRA-I-090'!$I:$EZ,3,0)</f>
        <v>Nut-M20-ISO4032-10.9-tZn</v>
      </c>
      <c r="AC206" s="1039" t="str">
        <f>VLOOKUP(L206,'25-BRA-I-090'!$I:$EZ,5,0)</f>
        <v>pcs</v>
      </c>
      <c r="AD206" s="1039">
        <f>SUMIFS('25-BRA-I-090'!$CS:$CS,'25-BRA-I-090'!$I:$I,L206)</f>
        <v>90</v>
      </c>
      <c r="AE206" s="1039">
        <f>SUMIFS('25-BRA-I-090'!$CT:$CT,'25-BRA-I-090'!$I:$I,L206)</f>
        <v>0</v>
      </c>
      <c r="AF206" s="1039">
        <f>SUMIFS('25-BRA-I-090'!$CW:$CW,'25-BRA-I-090'!$I:$I,L206)</f>
        <v>0</v>
      </c>
      <c r="AG206" s="1039">
        <f>SUMIFS('25-BRA-I-090'!$CX:$CX,'25-BRA-I-090'!$I:$I,L206)</f>
        <v>0</v>
      </c>
      <c r="AH206" s="1040">
        <f>SUMIFS('25-BRA-I-090'!$DJ:$DJ,'25-BRA-I-090'!$I:$I,L206)+SUMIFS('25-BRA-I-090'!$EC:$EC,'25-BRA-I-090'!$I:$I,L206)</f>
        <v>90</v>
      </c>
      <c r="AI206" s="1040">
        <f>SUMIFS('25-BRA-I-090'!$DK:$DK,'25-BRA-I-090'!$I:$I,L206)+SUMIFS('25-BRA-I-090'!$ED:$ED,'25-BRA-I-090'!$I:$I,L206)</f>
        <v>0</v>
      </c>
      <c r="AJ206" s="1040">
        <f>SUMIFS('25-BRA-I-090'!$DO:$DO,'25-BRA-I-090'!$I:$I,L206)+26400*SUMIFS('25-BRA-I-090'!$EF:$EF,'25-BRA-I-090'!$I:$I,L206)</f>
        <v>579600</v>
      </c>
      <c r="AK206" s="1072"/>
      <c r="AO206" s="1072"/>
    </row>
    <row r="207" spans="1:41" s="1039" customFormat="1" ht="30">
      <c r="A207" s="372"/>
      <c r="B207" s="1057" t="str">
        <f t="shared" si="48"/>
        <v>Nut-M20-ISO4032-8-Galv</v>
      </c>
      <c r="C207" s="1058" t="str">
        <f>VLOOKUP(L207,'25-BRA-I-090'!$I:$EZ,4,0)</f>
        <v>8-Galv</v>
      </c>
      <c r="D207" s="374" t="str">
        <f t="shared" si="47"/>
        <v>pcs</v>
      </c>
      <c r="E207" s="183"/>
      <c r="F207" s="184">
        <f t="shared" si="44"/>
        <v>2250</v>
      </c>
      <c r="G207" s="185">
        <f t="shared" si="44"/>
        <v>0</v>
      </c>
      <c r="H207" s="185">
        <f t="shared" si="44"/>
        <v>0</v>
      </c>
      <c r="I207" s="185">
        <f t="shared" si="49"/>
        <v>902</v>
      </c>
      <c r="J207" s="185">
        <f t="shared" si="45"/>
        <v>4510</v>
      </c>
      <c r="K207" s="185">
        <f t="shared" si="46"/>
        <v>4068020</v>
      </c>
      <c r="L207" s="1184" t="s">
        <v>885</v>
      </c>
      <c r="M207" s="1059"/>
      <c r="N207" s="1059"/>
      <c r="O207" s="1038"/>
      <c r="P207" s="1054"/>
      <c r="Q207" s="1054"/>
      <c r="T207" s="1041"/>
      <c r="U207" s="1042"/>
      <c r="V207" s="1042"/>
      <c r="AA207" s="1039" t="str">
        <f>VLOOKUP(L207,'25-BRA-I-090'!$I:$EZ,2,0)</f>
        <v>Ốc</v>
      </c>
      <c r="AB207" s="1039" t="str">
        <f>VLOOKUP(L207,'25-BRA-I-090'!$I:$EZ,3,0)</f>
        <v>Nut-M20-ISO4032-8-Galv</v>
      </c>
      <c r="AC207" s="1039" t="str">
        <f>VLOOKUP(L207,'25-BRA-I-090'!$I:$EZ,5,0)</f>
        <v>pcs</v>
      </c>
      <c r="AD207" s="1039">
        <f>SUMIFS('25-BRA-I-090'!$CS:$CS,'25-BRA-I-090'!$I:$I,L207)</f>
        <v>2250</v>
      </c>
      <c r="AE207" s="1039">
        <f>SUMIFS('25-BRA-I-090'!$CT:$CT,'25-BRA-I-090'!$I:$I,L207)</f>
        <v>0</v>
      </c>
      <c r="AF207" s="1039">
        <f>SUMIFS('25-BRA-I-090'!$CW:$CW,'25-BRA-I-090'!$I:$I,L207)</f>
        <v>0</v>
      </c>
      <c r="AG207" s="1039">
        <f>SUMIFS('25-BRA-I-090'!$CX:$CX,'25-BRA-I-090'!$I:$I,L207)</f>
        <v>0</v>
      </c>
      <c r="AH207" s="1040">
        <f>SUMIFS('25-BRA-I-090'!$DJ:$DJ,'25-BRA-I-090'!$I:$I,L207)+SUMIFS('25-BRA-I-090'!$EC:$EC,'25-BRA-I-090'!$I:$I,L207)</f>
        <v>902</v>
      </c>
      <c r="AI207" s="1040">
        <f>SUMIFS('25-BRA-I-090'!$DK:$DK,'25-BRA-I-090'!$I:$I,L207)+SUMIFS('25-BRA-I-090'!$ED:$ED,'25-BRA-I-090'!$I:$I,L207)</f>
        <v>0</v>
      </c>
      <c r="AJ207" s="1040">
        <f>SUMIFS('25-BRA-I-090'!$DO:$DO,'25-BRA-I-090'!$I:$I,L207)+26400*SUMIFS('25-BRA-I-090'!$EF:$EF,'25-BRA-I-090'!$I:$I,L207)</f>
        <v>4068020</v>
      </c>
      <c r="AK207" s="1072"/>
      <c r="AO207" s="1072"/>
    </row>
    <row r="208" spans="1:41" s="1039" customFormat="1" ht="30">
      <c r="A208" s="372"/>
      <c r="B208" s="1057" t="str">
        <f t="shared" si="48"/>
        <v>Nut-M20-ISO4032-8-tZn</v>
      </c>
      <c r="C208" s="1058" t="str">
        <f>VLOOKUP(L208,'25-BRA-I-090'!$I:$EZ,4,0)</f>
        <v>8-tZn</v>
      </c>
      <c r="D208" s="374" t="str">
        <f t="shared" si="47"/>
        <v>pcs</v>
      </c>
      <c r="E208" s="183"/>
      <c r="F208" s="184">
        <f t="shared" si="44"/>
        <v>2408</v>
      </c>
      <c r="G208" s="185">
        <f t="shared" si="44"/>
        <v>0</v>
      </c>
      <c r="H208" s="185">
        <f t="shared" si="44"/>
        <v>0</v>
      </c>
      <c r="I208" s="185">
        <f t="shared" si="49"/>
        <v>2408</v>
      </c>
      <c r="J208" s="185">
        <f t="shared" si="45"/>
        <v>4510</v>
      </c>
      <c r="K208" s="185">
        <f t="shared" si="46"/>
        <v>10860080</v>
      </c>
      <c r="L208" s="1184" t="s">
        <v>887</v>
      </c>
      <c r="M208" s="1059"/>
      <c r="N208" s="1059"/>
      <c r="O208" s="1038"/>
      <c r="P208" s="1054"/>
      <c r="Q208" s="1054"/>
      <c r="T208" s="1041"/>
      <c r="U208" s="1042"/>
      <c r="V208" s="1042"/>
      <c r="AA208" s="1039" t="str">
        <f>VLOOKUP(L208,'25-BRA-I-090'!$I:$EZ,2,0)</f>
        <v>Ốc</v>
      </c>
      <c r="AB208" s="1039" t="str">
        <f>VLOOKUP(L208,'25-BRA-I-090'!$I:$EZ,3,0)</f>
        <v>Nut-M20-ISO4032-8-tZn</v>
      </c>
      <c r="AC208" s="1039" t="str">
        <f>VLOOKUP(L208,'25-BRA-I-090'!$I:$EZ,5,0)</f>
        <v>pcs</v>
      </c>
      <c r="AD208" s="1039">
        <f>SUMIFS('25-BRA-I-090'!$CS:$CS,'25-BRA-I-090'!$I:$I,L208)</f>
        <v>2408</v>
      </c>
      <c r="AE208" s="1039">
        <f>SUMIFS('25-BRA-I-090'!$CT:$CT,'25-BRA-I-090'!$I:$I,L208)</f>
        <v>0</v>
      </c>
      <c r="AF208" s="1039">
        <f>SUMIFS('25-BRA-I-090'!$CW:$CW,'25-BRA-I-090'!$I:$I,L208)</f>
        <v>0</v>
      </c>
      <c r="AG208" s="1039">
        <f>SUMIFS('25-BRA-I-090'!$CX:$CX,'25-BRA-I-090'!$I:$I,L208)</f>
        <v>0</v>
      </c>
      <c r="AH208" s="1040">
        <f>SUMIFS('25-BRA-I-090'!$DJ:$DJ,'25-BRA-I-090'!$I:$I,L208)+SUMIFS('25-BRA-I-090'!$EC:$EC,'25-BRA-I-090'!$I:$I,L208)</f>
        <v>2408</v>
      </c>
      <c r="AI208" s="1040">
        <f>SUMIFS('25-BRA-I-090'!$DK:$DK,'25-BRA-I-090'!$I:$I,L208)+SUMIFS('25-BRA-I-090'!$ED:$ED,'25-BRA-I-090'!$I:$I,L208)</f>
        <v>0</v>
      </c>
      <c r="AJ208" s="1040">
        <f>SUMIFS('25-BRA-I-090'!$DO:$DO,'25-BRA-I-090'!$I:$I,L208)+26400*SUMIFS('25-BRA-I-090'!$EF:$EF,'25-BRA-I-090'!$I:$I,L208)</f>
        <v>10860080</v>
      </c>
      <c r="AK208" s="1072"/>
      <c r="AO208" s="1072"/>
    </row>
    <row r="209" spans="1:41" s="1039" customFormat="1" ht="30">
      <c r="A209" s="372"/>
      <c r="B209" s="1057" t="str">
        <f t="shared" si="48"/>
        <v>Nut-M24-DIN934-10-Galv</v>
      </c>
      <c r="C209" s="1058" t="str">
        <f>VLOOKUP(L209,'25-BRA-I-090'!$I:$EZ,4,0)</f>
        <v>10-Galv</v>
      </c>
      <c r="D209" s="374" t="str">
        <f t="shared" si="47"/>
        <v>pcs</v>
      </c>
      <c r="E209" s="183"/>
      <c r="F209" s="184">
        <f t="shared" si="44"/>
        <v>170</v>
      </c>
      <c r="G209" s="185">
        <f t="shared" si="44"/>
        <v>0</v>
      </c>
      <c r="H209" s="185">
        <f t="shared" si="44"/>
        <v>0</v>
      </c>
      <c r="I209" s="185">
        <f t="shared" si="49"/>
        <v>170</v>
      </c>
      <c r="J209" s="185">
        <f t="shared" si="45"/>
        <v>11000</v>
      </c>
      <c r="K209" s="185">
        <f t="shared" si="46"/>
        <v>1870000</v>
      </c>
      <c r="L209" s="1184" t="s">
        <v>889</v>
      </c>
      <c r="M209" s="1059"/>
      <c r="N209" s="1059"/>
      <c r="O209" s="1038"/>
      <c r="P209" s="1054"/>
      <c r="Q209" s="1054"/>
      <c r="T209" s="1041"/>
      <c r="U209" s="1042"/>
      <c r="V209" s="1042"/>
      <c r="AA209" s="1039" t="str">
        <f>VLOOKUP(L209,'25-BRA-I-090'!$I:$EZ,2,0)</f>
        <v>Ốc</v>
      </c>
      <c r="AB209" s="1039" t="str">
        <f>VLOOKUP(L209,'25-BRA-I-090'!$I:$EZ,3,0)</f>
        <v>Nut-M24-DIN934-10-Galv</v>
      </c>
      <c r="AC209" s="1039" t="str">
        <f>VLOOKUP(L209,'25-BRA-I-090'!$I:$EZ,5,0)</f>
        <v>pcs</v>
      </c>
      <c r="AD209" s="1039">
        <f>SUMIFS('25-BRA-I-090'!$CS:$CS,'25-BRA-I-090'!$I:$I,L209)</f>
        <v>170</v>
      </c>
      <c r="AE209" s="1039">
        <f>SUMIFS('25-BRA-I-090'!$CT:$CT,'25-BRA-I-090'!$I:$I,L209)</f>
        <v>0</v>
      </c>
      <c r="AF209" s="1039">
        <f>SUMIFS('25-BRA-I-090'!$CW:$CW,'25-BRA-I-090'!$I:$I,L209)</f>
        <v>0</v>
      </c>
      <c r="AG209" s="1039">
        <f>SUMIFS('25-BRA-I-090'!$CX:$CX,'25-BRA-I-090'!$I:$I,L209)</f>
        <v>0</v>
      </c>
      <c r="AH209" s="1040">
        <f>SUMIFS('25-BRA-I-090'!$DJ:$DJ,'25-BRA-I-090'!$I:$I,L209)+SUMIFS('25-BRA-I-090'!$EC:$EC,'25-BRA-I-090'!$I:$I,L209)</f>
        <v>170</v>
      </c>
      <c r="AI209" s="1040">
        <f>SUMIFS('25-BRA-I-090'!$DK:$DK,'25-BRA-I-090'!$I:$I,L209)+SUMIFS('25-BRA-I-090'!$ED:$ED,'25-BRA-I-090'!$I:$I,L209)</f>
        <v>0</v>
      </c>
      <c r="AJ209" s="1040">
        <f>SUMIFS('25-BRA-I-090'!$DO:$DO,'25-BRA-I-090'!$I:$I,L209)+26400*SUMIFS('25-BRA-I-090'!$EF:$EF,'25-BRA-I-090'!$I:$I,L209)</f>
        <v>1870000</v>
      </c>
      <c r="AK209" s="1072"/>
      <c r="AO209" s="1072"/>
    </row>
    <row r="210" spans="1:41" s="1039" customFormat="1" ht="30">
      <c r="A210" s="372"/>
      <c r="B210" s="1057" t="str">
        <f t="shared" si="48"/>
        <v>Nut-M24-EN14399-4-10-tZn</v>
      </c>
      <c r="C210" s="1058" t="str">
        <f>VLOOKUP(L210,'25-BRA-I-090'!$I:$EZ,4,0)</f>
        <v>10-tZn</v>
      </c>
      <c r="D210" s="374" t="str">
        <f t="shared" si="47"/>
        <v>pcs</v>
      </c>
      <c r="E210" s="183"/>
      <c r="F210" s="184">
        <f t="shared" si="44"/>
        <v>90</v>
      </c>
      <c r="G210" s="185">
        <f t="shared" si="44"/>
        <v>0</v>
      </c>
      <c r="H210" s="185">
        <f t="shared" si="44"/>
        <v>0</v>
      </c>
      <c r="I210" s="185">
        <f t="shared" si="49"/>
        <v>90</v>
      </c>
      <c r="J210" s="185">
        <f t="shared" si="45"/>
        <v>25000</v>
      </c>
      <c r="K210" s="185">
        <f t="shared" si="46"/>
        <v>2250000</v>
      </c>
      <c r="L210" s="1184" t="s">
        <v>891</v>
      </c>
      <c r="M210" s="1059"/>
      <c r="N210" s="1059"/>
      <c r="O210" s="1038"/>
      <c r="P210" s="1054"/>
      <c r="Q210" s="1054"/>
      <c r="T210" s="1041"/>
      <c r="U210" s="1042"/>
      <c r="V210" s="1042"/>
      <c r="AA210" s="1039" t="str">
        <f>VLOOKUP(L210,'25-BRA-I-090'!$I:$EZ,2,0)</f>
        <v>Ốc</v>
      </c>
      <c r="AB210" s="1039" t="str">
        <f>VLOOKUP(L210,'25-BRA-I-090'!$I:$EZ,3,0)</f>
        <v>Nut-M24-EN14399-4-10-tZn</v>
      </c>
      <c r="AC210" s="1039" t="str">
        <f>VLOOKUP(L210,'25-BRA-I-090'!$I:$EZ,5,0)</f>
        <v>pcs</v>
      </c>
      <c r="AD210" s="1039">
        <f>SUMIFS('25-BRA-I-090'!$CS:$CS,'25-BRA-I-090'!$I:$I,L210)</f>
        <v>90</v>
      </c>
      <c r="AE210" s="1039">
        <f>SUMIFS('25-BRA-I-090'!$CT:$CT,'25-BRA-I-090'!$I:$I,L210)</f>
        <v>0</v>
      </c>
      <c r="AF210" s="1039">
        <f>SUMIFS('25-BRA-I-090'!$CW:$CW,'25-BRA-I-090'!$I:$I,L210)</f>
        <v>0</v>
      </c>
      <c r="AG210" s="1039">
        <f>SUMIFS('25-BRA-I-090'!$CX:$CX,'25-BRA-I-090'!$I:$I,L210)</f>
        <v>0</v>
      </c>
      <c r="AH210" s="1040">
        <f>SUMIFS('25-BRA-I-090'!$DJ:$DJ,'25-BRA-I-090'!$I:$I,L210)+SUMIFS('25-BRA-I-090'!$EC:$EC,'25-BRA-I-090'!$I:$I,L210)</f>
        <v>90</v>
      </c>
      <c r="AI210" s="1040">
        <f>SUMIFS('25-BRA-I-090'!$DK:$DK,'25-BRA-I-090'!$I:$I,L210)+SUMIFS('25-BRA-I-090'!$ED:$ED,'25-BRA-I-090'!$I:$I,L210)</f>
        <v>0</v>
      </c>
      <c r="AJ210" s="1040">
        <f>SUMIFS('25-BRA-I-090'!$DO:$DO,'25-BRA-I-090'!$I:$I,L210)+26400*SUMIFS('25-BRA-I-090'!$EF:$EF,'25-BRA-I-090'!$I:$I,L210)</f>
        <v>2250000</v>
      </c>
      <c r="AK210" s="1072"/>
      <c r="AO210" s="1072"/>
    </row>
    <row r="211" spans="1:41" s="1039" customFormat="1" ht="30">
      <c r="A211" s="372"/>
      <c r="B211" s="1057" t="str">
        <f t="shared" si="48"/>
        <v>Nut-M24-ISO4032-8-Galv</v>
      </c>
      <c r="C211" s="1058" t="str">
        <f>VLOOKUP(L211,'25-BRA-I-090'!$I:$EZ,4,0)</f>
        <v>8-Galv</v>
      </c>
      <c r="D211" s="374" t="str">
        <f t="shared" si="47"/>
        <v>pcs</v>
      </c>
      <c r="E211" s="183"/>
      <c r="F211" s="184">
        <f t="shared" si="44"/>
        <v>20</v>
      </c>
      <c r="G211" s="185">
        <f t="shared" si="44"/>
        <v>0</v>
      </c>
      <c r="H211" s="185">
        <f t="shared" si="44"/>
        <v>0</v>
      </c>
      <c r="I211" s="185">
        <f t="shared" si="49"/>
        <v>20</v>
      </c>
      <c r="J211" s="185">
        <f t="shared" si="45"/>
        <v>7700</v>
      </c>
      <c r="K211" s="185">
        <f t="shared" si="46"/>
        <v>154000</v>
      </c>
      <c r="L211" s="1184" t="s">
        <v>894</v>
      </c>
      <c r="M211" s="1059"/>
      <c r="N211" s="1059"/>
      <c r="O211" s="1038"/>
      <c r="P211" s="1054"/>
      <c r="Q211" s="1054"/>
      <c r="T211" s="1041"/>
      <c r="U211" s="1042"/>
      <c r="V211" s="1042"/>
      <c r="AA211" s="1039" t="str">
        <f>VLOOKUP(L211,'25-BRA-I-090'!$I:$EZ,2,0)</f>
        <v>Ốc</v>
      </c>
      <c r="AB211" s="1039" t="str">
        <f>VLOOKUP(L211,'25-BRA-I-090'!$I:$EZ,3,0)</f>
        <v>Nut-M24-ISO4032-8-Galv</v>
      </c>
      <c r="AC211" s="1039" t="str">
        <f>VLOOKUP(L211,'25-BRA-I-090'!$I:$EZ,5,0)</f>
        <v>pcs</v>
      </c>
      <c r="AD211" s="1039">
        <f>SUMIFS('25-BRA-I-090'!$CS:$CS,'25-BRA-I-090'!$I:$I,L211)</f>
        <v>20</v>
      </c>
      <c r="AE211" s="1039">
        <f>SUMIFS('25-BRA-I-090'!$CT:$CT,'25-BRA-I-090'!$I:$I,L211)</f>
        <v>0</v>
      </c>
      <c r="AF211" s="1039">
        <f>SUMIFS('25-BRA-I-090'!$CW:$CW,'25-BRA-I-090'!$I:$I,L211)</f>
        <v>0</v>
      </c>
      <c r="AG211" s="1039">
        <f>SUMIFS('25-BRA-I-090'!$CX:$CX,'25-BRA-I-090'!$I:$I,L211)</f>
        <v>0</v>
      </c>
      <c r="AH211" s="1040">
        <f>SUMIFS('25-BRA-I-090'!$DJ:$DJ,'25-BRA-I-090'!$I:$I,L211)+SUMIFS('25-BRA-I-090'!$EC:$EC,'25-BRA-I-090'!$I:$I,L211)</f>
        <v>20</v>
      </c>
      <c r="AI211" s="1040">
        <f>SUMIFS('25-BRA-I-090'!$DK:$DK,'25-BRA-I-090'!$I:$I,L211)+SUMIFS('25-BRA-I-090'!$ED:$ED,'25-BRA-I-090'!$I:$I,L211)</f>
        <v>0</v>
      </c>
      <c r="AJ211" s="1040">
        <f>SUMIFS('25-BRA-I-090'!$DO:$DO,'25-BRA-I-090'!$I:$I,L211)+26400*SUMIFS('25-BRA-I-090'!$EF:$EF,'25-BRA-I-090'!$I:$I,L211)</f>
        <v>154000</v>
      </c>
      <c r="AK211" s="1072"/>
      <c r="AO211" s="1072"/>
    </row>
    <row r="212" spans="1:41" s="1039" customFormat="1" ht="30">
      <c r="A212" s="372"/>
      <c r="B212" s="1057" t="str">
        <f t="shared" si="48"/>
        <v>Nut-M24-ISO4032-8-tZn</v>
      </c>
      <c r="C212" s="1058" t="str">
        <f>VLOOKUP(L212,'25-BRA-I-090'!$I:$EZ,4,0)</f>
        <v>8-tZn</v>
      </c>
      <c r="D212" s="374" t="str">
        <f t="shared" si="47"/>
        <v>pcs</v>
      </c>
      <c r="E212" s="183"/>
      <c r="F212" s="184">
        <f t="shared" si="44"/>
        <v>2146</v>
      </c>
      <c r="G212" s="185">
        <f t="shared" si="44"/>
        <v>0</v>
      </c>
      <c r="H212" s="185">
        <f t="shared" si="44"/>
        <v>0</v>
      </c>
      <c r="I212" s="185">
        <f t="shared" si="49"/>
        <v>2146</v>
      </c>
      <c r="J212" s="185">
        <f t="shared" si="45"/>
        <v>7700</v>
      </c>
      <c r="K212" s="185">
        <f t="shared" si="46"/>
        <v>16524200</v>
      </c>
      <c r="L212" s="1184" t="s">
        <v>896</v>
      </c>
      <c r="M212" s="1059"/>
      <c r="N212" s="1059"/>
      <c r="O212" s="1038"/>
      <c r="P212" s="1054"/>
      <c r="Q212" s="1054"/>
      <c r="T212" s="1041"/>
      <c r="U212" s="1042"/>
      <c r="V212" s="1042"/>
      <c r="AA212" s="1039" t="str">
        <f>VLOOKUP(L212,'25-BRA-I-090'!$I:$EZ,2,0)</f>
        <v>Ốc</v>
      </c>
      <c r="AB212" s="1039" t="str">
        <f>VLOOKUP(L212,'25-BRA-I-090'!$I:$EZ,3,0)</f>
        <v>Nut-M24-ISO4032-8-tZn</v>
      </c>
      <c r="AC212" s="1039" t="str">
        <f>VLOOKUP(L212,'25-BRA-I-090'!$I:$EZ,5,0)</f>
        <v>pcs</v>
      </c>
      <c r="AD212" s="1039">
        <f>SUMIFS('25-BRA-I-090'!$CS:$CS,'25-BRA-I-090'!$I:$I,L212)</f>
        <v>2146</v>
      </c>
      <c r="AE212" s="1039">
        <f>SUMIFS('25-BRA-I-090'!$CT:$CT,'25-BRA-I-090'!$I:$I,L212)</f>
        <v>0</v>
      </c>
      <c r="AF212" s="1039">
        <f>SUMIFS('25-BRA-I-090'!$CW:$CW,'25-BRA-I-090'!$I:$I,L212)</f>
        <v>0</v>
      </c>
      <c r="AG212" s="1039">
        <f>SUMIFS('25-BRA-I-090'!$CX:$CX,'25-BRA-I-090'!$I:$I,L212)</f>
        <v>0</v>
      </c>
      <c r="AH212" s="1040">
        <f>SUMIFS('25-BRA-I-090'!$DJ:$DJ,'25-BRA-I-090'!$I:$I,L212)+SUMIFS('25-BRA-I-090'!$EC:$EC,'25-BRA-I-090'!$I:$I,L212)</f>
        <v>2146</v>
      </c>
      <c r="AI212" s="1040">
        <f>SUMIFS('25-BRA-I-090'!$DK:$DK,'25-BRA-I-090'!$I:$I,L212)+SUMIFS('25-BRA-I-090'!$ED:$ED,'25-BRA-I-090'!$I:$I,L212)</f>
        <v>0</v>
      </c>
      <c r="AJ212" s="1040">
        <f>SUMIFS('25-BRA-I-090'!$DO:$DO,'25-BRA-I-090'!$I:$I,L212)+26400*SUMIFS('25-BRA-I-090'!$EF:$EF,'25-BRA-I-090'!$I:$I,L212)</f>
        <v>16524200</v>
      </c>
      <c r="AK212" s="1072"/>
      <c r="AO212" s="1072"/>
    </row>
    <row r="213" spans="1:41" s="1039" customFormat="1" ht="30">
      <c r="A213" s="372"/>
      <c r="B213" s="1057" t="str">
        <f t="shared" si="48"/>
        <v>Nut-M30-ISO4032-8-Galv</v>
      </c>
      <c r="C213" s="1058" t="str">
        <f>VLOOKUP(L213,'25-BRA-I-090'!$I:$EZ,4,0)</f>
        <v>8-Galv</v>
      </c>
      <c r="D213" s="374" t="str">
        <f t="shared" si="47"/>
        <v>pcs</v>
      </c>
      <c r="E213" s="183"/>
      <c r="F213" s="184">
        <f t="shared" si="44"/>
        <v>90</v>
      </c>
      <c r="G213" s="185">
        <f t="shared" si="44"/>
        <v>0</v>
      </c>
      <c r="H213" s="185">
        <f t="shared" si="44"/>
        <v>0</v>
      </c>
      <c r="I213" s="185">
        <f t="shared" si="49"/>
        <v>90</v>
      </c>
      <c r="J213" s="185">
        <f t="shared" si="45"/>
        <v>15610</v>
      </c>
      <c r="K213" s="185">
        <f t="shared" si="46"/>
        <v>1404900</v>
      </c>
      <c r="L213" s="1184" t="s">
        <v>898</v>
      </c>
      <c r="M213" s="1059"/>
      <c r="N213" s="1059"/>
      <c r="O213" s="1038"/>
      <c r="P213" s="1054"/>
      <c r="Q213" s="1054"/>
      <c r="T213" s="1041"/>
      <c r="U213" s="1042"/>
      <c r="V213" s="1042"/>
      <c r="AA213" s="1039" t="str">
        <f>VLOOKUP(L213,'25-BRA-I-090'!$I:$EZ,2,0)</f>
        <v>Ốc</v>
      </c>
      <c r="AB213" s="1039" t="str">
        <f>VLOOKUP(L213,'25-BRA-I-090'!$I:$EZ,3,0)</f>
        <v>Nut-M30-ISO4032-8-Galv</v>
      </c>
      <c r="AC213" s="1039" t="str">
        <f>VLOOKUP(L213,'25-BRA-I-090'!$I:$EZ,5,0)</f>
        <v>pcs</v>
      </c>
      <c r="AD213" s="1039">
        <f>SUMIFS('25-BRA-I-090'!$CS:$CS,'25-BRA-I-090'!$I:$I,L213)</f>
        <v>90</v>
      </c>
      <c r="AE213" s="1039">
        <f>SUMIFS('25-BRA-I-090'!$CT:$CT,'25-BRA-I-090'!$I:$I,L213)</f>
        <v>0</v>
      </c>
      <c r="AF213" s="1039">
        <f>SUMIFS('25-BRA-I-090'!$CW:$CW,'25-BRA-I-090'!$I:$I,L213)</f>
        <v>0</v>
      </c>
      <c r="AG213" s="1039">
        <f>SUMIFS('25-BRA-I-090'!$CX:$CX,'25-BRA-I-090'!$I:$I,L213)</f>
        <v>0</v>
      </c>
      <c r="AH213" s="1040">
        <f>SUMIFS('25-BRA-I-090'!$DJ:$DJ,'25-BRA-I-090'!$I:$I,L213)+SUMIFS('25-BRA-I-090'!$EC:$EC,'25-BRA-I-090'!$I:$I,L213)</f>
        <v>90</v>
      </c>
      <c r="AI213" s="1040">
        <f>SUMIFS('25-BRA-I-090'!$DK:$DK,'25-BRA-I-090'!$I:$I,L213)+SUMIFS('25-BRA-I-090'!$ED:$ED,'25-BRA-I-090'!$I:$I,L213)</f>
        <v>0</v>
      </c>
      <c r="AJ213" s="1040">
        <f>SUMIFS('25-BRA-I-090'!$DO:$DO,'25-BRA-I-090'!$I:$I,L213)+26400*SUMIFS('25-BRA-I-090'!$EF:$EF,'25-BRA-I-090'!$I:$I,L213)</f>
        <v>1404900</v>
      </c>
      <c r="AK213" s="1072"/>
      <c r="AO213" s="1072"/>
    </row>
    <row r="214" spans="1:41" s="1039" customFormat="1" ht="30">
      <c r="A214" s="372"/>
      <c r="B214" s="1057" t="str">
        <f t="shared" si="48"/>
        <v>Nut-M30-ISO4032-8-tZn</v>
      </c>
      <c r="C214" s="1058" t="str">
        <f>VLOOKUP(L214,'25-BRA-I-090'!$I:$EZ,4,0)</f>
        <v>8-tZn</v>
      </c>
      <c r="D214" s="374" t="str">
        <f t="shared" si="47"/>
        <v>pcs</v>
      </c>
      <c r="E214" s="183"/>
      <c r="F214" s="184">
        <f t="shared" si="44"/>
        <v>680</v>
      </c>
      <c r="G214" s="185">
        <f t="shared" si="44"/>
        <v>0</v>
      </c>
      <c r="H214" s="185">
        <f t="shared" si="44"/>
        <v>0</v>
      </c>
      <c r="I214" s="185">
        <f t="shared" si="49"/>
        <v>680</v>
      </c>
      <c r="J214" s="185">
        <f t="shared" si="45"/>
        <v>15610</v>
      </c>
      <c r="K214" s="185">
        <f t="shared" si="46"/>
        <v>10614800</v>
      </c>
      <c r="L214" s="1184" t="s">
        <v>900</v>
      </c>
      <c r="M214" s="1059"/>
      <c r="N214" s="1059"/>
      <c r="O214" s="1038"/>
      <c r="P214" s="1054"/>
      <c r="Q214" s="1054"/>
      <c r="T214" s="1041"/>
      <c r="U214" s="1042"/>
      <c r="V214" s="1042"/>
      <c r="AA214" s="1039" t="str">
        <f>VLOOKUP(L214,'25-BRA-I-090'!$I:$EZ,2,0)</f>
        <v>Ốc</v>
      </c>
      <c r="AB214" s="1039" t="str">
        <f>VLOOKUP(L214,'25-BRA-I-090'!$I:$EZ,3,0)</f>
        <v>Nut-M30-ISO4032-8-tZn</v>
      </c>
      <c r="AC214" s="1039" t="str">
        <f>VLOOKUP(L214,'25-BRA-I-090'!$I:$EZ,5,0)</f>
        <v>pcs</v>
      </c>
      <c r="AD214" s="1039">
        <f>SUMIFS('25-BRA-I-090'!$CS:$CS,'25-BRA-I-090'!$I:$I,L214)</f>
        <v>680</v>
      </c>
      <c r="AE214" s="1039">
        <f>SUMIFS('25-BRA-I-090'!$CT:$CT,'25-BRA-I-090'!$I:$I,L214)</f>
        <v>0</v>
      </c>
      <c r="AF214" s="1039">
        <f>SUMIFS('25-BRA-I-090'!$CW:$CW,'25-BRA-I-090'!$I:$I,L214)</f>
        <v>0</v>
      </c>
      <c r="AG214" s="1039">
        <f>SUMIFS('25-BRA-I-090'!$CX:$CX,'25-BRA-I-090'!$I:$I,L214)</f>
        <v>0</v>
      </c>
      <c r="AH214" s="1040">
        <f>SUMIFS('25-BRA-I-090'!$DJ:$DJ,'25-BRA-I-090'!$I:$I,L214)+SUMIFS('25-BRA-I-090'!$EC:$EC,'25-BRA-I-090'!$I:$I,L214)</f>
        <v>680</v>
      </c>
      <c r="AI214" s="1040">
        <f>SUMIFS('25-BRA-I-090'!$DK:$DK,'25-BRA-I-090'!$I:$I,L214)+SUMIFS('25-BRA-I-090'!$ED:$ED,'25-BRA-I-090'!$I:$I,L214)</f>
        <v>0</v>
      </c>
      <c r="AJ214" s="1040">
        <f>SUMIFS('25-BRA-I-090'!$DO:$DO,'25-BRA-I-090'!$I:$I,L214)+26400*SUMIFS('25-BRA-I-090'!$EF:$EF,'25-BRA-I-090'!$I:$I,L214)</f>
        <v>10614800</v>
      </c>
      <c r="AK214" s="1072"/>
      <c r="AO214" s="1072"/>
    </row>
    <row r="215" spans="1:41" s="1039" customFormat="1" ht="30">
      <c r="A215" s="372"/>
      <c r="B215" s="1057" t="str">
        <f t="shared" si="48"/>
        <v>Nut-M4-ISO4032-8-Galv</v>
      </c>
      <c r="C215" s="1058" t="str">
        <f>VLOOKUP(L215,'25-BRA-I-090'!$I:$EZ,4,0)</f>
        <v>8-Galv</v>
      </c>
      <c r="D215" s="374" t="str">
        <f t="shared" si="47"/>
        <v>pcs</v>
      </c>
      <c r="E215" s="183"/>
      <c r="F215" s="184">
        <f t="shared" si="44"/>
        <v>100</v>
      </c>
      <c r="G215" s="185">
        <f t="shared" si="44"/>
        <v>0</v>
      </c>
      <c r="H215" s="185">
        <f t="shared" si="44"/>
        <v>0</v>
      </c>
      <c r="I215" s="185">
        <f t="shared" si="49"/>
        <v>100</v>
      </c>
      <c r="J215" s="185">
        <f t="shared" si="45"/>
        <v>60</v>
      </c>
      <c r="K215" s="185">
        <f t="shared" si="46"/>
        <v>6000</v>
      </c>
      <c r="L215" s="1184" t="s">
        <v>902</v>
      </c>
      <c r="M215" s="1059"/>
      <c r="N215" s="1059"/>
      <c r="O215" s="1038"/>
      <c r="P215" s="1054"/>
      <c r="Q215" s="1054"/>
      <c r="T215" s="1041"/>
      <c r="U215" s="1042"/>
      <c r="V215" s="1042"/>
      <c r="AA215" s="1039" t="str">
        <f>VLOOKUP(L215,'25-BRA-I-090'!$I:$EZ,2,0)</f>
        <v>Ốc</v>
      </c>
      <c r="AB215" s="1039" t="str">
        <f>VLOOKUP(L215,'25-BRA-I-090'!$I:$EZ,3,0)</f>
        <v>Nut-M4-ISO4032-8-Galv</v>
      </c>
      <c r="AC215" s="1039" t="str">
        <f>VLOOKUP(L215,'25-BRA-I-090'!$I:$EZ,5,0)</f>
        <v>pcs</v>
      </c>
      <c r="AD215" s="1039">
        <f>SUMIFS('25-BRA-I-090'!$CS:$CS,'25-BRA-I-090'!$I:$I,L215)</f>
        <v>100</v>
      </c>
      <c r="AE215" s="1039">
        <f>SUMIFS('25-BRA-I-090'!$CT:$CT,'25-BRA-I-090'!$I:$I,L215)</f>
        <v>0</v>
      </c>
      <c r="AF215" s="1039">
        <f>SUMIFS('25-BRA-I-090'!$CW:$CW,'25-BRA-I-090'!$I:$I,L215)</f>
        <v>0</v>
      </c>
      <c r="AG215" s="1039">
        <f>SUMIFS('25-BRA-I-090'!$CX:$CX,'25-BRA-I-090'!$I:$I,L215)</f>
        <v>0</v>
      </c>
      <c r="AH215" s="1040">
        <f>SUMIFS('25-BRA-I-090'!$DJ:$DJ,'25-BRA-I-090'!$I:$I,L215)+SUMIFS('25-BRA-I-090'!$EC:$EC,'25-BRA-I-090'!$I:$I,L215)</f>
        <v>100</v>
      </c>
      <c r="AI215" s="1040">
        <f>SUMIFS('25-BRA-I-090'!$DK:$DK,'25-BRA-I-090'!$I:$I,L215)+SUMIFS('25-BRA-I-090'!$ED:$ED,'25-BRA-I-090'!$I:$I,L215)</f>
        <v>0</v>
      </c>
      <c r="AJ215" s="1040">
        <f>SUMIFS('25-BRA-I-090'!$DO:$DO,'25-BRA-I-090'!$I:$I,L215)+26400*SUMIFS('25-BRA-I-090'!$EF:$EF,'25-BRA-I-090'!$I:$I,L215)</f>
        <v>6000</v>
      </c>
      <c r="AK215" s="1072"/>
      <c r="AO215" s="1072"/>
    </row>
    <row r="216" spans="1:41" s="1039" customFormat="1" ht="30">
      <c r="A216" s="372"/>
      <c r="B216" s="1057" t="str">
        <f t="shared" si="48"/>
        <v>Nut-M52-DIN439-8-Galv</v>
      </c>
      <c r="C216" s="1058" t="str">
        <f>VLOOKUP(L216,'25-BRA-I-090'!$I:$EZ,4,0)</f>
        <v>8-Galv</v>
      </c>
      <c r="D216" s="374" t="str">
        <f t="shared" si="47"/>
        <v>pcs</v>
      </c>
      <c r="E216" s="183"/>
      <c r="F216" s="184">
        <f t="shared" si="44"/>
        <v>100</v>
      </c>
      <c r="G216" s="185">
        <f t="shared" si="44"/>
        <v>0</v>
      </c>
      <c r="H216" s="185">
        <f t="shared" si="44"/>
        <v>0</v>
      </c>
      <c r="I216" s="185">
        <f t="shared" si="49"/>
        <v>100</v>
      </c>
      <c r="J216" s="185">
        <f t="shared" si="45"/>
        <v>122000</v>
      </c>
      <c r="K216" s="185">
        <f t="shared" si="46"/>
        <v>12200000</v>
      </c>
      <c r="L216" s="1184" t="s">
        <v>904</v>
      </c>
      <c r="M216" s="1059"/>
      <c r="N216" s="1059"/>
      <c r="O216" s="1038"/>
      <c r="P216" s="1054"/>
      <c r="Q216" s="1054"/>
      <c r="T216" s="1041"/>
      <c r="U216" s="1042"/>
      <c r="V216" s="1042"/>
      <c r="AA216" s="1039" t="str">
        <f>VLOOKUP(L216,'25-BRA-I-090'!$I:$EZ,2,0)</f>
        <v>Ốc</v>
      </c>
      <c r="AB216" s="1039" t="str">
        <f>VLOOKUP(L216,'25-BRA-I-090'!$I:$EZ,3,0)</f>
        <v>Nut-M52-DIN439-8-Galv</v>
      </c>
      <c r="AC216" s="1039" t="str">
        <f>VLOOKUP(L216,'25-BRA-I-090'!$I:$EZ,5,0)</f>
        <v>pcs</v>
      </c>
      <c r="AD216" s="1039">
        <f>SUMIFS('25-BRA-I-090'!$CS:$CS,'25-BRA-I-090'!$I:$I,L216)</f>
        <v>100</v>
      </c>
      <c r="AE216" s="1039">
        <f>SUMIFS('25-BRA-I-090'!$CT:$CT,'25-BRA-I-090'!$I:$I,L216)</f>
        <v>0</v>
      </c>
      <c r="AF216" s="1039">
        <f>SUMIFS('25-BRA-I-090'!$CW:$CW,'25-BRA-I-090'!$I:$I,L216)</f>
        <v>0</v>
      </c>
      <c r="AG216" s="1039">
        <f>SUMIFS('25-BRA-I-090'!$CX:$CX,'25-BRA-I-090'!$I:$I,L216)</f>
        <v>0</v>
      </c>
      <c r="AH216" s="1040">
        <f>SUMIFS('25-BRA-I-090'!$DJ:$DJ,'25-BRA-I-090'!$I:$I,L216)+SUMIFS('25-BRA-I-090'!$EC:$EC,'25-BRA-I-090'!$I:$I,L216)</f>
        <v>100</v>
      </c>
      <c r="AI216" s="1040">
        <f>SUMIFS('25-BRA-I-090'!$DK:$DK,'25-BRA-I-090'!$I:$I,L216)+SUMIFS('25-BRA-I-090'!$ED:$ED,'25-BRA-I-090'!$I:$I,L216)</f>
        <v>0</v>
      </c>
      <c r="AJ216" s="1040">
        <f>SUMIFS('25-BRA-I-090'!$DO:$DO,'25-BRA-I-090'!$I:$I,L216)+26400*SUMIFS('25-BRA-I-090'!$EF:$EF,'25-BRA-I-090'!$I:$I,L216)</f>
        <v>12200000</v>
      </c>
      <c r="AK216" s="1072"/>
      <c r="AO216" s="1072"/>
    </row>
    <row r="217" spans="1:41" s="1039" customFormat="1" ht="30">
      <c r="A217" s="372"/>
      <c r="B217" s="1057" t="str">
        <f t="shared" si="48"/>
        <v>NUT-M5-ISO4032-8-Galv</v>
      </c>
      <c r="C217" s="1058" t="str">
        <f>VLOOKUP(L217,'25-BRA-I-090'!$I:$EZ,4,0)</f>
        <v>8-Galv</v>
      </c>
      <c r="D217" s="374" t="str">
        <f t="shared" si="47"/>
        <v>pcs</v>
      </c>
      <c r="E217" s="183"/>
      <c r="F217" s="184">
        <f t="shared" si="44"/>
        <v>92</v>
      </c>
      <c r="G217" s="185">
        <f t="shared" si="44"/>
        <v>0</v>
      </c>
      <c r="H217" s="185">
        <f t="shared" si="44"/>
        <v>0</v>
      </c>
      <c r="I217" s="185">
        <f t="shared" si="49"/>
        <v>92</v>
      </c>
      <c r="J217" s="185">
        <f t="shared" si="45"/>
        <v>90</v>
      </c>
      <c r="K217" s="185">
        <f t="shared" si="46"/>
        <v>8280</v>
      </c>
      <c r="L217" s="1184" t="s">
        <v>906</v>
      </c>
      <c r="M217" s="1059"/>
      <c r="N217" s="1059"/>
      <c r="O217" s="1038"/>
      <c r="P217" s="1054"/>
      <c r="Q217" s="1054"/>
      <c r="T217" s="1041"/>
      <c r="U217" s="1042"/>
      <c r="V217" s="1042"/>
      <c r="AA217" s="1039" t="str">
        <f>VLOOKUP(L217,'25-BRA-I-090'!$I:$EZ,2,0)</f>
        <v>Ốc</v>
      </c>
      <c r="AB217" s="1039" t="str">
        <f>VLOOKUP(L217,'25-BRA-I-090'!$I:$EZ,3,0)</f>
        <v>NUT-M5-ISO4032-8-Galv</v>
      </c>
      <c r="AC217" s="1039" t="str">
        <f>VLOOKUP(L217,'25-BRA-I-090'!$I:$EZ,5,0)</f>
        <v>pcs</v>
      </c>
      <c r="AD217" s="1039">
        <f>SUMIFS('25-BRA-I-090'!$CS:$CS,'25-BRA-I-090'!$I:$I,L217)</f>
        <v>92</v>
      </c>
      <c r="AE217" s="1039">
        <f>SUMIFS('25-BRA-I-090'!$CT:$CT,'25-BRA-I-090'!$I:$I,L217)</f>
        <v>0</v>
      </c>
      <c r="AF217" s="1039">
        <f>SUMIFS('25-BRA-I-090'!$CW:$CW,'25-BRA-I-090'!$I:$I,L217)</f>
        <v>0</v>
      </c>
      <c r="AG217" s="1039">
        <f>SUMIFS('25-BRA-I-090'!$CX:$CX,'25-BRA-I-090'!$I:$I,L217)</f>
        <v>0</v>
      </c>
      <c r="AH217" s="1040">
        <f>SUMIFS('25-BRA-I-090'!$DJ:$DJ,'25-BRA-I-090'!$I:$I,L217)+SUMIFS('25-BRA-I-090'!$EC:$EC,'25-BRA-I-090'!$I:$I,L217)</f>
        <v>92</v>
      </c>
      <c r="AI217" s="1040">
        <f>SUMIFS('25-BRA-I-090'!$DK:$DK,'25-BRA-I-090'!$I:$I,L217)+SUMIFS('25-BRA-I-090'!$ED:$ED,'25-BRA-I-090'!$I:$I,L217)</f>
        <v>0</v>
      </c>
      <c r="AJ217" s="1040">
        <f>SUMIFS('25-BRA-I-090'!$DO:$DO,'25-BRA-I-090'!$I:$I,L217)+26400*SUMIFS('25-BRA-I-090'!$EF:$EF,'25-BRA-I-090'!$I:$I,L217)</f>
        <v>8280</v>
      </c>
      <c r="AK217" s="1072"/>
      <c r="AO217" s="1072"/>
    </row>
    <row r="218" spans="1:41" s="1039" customFormat="1" ht="30">
      <c r="A218" s="372"/>
      <c r="B218" s="1057" t="str">
        <f t="shared" si="48"/>
        <v>Nut-M6-ISO4032-8-Galv</v>
      </c>
      <c r="C218" s="1058" t="str">
        <f>VLOOKUP(L218,'25-BRA-I-090'!$I:$EZ,4,0)</f>
        <v>8-Galv</v>
      </c>
      <c r="D218" s="374" t="str">
        <f t="shared" si="47"/>
        <v>pcs</v>
      </c>
      <c r="E218" s="183"/>
      <c r="F218" s="184">
        <f t="shared" si="44"/>
        <v>380</v>
      </c>
      <c r="G218" s="185">
        <f t="shared" si="44"/>
        <v>0</v>
      </c>
      <c r="H218" s="185">
        <f t="shared" si="44"/>
        <v>0</v>
      </c>
      <c r="I218" s="185">
        <f t="shared" si="49"/>
        <v>300</v>
      </c>
      <c r="J218" s="185">
        <f t="shared" si="45"/>
        <v>180</v>
      </c>
      <c r="K218" s="185">
        <f t="shared" si="46"/>
        <v>54000</v>
      </c>
      <c r="L218" s="1184" t="s">
        <v>908</v>
      </c>
      <c r="M218" s="1059"/>
      <c r="N218" s="1059"/>
      <c r="O218" s="1038"/>
      <c r="P218" s="1054"/>
      <c r="Q218" s="1054"/>
      <c r="T218" s="1041"/>
      <c r="U218" s="1042"/>
      <c r="V218" s="1042"/>
      <c r="AA218" s="1039" t="str">
        <f>VLOOKUP(L218,'25-BRA-I-090'!$I:$EZ,2,0)</f>
        <v>Ốc</v>
      </c>
      <c r="AB218" s="1039" t="str">
        <f>VLOOKUP(L218,'25-BRA-I-090'!$I:$EZ,3,0)</f>
        <v>Nut-M6-ISO4032-8-Galv</v>
      </c>
      <c r="AC218" s="1039" t="str">
        <f>VLOOKUP(L218,'25-BRA-I-090'!$I:$EZ,5,0)</f>
        <v>pcs</v>
      </c>
      <c r="AD218" s="1039">
        <f>SUMIFS('25-BRA-I-090'!$CS:$CS,'25-BRA-I-090'!$I:$I,L218)</f>
        <v>380</v>
      </c>
      <c r="AE218" s="1039">
        <f>SUMIFS('25-BRA-I-090'!$CT:$CT,'25-BRA-I-090'!$I:$I,L218)</f>
        <v>0</v>
      </c>
      <c r="AF218" s="1039">
        <f>SUMIFS('25-BRA-I-090'!$CW:$CW,'25-BRA-I-090'!$I:$I,L218)</f>
        <v>0</v>
      </c>
      <c r="AG218" s="1039">
        <f>SUMIFS('25-BRA-I-090'!$CX:$CX,'25-BRA-I-090'!$I:$I,L218)</f>
        <v>0</v>
      </c>
      <c r="AH218" s="1040">
        <f>SUMIFS('25-BRA-I-090'!$DJ:$DJ,'25-BRA-I-090'!$I:$I,L218)+SUMIFS('25-BRA-I-090'!$EC:$EC,'25-BRA-I-090'!$I:$I,L218)</f>
        <v>300</v>
      </c>
      <c r="AI218" s="1040">
        <f>SUMIFS('25-BRA-I-090'!$DK:$DK,'25-BRA-I-090'!$I:$I,L218)+SUMIFS('25-BRA-I-090'!$ED:$ED,'25-BRA-I-090'!$I:$I,L218)</f>
        <v>0</v>
      </c>
      <c r="AJ218" s="1040">
        <f>SUMIFS('25-BRA-I-090'!$DO:$DO,'25-BRA-I-090'!$I:$I,L218)+26400*SUMIFS('25-BRA-I-090'!$EF:$EF,'25-BRA-I-090'!$I:$I,L218)</f>
        <v>54000</v>
      </c>
      <c r="AK218" s="1072"/>
      <c r="AO218" s="1072"/>
    </row>
    <row r="219" spans="1:41" s="1039" customFormat="1" ht="30">
      <c r="A219" s="372"/>
      <c r="B219" s="1057" t="str">
        <f t="shared" si="48"/>
        <v>Nut-M8-Din985-8-Galv</v>
      </c>
      <c r="C219" s="1058" t="str">
        <f>VLOOKUP(L219,'25-BRA-I-090'!$I:$EZ,4,0)</f>
        <v>8-Galv</v>
      </c>
      <c r="D219" s="374" t="str">
        <f t="shared" si="47"/>
        <v>pcs</v>
      </c>
      <c r="E219" s="183"/>
      <c r="F219" s="184">
        <f t="shared" ref="F219:H278" si="50">AD219</f>
        <v>332</v>
      </c>
      <c r="G219" s="185">
        <f t="shared" si="50"/>
        <v>0</v>
      </c>
      <c r="H219" s="185">
        <f t="shared" si="50"/>
        <v>0</v>
      </c>
      <c r="I219" s="185">
        <f t="shared" si="49"/>
        <v>332</v>
      </c>
      <c r="J219" s="185">
        <f t="shared" si="45"/>
        <v>520</v>
      </c>
      <c r="K219" s="185">
        <f t="shared" si="46"/>
        <v>172640</v>
      </c>
      <c r="L219" s="1184" t="s">
        <v>910</v>
      </c>
      <c r="M219" s="1059"/>
      <c r="N219" s="1059"/>
      <c r="O219" s="1038"/>
      <c r="P219" s="1054"/>
      <c r="Q219" s="1054"/>
      <c r="T219" s="1041"/>
      <c r="U219" s="1042"/>
      <c r="V219" s="1042"/>
      <c r="AA219" s="1039" t="str">
        <f>VLOOKUP(L219,'25-BRA-I-090'!$I:$EZ,2,0)</f>
        <v>Ốc</v>
      </c>
      <c r="AB219" s="1039" t="str">
        <f>VLOOKUP(L219,'25-BRA-I-090'!$I:$EZ,3,0)</f>
        <v>Nut-M8-Din985-8-Galv</v>
      </c>
      <c r="AC219" s="1039" t="str">
        <f>VLOOKUP(L219,'25-BRA-I-090'!$I:$EZ,5,0)</f>
        <v>pcs</v>
      </c>
      <c r="AD219" s="1039">
        <f>SUMIFS('25-BRA-I-090'!$CS:$CS,'25-BRA-I-090'!$I:$I,L219)</f>
        <v>332</v>
      </c>
      <c r="AE219" s="1039">
        <f>SUMIFS('25-BRA-I-090'!$CT:$CT,'25-BRA-I-090'!$I:$I,L219)</f>
        <v>0</v>
      </c>
      <c r="AF219" s="1039">
        <f>SUMIFS('25-BRA-I-090'!$CW:$CW,'25-BRA-I-090'!$I:$I,L219)</f>
        <v>0</v>
      </c>
      <c r="AG219" s="1039">
        <f>SUMIFS('25-BRA-I-090'!$CX:$CX,'25-BRA-I-090'!$I:$I,L219)</f>
        <v>0</v>
      </c>
      <c r="AH219" s="1040">
        <f>SUMIFS('25-BRA-I-090'!$DJ:$DJ,'25-BRA-I-090'!$I:$I,L219)+SUMIFS('25-BRA-I-090'!$EC:$EC,'25-BRA-I-090'!$I:$I,L219)</f>
        <v>332</v>
      </c>
      <c r="AI219" s="1040">
        <f>SUMIFS('25-BRA-I-090'!$DK:$DK,'25-BRA-I-090'!$I:$I,L219)+SUMIFS('25-BRA-I-090'!$ED:$ED,'25-BRA-I-090'!$I:$I,L219)</f>
        <v>0</v>
      </c>
      <c r="AJ219" s="1040">
        <f>SUMIFS('25-BRA-I-090'!$DO:$DO,'25-BRA-I-090'!$I:$I,L219)+26400*SUMIFS('25-BRA-I-090'!$EF:$EF,'25-BRA-I-090'!$I:$I,L219)</f>
        <v>172640</v>
      </c>
      <c r="AK219" s="1072"/>
      <c r="AO219" s="1072"/>
    </row>
    <row r="220" spans="1:41" s="1039" customFormat="1" ht="30">
      <c r="A220" s="372"/>
      <c r="B220" s="1057" t="str">
        <f t="shared" si="48"/>
        <v>Nut-M8-ISO4032-8-Galv</v>
      </c>
      <c r="C220" s="1058" t="str">
        <f>VLOOKUP(L220,'25-BRA-I-090'!$I:$EZ,4,0)</f>
        <v>8-Galv</v>
      </c>
      <c r="D220" s="374" t="str">
        <f t="shared" si="47"/>
        <v>pcs</v>
      </c>
      <c r="E220" s="183"/>
      <c r="F220" s="184">
        <f t="shared" si="50"/>
        <v>196</v>
      </c>
      <c r="G220" s="185">
        <f t="shared" si="50"/>
        <v>0</v>
      </c>
      <c r="H220" s="185">
        <f t="shared" si="50"/>
        <v>0</v>
      </c>
      <c r="I220" s="185">
        <f t="shared" si="49"/>
        <v>76</v>
      </c>
      <c r="J220" s="185">
        <f t="shared" si="45"/>
        <v>360</v>
      </c>
      <c r="K220" s="185">
        <f t="shared" si="46"/>
        <v>27360</v>
      </c>
      <c r="L220" s="1184" t="s">
        <v>912</v>
      </c>
      <c r="M220" s="1059"/>
      <c r="N220" s="1059"/>
      <c r="O220" s="1038"/>
      <c r="P220" s="1054"/>
      <c r="Q220" s="1054"/>
      <c r="T220" s="1041"/>
      <c r="U220" s="1042"/>
      <c r="V220" s="1042"/>
      <c r="AA220" s="1039" t="str">
        <f>VLOOKUP(L220,'25-BRA-I-090'!$I:$EZ,2,0)</f>
        <v>Ốc</v>
      </c>
      <c r="AB220" s="1039" t="str">
        <f>VLOOKUP(L220,'25-BRA-I-090'!$I:$EZ,3,0)</f>
        <v>Nut-M8-ISO4032-8-Galv</v>
      </c>
      <c r="AC220" s="1039" t="str">
        <f>VLOOKUP(L220,'25-BRA-I-090'!$I:$EZ,5,0)</f>
        <v>pcs</v>
      </c>
      <c r="AD220" s="1039">
        <f>SUMIFS('25-BRA-I-090'!$CS:$CS,'25-BRA-I-090'!$I:$I,L220)</f>
        <v>196</v>
      </c>
      <c r="AE220" s="1039">
        <f>SUMIFS('25-BRA-I-090'!$CT:$CT,'25-BRA-I-090'!$I:$I,L220)</f>
        <v>0</v>
      </c>
      <c r="AF220" s="1039">
        <f>SUMIFS('25-BRA-I-090'!$CW:$CW,'25-BRA-I-090'!$I:$I,L220)</f>
        <v>0</v>
      </c>
      <c r="AG220" s="1039">
        <f>SUMIFS('25-BRA-I-090'!$CX:$CX,'25-BRA-I-090'!$I:$I,L220)</f>
        <v>0</v>
      </c>
      <c r="AH220" s="1040">
        <f>SUMIFS('25-BRA-I-090'!$DJ:$DJ,'25-BRA-I-090'!$I:$I,L220)+SUMIFS('25-BRA-I-090'!$EC:$EC,'25-BRA-I-090'!$I:$I,L220)</f>
        <v>76</v>
      </c>
      <c r="AI220" s="1040">
        <f>SUMIFS('25-BRA-I-090'!$DK:$DK,'25-BRA-I-090'!$I:$I,L220)+SUMIFS('25-BRA-I-090'!$ED:$ED,'25-BRA-I-090'!$I:$I,L220)</f>
        <v>0</v>
      </c>
      <c r="AJ220" s="1040">
        <f>SUMIFS('25-BRA-I-090'!$DO:$DO,'25-BRA-I-090'!$I:$I,L220)+26400*SUMIFS('25-BRA-I-090'!$EF:$EF,'25-BRA-I-090'!$I:$I,L220)</f>
        <v>27360</v>
      </c>
      <c r="AK220" s="1072"/>
      <c r="AO220" s="1072"/>
    </row>
    <row r="221" spans="1:41" s="1039" customFormat="1" ht="30">
      <c r="A221" s="372"/>
      <c r="B221" s="1057" t="str">
        <f t="shared" si="48"/>
        <v>Nut-M8-ISO4032-8-tZn</v>
      </c>
      <c r="C221" s="1058" t="str">
        <f>VLOOKUP(L221,'25-BRA-I-090'!$I:$EZ,4,0)</f>
        <v>8-tZn</v>
      </c>
      <c r="D221" s="374" t="str">
        <f t="shared" si="47"/>
        <v>pcs</v>
      </c>
      <c r="E221" s="183"/>
      <c r="F221" s="184">
        <f t="shared" si="50"/>
        <v>358</v>
      </c>
      <c r="G221" s="185">
        <f t="shared" si="50"/>
        <v>0</v>
      </c>
      <c r="H221" s="185">
        <f t="shared" si="50"/>
        <v>0</v>
      </c>
      <c r="I221" s="185">
        <f t="shared" si="49"/>
        <v>358</v>
      </c>
      <c r="J221" s="185">
        <f t="shared" si="45"/>
        <v>360</v>
      </c>
      <c r="K221" s="185">
        <f t="shared" si="46"/>
        <v>128880</v>
      </c>
      <c r="L221" s="1184" t="s">
        <v>914</v>
      </c>
      <c r="M221" s="1059"/>
      <c r="N221" s="1059"/>
      <c r="O221" s="1038"/>
      <c r="P221" s="1054"/>
      <c r="Q221" s="1054"/>
      <c r="T221" s="1041"/>
      <c r="U221" s="1042"/>
      <c r="V221" s="1042"/>
      <c r="AA221" s="1039" t="str">
        <f>VLOOKUP(L221,'25-BRA-I-090'!$I:$EZ,2,0)</f>
        <v>Ốc</v>
      </c>
      <c r="AB221" s="1039" t="str">
        <f>VLOOKUP(L221,'25-BRA-I-090'!$I:$EZ,3,0)</f>
        <v>Nut-M8-ISO4032-8-tZn</v>
      </c>
      <c r="AC221" s="1039" t="str">
        <f>VLOOKUP(L221,'25-BRA-I-090'!$I:$EZ,5,0)</f>
        <v>pcs</v>
      </c>
      <c r="AD221" s="1039">
        <f>SUMIFS('25-BRA-I-090'!$CS:$CS,'25-BRA-I-090'!$I:$I,L221)</f>
        <v>358</v>
      </c>
      <c r="AE221" s="1039">
        <f>SUMIFS('25-BRA-I-090'!$CT:$CT,'25-BRA-I-090'!$I:$I,L221)</f>
        <v>0</v>
      </c>
      <c r="AF221" s="1039">
        <f>SUMIFS('25-BRA-I-090'!$CW:$CW,'25-BRA-I-090'!$I:$I,L221)</f>
        <v>0</v>
      </c>
      <c r="AG221" s="1039">
        <f>SUMIFS('25-BRA-I-090'!$CX:$CX,'25-BRA-I-090'!$I:$I,L221)</f>
        <v>0</v>
      </c>
      <c r="AH221" s="1040">
        <f>SUMIFS('25-BRA-I-090'!$DJ:$DJ,'25-BRA-I-090'!$I:$I,L221)+SUMIFS('25-BRA-I-090'!$EC:$EC,'25-BRA-I-090'!$I:$I,L221)</f>
        <v>358</v>
      </c>
      <c r="AI221" s="1040">
        <f>SUMIFS('25-BRA-I-090'!$DK:$DK,'25-BRA-I-090'!$I:$I,L221)+SUMIFS('25-BRA-I-090'!$ED:$ED,'25-BRA-I-090'!$I:$I,L221)</f>
        <v>0</v>
      </c>
      <c r="AJ221" s="1040">
        <f>SUMIFS('25-BRA-I-090'!$DO:$DO,'25-BRA-I-090'!$I:$I,L221)+26400*SUMIFS('25-BRA-I-090'!$EF:$EF,'25-BRA-I-090'!$I:$I,L221)</f>
        <v>128880</v>
      </c>
      <c r="AK221" s="1072"/>
      <c r="AO221" s="1072"/>
    </row>
    <row r="222" spans="1:41" s="1039" customFormat="1" ht="45">
      <c r="A222" s="372"/>
      <c r="B222" s="1057" t="str">
        <f t="shared" si="48"/>
        <v>PIN (straight)-D8x70-ISO8752-St-Galv</v>
      </c>
      <c r="C222" s="1058" t="str">
        <f>VLOOKUP(L222,'25-BRA-I-090'!$I:$EZ,4,0)</f>
        <v>St-Galv</v>
      </c>
      <c r="D222" s="374" t="str">
        <f t="shared" si="47"/>
        <v>pcs</v>
      </c>
      <c r="E222" s="183"/>
      <c r="F222" s="184">
        <f t="shared" si="50"/>
        <v>30</v>
      </c>
      <c r="G222" s="185">
        <f t="shared" si="50"/>
        <v>0</v>
      </c>
      <c r="H222" s="185">
        <f t="shared" si="50"/>
        <v>0</v>
      </c>
      <c r="I222" s="185">
        <f t="shared" si="49"/>
        <v>30</v>
      </c>
      <c r="J222" s="185">
        <f t="shared" si="45"/>
        <v>12000</v>
      </c>
      <c r="K222" s="185">
        <f t="shared" si="46"/>
        <v>360000</v>
      </c>
      <c r="L222" s="1184" t="s">
        <v>916</v>
      </c>
      <c r="M222" s="1059"/>
      <c r="N222" s="1059"/>
      <c r="O222" s="1038"/>
      <c r="P222" s="1054"/>
      <c r="Q222" s="1054"/>
      <c r="T222" s="1041"/>
      <c r="U222" s="1042"/>
      <c r="V222" s="1042"/>
      <c r="AA222" s="1039" t="str">
        <f>VLOOKUP(L222,'25-BRA-I-090'!$I:$EZ,2,0)</f>
        <v>Chốt</v>
      </c>
      <c r="AB222" s="1039" t="str">
        <f>VLOOKUP(L222,'25-BRA-I-090'!$I:$EZ,3,0)</f>
        <v>PIN (straight)-D8x70-ISO8752-St-Galv</v>
      </c>
      <c r="AC222" s="1039" t="str">
        <f>VLOOKUP(L222,'25-BRA-I-090'!$I:$EZ,5,0)</f>
        <v>pcs</v>
      </c>
      <c r="AD222" s="1039">
        <f>SUMIFS('25-BRA-I-090'!$CS:$CS,'25-BRA-I-090'!$I:$I,L222)</f>
        <v>30</v>
      </c>
      <c r="AE222" s="1039">
        <f>SUMIFS('25-BRA-I-090'!$CT:$CT,'25-BRA-I-090'!$I:$I,L222)</f>
        <v>0</v>
      </c>
      <c r="AF222" s="1039">
        <f>SUMIFS('25-BRA-I-090'!$CW:$CW,'25-BRA-I-090'!$I:$I,L222)</f>
        <v>0</v>
      </c>
      <c r="AG222" s="1039">
        <f>SUMIFS('25-BRA-I-090'!$CX:$CX,'25-BRA-I-090'!$I:$I,L222)</f>
        <v>0</v>
      </c>
      <c r="AH222" s="1040">
        <f>SUMIFS('25-BRA-I-090'!$DJ:$DJ,'25-BRA-I-090'!$I:$I,L222)+SUMIFS('25-BRA-I-090'!$EC:$EC,'25-BRA-I-090'!$I:$I,L222)</f>
        <v>30</v>
      </c>
      <c r="AI222" s="1040">
        <f>SUMIFS('25-BRA-I-090'!$DK:$DK,'25-BRA-I-090'!$I:$I,L222)+SUMIFS('25-BRA-I-090'!$ED:$ED,'25-BRA-I-090'!$I:$I,L222)</f>
        <v>0</v>
      </c>
      <c r="AJ222" s="1040">
        <f>SUMIFS('25-BRA-I-090'!$DO:$DO,'25-BRA-I-090'!$I:$I,L222)+26400*SUMIFS('25-BRA-I-090'!$EF:$EF,'25-BRA-I-090'!$I:$I,L222)</f>
        <v>360000</v>
      </c>
      <c r="AK222" s="1072"/>
      <c r="AO222" s="1072"/>
    </row>
    <row r="223" spans="1:41" s="1039" customFormat="1" ht="45">
      <c r="A223" s="372"/>
      <c r="B223" s="1057" t="str">
        <f t="shared" si="48"/>
        <v>PIN (straight)-D8x75-ISO8752-St-Galv</v>
      </c>
      <c r="C223" s="1058" t="str">
        <f>VLOOKUP(L223,'25-BRA-I-090'!$I:$EZ,4,0)</f>
        <v>St-Galv</v>
      </c>
      <c r="D223" s="374" t="str">
        <f t="shared" si="47"/>
        <v>pcs</v>
      </c>
      <c r="E223" s="183"/>
      <c r="F223" s="184">
        <f t="shared" si="50"/>
        <v>30</v>
      </c>
      <c r="G223" s="185">
        <f t="shared" si="50"/>
        <v>0</v>
      </c>
      <c r="H223" s="185">
        <f t="shared" si="50"/>
        <v>0</v>
      </c>
      <c r="I223" s="185">
        <f t="shared" si="49"/>
        <v>30</v>
      </c>
      <c r="J223" s="185">
        <f t="shared" si="45"/>
        <v>12000</v>
      </c>
      <c r="K223" s="185">
        <f t="shared" si="46"/>
        <v>360000</v>
      </c>
      <c r="L223" s="1184" t="s">
        <v>919</v>
      </c>
      <c r="M223" s="1059"/>
      <c r="N223" s="1059"/>
      <c r="O223" s="1038"/>
      <c r="P223" s="1054"/>
      <c r="Q223" s="1054"/>
      <c r="T223" s="1041"/>
      <c r="U223" s="1042"/>
      <c r="V223" s="1042"/>
      <c r="AA223" s="1039" t="str">
        <f>VLOOKUP(L223,'25-BRA-I-090'!$I:$EZ,2,0)</f>
        <v>Chốt</v>
      </c>
      <c r="AB223" s="1039" t="str">
        <f>VLOOKUP(L223,'25-BRA-I-090'!$I:$EZ,3,0)</f>
        <v>PIN (straight)-D8x75-ISO8752-St-Galv</v>
      </c>
      <c r="AC223" s="1039" t="str">
        <f>VLOOKUP(L223,'25-BRA-I-090'!$I:$EZ,5,0)</f>
        <v>pcs</v>
      </c>
      <c r="AD223" s="1039">
        <f>SUMIFS('25-BRA-I-090'!$CS:$CS,'25-BRA-I-090'!$I:$I,L223)</f>
        <v>30</v>
      </c>
      <c r="AE223" s="1039">
        <f>SUMIFS('25-BRA-I-090'!$CT:$CT,'25-BRA-I-090'!$I:$I,L223)</f>
        <v>0</v>
      </c>
      <c r="AF223" s="1039">
        <f>SUMIFS('25-BRA-I-090'!$CW:$CW,'25-BRA-I-090'!$I:$I,L223)</f>
        <v>0</v>
      </c>
      <c r="AG223" s="1039">
        <f>SUMIFS('25-BRA-I-090'!$CX:$CX,'25-BRA-I-090'!$I:$I,L223)</f>
        <v>0</v>
      </c>
      <c r="AH223" s="1040">
        <f>SUMIFS('25-BRA-I-090'!$DJ:$DJ,'25-BRA-I-090'!$I:$I,L223)+SUMIFS('25-BRA-I-090'!$EC:$EC,'25-BRA-I-090'!$I:$I,L223)</f>
        <v>30</v>
      </c>
      <c r="AI223" s="1040">
        <f>SUMIFS('25-BRA-I-090'!$DK:$DK,'25-BRA-I-090'!$I:$I,L223)+SUMIFS('25-BRA-I-090'!$ED:$ED,'25-BRA-I-090'!$I:$I,L223)</f>
        <v>0</v>
      </c>
      <c r="AJ223" s="1040">
        <f>SUMIFS('25-BRA-I-090'!$DO:$DO,'25-BRA-I-090'!$I:$I,L223)+26400*SUMIFS('25-BRA-I-090'!$EF:$EF,'25-BRA-I-090'!$I:$I,L223)</f>
        <v>360000</v>
      </c>
      <c r="AK223" s="1072"/>
      <c r="AO223" s="1072"/>
    </row>
    <row r="224" spans="1:41" s="1039" customFormat="1" ht="30">
      <c r="A224" s="372"/>
      <c r="B224" s="1057" t="str">
        <f t="shared" si="48"/>
        <v>Ring-ID80x2.5-DIN471-St-Galv</v>
      </c>
      <c r="C224" s="1058" t="str">
        <f>VLOOKUP(L224,'25-BRA-I-090'!$I:$EZ,4,0)</f>
        <v>St-Galv</v>
      </c>
      <c r="D224" s="374" t="str">
        <f t="shared" si="47"/>
        <v>pcs</v>
      </c>
      <c r="E224" s="183"/>
      <c r="F224" s="184">
        <f t="shared" si="50"/>
        <v>0</v>
      </c>
      <c r="G224" s="185">
        <f t="shared" si="50"/>
        <v>0</v>
      </c>
      <c r="H224" s="185">
        <f t="shared" si="50"/>
        <v>0</v>
      </c>
      <c r="I224" s="185">
        <f t="shared" si="49"/>
        <v>170</v>
      </c>
      <c r="J224" s="185">
        <f t="shared" si="45"/>
        <v>32000</v>
      </c>
      <c r="K224" s="185">
        <f t="shared" si="46"/>
        <v>5440000</v>
      </c>
      <c r="L224" s="1184" t="s">
        <v>921</v>
      </c>
      <c r="M224" s="1059"/>
      <c r="N224" s="1059"/>
      <c r="O224" s="1038"/>
      <c r="P224" s="1054"/>
      <c r="Q224" s="1054"/>
      <c r="T224" s="1041"/>
      <c r="U224" s="1042"/>
      <c r="V224" s="1042"/>
      <c r="AA224" s="1039" t="str">
        <f>VLOOKUP(L224,'25-BRA-I-090'!$I:$EZ,2,0)</f>
        <v>Đệm</v>
      </c>
      <c r="AB224" s="1039" t="str">
        <f>VLOOKUP(L224,'25-BRA-I-090'!$I:$EZ,3,0)</f>
        <v>Ring-ID80x2.5-DIN471-St-Galv</v>
      </c>
      <c r="AC224" s="1039" t="str">
        <f>VLOOKUP(L224,'25-BRA-I-090'!$I:$EZ,5,0)</f>
        <v>pcs</v>
      </c>
      <c r="AD224" s="1039">
        <f>SUMIFS('25-BRA-I-090'!$CS:$CS,'25-BRA-I-090'!$I:$I,L224)</f>
        <v>0</v>
      </c>
      <c r="AE224" s="1039">
        <f>SUMIFS('25-BRA-I-090'!$CT:$CT,'25-BRA-I-090'!$I:$I,L224)</f>
        <v>0</v>
      </c>
      <c r="AF224" s="1039">
        <f>SUMIFS('25-BRA-I-090'!$CW:$CW,'25-BRA-I-090'!$I:$I,L224)</f>
        <v>0</v>
      </c>
      <c r="AG224" s="1039">
        <f>SUMIFS('25-BRA-I-090'!$CX:$CX,'25-BRA-I-090'!$I:$I,L224)</f>
        <v>0</v>
      </c>
      <c r="AH224" s="1040">
        <f>SUMIFS('25-BRA-I-090'!$DJ:$DJ,'25-BRA-I-090'!$I:$I,L224)+SUMIFS('25-BRA-I-090'!$EC:$EC,'25-BRA-I-090'!$I:$I,L224)</f>
        <v>170</v>
      </c>
      <c r="AI224" s="1040">
        <f>SUMIFS('25-BRA-I-090'!$DK:$DK,'25-BRA-I-090'!$I:$I,L224)+SUMIFS('25-BRA-I-090'!$ED:$ED,'25-BRA-I-090'!$I:$I,L224)</f>
        <v>0</v>
      </c>
      <c r="AJ224" s="1040">
        <f>SUMIFS('25-BRA-I-090'!$DO:$DO,'25-BRA-I-090'!$I:$I,L224)+26400*SUMIFS('25-BRA-I-090'!$EF:$EF,'25-BRA-I-090'!$I:$I,L224)</f>
        <v>5440000</v>
      </c>
      <c r="AK224" s="1072"/>
      <c r="AO224" s="1072"/>
    </row>
    <row r="225" spans="1:41" s="1039" customFormat="1" ht="45">
      <c r="A225" s="372"/>
      <c r="B225" s="1057" t="str">
        <f t="shared" si="48"/>
        <v>Threaded Rod-M12x120-DIN976-1-8.8-Galv</v>
      </c>
      <c r="C225" s="1058" t="str">
        <f>VLOOKUP(L225,'25-BRA-I-090'!$I:$EZ,4,0)</f>
        <v>8.8-Galv</v>
      </c>
      <c r="D225" s="374" t="str">
        <f t="shared" si="47"/>
        <v>pcs</v>
      </c>
      <c r="E225" s="183"/>
      <c r="F225" s="184">
        <f t="shared" si="50"/>
        <v>30</v>
      </c>
      <c r="G225" s="185">
        <f t="shared" si="50"/>
        <v>0</v>
      </c>
      <c r="H225" s="185">
        <f t="shared" si="50"/>
        <v>0</v>
      </c>
      <c r="I225" s="185">
        <f t="shared" si="49"/>
        <v>30</v>
      </c>
      <c r="J225" s="185">
        <f t="shared" si="45"/>
        <v>13920</v>
      </c>
      <c r="K225" s="185">
        <f t="shared" si="46"/>
        <v>417600</v>
      </c>
      <c r="L225" s="1184" t="s">
        <v>924</v>
      </c>
      <c r="M225" s="1059"/>
      <c r="N225" s="1059"/>
      <c r="O225" s="1038"/>
      <c r="P225" s="1054"/>
      <c r="Q225" s="1054"/>
      <c r="T225" s="1041"/>
      <c r="U225" s="1042"/>
      <c r="V225" s="1042"/>
      <c r="AA225" s="1039" t="str">
        <f>VLOOKUP(L225,'25-BRA-I-090'!$I:$EZ,2,0)</f>
        <v>Ma ní</v>
      </c>
      <c r="AB225" s="1039" t="str">
        <f>VLOOKUP(L225,'25-BRA-I-090'!$I:$EZ,3,0)</f>
        <v>Threaded Rod-M12x120-DIN976-1-8.8-Galv</v>
      </c>
      <c r="AC225" s="1039" t="str">
        <f>VLOOKUP(L225,'25-BRA-I-090'!$I:$EZ,5,0)</f>
        <v>pcs</v>
      </c>
      <c r="AD225" s="1039">
        <f>SUMIFS('25-BRA-I-090'!$CS:$CS,'25-BRA-I-090'!$I:$I,L225)</f>
        <v>30</v>
      </c>
      <c r="AE225" s="1039">
        <f>SUMIFS('25-BRA-I-090'!$CT:$CT,'25-BRA-I-090'!$I:$I,L225)</f>
        <v>0</v>
      </c>
      <c r="AF225" s="1039">
        <f>SUMIFS('25-BRA-I-090'!$CW:$CW,'25-BRA-I-090'!$I:$I,L225)</f>
        <v>0</v>
      </c>
      <c r="AG225" s="1039">
        <f>SUMIFS('25-BRA-I-090'!$CX:$CX,'25-BRA-I-090'!$I:$I,L225)</f>
        <v>0</v>
      </c>
      <c r="AH225" s="1040">
        <f>SUMIFS('25-BRA-I-090'!$DJ:$DJ,'25-BRA-I-090'!$I:$I,L225)+SUMIFS('25-BRA-I-090'!$EC:$EC,'25-BRA-I-090'!$I:$I,L225)</f>
        <v>30</v>
      </c>
      <c r="AI225" s="1040">
        <f>SUMIFS('25-BRA-I-090'!$DK:$DK,'25-BRA-I-090'!$I:$I,L225)+SUMIFS('25-BRA-I-090'!$ED:$ED,'25-BRA-I-090'!$I:$I,L225)</f>
        <v>0</v>
      </c>
      <c r="AJ225" s="1040">
        <f>SUMIFS('25-BRA-I-090'!$DO:$DO,'25-BRA-I-090'!$I:$I,L225)+26400*SUMIFS('25-BRA-I-090'!$EF:$EF,'25-BRA-I-090'!$I:$I,L225)</f>
        <v>417600</v>
      </c>
      <c r="AK225" s="1072"/>
      <c r="AO225" s="1072"/>
    </row>
    <row r="226" spans="1:41" s="1039" customFormat="1" ht="45">
      <c r="A226" s="372"/>
      <c r="B226" s="1057" t="str">
        <f t="shared" si="48"/>
        <v>Threaded Rod-M12x140-DIN976-1-8.8-Galv</v>
      </c>
      <c r="C226" s="1058" t="str">
        <f>VLOOKUP(L226,'25-BRA-I-090'!$I:$EZ,4,0)</f>
        <v>8.8-Galv</v>
      </c>
      <c r="D226" s="374" t="str">
        <f t="shared" si="47"/>
        <v>pcs</v>
      </c>
      <c r="E226" s="183"/>
      <c r="F226" s="184">
        <f t="shared" si="50"/>
        <v>170</v>
      </c>
      <c r="G226" s="185">
        <f t="shared" si="50"/>
        <v>0</v>
      </c>
      <c r="H226" s="185">
        <f t="shared" si="50"/>
        <v>0</v>
      </c>
      <c r="I226" s="185">
        <f t="shared" si="49"/>
        <v>170</v>
      </c>
      <c r="J226" s="185">
        <f t="shared" si="45"/>
        <v>16240</v>
      </c>
      <c r="K226" s="185">
        <f t="shared" si="46"/>
        <v>2760800</v>
      </c>
      <c r="L226" s="1184" t="s">
        <v>927</v>
      </c>
      <c r="M226" s="1059"/>
      <c r="N226" s="1059"/>
      <c r="O226" s="1038"/>
      <c r="P226" s="1054"/>
      <c r="Q226" s="1054"/>
      <c r="T226" s="1041"/>
      <c r="U226" s="1042"/>
      <c r="V226" s="1042"/>
      <c r="AA226" s="1039" t="str">
        <f>VLOOKUP(L226,'25-BRA-I-090'!$I:$EZ,2,0)</f>
        <v>Ma ní</v>
      </c>
      <c r="AB226" s="1039" t="str">
        <f>VLOOKUP(L226,'25-BRA-I-090'!$I:$EZ,3,0)</f>
        <v>Threaded Rod-M12x140-DIN976-1-8.8-Galv</v>
      </c>
      <c r="AC226" s="1039" t="str">
        <f>VLOOKUP(L226,'25-BRA-I-090'!$I:$EZ,5,0)</f>
        <v>pcs</v>
      </c>
      <c r="AD226" s="1039">
        <f>SUMIFS('25-BRA-I-090'!$CS:$CS,'25-BRA-I-090'!$I:$I,L226)</f>
        <v>170</v>
      </c>
      <c r="AE226" s="1039">
        <f>SUMIFS('25-BRA-I-090'!$CT:$CT,'25-BRA-I-090'!$I:$I,L226)</f>
        <v>0</v>
      </c>
      <c r="AF226" s="1039">
        <f>SUMIFS('25-BRA-I-090'!$CW:$CW,'25-BRA-I-090'!$I:$I,L226)</f>
        <v>0</v>
      </c>
      <c r="AG226" s="1039">
        <f>SUMIFS('25-BRA-I-090'!$CX:$CX,'25-BRA-I-090'!$I:$I,L226)</f>
        <v>0</v>
      </c>
      <c r="AH226" s="1040">
        <f>SUMIFS('25-BRA-I-090'!$DJ:$DJ,'25-BRA-I-090'!$I:$I,L226)+SUMIFS('25-BRA-I-090'!$EC:$EC,'25-BRA-I-090'!$I:$I,L226)</f>
        <v>170</v>
      </c>
      <c r="AI226" s="1040">
        <f>SUMIFS('25-BRA-I-090'!$DK:$DK,'25-BRA-I-090'!$I:$I,L226)+SUMIFS('25-BRA-I-090'!$ED:$ED,'25-BRA-I-090'!$I:$I,L226)</f>
        <v>0</v>
      </c>
      <c r="AJ226" s="1040">
        <f>SUMIFS('25-BRA-I-090'!$DO:$DO,'25-BRA-I-090'!$I:$I,L226)+26400*SUMIFS('25-BRA-I-090'!$EF:$EF,'25-BRA-I-090'!$I:$I,L226)</f>
        <v>2760800</v>
      </c>
      <c r="AK226" s="1072"/>
      <c r="AO226" s="1072"/>
    </row>
    <row r="227" spans="1:41" s="1039" customFormat="1" ht="45">
      <c r="A227" s="372"/>
      <c r="B227" s="1057" t="str">
        <f t="shared" si="48"/>
        <v>Threaded Rod-M12X200-DIN976-1-8.8-Galv</v>
      </c>
      <c r="C227" s="1058" t="str">
        <f>VLOOKUP(L227,'25-BRA-I-090'!$I:$EZ,4,0)</f>
        <v>8.8-Galv</v>
      </c>
      <c r="D227" s="374" t="str">
        <f t="shared" si="47"/>
        <v>pcs</v>
      </c>
      <c r="E227" s="183"/>
      <c r="F227" s="184">
        <f t="shared" si="50"/>
        <v>50</v>
      </c>
      <c r="G227" s="185">
        <f t="shared" si="50"/>
        <v>0</v>
      </c>
      <c r="H227" s="185">
        <f t="shared" si="50"/>
        <v>0</v>
      </c>
      <c r="I227" s="185">
        <f t="shared" si="49"/>
        <v>50</v>
      </c>
      <c r="J227" s="185">
        <f t="shared" si="45"/>
        <v>23200</v>
      </c>
      <c r="K227" s="185">
        <f t="shared" si="46"/>
        <v>1160000</v>
      </c>
      <c r="L227" s="1184" t="s">
        <v>929</v>
      </c>
      <c r="M227" s="1059"/>
      <c r="N227" s="1059"/>
      <c r="O227" s="1038"/>
      <c r="P227" s="1054"/>
      <c r="Q227" s="1054"/>
      <c r="T227" s="1041"/>
      <c r="U227" s="1042"/>
      <c r="V227" s="1042"/>
      <c r="AA227" s="1039" t="str">
        <f>VLOOKUP(L227,'25-BRA-I-090'!$I:$EZ,2,0)</f>
        <v>Ma ní</v>
      </c>
      <c r="AB227" s="1039" t="str">
        <f>VLOOKUP(L227,'25-BRA-I-090'!$I:$EZ,3,0)</f>
        <v>Threaded Rod-M12X200-DIN976-1-8.8-Galv</v>
      </c>
      <c r="AC227" s="1039" t="str">
        <f>VLOOKUP(L227,'25-BRA-I-090'!$I:$EZ,5,0)</f>
        <v>pcs</v>
      </c>
      <c r="AD227" s="1039">
        <f>SUMIFS('25-BRA-I-090'!$CS:$CS,'25-BRA-I-090'!$I:$I,L227)</f>
        <v>50</v>
      </c>
      <c r="AE227" s="1039">
        <f>SUMIFS('25-BRA-I-090'!$CT:$CT,'25-BRA-I-090'!$I:$I,L227)</f>
        <v>0</v>
      </c>
      <c r="AF227" s="1039">
        <f>SUMIFS('25-BRA-I-090'!$CW:$CW,'25-BRA-I-090'!$I:$I,L227)</f>
        <v>0</v>
      </c>
      <c r="AG227" s="1039">
        <f>SUMIFS('25-BRA-I-090'!$CX:$CX,'25-BRA-I-090'!$I:$I,L227)</f>
        <v>0</v>
      </c>
      <c r="AH227" s="1040">
        <f>SUMIFS('25-BRA-I-090'!$DJ:$DJ,'25-BRA-I-090'!$I:$I,L227)+SUMIFS('25-BRA-I-090'!$EC:$EC,'25-BRA-I-090'!$I:$I,L227)</f>
        <v>50</v>
      </c>
      <c r="AI227" s="1040">
        <f>SUMIFS('25-BRA-I-090'!$DK:$DK,'25-BRA-I-090'!$I:$I,L227)+SUMIFS('25-BRA-I-090'!$ED:$ED,'25-BRA-I-090'!$I:$I,L227)</f>
        <v>0</v>
      </c>
      <c r="AJ227" s="1040">
        <f>SUMIFS('25-BRA-I-090'!$DO:$DO,'25-BRA-I-090'!$I:$I,L227)+26400*SUMIFS('25-BRA-I-090'!$EF:$EF,'25-BRA-I-090'!$I:$I,L227)</f>
        <v>1160000</v>
      </c>
      <c r="AK227" s="1072"/>
      <c r="AO227" s="1072"/>
    </row>
    <row r="228" spans="1:41" s="1039" customFormat="1" ht="30">
      <c r="A228" s="372"/>
      <c r="B228" s="1057" t="str">
        <f t="shared" si="48"/>
        <v>Washer-M10-DIN434-St-Galv</v>
      </c>
      <c r="C228" s="1058" t="str">
        <f>VLOOKUP(L228,'25-BRA-I-090'!$I:$EZ,4,0)</f>
        <v>St-Galv</v>
      </c>
      <c r="D228" s="374" t="str">
        <f t="shared" si="47"/>
        <v>pcs</v>
      </c>
      <c r="E228" s="183"/>
      <c r="F228" s="184">
        <f t="shared" si="50"/>
        <v>130</v>
      </c>
      <c r="G228" s="185">
        <f t="shared" si="50"/>
        <v>0</v>
      </c>
      <c r="H228" s="185">
        <f t="shared" si="50"/>
        <v>0</v>
      </c>
      <c r="I228" s="185">
        <f t="shared" si="49"/>
        <v>130</v>
      </c>
      <c r="J228" s="185">
        <f t="shared" si="45"/>
        <v>2660</v>
      </c>
      <c r="K228" s="185">
        <f t="shared" si="46"/>
        <v>345800</v>
      </c>
      <c r="L228" s="1184" t="s">
        <v>931</v>
      </c>
      <c r="M228" s="1059"/>
      <c r="N228" s="1059"/>
      <c r="O228" s="1038"/>
      <c r="P228" s="1054"/>
      <c r="Q228" s="1054"/>
      <c r="T228" s="1041"/>
      <c r="U228" s="1042"/>
      <c r="V228" s="1042"/>
      <c r="AA228" s="1039" t="str">
        <f>VLOOKUP(L228,'25-BRA-I-090'!$I:$EZ,2,0)</f>
        <v>Đệm</v>
      </c>
      <c r="AB228" s="1039" t="str">
        <f>VLOOKUP(L228,'25-BRA-I-090'!$I:$EZ,3,0)</f>
        <v>Washer-M10-DIN434-St-Galv</v>
      </c>
      <c r="AC228" s="1039" t="str">
        <f>VLOOKUP(L228,'25-BRA-I-090'!$I:$EZ,5,0)</f>
        <v>pcs</v>
      </c>
      <c r="AD228" s="1039">
        <f>SUMIFS('25-BRA-I-090'!$CS:$CS,'25-BRA-I-090'!$I:$I,L228)</f>
        <v>130</v>
      </c>
      <c r="AE228" s="1039">
        <f>SUMIFS('25-BRA-I-090'!$CT:$CT,'25-BRA-I-090'!$I:$I,L228)</f>
        <v>0</v>
      </c>
      <c r="AF228" s="1039">
        <f>SUMIFS('25-BRA-I-090'!$CW:$CW,'25-BRA-I-090'!$I:$I,L228)</f>
        <v>0</v>
      </c>
      <c r="AG228" s="1039">
        <f>SUMIFS('25-BRA-I-090'!$CX:$CX,'25-BRA-I-090'!$I:$I,L228)</f>
        <v>0</v>
      </c>
      <c r="AH228" s="1040">
        <f>SUMIFS('25-BRA-I-090'!$DJ:$DJ,'25-BRA-I-090'!$I:$I,L228)+SUMIFS('25-BRA-I-090'!$EC:$EC,'25-BRA-I-090'!$I:$I,L228)</f>
        <v>130</v>
      </c>
      <c r="AI228" s="1040">
        <f>SUMIFS('25-BRA-I-090'!$DK:$DK,'25-BRA-I-090'!$I:$I,L228)+SUMIFS('25-BRA-I-090'!$ED:$ED,'25-BRA-I-090'!$I:$I,L228)</f>
        <v>0</v>
      </c>
      <c r="AJ228" s="1040">
        <f>SUMIFS('25-BRA-I-090'!$DO:$DO,'25-BRA-I-090'!$I:$I,L228)+26400*SUMIFS('25-BRA-I-090'!$EF:$EF,'25-BRA-I-090'!$I:$I,L228)</f>
        <v>345800</v>
      </c>
      <c r="AK228" s="1072"/>
      <c r="AO228" s="1072"/>
    </row>
    <row r="229" spans="1:41" s="1039" customFormat="1" ht="45">
      <c r="A229" s="372"/>
      <c r="B229" s="1057" t="str">
        <f t="shared" si="48"/>
        <v>Washer-M10-ISO7089-St-200 HV-Galv</v>
      </c>
      <c r="C229" s="1058" t="str">
        <f>VLOOKUP(L229,'25-BRA-I-090'!$I:$EZ,4,0)</f>
        <v>St-200 HV-Galv</v>
      </c>
      <c r="D229" s="374" t="str">
        <f t="shared" si="47"/>
        <v>pcs</v>
      </c>
      <c r="E229" s="183"/>
      <c r="F229" s="184">
        <f t="shared" si="50"/>
        <v>164</v>
      </c>
      <c r="G229" s="185">
        <f t="shared" si="50"/>
        <v>0</v>
      </c>
      <c r="H229" s="185">
        <f t="shared" si="50"/>
        <v>0</v>
      </c>
      <c r="I229" s="185">
        <f t="shared" si="49"/>
        <v>164</v>
      </c>
      <c r="J229" s="185">
        <f t="shared" si="45"/>
        <v>450</v>
      </c>
      <c r="K229" s="185">
        <f t="shared" si="46"/>
        <v>73800</v>
      </c>
      <c r="L229" s="1184" t="s">
        <v>933</v>
      </c>
      <c r="M229" s="1059"/>
      <c r="N229" s="1059"/>
      <c r="O229" s="1038"/>
      <c r="P229" s="1054"/>
      <c r="Q229" s="1054"/>
      <c r="T229" s="1041"/>
      <c r="U229" s="1042"/>
      <c r="V229" s="1042"/>
      <c r="AA229" s="1039" t="str">
        <f>VLOOKUP(L229,'25-BRA-I-090'!$I:$EZ,2,0)</f>
        <v>Đệm</v>
      </c>
      <c r="AB229" s="1039" t="str">
        <f>VLOOKUP(L229,'25-BRA-I-090'!$I:$EZ,3,0)</f>
        <v>Washer-M10-ISO7089-St-200 HV-Galv</v>
      </c>
      <c r="AC229" s="1039" t="str">
        <f>VLOOKUP(L229,'25-BRA-I-090'!$I:$EZ,5,0)</f>
        <v>pcs</v>
      </c>
      <c r="AD229" s="1039">
        <f>SUMIFS('25-BRA-I-090'!$CS:$CS,'25-BRA-I-090'!$I:$I,L229)</f>
        <v>164</v>
      </c>
      <c r="AE229" s="1039">
        <f>SUMIFS('25-BRA-I-090'!$CT:$CT,'25-BRA-I-090'!$I:$I,L229)</f>
        <v>0</v>
      </c>
      <c r="AF229" s="1039">
        <f>SUMIFS('25-BRA-I-090'!$CW:$CW,'25-BRA-I-090'!$I:$I,L229)</f>
        <v>0</v>
      </c>
      <c r="AG229" s="1039">
        <f>SUMIFS('25-BRA-I-090'!$CX:$CX,'25-BRA-I-090'!$I:$I,L229)</f>
        <v>0</v>
      </c>
      <c r="AH229" s="1040">
        <f>SUMIFS('25-BRA-I-090'!$DJ:$DJ,'25-BRA-I-090'!$I:$I,L229)+SUMIFS('25-BRA-I-090'!$EC:$EC,'25-BRA-I-090'!$I:$I,L229)</f>
        <v>164</v>
      </c>
      <c r="AI229" s="1040">
        <f>SUMIFS('25-BRA-I-090'!$DK:$DK,'25-BRA-I-090'!$I:$I,L229)+SUMIFS('25-BRA-I-090'!$ED:$ED,'25-BRA-I-090'!$I:$I,L229)</f>
        <v>0</v>
      </c>
      <c r="AJ229" s="1040">
        <f>SUMIFS('25-BRA-I-090'!$DO:$DO,'25-BRA-I-090'!$I:$I,L229)+26400*SUMIFS('25-BRA-I-090'!$EF:$EF,'25-BRA-I-090'!$I:$I,L229)</f>
        <v>73800</v>
      </c>
      <c r="AK229" s="1072"/>
      <c r="AO229" s="1072"/>
    </row>
    <row r="230" spans="1:41" s="1039" customFormat="1" ht="45">
      <c r="A230" s="372"/>
      <c r="B230" s="1057" t="str">
        <f t="shared" si="48"/>
        <v>Washer-M10-ISO7089-St-200 HV-tZn</v>
      </c>
      <c r="C230" s="1058" t="str">
        <f>VLOOKUP(L230,'25-BRA-I-090'!$I:$EZ,4,0)</f>
        <v>St-200 HV-tZn</v>
      </c>
      <c r="D230" s="374" t="str">
        <f t="shared" si="47"/>
        <v>pcs</v>
      </c>
      <c r="E230" s="183"/>
      <c r="F230" s="184">
        <f t="shared" si="50"/>
        <v>1398</v>
      </c>
      <c r="G230" s="185">
        <f t="shared" si="50"/>
        <v>0</v>
      </c>
      <c r="H230" s="185">
        <f t="shared" si="50"/>
        <v>0</v>
      </c>
      <c r="I230" s="185">
        <f t="shared" si="49"/>
        <v>1398</v>
      </c>
      <c r="J230" s="185">
        <f t="shared" si="45"/>
        <v>450</v>
      </c>
      <c r="K230" s="185">
        <f t="shared" si="46"/>
        <v>629100</v>
      </c>
      <c r="L230" s="1184" t="s">
        <v>936</v>
      </c>
      <c r="M230" s="1059"/>
      <c r="N230" s="1059"/>
      <c r="O230" s="1038"/>
      <c r="P230" s="1054"/>
      <c r="Q230" s="1054"/>
      <c r="T230" s="1041"/>
      <c r="U230" s="1042"/>
      <c r="V230" s="1042"/>
      <c r="AA230" s="1039" t="str">
        <f>VLOOKUP(L230,'25-BRA-I-090'!$I:$EZ,2,0)</f>
        <v>Đệm</v>
      </c>
      <c r="AB230" s="1039" t="str">
        <f>VLOOKUP(L230,'25-BRA-I-090'!$I:$EZ,3,0)</f>
        <v>Washer-M10-ISO7089-St-200 HV-tZn</v>
      </c>
      <c r="AC230" s="1039" t="str">
        <f>VLOOKUP(L230,'25-BRA-I-090'!$I:$EZ,5,0)</f>
        <v>pcs</v>
      </c>
      <c r="AD230" s="1039">
        <f>SUMIFS('25-BRA-I-090'!$CS:$CS,'25-BRA-I-090'!$I:$I,L230)</f>
        <v>1398</v>
      </c>
      <c r="AE230" s="1039">
        <f>SUMIFS('25-BRA-I-090'!$CT:$CT,'25-BRA-I-090'!$I:$I,L230)</f>
        <v>0</v>
      </c>
      <c r="AF230" s="1039">
        <f>SUMIFS('25-BRA-I-090'!$CW:$CW,'25-BRA-I-090'!$I:$I,L230)</f>
        <v>0</v>
      </c>
      <c r="AG230" s="1039">
        <f>SUMIFS('25-BRA-I-090'!$CX:$CX,'25-BRA-I-090'!$I:$I,L230)</f>
        <v>0</v>
      </c>
      <c r="AH230" s="1040">
        <f>SUMIFS('25-BRA-I-090'!$DJ:$DJ,'25-BRA-I-090'!$I:$I,L230)+SUMIFS('25-BRA-I-090'!$EC:$EC,'25-BRA-I-090'!$I:$I,L230)</f>
        <v>1398</v>
      </c>
      <c r="AI230" s="1040">
        <f>SUMIFS('25-BRA-I-090'!$DK:$DK,'25-BRA-I-090'!$I:$I,L230)+SUMIFS('25-BRA-I-090'!$ED:$ED,'25-BRA-I-090'!$I:$I,L230)</f>
        <v>0</v>
      </c>
      <c r="AJ230" s="1040">
        <f>SUMIFS('25-BRA-I-090'!$DO:$DO,'25-BRA-I-090'!$I:$I,L230)+26400*SUMIFS('25-BRA-I-090'!$EF:$EF,'25-BRA-I-090'!$I:$I,L230)</f>
        <v>629100</v>
      </c>
      <c r="AK230" s="1072"/>
      <c r="AO230" s="1072"/>
    </row>
    <row r="231" spans="1:41" s="1039" customFormat="1" ht="45">
      <c r="A231" s="372"/>
      <c r="B231" s="1057" t="str">
        <f t="shared" si="48"/>
        <v>Washer-M12-ISO7089-St-200 HV-tZn</v>
      </c>
      <c r="C231" s="1058" t="str">
        <f>VLOOKUP(L231,'25-BRA-I-090'!$I:$EZ,4,0)</f>
        <v>St-200 HV-tZn</v>
      </c>
      <c r="D231" s="374" t="str">
        <f t="shared" si="47"/>
        <v>pcs</v>
      </c>
      <c r="E231" s="183"/>
      <c r="F231" s="184">
        <f t="shared" si="50"/>
        <v>3808</v>
      </c>
      <c r="G231" s="185">
        <f t="shared" si="50"/>
        <v>0</v>
      </c>
      <c r="H231" s="185">
        <f t="shared" si="50"/>
        <v>0</v>
      </c>
      <c r="I231" s="185">
        <f t="shared" si="49"/>
        <v>3808</v>
      </c>
      <c r="J231" s="185">
        <f t="shared" si="45"/>
        <v>780</v>
      </c>
      <c r="K231" s="185">
        <f t="shared" si="46"/>
        <v>2970240</v>
      </c>
      <c r="L231" s="1184" t="s">
        <v>939</v>
      </c>
      <c r="M231" s="1059"/>
      <c r="N231" s="1059"/>
      <c r="O231" s="1038"/>
      <c r="P231" s="1054"/>
      <c r="Q231" s="1054"/>
      <c r="T231" s="1041"/>
      <c r="U231" s="1042"/>
      <c r="V231" s="1042"/>
      <c r="AA231" s="1039" t="str">
        <f>VLOOKUP(L231,'25-BRA-I-090'!$I:$EZ,2,0)</f>
        <v>Đệm</v>
      </c>
      <c r="AB231" s="1039" t="str">
        <f>VLOOKUP(L231,'25-BRA-I-090'!$I:$EZ,3,0)</f>
        <v>Washer-M12-ISO7089-St-200 HV-tZn</v>
      </c>
      <c r="AC231" s="1039" t="str">
        <f>VLOOKUP(L231,'25-BRA-I-090'!$I:$EZ,5,0)</f>
        <v>pcs</v>
      </c>
      <c r="AD231" s="1039">
        <f>SUMIFS('25-BRA-I-090'!$CS:$CS,'25-BRA-I-090'!$I:$I,L231)</f>
        <v>3808</v>
      </c>
      <c r="AE231" s="1039">
        <f>SUMIFS('25-BRA-I-090'!$CT:$CT,'25-BRA-I-090'!$I:$I,L231)</f>
        <v>0</v>
      </c>
      <c r="AF231" s="1039">
        <f>SUMIFS('25-BRA-I-090'!$CW:$CW,'25-BRA-I-090'!$I:$I,L231)</f>
        <v>0</v>
      </c>
      <c r="AG231" s="1039">
        <f>SUMIFS('25-BRA-I-090'!$CX:$CX,'25-BRA-I-090'!$I:$I,L231)</f>
        <v>0</v>
      </c>
      <c r="AH231" s="1040">
        <f>SUMIFS('25-BRA-I-090'!$DJ:$DJ,'25-BRA-I-090'!$I:$I,L231)+SUMIFS('25-BRA-I-090'!$EC:$EC,'25-BRA-I-090'!$I:$I,L231)</f>
        <v>3808</v>
      </c>
      <c r="AI231" s="1040">
        <f>SUMIFS('25-BRA-I-090'!$DK:$DK,'25-BRA-I-090'!$I:$I,L231)+SUMIFS('25-BRA-I-090'!$ED:$ED,'25-BRA-I-090'!$I:$I,L231)</f>
        <v>0</v>
      </c>
      <c r="AJ231" s="1040">
        <f>SUMIFS('25-BRA-I-090'!$DO:$DO,'25-BRA-I-090'!$I:$I,L231)+26400*SUMIFS('25-BRA-I-090'!$EF:$EF,'25-BRA-I-090'!$I:$I,L231)</f>
        <v>2970240</v>
      </c>
      <c r="AK231" s="1072"/>
      <c r="AO231" s="1072"/>
    </row>
    <row r="232" spans="1:41" s="1039" customFormat="1" ht="45">
      <c r="A232" s="372"/>
      <c r="B232" s="1057" t="str">
        <f t="shared" si="48"/>
        <v>Washer-M12-ISO7089-St-300 HV-Galv</v>
      </c>
      <c r="C232" s="1058" t="str">
        <f>VLOOKUP(L232,'25-BRA-I-090'!$I:$EZ,4,0)</f>
        <v>St-300 HV-Galv</v>
      </c>
      <c r="D232" s="374" t="str">
        <f t="shared" si="47"/>
        <v>pcs</v>
      </c>
      <c r="E232" s="183"/>
      <c r="F232" s="184">
        <f t="shared" si="50"/>
        <v>210</v>
      </c>
      <c r="G232" s="185">
        <f t="shared" si="50"/>
        <v>0</v>
      </c>
      <c r="H232" s="185">
        <f t="shared" si="50"/>
        <v>0</v>
      </c>
      <c r="I232" s="185">
        <f t="shared" si="49"/>
        <v>210</v>
      </c>
      <c r="J232" s="185">
        <f t="shared" si="45"/>
        <v>780</v>
      </c>
      <c r="K232" s="185">
        <f t="shared" si="46"/>
        <v>163800</v>
      </c>
      <c r="L232" s="1184" t="s">
        <v>941</v>
      </c>
      <c r="M232" s="1059"/>
      <c r="N232" s="1059"/>
      <c r="O232" s="1038"/>
      <c r="P232" s="1054"/>
      <c r="Q232" s="1054"/>
      <c r="T232" s="1041"/>
      <c r="U232" s="1042"/>
      <c r="V232" s="1042"/>
      <c r="AA232" s="1039" t="str">
        <f>VLOOKUP(L232,'25-BRA-I-090'!$I:$EZ,2,0)</f>
        <v>Đệm</v>
      </c>
      <c r="AB232" s="1039" t="str">
        <f>VLOOKUP(L232,'25-BRA-I-090'!$I:$EZ,3,0)</f>
        <v>Washer-M12-ISO7089-St-300 HV-Galv</v>
      </c>
      <c r="AC232" s="1039" t="str">
        <f>VLOOKUP(L232,'25-BRA-I-090'!$I:$EZ,5,0)</f>
        <v>pcs</v>
      </c>
      <c r="AD232" s="1039">
        <f>SUMIFS('25-BRA-I-090'!$CS:$CS,'25-BRA-I-090'!$I:$I,L232)</f>
        <v>210</v>
      </c>
      <c r="AE232" s="1039">
        <f>SUMIFS('25-BRA-I-090'!$CT:$CT,'25-BRA-I-090'!$I:$I,L232)</f>
        <v>0</v>
      </c>
      <c r="AF232" s="1039">
        <f>SUMIFS('25-BRA-I-090'!$CW:$CW,'25-BRA-I-090'!$I:$I,L232)</f>
        <v>0</v>
      </c>
      <c r="AG232" s="1039">
        <f>SUMIFS('25-BRA-I-090'!$CX:$CX,'25-BRA-I-090'!$I:$I,L232)</f>
        <v>0</v>
      </c>
      <c r="AH232" s="1040">
        <f>SUMIFS('25-BRA-I-090'!$DJ:$DJ,'25-BRA-I-090'!$I:$I,L232)+SUMIFS('25-BRA-I-090'!$EC:$EC,'25-BRA-I-090'!$I:$I,L232)</f>
        <v>210</v>
      </c>
      <c r="AI232" s="1040">
        <f>SUMIFS('25-BRA-I-090'!$DK:$DK,'25-BRA-I-090'!$I:$I,L232)+SUMIFS('25-BRA-I-090'!$ED:$ED,'25-BRA-I-090'!$I:$I,L232)</f>
        <v>0</v>
      </c>
      <c r="AJ232" s="1040">
        <f>SUMIFS('25-BRA-I-090'!$DO:$DO,'25-BRA-I-090'!$I:$I,L232)+26400*SUMIFS('25-BRA-I-090'!$EF:$EF,'25-BRA-I-090'!$I:$I,L232)</f>
        <v>163800</v>
      </c>
      <c r="AK232" s="1072"/>
      <c r="AO232" s="1072"/>
    </row>
    <row r="233" spans="1:41" s="1039" customFormat="1" ht="30">
      <c r="A233" s="372"/>
      <c r="B233" s="1057" t="str">
        <f t="shared" si="48"/>
        <v>Washer-M12-ISO7089-St-Galv</v>
      </c>
      <c r="C233" s="1058" t="str">
        <f>VLOOKUP(L233,'25-BRA-I-090'!$I:$EZ,4,0)</f>
        <v>St-Galv</v>
      </c>
      <c r="D233" s="374" t="str">
        <f t="shared" si="47"/>
        <v>pcs</v>
      </c>
      <c r="E233" s="183"/>
      <c r="F233" s="184">
        <f t="shared" si="50"/>
        <v>36</v>
      </c>
      <c r="G233" s="185">
        <f t="shared" si="50"/>
        <v>0</v>
      </c>
      <c r="H233" s="185">
        <f t="shared" si="50"/>
        <v>0</v>
      </c>
      <c r="I233" s="185">
        <f t="shared" si="49"/>
        <v>36</v>
      </c>
      <c r="J233" s="185">
        <f t="shared" si="45"/>
        <v>780</v>
      </c>
      <c r="K233" s="185">
        <f t="shared" si="46"/>
        <v>28080</v>
      </c>
      <c r="L233" s="1184" t="s">
        <v>944</v>
      </c>
      <c r="M233" s="1059"/>
      <c r="N233" s="1059"/>
      <c r="O233" s="1038"/>
      <c r="P233" s="1054"/>
      <c r="Q233" s="1054"/>
      <c r="T233" s="1041"/>
      <c r="U233" s="1042"/>
      <c r="V233" s="1042"/>
      <c r="AA233" s="1039" t="str">
        <f>VLOOKUP(L233,'25-BRA-I-090'!$I:$EZ,2,0)</f>
        <v>Đệm</v>
      </c>
      <c r="AB233" s="1039" t="str">
        <f>VLOOKUP(L233,'25-BRA-I-090'!$I:$EZ,3,0)</f>
        <v>Washer-M12-ISO7089-St-Galv</v>
      </c>
      <c r="AC233" s="1039" t="str">
        <f>VLOOKUP(L233,'25-BRA-I-090'!$I:$EZ,5,0)</f>
        <v>pcs</v>
      </c>
      <c r="AD233" s="1039">
        <f>SUMIFS('25-BRA-I-090'!$CS:$CS,'25-BRA-I-090'!$I:$I,L233)</f>
        <v>36</v>
      </c>
      <c r="AE233" s="1039">
        <f>SUMIFS('25-BRA-I-090'!$CT:$CT,'25-BRA-I-090'!$I:$I,L233)</f>
        <v>0</v>
      </c>
      <c r="AF233" s="1039">
        <f>SUMIFS('25-BRA-I-090'!$CW:$CW,'25-BRA-I-090'!$I:$I,L233)</f>
        <v>0</v>
      </c>
      <c r="AG233" s="1039">
        <f>SUMIFS('25-BRA-I-090'!$CX:$CX,'25-BRA-I-090'!$I:$I,L233)</f>
        <v>0</v>
      </c>
      <c r="AH233" s="1040">
        <f>SUMIFS('25-BRA-I-090'!$DJ:$DJ,'25-BRA-I-090'!$I:$I,L233)+SUMIFS('25-BRA-I-090'!$EC:$EC,'25-BRA-I-090'!$I:$I,L233)</f>
        <v>36</v>
      </c>
      <c r="AI233" s="1040">
        <f>SUMIFS('25-BRA-I-090'!$DK:$DK,'25-BRA-I-090'!$I:$I,L233)+SUMIFS('25-BRA-I-090'!$ED:$ED,'25-BRA-I-090'!$I:$I,L233)</f>
        <v>0</v>
      </c>
      <c r="AJ233" s="1040">
        <f>SUMIFS('25-BRA-I-090'!$DO:$DO,'25-BRA-I-090'!$I:$I,L233)+26400*SUMIFS('25-BRA-I-090'!$EF:$EF,'25-BRA-I-090'!$I:$I,L233)</f>
        <v>28080</v>
      </c>
      <c r="AK233" s="1072"/>
      <c r="AO233" s="1072"/>
    </row>
    <row r="234" spans="1:41" s="1039" customFormat="1" ht="45">
      <c r="A234" s="372"/>
      <c r="B234" s="1057" t="str">
        <f t="shared" si="48"/>
        <v>Washer-M12-ISO7093-St-300 HV-Galv</v>
      </c>
      <c r="C234" s="1058" t="str">
        <f>VLOOKUP(L234,'25-BRA-I-090'!$I:$EZ,4,0)</f>
        <v>St-300 HV-Galv</v>
      </c>
      <c r="D234" s="374" t="str">
        <f t="shared" si="47"/>
        <v>pcs</v>
      </c>
      <c r="E234" s="183"/>
      <c r="F234" s="184">
        <f t="shared" si="50"/>
        <v>50</v>
      </c>
      <c r="G234" s="185">
        <f t="shared" si="50"/>
        <v>0</v>
      </c>
      <c r="H234" s="185">
        <f t="shared" si="50"/>
        <v>0</v>
      </c>
      <c r="I234" s="185">
        <f t="shared" si="49"/>
        <v>50</v>
      </c>
      <c r="J234" s="185">
        <f t="shared" si="45"/>
        <v>5550</v>
      </c>
      <c r="K234" s="185">
        <f t="shared" si="46"/>
        <v>277500</v>
      </c>
      <c r="L234" s="1184" t="s">
        <v>946</v>
      </c>
      <c r="M234" s="1059"/>
      <c r="N234" s="1059"/>
      <c r="O234" s="1038"/>
      <c r="P234" s="1054"/>
      <c r="Q234" s="1054"/>
      <c r="T234" s="1041"/>
      <c r="U234" s="1042"/>
      <c r="V234" s="1042"/>
      <c r="AA234" s="1039" t="str">
        <f>VLOOKUP(L234,'25-BRA-I-090'!$I:$EZ,2,0)</f>
        <v>Đệm</v>
      </c>
      <c r="AB234" s="1039" t="str">
        <f>VLOOKUP(L234,'25-BRA-I-090'!$I:$EZ,3,0)</f>
        <v>Washer-M12-ISO7093-St-300 HV-Galv</v>
      </c>
      <c r="AC234" s="1039" t="str">
        <f>VLOOKUP(L234,'25-BRA-I-090'!$I:$EZ,5,0)</f>
        <v>pcs</v>
      </c>
      <c r="AD234" s="1039">
        <f>SUMIFS('25-BRA-I-090'!$CS:$CS,'25-BRA-I-090'!$I:$I,L234)</f>
        <v>50</v>
      </c>
      <c r="AE234" s="1039">
        <f>SUMIFS('25-BRA-I-090'!$CT:$CT,'25-BRA-I-090'!$I:$I,L234)</f>
        <v>0</v>
      </c>
      <c r="AF234" s="1039">
        <f>SUMIFS('25-BRA-I-090'!$CW:$CW,'25-BRA-I-090'!$I:$I,L234)</f>
        <v>0</v>
      </c>
      <c r="AG234" s="1039">
        <f>SUMIFS('25-BRA-I-090'!$CX:$CX,'25-BRA-I-090'!$I:$I,L234)</f>
        <v>0</v>
      </c>
      <c r="AH234" s="1040">
        <f>SUMIFS('25-BRA-I-090'!$DJ:$DJ,'25-BRA-I-090'!$I:$I,L234)+SUMIFS('25-BRA-I-090'!$EC:$EC,'25-BRA-I-090'!$I:$I,L234)</f>
        <v>50</v>
      </c>
      <c r="AI234" s="1040">
        <f>SUMIFS('25-BRA-I-090'!$DK:$DK,'25-BRA-I-090'!$I:$I,L234)+SUMIFS('25-BRA-I-090'!$ED:$ED,'25-BRA-I-090'!$I:$I,L234)</f>
        <v>0</v>
      </c>
      <c r="AJ234" s="1040">
        <f>SUMIFS('25-BRA-I-090'!$DO:$DO,'25-BRA-I-090'!$I:$I,L234)+26400*SUMIFS('25-BRA-I-090'!$EF:$EF,'25-BRA-I-090'!$I:$I,L234)</f>
        <v>277500</v>
      </c>
      <c r="AK234" s="1072"/>
      <c r="AO234" s="1072"/>
    </row>
    <row r="235" spans="1:41" s="1039" customFormat="1" ht="30">
      <c r="A235" s="372"/>
      <c r="B235" s="1057" t="str">
        <f t="shared" si="48"/>
        <v>Washer-M16-DIN434-St-tZn</v>
      </c>
      <c r="C235" s="1058" t="str">
        <f>VLOOKUP(L235,'25-BRA-I-090'!$I:$EZ,4,0)</f>
        <v>St-tZn</v>
      </c>
      <c r="D235" s="374" t="str">
        <f t="shared" si="47"/>
        <v>pcs</v>
      </c>
      <c r="E235" s="183"/>
      <c r="F235" s="184">
        <f t="shared" si="50"/>
        <v>36</v>
      </c>
      <c r="G235" s="185">
        <f t="shared" si="50"/>
        <v>0</v>
      </c>
      <c r="H235" s="185">
        <f t="shared" si="50"/>
        <v>0</v>
      </c>
      <c r="I235" s="185">
        <f t="shared" si="49"/>
        <v>36</v>
      </c>
      <c r="J235" s="185">
        <f t="shared" si="45"/>
        <v>9420</v>
      </c>
      <c r="K235" s="185">
        <f t="shared" si="46"/>
        <v>339120</v>
      </c>
      <c r="L235" s="1184" t="s">
        <v>948</v>
      </c>
      <c r="M235" s="1059"/>
      <c r="N235" s="1059"/>
      <c r="O235" s="1038"/>
      <c r="P235" s="1054"/>
      <c r="Q235" s="1054"/>
      <c r="T235" s="1041"/>
      <c r="U235" s="1042"/>
      <c r="V235" s="1042"/>
      <c r="AA235" s="1039" t="str">
        <f>VLOOKUP(L235,'25-BRA-I-090'!$I:$EZ,2,0)</f>
        <v>Đệm</v>
      </c>
      <c r="AB235" s="1039" t="str">
        <f>VLOOKUP(L235,'25-BRA-I-090'!$I:$EZ,3,0)</f>
        <v>Washer-M16-DIN434-St-tZn</v>
      </c>
      <c r="AC235" s="1039" t="str">
        <f>VLOOKUP(L235,'25-BRA-I-090'!$I:$EZ,5,0)</f>
        <v>pcs</v>
      </c>
      <c r="AD235" s="1039">
        <f>SUMIFS('25-BRA-I-090'!$CS:$CS,'25-BRA-I-090'!$I:$I,L235)</f>
        <v>36</v>
      </c>
      <c r="AE235" s="1039">
        <f>SUMIFS('25-BRA-I-090'!$CT:$CT,'25-BRA-I-090'!$I:$I,L235)</f>
        <v>0</v>
      </c>
      <c r="AF235" s="1039">
        <f>SUMIFS('25-BRA-I-090'!$CW:$CW,'25-BRA-I-090'!$I:$I,L235)</f>
        <v>0</v>
      </c>
      <c r="AG235" s="1039">
        <f>SUMIFS('25-BRA-I-090'!$CX:$CX,'25-BRA-I-090'!$I:$I,L235)</f>
        <v>0</v>
      </c>
      <c r="AH235" s="1040">
        <f>SUMIFS('25-BRA-I-090'!$DJ:$DJ,'25-BRA-I-090'!$I:$I,L235)+SUMIFS('25-BRA-I-090'!$EC:$EC,'25-BRA-I-090'!$I:$I,L235)</f>
        <v>36</v>
      </c>
      <c r="AI235" s="1040">
        <f>SUMIFS('25-BRA-I-090'!$DK:$DK,'25-BRA-I-090'!$I:$I,L235)+SUMIFS('25-BRA-I-090'!$ED:$ED,'25-BRA-I-090'!$I:$I,L235)</f>
        <v>0</v>
      </c>
      <c r="AJ235" s="1040">
        <f>SUMIFS('25-BRA-I-090'!$DO:$DO,'25-BRA-I-090'!$I:$I,L235)+26400*SUMIFS('25-BRA-I-090'!$EF:$EF,'25-BRA-I-090'!$I:$I,L235)</f>
        <v>339120</v>
      </c>
      <c r="AK235" s="1072"/>
      <c r="AO235" s="1072"/>
    </row>
    <row r="236" spans="1:41" s="1039" customFormat="1" ht="45">
      <c r="A236" s="372"/>
      <c r="B236" s="1057" t="str">
        <f t="shared" si="48"/>
        <v>Washer-M16-ISO7089-St-200 HV-tZn</v>
      </c>
      <c r="C236" s="1058" t="str">
        <f>VLOOKUP(L236,'25-BRA-I-090'!$I:$EZ,4,0)</f>
        <v>St-200 HV-tZn</v>
      </c>
      <c r="D236" s="374" t="str">
        <f t="shared" si="47"/>
        <v>pcs</v>
      </c>
      <c r="E236" s="183"/>
      <c r="F236" s="184">
        <f t="shared" si="50"/>
        <v>8946</v>
      </c>
      <c r="G236" s="185">
        <f t="shared" si="50"/>
        <v>0</v>
      </c>
      <c r="H236" s="185">
        <f t="shared" si="50"/>
        <v>0</v>
      </c>
      <c r="I236" s="185">
        <f t="shared" si="49"/>
        <v>8946</v>
      </c>
      <c r="J236" s="185">
        <f t="shared" si="45"/>
        <v>1410</v>
      </c>
      <c r="K236" s="185">
        <f t="shared" si="46"/>
        <v>12613860</v>
      </c>
      <c r="L236" s="1184" t="s">
        <v>951</v>
      </c>
      <c r="M236" s="1059"/>
      <c r="N236" s="1059"/>
      <c r="O236" s="1038"/>
      <c r="P236" s="1054"/>
      <c r="Q236" s="1054"/>
      <c r="T236" s="1041"/>
      <c r="U236" s="1042"/>
      <c r="V236" s="1042"/>
      <c r="AA236" s="1039" t="str">
        <f>VLOOKUP(L236,'25-BRA-I-090'!$I:$EZ,2,0)</f>
        <v>Đệm</v>
      </c>
      <c r="AB236" s="1039" t="str">
        <f>VLOOKUP(L236,'25-BRA-I-090'!$I:$EZ,3,0)</f>
        <v>Washer-M16-ISO7089-St-200 HV-tZn</v>
      </c>
      <c r="AC236" s="1039" t="str">
        <f>VLOOKUP(L236,'25-BRA-I-090'!$I:$EZ,5,0)</f>
        <v>pcs</v>
      </c>
      <c r="AD236" s="1039">
        <f>SUMIFS('25-BRA-I-090'!$CS:$CS,'25-BRA-I-090'!$I:$I,L236)</f>
        <v>8946</v>
      </c>
      <c r="AE236" s="1039">
        <f>SUMIFS('25-BRA-I-090'!$CT:$CT,'25-BRA-I-090'!$I:$I,L236)</f>
        <v>0</v>
      </c>
      <c r="AF236" s="1039">
        <f>SUMIFS('25-BRA-I-090'!$CW:$CW,'25-BRA-I-090'!$I:$I,L236)</f>
        <v>0</v>
      </c>
      <c r="AG236" s="1039">
        <f>SUMIFS('25-BRA-I-090'!$CX:$CX,'25-BRA-I-090'!$I:$I,L236)</f>
        <v>0</v>
      </c>
      <c r="AH236" s="1040">
        <f>SUMIFS('25-BRA-I-090'!$DJ:$DJ,'25-BRA-I-090'!$I:$I,L236)+SUMIFS('25-BRA-I-090'!$EC:$EC,'25-BRA-I-090'!$I:$I,L236)</f>
        <v>8946</v>
      </c>
      <c r="AI236" s="1040">
        <f>SUMIFS('25-BRA-I-090'!$DK:$DK,'25-BRA-I-090'!$I:$I,L236)+SUMIFS('25-BRA-I-090'!$ED:$ED,'25-BRA-I-090'!$I:$I,L236)</f>
        <v>0</v>
      </c>
      <c r="AJ236" s="1040">
        <f>SUMIFS('25-BRA-I-090'!$DO:$DO,'25-BRA-I-090'!$I:$I,L236)+26400*SUMIFS('25-BRA-I-090'!$EF:$EF,'25-BRA-I-090'!$I:$I,L236)</f>
        <v>12613860</v>
      </c>
      <c r="AK236" s="1072"/>
      <c r="AO236" s="1072"/>
    </row>
    <row r="237" spans="1:41" s="1039" customFormat="1" ht="45">
      <c r="A237" s="372"/>
      <c r="B237" s="1057" t="str">
        <f t="shared" si="48"/>
        <v>Washer-M16-ISO7089-St-300 HV-Galv</v>
      </c>
      <c r="C237" s="1058" t="str">
        <f>VLOOKUP(L237,'25-BRA-I-090'!$I:$EZ,4,0)</f>
        <v>St-300 HV-Galv</v>
      </c>
      <c r="D237" s="374" t="str">
        <f t="shared" si="47"/>
        <v>pcs</v>
      </c>
      <c r="E237" s="183"/>
      <c r="F237" s="184">
        <f t="shared" si="50"/>
        <v>90</v>
      </c>
      <c r="G237" s="185">
        <f t="shared" si="50"/>
        <v>0</v>
      </c>
      <c r="H237" s="185">
        <f t="shared" si="50"/>
        <v>0</v>
      </c>
      <c r="I237" s="185">
        <f t="shared" si="49"/>
        <v>90</v>
      </c>
      <c r="J237" s="185">
        <f t="shared" si="45"/>
        <v>1410</v>
      </c>
      <c r="K237" s="185">
        <f t="shared" si="46"/>
        <v>126900</v>
      </c>
      <c r="L237" s="1184" t="s">
        <v>953</v>
      </c>
      <c r="M237" s="1059"/>
      <c r="N237" s="1059"/>
      <c r="O237" s="1038"/>
      <c r="P237" s="1054"/>
      <c r="Q237" s="1054"/>
      <c r="T237" s="1041"/>
      <c r="U237" s="1042"/>
      <c r="V237" s="1042"/>
      <c r="AA237" s="1039" t="str">
        <f>VLOOKUP(L237,'25-BRA-I-090'!$I:$EZ,2,0)</f>
        <v>Đệm</v>
      </c>
      <c r="AB237" s="1039" t="str">
        <f>VLOOKUP(L237,'25-BRA-I-090'!$I:$EZ,3,0)</f>
        <v>Washer-M16-ISO7089-St-300 HV-Galv</v>
      </c>
      <c r="AC237" s="1039" t="str">
        <f>VLOOKUP(L237,'25-BRA-I-090'!$I:$EZ,5,0)</f>
        <v>pcs</v>
      </c>
      <c r="AD237" s="1039">
        <f>SUMIFS('25-BRA-I-090'!$CS:$CS,'25-BRA-I-090'!$I:$I,L237)</f>
        <v>90</v>
      </c>
      <c r="AE237" s="1039">
        <f>SUMIFS('25-BRA-I-090'!$CT:$CT,'25-BRA-I-090'!$I:$I,L237)</f>
        <v>0</v>
      </c>
      <c r="AF237" s="1039">
        <f>SUMIFS('25-BRA-I-090'!$CW:$CW,'25-BRA-I-090'!$I:$I,L237)</f>
        <v>0</v>
      </c>
      <c r="AG237" s="1039">
        <f>SUMIFS('25-BRA-I-090'!$CX:$CX,'25-BRA-I-090'!$I:$I,L237)</f>
        <v>0</v>
      </c>
      <c r="AH237" s="1040">
        <f>SUMIFS('25-BRA-I-090'!$DJ:$DJ,'25-BRA-I-090'!$I:$I,L237)+SUMIFS('25-BRA-I-090'!$EC:$EC,'25-BRA-I-090'!$I:$I,L237)</f>
        <v>90</v>
      </c>
      <c r="AI237" s="1040">
        <f>SUMIFS('25-BRA-I-090'!$DK:$DK,'25-BRA-I-090'!$I:$I,L237)+SUMIFS('25-BRA-I-090'!$ED:$ED,'25-BRA-I-090'!$I:$I,L237)</f>
        <v>0</v>
      </c>
      <c r="AJ237" s="1040">
        <f>SUMIFS('25-BRA-I-090'!$DO:$DO,'25-BRA-I-090'!$I:$I,L237)+26400*SUMIFS('25-BRA-I-090'!$EF:$EF,'25-BRA-I-090'!$I:$I,L237)</f>
        <v>126900</v>
      </c>
      <c r="AK237" s="1072"/>
      <c r="AO237" s="1072"/>
    </row>
    <row r="238" spans="1:41" s="1039" customFormat="1" ht="30">
      <c r="A238" s="372"/>
      <c r="B238" s="1057" t="str">
        <f t="shared" si="48"/>
        <v>Washer-M16-ISO7089-St-Galv</v>
      </c>
      <c r="C238" s="1058" t="str">
        <f>VLOOKUP(L238,'25-BRA-I-090'!$I:$EZ,4,0)</f>
        <v>St-Galv</v>
      </c>
      <c r="D238" s="374" t="str">
        <f t="shared" si="47"/>
        <v>pcs</v>
      </c>
      <c r="E238" s="183"/>
      <c r="F238" s="184">
        <f t="shared" si="50"/>
        <v>19234</v>
      </c>
      <c r="G238" s="185">
        <f t="shared" si="50"/>
        <v>0</v>
      </c>
      <c r="H238" s="185">
        <f t="shared" si="50"/>
        <v>0</v>
      </c>
      <c r="I238" s="185">
        <f t="shared" si="49"/>
        <v>19234</v>
      </c>
      <c r="J238" s="185">
        <f t="shared" si="45"/>
        <v>1410</v>
      </c>
      <c r="K238" s="185">
        <f t="shared" si="46"/>
        <v>27119940</v>
      </c>
      <c r="L238" s="1184" t="s">
        <v>955</v>
      </c>
      <c r="M238" s="1059"/>
      <c r="N238" s="1059"/>
      <c r="O238" s="1038"/>
      <c r="P238" s="1054"/>
      <c r="Q238" s="1054"/>
      <c r="T238" s="1041"/>
      <c r="U238" s="1042"/>
      <c r="V238" s="1042"/>
      <c r="AA238" s="1039" t="str">
        <f>VLOOKUP(L238,'25-BRA-I-090'!$I:$EZ,2,0)</f>
        <v>Đệm</v>
      </c>
      <c r="AB238" s="1039" t="str">
        <f>VLOOKUP(L238,'25-BRA-I-090'!$I:$EZ,3,0)</f>
        <v>Washer-M16-ISO7089-St-Galv</v>
      </c>
      <c r="AC238" s="1039" t="str">
        <f>VLOOKUP(L238,'25-BRA-I-090'!$I:$EZ,5,0)</f>
        <v>pcs</v>
      </c>
      <c r="AD238" s="1039">
        <f>SUMIFS('25-BRA-I-090'!$CS:$CS,'25-BRA-I-090'!$I:$I,L238)</f>
        <v>19234</v>
      </c>
      <c r="AE238" s="1039">
        <f>SUMIFS('25-BRA-I-090'!$CT:$CT,'25-BRA-I-090'!$I:$I,L238)</f>
        <v>0</v>
      </c>
      <c r="AF238" s="1039">
        <f>SUMIFS('25-BRA-I-090'!$CW:$CW,'25-BRA-I-090'!$I:$I,L238)</f>
        <v>0</v>
      </c>
      <c r="AG238" s="1039">
        <f>SUMIFS('25-BRA-I-090'!$CX:$CX,'25-BRA-I-090'!$I:$I,L238)</f>
        <v>0</v>
      </c>
      <c r="AH238" s="1040">
        <f>SUMIFS('25-BRA-I-090'!$DJ:$DJ,'25-BRA-I-090'!$I:$I,L238)+SUMIFS('25-BRA-I-090'!$EC:$EC,'25-BRA-I-090'!$I:$I,L238)</f>
        <v>19234</v>
      </c>
      <c r="AI238" s="1040">
        <f>SUMIFS('25-BRA-I-090'!$DK:$DK,'25-BRA-I-090'!$I:$I,L238)+SUMIFS('25-BRA-I-090'!$ED:$ED,'25-BRA-I-090'!$I:$I,L238)</f>
        <v>0</v>
      </c>
      <c r="AJ238" s="1040">
        <f>SUMIFS('25-BRA-I-090'!$DO:$DO,'25-BRA-I-090'!$I:$I,L238)+26400*SUMIFS('25-BRA-I-090'!$EF:$EF,'25-BRA-I-090'!$I:$I,L238)</f>
        <v>27119940</v>
      </c>
      <c r="AK238" s="1072"/>
      <c r="AO238" s="1072"/>
    </row>
    <row r="239" spans="1:41" s="1039" customFormat="1" ht="45">
      <c r="A239" s="372"/>
      <c r="B239" s="1057" t="str">
        <f t="shared" si="48"/>
        <v>Washer-M16-ISO7093-St-200 HV-Galv</v>
      </c>
      <c r="C239" s="1058" t="str">
        <f>VLOOKUP(L239,'25-BRA-I-090'!$I:$EZ,4,0)</f>
        <v>St-200 HV-Galv</v>
      </c>
      <c r="D239" s="374" t="str">
        <f t="shared" si="47"/>
        <v>pcs</v>
      </c>
      <c r="E239" s="183"/>
      <c r="F239" s="184">
        <f t="shared" si="50"/>
        <v>350</v>
      </c>
      <c r="G239" s="185">
        <f t="shared" si="50"/>
        <v>0</v>
      </c>
      <c r="H239" s="185">
        <f t="shared" si="50"/>
        <v>0</v>
      </c>
      <c r="I239" s="185">
        <f t="shared" si="49"/>
        <v>350</v>
      </c>
      <c r="J239" s="185">
        <f t="shared" si="45"/>
        <v>10230</v>
      </c>
      <c r="K239" s="185">
        <f t="shared" si="46"/>
        <v>3580500</v>
      </c>
      <c r="L239" s="1184" t="s">
        <v>957</v>
      </c>
      <c r="M239" s="1059"/>
      <c r="N239" s="1059"/>
      <c r="O239" s="1038"/>
      <c r="P239" s="1054"/>
      <c r="Q239" s="1054"/>
      <c r="T239" s="1041"/>
      <c r="U239" s="1042"/>
      <c r="V239" s="1042"/>
      <c r="AA239" s="1039" t="str">
        <f>VLOOKUP(L239,'25-BRA-I-090'!$I:$EZ,2,0)</f>
        <v>Đệm</v>
      </c>
      <c r="AB239" s="1039" t="str">
        <f>VLOOKUP(L239,'25-BRA-I-090'!$I:$EZ,3,0)</f>
        <v>Washer-M16-ISO7093-St-200 HV-Galv</v>
      </c>
      <c r="AC239" s="1039" t="str">
        <f>VLOOKUP(L239,'25-BRA-I-090'!$I:$EZ,5,0)</f>
        <v>pcs</v>
      </c>
      <c r="AD239" s="1039">
        <f>SUMIFS('25-BRA-I-090'!$CS:$CS,'25-BRA-I-090'!$I:$I,L239)</f>
        <v>350</v>
      </c>
      <c r="AE239" s="1039">
        <f>SUMIFS('25-BRA-I-090'!$CT:$CT,'25-BRA-I-090'!$I:$I,L239)</f>
        <v>0</v>
      </c>
      <c r="AF239" s="1039">
        <f>SUMIFS('25-BRA-I-090'!$CW:$CW,'25-BRA-I-090'!$I:$I,L239)</f>
        <v>0</v>
      </c>
      <c r="AG239" s="1039">
        <f>SUMIFS('25-BRA-I-090'!$CX:$CX,'25-BRA-I-090'!$I:$I,L239)</f>
        <v>0</v>
      </c>
      <c r="AH239" s="1040">
        <f>SUMIFS('25-BRA-I-090'!$DJ:$DJ,'25-BRA-I-090'!$I:$I,L239)+SUMIFS('25-BRA-I-090'!$EC:$EC,'25-BRA-I-090'!$I:$I,L239)</f>
        <v>350</v>
      </c>
      <c r="AI239" s="1040">
        <f>SUMIFS('25-BRA-I-090'!$DK:$DK,'25-BRA-I-090'!$I:$I,L239)+SUMIFS('25-BRA-I-090'!$ED:$ED,'25-BRA-I-090'!$I:$I,L239)</f>
        <v>0</v>
      </c>
      <c r="AJ239" s="1040">
        <f>SUMIFS('25-BRA-I-090'!$DO:$DO,'25-BRA-I-090'!$I:$I,L239)+26400*SUMIFS('25-BRA-I-090'!$EF:$EF,'25-BRA-I-090'!$I:$I,L239)</f>
        <v>3580500</v>
      </c>
      <c r="AK239" s="1072"/>
      <c r="AO239" s="1072"/>
    </row>
    <row r="240" spans="1:41" s="1039" customFormat="1" ht="45">
      <c r="A240" s="372"/>
      <c r="B240" s="1057" t="str">
        <f t="shared" si="48"/>
        <v>Washer-M16-ISO7093-St-200 HV-tZn</v>
      </c>
      <c r="C240" s="1058" t="str">
        <f>VLOOKUP(L240,'25-BRA-I-090'!$I:$EZ,4,0)</f>
        <v>St-200 HV-tZn</v>
      </c>
      <c r="D240" s="374" t="str">
        <f t="shared" si="47"/>
        <v>pcs</v>
      </c>
      <c r="E240" s="183"/>
      <c r="F240" s="184">
        <f t="shared" si="50"/>
        <v>4258</v>
      </c>
      <c r="G240" s="185">
        <f t="shared" si="50"/>
        <v>0</v>
      </c>
      <c r="H240" s="185">
        <f t="shared" si="50"/>
        <v>0</v>
      </c>
      <c r="I240" s="185">
        <f t="shared" si="49"/>
        <v>4258</v>
      </c>
      <c r="J240" s="185">
        <f t="shared" si="45"/>
        <v>10230</v>
      </c>
      <c r="K240" s="185">
        <f t="shared" si="46"/>
        <v>43559340</v>
      </c>
      <c r="L240" s="1184" t="s">
        <v>959</v>
      </c>
      <c r="M240" s="1059"/>
      <c r="N240" s="1059"/>
      <c r="O240" s="1038"/>
      <c r="P240" s="1054"/>
      <c r="Q240" s="1054"/>
      <c r="T240" s="1041"/>
      <c r="U240" s="1042"/>
      <c r="V240" s="1042"/>
      <c r="AA240" s="1039" t="str">
        <f>VLOOKUP(L240,'25-BRA-I-090'!$I:$EZ,2,0)</f>
        <v>Đệm</v>
      </c>
      <c r="AB240" s="1039" t="str">
        <f>VLOOKUP(L240,'25-BRA-I-090'!$I:$EZ,3,0)</f>
        <v>Washer-M16-ISO7093-St-200 HV-tZn</v>
      </c>
      <c r="AC240" s="1039" t="str">
        <f>VLOOKUP(L240,'25-BRA-I-090'!$I:$EZ,5,0)</f>
        <v>pcs</v>
      </c>
      <c r="AD240" s="1039">
        <f>SUMIFS('25-BRA-I-090'!$CS:$CS,'25-BRA-I-090'!$I:$I,L240)</f>
        <v>4258</v>
      </c>
      <c r="AE240" s="1039">
        <f>SUMIFS('25-BRA-I-090'!$CT:$CT,'25-BRA-I-090'!$I:$I,L240)</f>
        <v>0</v>
      </c>
      <c r="AF240" s="1039">
        <f>SUMIFS('25-BRA-I-090'!$CW:$CW,'25-BRA-I-090'!$I:$I,L240)</f>
        <v>0</v>
      </c>
      <c r="AG240" s="1039">
        <f>SUMIFS('25-BRA-I-090'!$CX:$CX,'25-BRA-I-090'!$I:$I,L240)</f>
        <v>0</v>
      </c>
      <c r="AH240" s="1040">
        <f>SUMIFS('25-BRA-I-090'!$DJ:$DJ,'25-BRA-I-090'!$I:$I,L240)+SUMIFS('25-BRA-I-090'!$EC:$EC,'25-BRA-I-090'!$I:$I,L240)</f>
        <v>4258</v>
      </c>
      <c r="AI240" s="1040">
        <f>SUMIFS('25-BRA-I-090'!$DK:$DK,'25-BRA-I-090'!$I:$I,L240)+SUMIFS('25-BRA-I-090'!$ED:$ED,'25-BRA-I-090'!$I:$I,L240)</f>
        <v>0</v>
      </c>
      <c r="AJ240" s="1040">
        <f>SUMIFS('25-BRA-I-090'!$DO:$DO,'25-BRA-I-090'!$I:$I,L240)+26400*SUMIFS('25-BRA-I-090'!$EF:$EF,'25-BRA-I-090'!$I:$I,L240)</f>
        <v>43559340</v>
      </c>
      <c r="AK240" s="1072"/>
      <c r="AO240" s="1072"/>
    </row>
    <row r="241" spans="1:41" s="1039" customFormat="1" ht="45">
      <c r="A241" s="372"/>
      <c r="B241" s="1057" t="str">
        <f t="shared" si="48"/>
        <v>Washer-M20-ISO7089-St-200 HV-tZn</v>
      </c>
      <c r="C241" s="1058" t="str">
        <f>VLOOKUP(L241,'25-BRA-I-090'!$I:$EZ,4,0)</f>
        <v>St-200 HV-tZn</v>
      </c>
      <c r="D241" s="374" t="str">
        <f t="shared" si="47"/>
        <v>pcs</v>
      </c>
      <c r="E241" s="183"/>
      <c r="F241" s="184">
        <f t="shared" si="50"/>
        <v>4044</v>
      </c>
      <c r="G241" s="185">
        <f t="shared" si="50"/>
        <v>0</v>
      </c>
      <c r="H241" s="185">
        <f t="shared" si="50"/>
        <v>0</v>
      </c>
      <c r="I241" s="185">
        <f t="shared" si="49"/>
        <v>4044</v>
      </c>
      <c r="J241" s="185">
        <f t="shared" si="45"/>
        <v>2150</v>
      </c>
      <c r="K241" s="185">
        <f t="shared" si="46"/>
        <v>8694600</v>
      </c>
      <c r="L241" s="1184" t="s">
        <v>961</v>
      </c>
      <c r="M241" s="1059"/>
      <c r="N241" s="1059"/>
      <c r="O241" s="1038"/>
      <c r="P241" s="1054"/>
      <c r="Q241" s="1054"/>
      <c r="T241" s="1041"/>
      <c r="U241" s="1042"/>
      <c r="V241" s="1042"/>
      <c r="AA241" s="1039" t="str">
        <f>VLOOKUP(L241,'25-BRA-I-090'!$I:$EZ,2,0)</f>
        <v>Đệm</v>
      </c>
      <c r="AB241" s="1039" t="str">
        <f>VLOOKUP(L241,'25-BRA-I-090'!$I:$EZ,3,0)</f>
        <v>Washer-M20-ISO7089-St-200 HV-tZn</v>
      </c>
      <c r="AC241" s="1039" t="str">
        <f>VLOOKUP(L241,'25-BRA-I-090'!$I:$EZ,5,0)</f>
        <v>pcs</v>
      </c>
      <c r="AD241" s="1039">
        <f>SUMIFS('25-BRA-I-090'!$CS:$CS,'25-BRA-I-090'!$I:$I,L241)</f>
        <v>4044</v>
      </c>
      <c r="AE241" s="1039">
        <f>SUMIFS('25-BRA-I-090'!$CT:$CT,'25-BRA-I-090'!$I:$I,L241)</f>
        <v>0</v>
      </c>
      <c r="AF241" s="1039">
        <f>SUMIFS('25-BRA-I-090'!$CW:$CW,'25-BRA-I-090'!$I:$I,L241)</f>
        <v>0</v>
      </c>
      <c r="AG241" s="1039">
        <f>SUMIFS('25-BRA-I-090'!$CX:$CX,'25-BRA-I-090'!$I:$I,L241)</f>
        <v>0</v>
      </c>
      <c r="AH241" s="1040">
        <f>SUMIFS('25-BRA-I-090'!$DJ:$DJ,'25-BRA-I-090'!$I:$I,L241)+SUMIFS('25-BRA-I-090'!$EC:$EC,'25-BRA-I-090'!$I:$I,L241)</f>
        <v>4044</v>
      </c>
      <c r="AI241" s="1040">
        <f>SUMIFS('25-BRA-I-090'!$DK:$DK,'25-BRA-I-090'!$I:$I,L241)+SUMIFS('25-BRA-I-090'!$ED:$ED,'25-BRA-I-090'!$I:$I,L241)</f>
        <v>0</v>
      </c>
      <c r="AJ241" s="1040">
        <f>SUMIFS('25-BRA-I-090'!$DO:$DO,'25-BRA-I-090'!$I:$I,L241)+26400*SUMIFS('25-BRA-I-090'!$EF:$EF,'25-BRA-I-090'!$I:$I,L241)</f>
        <v>8694600</v>
      </c>
      <c r="AK241" s="1072"/>
      <c r="AO241" s="1072"/>
    </row>
    <row r="242" spans="1:41" s="1039" customFormat="1" ht="30">
      <c r="A242" s="372"/>
      <c r="B242" s="1057" t="str">
        <f t="shared" si="48"/>
        <v>Washer-M20-ISO7089-St-Galv</v>
      </c>
      <c r="C242" s="1058" t="str">
        <f>VLOOKUP(L242,'25-BRA-I-090'!$I:$EZ,4,0)</f>
        <v>St-Galv</v>
      </c>
      <c r="D242" s="374" t="str">
        <f t="shared" si="47"/>
        <v>pcs</v>
      </c>
      <c r="E242" s="183"/>
      <c r="F242" s="184">
        <f t="shared" si="50"/>
        <v>4148</v>
      </c>
      <c r="G242" s="185">
        <f t="shared" si="50"/>
        <v>0</v>
      </c>
      <c r="H242" s="185">
        <f t="shared" si="50"/>
        <v>0</v>
      </c>
      <c r="I242" s="185">
        <f t="shared" si="49"/>
        <v>1452</v>
      </c>
      <c r="J242" s="185">
        <f t="shared" si="45"/>
        <v>2150</v>
      </c>
      <c r="K242" s="185">
        <f t="shared" si="46"/>
        <v>3121800</v>
      </c>
      <c r="L242" s="1184" t="s">
        <v>963</v>
      </c>
      <c r="M242" s="1059"/>
      <c r="N242" s="1059"/>
      <c r="O242" s="1038"/>
      <c r="P242" s="1054"/>
      <c r="Q242" s="1054"/>
      <c r="T242" s="1041"/>
      <c r="U242" s="1042"/>
      <c r="V242" s="1042"/>
      <c r="AA242" s="1039" t="str">
        <f>VLOOKUP(L242,'25-BRA-I-090'!$I:$EZ,2,0)</f>
        <v>Đệm</v>
      </c>
      <c r="AB242" s="1039" t="str">
        <f>VLOOKUP(L242,'25-BRA-I-090'!$I:$EZ,3,0)</f>
        <v>Washer-M20-ISO7089-St-Galv</v>
      </c>
      <c r="AC242" s="1039" t="str">
        <f>VLOOKUP(L242,'25-BRA-I-090'!$I:$EZ,5,0)</f>
        <v>pcs</v>
      </c>
      <c r="AD242" s="1039">
        <f>SUMIFS('25-BRA-I-090'!$CS:$CS,'25-BRA-I-090'!$I:$I,L242)</f>
        <v>4148</v>
      </c>
      <c r="AE242" s="1039">
        <f>SUMIFS('25-BRA-I-090'!$CT:$CT,'25-BRA-I-090'!$I:$I,L242)</f>
        <v>0</v>
      </c>
      <c r="AF242" s="1039">
        <f>SUMIFS('25-BRA-I-090'!$CW:$CW,'25-BRA-I-090'!$I:$I,L242)</f>
        <v>0</v>
      </c>
      <c r="AG242" s="1039">
        <f>SUMIFS('25-BRA-I-090'!$CX:$CX,'25-BRA-I-090'!$I:$I,L242)</f>
        <v>0</v>
      </c>
      <c r="AH242" s="1040">
        <f>SUMIFS('25-BRA-I-090'!$DJ:$DJ,'25-BRA-I-090'!$I:$I,L242)+SUMIFS('25-BRA-I-090'!$EC:$EC,'25-BRA-I-090'!$I:$I,L242)</f>
        <v>1452</v>
      </c>
      <c r="AI242" s="1040">
        <f>SUMIFS('25-BRA-I-090'!$DK:$DK,'25-BRA-I-090'!$I:$I,L242)+SUMIFS('25-BRA-I-090'!$ED:$ED,'25-BRA-I-090'!$I:$I,L242)</f>
        <v>0</v>
      </c>
      <c r="AJ242" s="1040">
        <f>SUMIFS('25-BRA-I-090'!$DO:$DO,'25-BRA-I-090'!$I:$I,L242)+26400*SUMIFS('25-BRA-I-090'!$EF:$EF,'25-BRA-I-090'!$I:$I,L242)</f>
        <v>3121800</v>
      </c>
      <c r="AK242" s="1072"/>
      <c r="AO242" s="1072"/>
    </row>
    <row r="243" spans="1:41" s="1039" customFormat="1" ht="45">
      <c r="A243" s="372"/>
      <c r="B243" s="1057" t="str">
        <f t="shared" si="48"/>
        <v>Washer-M20-ISO7090-St-200 HV-tZn</v>
      </c>
      <c r="C243" s="1058" t="str">
        <f>VLOOKUP(L243,'25-BRA-I-090'!$I:$EZ,4,0)</f>
        <v>St-200 HV-tZn</v>
      </c>
      <c r="D243" s="374" t="str">
        <f t="shared" si="47"/>
        <v>pcs</v>
      </c>
      <c r="E243" s="183"/>
      <c r="F243" s="184">
        <f t="shared" si="50"/>
        <v>170</v>
      </c>
      <c r="G243" s="185">
        <f t="shared" si="50"/>
        <v>0</v>
      </c>
      <c r="H243" s="185">
        <f t="shared" si="50"/>
        <v>0</v>
      </c>
      <c r="I243" s="185">
        <f t="shared" si="49"/>
        <v>170</v>
      </c>
      <c r="J243" s="185">
        <f t="shared" si="45"/>
        <v>2150</v>
      </c>
      <c r="K243" s="185">
        <f t="shared" si="46"/>
        <v>365500</v>
      </c>
      <c r="L243" s="1184" t="s">
        <v>965</v>
      </c>
      <c r="M243" s="1059"/>
      <c r="N243" s="1059"/>
      <c r="O243" s="1038"/>
      <c r="P243" s="1054"/>
      <c r="Q243" s="1054"/>
      <c r="T243" s="1041"/>
      <c r="U243" s="1042"/>
      <c r="V243" s="1042"/>
      <c r="AA243" s="1039" t="str">
        <f>VLOOKUP(L243,'25-BRA-I-090'!$I:$EZ,2,0)</f>
        <v>Đệm</v>
      </c>
      <c r="AB243" s="1039" t="str">
        <f>VLOOKUP(L243,'25-BRA-I-090'!$I:$EZ,3,0)</f>
        <v>Washer-M20-ISO7090-St-200 HV-tZn</v>
      </c>
      <c r="AC243" s="1039" t="str">
        <f>VLOOKUP(L243,'25-BRA-I-090'!$I:$EZ,5,0)</f>
        <v>pcs</v>
      </c>
      <c r="AD243" s="1039">
        <f>SUMIFS('25-BRA-I-090'!$CS:$CS,'25-BRA-I-090'!$I:$I,L243)</f>
        <v>170</v>
      </c>
      <c r="AE243" s="1039">
        <f>SUMIFS('25-BRA-I-090'!$CT:$CT,'25-BRA-I-090'!$I:$I,L243)</f>
        <v>0</v>
      </c>
      <c r="AF243" s="1039">
        <f>SUMIFS('25-BRA-I-090'!$CW:$CW,'25-BRA-I-090'!$I:$I,L243)</f>
        <v>0</v>
      </c>
      <c r="AG243" s="1039">
        <f>SUMIFS('25-BRA-I-090'!$CX:$CX,'25-BRA-I-090'!$I:$I,L243)</f>
        <v>0</v>
      </c>
      <c r="AH243" s="1040">
        <f>SUMIFS('25-BRA-I-090'!$DJ:$DJ,'25-BRA-I-090'!$I:$I,L243)+SUMIFS('25-BRA-I-090'!$EC:$EC,'25-BRA-I-090'!$I:$I,L243)</f>
        <v>170</v>
      </c>
      <c r="AI243" s="1040">
        <f>SUMIFS('25-BRA-I-090'!$DK:$DK,'25-BRA-I-090'!$I:$I,L243)+SUMIFS('25-BRA-I-090'!$ED:$ED,'25-BRA-I-090'!$I:$I,L243)</f>
        <v>0</v>
      </c>
      <c r="AJ243" s="1040">
        <f>SUMIFS('25-BRA-I-090'!$DO:$DO,'25-BRA-I-090'!$I:$I,L243)+26400*SUMIFS('25-BRA-I-090'!$EF:$EF,'25-BRA-I-090'!$I:$I,L243)</f>
        <v>365500</v>
      </c>
      <c r="AK243" s="1072"/>
      <c r="AO243" s="1072"/>
    </row>
    <row r="244" spans="1:41" s="1039" customFormat="1" ht="30">
      <c r="A244" s="372"/>
      <c r="B244" s="1057" t="str">
        <f t="shared" si="48"/>
        <v>Washer-M24-DIN125-C45-Galv</v>
      </c>
      <c r="C244" s="1058" t="str">
        <f>VLOOKUP(L244,'25-BRA-I-090'!$I:$EZ,4,0)</f>
        <v>C45-Galv</v>
      </c>
      <c r="D244" s="374" t="str">
        <f t="shared" si="47"/>
        <v>pcs</v>
      </c>
      <c r="E244" s="183"/>
      <c r="F244" s="184">
        <f t="shared" si="50"/>
        <v>340</v>
      </c>
      <c r="G244" s="185">
        <f t="shared" si="50"/>
        <v>0</v>
      </c>
      <c r="H244" s="185">
        <f t="shared" si="50"/>
        <v>0</v>
      </c>
      <c r="I244" s="185">
        <f t="shared" si="49"/>
        <v>340</v>
      </c>
      <c r="J244" s="185">
        <f t="shared" si="45"/>
        <v>4040</v>
      </c>
      <c r="K244" s="185">
        <f t="shared" si="46"/>
        <v>1373600</v>
      </c>
      <c r="L244" s="1184" t="s">
        <v>967</v>
      </c>
      <c r="M244" s="1059"/>
      <c r="N244" s="1059"/>
      <c r="O244" s="1038"/>
      <c r="P244" s="1054"/>
      <c r="Q244" s="1054"/>
      <c r="T244" s="1041"/>
      <c r="U244" s="1042"/>
      <c r="V244" s="1042"/>
      <c r="AA244" s="1039" t="str">
        <f>VLOOKUP(L244,'25-BRA-I-090'!$I:$EZ,2,0)</f>
        <v>Đệm</v>
      </c>
      <c r="AB244" s="1039" t="str">
        <f>VLOOKUP(L244,'25-BRA-I-090'!$I:$EZ,3,0)</f>
        <v>Washer-M24-DIN125-C45-Galv</v>
      </c>
      <c r="AC244" s="1039" t="str">
        <f>VLOOKUP(L244,'25-BRA-I-090'!$I:$EZ,5,0)</f>
        <v>pcs</v>
      </c>
      <c r="AD244" s="1039">
        <f>SUMIFS('25-BRA-I-090'!$CS:$CS,'25-BRA-I-090'!$I:$I,L244)</f>
        <v>340</v>
      </c>
      <c r="AE244" s="1039">
        <f>SUMIFS('25-BRA-I-090'!$CT:$CT,'25-BRA-I-090'!$I:$I,L244)</f>
        <v>0</v>
      </c>
      <c r="AF244" s="1039">
        <f>SUMIFS('25-BRA-I-090'!$CW:$CW,'25-BRA-I-090'!$I:$I,L244)</f>
        <v>0</v>
      </c>
      <c r="AG244" s="1039">
        <f>SUMIFS('25-BRA-I-090'!$CX:$CX,'25-BRA-I-090'!$I:$I,L244)</f>
        <v>0</v>
      </c>
      <c r="AH244" s="1040">
        <f>SUMIFS('25-BRA-I-090'!$DJ:$DJ,'25-BRA-I-090'!$I:$I,L244)+SUMIFS('25-BRA-I-090'!$EC:$EC,'25-BRA-I-090'!$I:$I,L244)</f>
        <v>340</v>
      </c>
      <c r="AI244" s="1040">
        <f>SUMIFS('25-BRA-I-090'!$DK:$DK,'25-BRA-I-090'!$I:$I,L244)+SUMIFS('25-BRA-I-090'!$ED:$ED,'25-BRA-I-090'!$I:$I,L244)</f>
        <v>0</v>
      </c>
      <c r="AJ244" s="1040">
        <f>SUMIFS('25-BRA-I-090'!$DO:$DO,'25-BRA-I-090'!$I:$I,L244)+26400*SUMIFS('25-BRA-I-090'!$EF:$EF,'25-BRA-I-090'!$I:$I,L244)</f>
        <v>1373600</v>
      </c>
      <c r="AK244" s="1072"/>
      <c r="AO244" s="1072"/>
    </row>
    <row r="245" spans="1:41" s="1039" customFormat="1" ht="45">
      <c r="A245" s="372"/>
      <c r="B245" s="1057" t="str">
        <f t="shared" si="48"/>
        <v>Washer-M24-EN14399-6-St-300 HV-tZn</v>
      </c>
      <c r="C245" s="1058" t="str">
        <f>VLOOKUP(L245,'25-BRA-I-090'!$I:$EZ,4,0)</f>
        <v>St-300 HV-tZn</v>
      </c>
      <c r="D245" s="374" t="str">
        <f t="shared" si="47"/>
        <v>pcs</v>
      </c>
      <c r="E245" s="183"/>
      <c r="F245" s="184">
        <f t="shared" si="50"/>
        <v>170</v>
      </c>
      <c r="G245" s="185">
        <f t="shared" si="50"/>
        <v>0</v>
      </c>
      <c r="H245" s="185">
        <f t="shared" si="50"/>
        <v>0</v>
      </c>
      <c r="I245" s="185">
        <f t="shared" si="49"/>
        <v>170</v>
      </c>
      <c r="J245" s="185">
        <f t="shared" si="45"/>
        <v>8000</v>
      </c>
      <c r="K245" s="185">
        <f t="shared" si="46"/>
        <v>1360000</v>
      </c>
      <c r="L245" s="1184" t="s">
        <v>970</v>
      </c>
      <c r="M245" s="1059"/>
      <c r="N245" s="1059"/>
      <c r="O245" s="1038"/>
      <c r="P245" s="1054"/>
      <c r="Q245" s="1054"/>
      <c r="T245" s="1041"/>
      <c r="U245" s="1042"/>
      <c r="V245" s="1042"/>
      <c r="AA245" s="1039" t="str">
        <f>VLOOKUP(L245,'25-BRA-I-090'!$I:$EZ,2,0)</f>
        <v>Đệm</v>
      </c>
      <c r="AB245" s="1039" t="str">
        <f>VLOOKUP(L245,'25-BRA-I-090'!$I:$EZ,3,0)</f>
        <v>Washer-M24-EN14399-6-St-300 HV-tZn</v>
      </c>
      <c r="AC245" s="1039" t="str">
        <f>VLOOKUP(L245,'25-BRA-I-090'!$I:$EZ,5,0)</f>
        <v>pcs</v>
      </c>
      <c r="AD245" s="1039">
        <f>SUMIFS('25-BRA-I-090'!$CS:$CS,'25-BRA-I-090'!$I:$I,L245)</f>
        <v>170</v>
      </c>
      <c r="AE245" s="1039">
        <f>SUMIFS('25-BRA-I-090'!$CT:$CT,'25-BRA-I-090'!$I:$I,L245)</f>
        <v>0</v>
      </c>
      <c r="AF245" s="1039">
        <f>SUMIFS('25-BRA-I-090'!$CW:$CW,'25-BRA-I-090'!$I:$I,L245)</f>
        <v>0</v>
      </c>
      <c r="AG245" s="1039">
        <f>SUMIFS('25-BRA-I-090'!$CX:$CX,'25-BRA-I-090'!$I:$I,L245)</f>
        <v>0</v>
      </c>
      <c r="AH245" s="1040">
        <f>SUMIFS('25-BRA-I-090'!$DJ:$DJ,'25-BRA-I-090'!$I:$I,L245)+SUMIFS('25-BRA-I-090'!$EC:$EC,'25-BRA-I-090'!$I:$I,L245)</f>
        <v>170</v>
      </c>
      <c r="AI245" s="1040">
        <f>SUMIFS('25-BRA-I-090'!$DK:$DK,'25-BRA-I-090'!$I:$I,L245)+SUMIFS('25-BRA-I-090'!$ED:$ED,'25-BRA-I-090'!$I:$I,L245)</f>
        <v>0</v>
      </c>
      <c r="AJ245" s="1040">
        <f>SUMIFS('25-BRA-I-090'!$DO:$DO,'25-BRA-I-090'!$I:$I,L245)+26400*SUMIFS('25-BRA-I-090'!$EF:$EF,'25-BRA-I-090'!$I:$I,L245)</f>
        <v>1360000</v>
      </c>
      <c r="AK245" s="1072"/>
      <c r="AO245" s="1072"/>
    </row>
    <row r="246" spans="1:41" s="1039" customFormat="1" ht="45">
      <c r="A246" s="372"/>
      <c r="B246" s="1057" t="str">
        <f t="shared" si="48"/>
        <v>Washer-M24-ISO7089-St-200 HV-tZn</v>
      </c>
      <c r="C246" s="1058" t="str">
        <f>VLOOKUP(L246,'25-BRA-I-090'!$I:$EZ,4,0)</f>
        <v>St-200 HV-tZn</v>
      </c>
      <c r="D246" s="374" t="str">
        <f t="shared" si="47"/>
        <v>pcs</v>
      </c>
      <c r="E246" s="183"/>
      <c r="F246" s="184">
        <f t="shared" si="50"/>
        <v>4276</v>
      </c>
      <c r="G246" s="185">
        <f t="shared" si="50"/>
        <v>0</v>
      </c>
      <c r="H246" s="185">
        <f t="shared" si="50"/>
        <v>0</v>
      </c>
      <c r="I246" s="185">
        <f t="shared" si="49"/>
        <v>4276</v>
      </c>
      <c r="J246" s="185">
        <f t="shared" si="45"/>
        <v>4040</v>
      </c>
      <c r="K246" s="185">
        <f t="shared" si="46"/>
        <v>17275040</v>
      </c>
      <c r="L246" s="1184" t="s">
        <v>973</v>
      </c>
      <c r="M246" s="1059"/>
      <c r="N246" s="1059"/>
      <c r="O246" s="1038"/>
      <c r="P246" s="1054"/>
      <c r="Q246" s="1054"/>
      <c r="T246" s="1041"/>
      <c r="U246" s="1042"/>
      <c r="V246" s="1042"/>
      <c r="AA246" s="1039" t="str">
        <f>VLOOKUP(L246,'25-BRA-I-090'!$I:$EZ,2,0)</f>
        <v>Đệm</v>
      </c>
      <c r="AB246" s="1039" t="str">
        <f>VLOOKUP(L246,'25-BRA-I-090'!$I:$EZ,3,0)</f>
        <v>Washer-M24-ISO7089-St-200 HV-tZn</v>
      </c>
      <c r="AC246" s="1039" t="str">
        <f>VLOOKUP(L246,'25-BRA-I-090'!$I:$EZ,5,0)</f>
        <v>pcs</v>
      </c>
      <c r="AD246" s="1039">
        <f>SUMIFS('25-BRA-I-090'!$CS:$CS,'25-BRA-I-090'!$I:$I,L246)</f>
        <v>4276</v>
      </c>
      <c r="AE246" s="1039">
        <f>SUMIFS('25-BRA-I-090'!$CT:$CT,'25-BRA-I-090'!$I:$I,L246)</f>
        <v>0</v>
      </c>
      <c r="AF246" s="1039">
        <f>SUMIFS('25-BRA-I-090'!$CW:$CW,'25-BRA-I-090'!$I:$I,L246)</f>
        <v>0</v>
      </c>
      <c r="AG246" s="1039">
        <f>SUMIFS('25-BRA-I-090'!$CX:$CX,'25-BRA-I-090'!$I:$I,L246)</f>
        <v>0</v>
      </c>
      <c r="AH246" s="1040">
        <f>SUMIFS('25-BRA-I-090'!$DJ:$DJ,'25-BRA-I-090'!$I:$I,L246)+SUMIFS('25-BRA-I-090'!$EC:$EC,'25-BRA-I-090'!$I:$I,L246)</f>
        <v>4276</v>
      </c>
      <c r="AI246" s="1040">
        <f>SUMIFS('25-BRA-I-090'!$DK:$DK,'25-BRA-I-090'!$I:$I,L246)+SUMIFS('25-BRA-I-090'!$ED:$ED,'25-BRA-I-090'!$I:$I,L246)</f>
        <v>0</v>
      </c>
      <c r="AJ246" s="1040">
        <f>SUMIFS('25-BRA-I-090'!$DO:$DO,'25-BRA-I-090'!$I:$I,L246)+26400*SUMIFS('25-BRA-I-090'!$EF:$EF,'25-BRA-I-090'!$I:$I,L246)</f>
        <v>17275040</v>
      </c>
      <c r="AK246" s="1072"/>
      <c r="AO246" s="1072"/>
    </row>
    <row r="247" spans="1:41" s="1039" customFormat="1" ht="45">
      <c r="A247" s="372"/>
      <c r="B247" s="1057" t="str">
        <f t="shared" si="48"/>
        <v>Washer-M30-ISO7089-St-200 HV-tZn</v>
      </c>
      <c r="C247" s="1058" t="str">
        <f>VLOOKUP(L247,'25-BRA-I-090'!$I:$EZ,4,0)</f>
        <v>St-200 HV-tZn</v>
      </c>
      <c r="D247" s="374" t="str">
        <f t="shared" si="47"/>
        <v>pcs</v>
      </c>
      <c r="E247" s="183"/>
      <c r="F247" s="184">
        <f t="shared" si="50"/>
        <v>1520</v>
      </c>
      <c r="G247" s="185">
        <f t="shared" si="50"/>
        <v>0</v>
      </c>
      <c r="H247" s="185">
        <f t="shared" si="50"/>
        <v>0</v>
      </c>
      <c r="I247" s="185">
        <f t="shared" si="49"/>
        <v>1520</v>
      </c>
      <c r="J247" s="185">
        <f t="shared" ref="J247:J278" si="51">K247/I247</f>
        <v>6700</v>
      </c>
      <c r="K247" s="185">
        <f t="shared" ref="K247:K278" si="52">AJ247</f>
        <v>10184000</v>
      </c>
      <c r="L247" s="1184" t="s">
        <v>975</v>
      </c>
      <c r="M247" s="1059"/>
      <c r="N247" s="1059"/>
      <c r="O247" s="1038"/>
      <c r="P247" s="1054"/>
      <c r="Q247" s="1054"/>
      <c r="T247" s="1041"/>
      <c r="U247" s="1042"/>
      <c r="V247" s="1042"/>
      <c r="AA247" s="1039" t="str">
        <f>VLOOKUP(L247,'25-BRA-I-090'!$I:$EZ,2,0)</f>
        <v>Đệm</v>
      </c>
      <c r="AB247" s="1039" t="str">
        <f>VLOOKUP(L247,'25-BRA-I-090'!$I:$EZ,3,0)</f>
        <v>Washer-M30-ISO7089-St-200 HV-tZn</v>
      </c>
      <c r="AC247" s="1039" t="str">
        <f>VLOOKUP(L247,'25-BRA-I-090'!$I:$EZ,5,0)</f>
        <v>pcs</v>
      </c>
      <c r="AD247" s="1039">
        <f>SUMIFS('25-BRA-I-090'!$CS:$CS,'25-BRA-I-090'!$I:$I,L247)</f>
        <v>1520</v>
      </c>
      <c r="AE247" s="1039">
        <f>SUMIFS('25-BRA-I-090'!$CT:$CT,'25-BRA-I-090'!$I:$I,L247)</f>
        <v>0</v>
      </c>
      <c r="AF247" s="1039">
        <f>SUMIFS('25-BRA-I-090'!$CW:$CW,'25-BRA-I-090'!$I:$I,L247)</f>
        <v>0</v>
      </c>
      <c r="AG247" s="1039">
        <f>SUMIFS('25-BRA-I-090'!$CX:$CX,'25-BRA-I-090'!$I:$I,L247)</f>
        <v>0</v>
      </c>
      <c r="AH247" s="1040">
        <f>SUMIFS('25-BRA-I-090'!$DJ:$DJ,'25-BRA-I-090'!$I:$I,L247)+SUMIFS('25-BRA-I-090'!$EC:$EC,'25-BRA-I-090'!$I:$I,L247)</f>
        <v>1520</v>
      </c>
      <c r="AI247" s="1040">
        <f>SUMIFS('25-BRA-I-090'!$DK:$DK,'25-BRA-I-090'!$I:$I,L247)+SUMIFS('25-BRA-I-090'!$ED:$ED,'25-BRA-I-090'!$I:$I,L247)</f>
        <v>0</v>
      </c>
      <c r="AJ247" s="1040">
        <f>SUMIFS('25-BRA-I-090'!$DO:$DO,'25-BRA-I-090'!$I:$I,L247)+26400*SUMIFS('25-BRA-I-090'!$EF:$EF,'25-BRA-I-090'!$I:$I,L247)</f>
        <v>10184000</v>
      </c>
      <c r="AK247" s="1072"/>
      <c r="AO247" s="1072"/>
    </row>
    <row r="248" spans="1:41" s="1039" customFormat="1" ht="45">
      <c r="A248" s="372"/>
      <c r="B248" s="1057" t="str">
        <f t="shared" si="48"/>
        <v>Washer-M4-ISO7089-St-200 HV-Galv</v>
      </c>
      <c r="C248" s="1058" t="str">
        <f>VLOOKUP(L248,'25-BRA-I-090'!$I:$EZ,4,0)</f>
        <v>St-200 HV-Galv</v>
      </c>
      <c r="D248" s="374" t="str">
        <f t="shared" si="47"/>
        <v>pcs</v>
      </c>
      <c r="E248" s="183"/>
      <c r="F248" s="184">
        <f t="shared" si="50"/>
        <v>180</v>
      </c>
      <c r="G248" s="185">
        <f t="shared" si="50"/>
        <v>0</v>
      </c>
      <c r="H248" s="185">
        <f t="shared" si="50"/>
        <v>0</v>
      </c>
      <c r="I248" s="185">
        <f t="shared" si="49"/>
        <v>180</v>
      </c>
      <c r="J248" s="185">
        <f t="shared" si="51"/>
        <v>1000</v>
      </c>
      <c r="K248" s="185">
        <f t="shared" si="52"/>
        <v>180000</v>
      </c>
      <c r="L248" s="1184" t="s">
        <v>977</v>
      </c>
      <c r="M248" s="1059"/>
      <c r="N248" s="1059"/>
      <c r="O248" s="1038"/>
      <c r="P248" s="1054"/>
      <c r="Q248" s="1054"/>
      <c r="T248" s="1041"/>
      <c r="U248" s="1042"/>
      <c r="V248" s="1042"/>
      <c r="AA248" s="1039" t="str">
        <f>VLOOKUP(L248,'25-BRA-I-090'!$I:$EZ,2,0)</f>
        <v>Đệm</v>
      </c>
      <c r="AB248" s="1039" t="str">
        <f>VLOOKUP(L248,'25-BRA-I-090'!$I:$EZ,3,0)</f>
        <v>Washer-M4-ISO7089-St-200 HV-Galv</v>
      </c>
      <c r="AC248" s="1039" t="str">
        <f>VLOOKUP(L248,'25-BRA-I-090'!$I:$EZ,5,0)</f>
        <v>pcs</v>
      </c>
      <c r="AD248" s="1039">
        <f>SUMIFS('25-BRA-I-090'!$CS:$CS,'25-BRA-I-090'!$I:$I,L248)</f>
        <v>180</v>
      </c>
      <c r="AE248" s="1039">
        <f>SUMIFS('25-BRA-I-090'!$CT:$CT,'25-BRA-I-090'!$I:$I,L248)</f>
        <v>0</v>
      </c>
      <c r="AF248" s="1039">
        <f>SUMIFS('25-BRA-I-090'!$CW:$CW,'25-BRA-I-090'!$I:$I,L248)</f>
        <v>0</v>
      </c>
      <c r="AG248" s="1039">
        <f>SUMIFS('25-BRA-I-090'!$CX:$CX,'25-BRA-I-090'!$I:$I,L248)</f>
        <v>0</v>
      </c>
      <c r="AH248" s="1040">
        <f>SUMIFS('25-BRA-I-090'!$DJ:$DJ,'25-BRA-I-090'!$I:$I,L248)+SUMIFS('25-BRA-I-090'!$EC:$EC,'25-BRA-I-090'!$I:$I,L248)</f>
        <v>180</v>
      </c>
      <c r="AI248" s="1040">
        <f>SUMIFS('25-BRA-I-090'!$DK:$DK,'25-BRA-I-090'!$I:$I,L248)+SUMIFS('25-BRA-I-090'!$ED:$ED,'25-BRA-I-090'!$I:$I,L248)</f>
        <v>0</v>
      </c>
      <c r="AJ248" s="1040">
        <f>SUMIFS('25-BRA-I-090'!$DO:$DO,'25-BRA-I-090'!$I:$I,L248)+26400*SUMIFS('25-BRA-I-090'!$EF:$EF,'25-BRA-I-090'!$I:$I,L248)</f>
        <v>180000</v>
      </c>
      <c r="AK248" s="1072"/>
      <c r="AO248" s="1072"/>
    </row>
    <row r="249" spans="1:41" s="1039" customFormat="1" ht="45">
      <c r="A249" s="372"/>
      <c r="B249" s="1057" t="str">
        <f t="shared" si="48"/>
        <v>Washer-M5-ISO7089-St-200 HV-tZn</v>
      </c>
      <c r="C249" s="1058" t="str">
        <f>VLOOKUP(L249,'25-BRA-I-090'!$I:$EZ,4,0)</f>
        <v>St-200 HV-tZn</v>
      </c>
      <c r="D249" s="374" t="str">
        <f t="shared" si="47"/>
        <v>pcs</v>
      </c>
      <c r="E249" s="183"/>
      <c r="F249" s="184">
        <f t="shared" si="50"/>
        <v>92</v>
      </c>
      <c r="G249" s="185">
        <f t="shared" si="50"/>
        <v>0</v>
      </c>
      <c r="H249" s="185">
        <f t="shared" si="50"/>
        <v>0</v>
      </c>
      <c r="I249" s="185">
        <f t="shared" si="49"/>
        <v>92</v>
      </c>
      <c r="J249" s="185">
        <f t="shared" si="51"/>
        <v>1000</v>
      </c>
      <c r="K249" s="185">
        <f t="shared" si="52"/>
        <v>92000</v>
      </c>
      <c r="L249" s="1184" t="s">
        <v>979</v>
      </c>
      <c r="M249" s="1059"/>
      <c r="N249" s="1059"/>
      <c r="O249" s="1038"/>
      <c r="P249" s="1054"/>
      <c r="Q249" s="1054"/>
      <c r="T249" s="1041"/>
      <c r="U249" s="1042"/>
      <c r="V249" s="1042"/>
      <c r="AA249" s="1039" t="str">
        <f>VLOOKUP(L249,'25-BRA-I-090'!$I:$EZ,2,0)</f>
        <v>Đệm</v>
      </c>
      <c r="AB249" s="1039" t="str">
        <f>VLOOKUP(L249,'25-BRA-I-090'!$I:$EZ,3,0)</f>
        <v>Washer-M5-ISO7089-St-200 HV-tZn</v>
      </c>
      <c r="AC249" s="1039" t="str">
        <f>VLOOKUP(L249,'25-BRA-I-090'!$I:$EZ,5,0)</f>
        <v>pcs</v>
      </c>
      <c r="AD249" s="1039">
        <f>SUMIFS('25-BRA-I-090'!$CS:$CS,'25-BRA-I-090'!$I:$I,L249)</f>
        <v>92</v>
      </c>
      <c r="AE249" s="1039">
        <f>SUMIFS('25-BRA-I-090'!$CT:$CT,'25-BRA-I-090'!$I:$I,L249)</f>
        <v>0</v>
      </c>
      <c r="AF249" s="1039">
        <f>SUMIFS('25-BRA-I-090'!$CW:$CW,'25-BRA-I-090'!$I:$I,L249)</f>
        <v>0</v>
      </c>
      <c r="AG249" s="1039">
        <f>SUMIFS('25-BRA-I-090'!$CX:$CX,'25-BRA-I-090'!$I:$I,L249)</f>
        <v>0</v>
      </c>
      <c r="AH249" s="1040">
        <f>SUMIFS('25-BRA-I-090'!$DJ:$DJ,'25-BRA-I-090'!$I:$I,L249)+SUMIFS('25-BRA-I-090'!$EC:$EC,'25-BRA-I-090'!$I:$I,L249)</f>
        <v>92</v>
      </c>
      <c r="AI249" s="1040">
        <f>SUMIFS('25-BRA-I-090'!$DK:$DK,'25-BRA-I-090'!$I:$I,L249)+SUMIFS('25-BRA-I-090'!$ED:$ED,'25-BRA-I-090'!$I:$I,L249)</f>
        <v>0</v>
      </c>
      <c r="AJ249" s="1040">
        <f>SUMIFS('25-BRA-I-090'!$DO:$DO,'25-BRA-I-090'!$I:$I,L249)+26400*SUMIFS('25-BRA-I-090'!$EF:$EF,'25-BRA-I-090'!$I:$I,L249)</f>
        <v>92000</v>
      </c>
      <c r="AK249" s="1072"/>
      <c r="AO249" s="1072"/>
    </row>
    <row r="250" spans="1:41" s="1039" customFormat="1" ht="30">
      <c r="A250" s="372"/>
      <c r="B250" s="1057" t="str">
        <f t="shared" si="48"/>
        <v>Washer-M6-DIN127-St-Galv</v>
      </c>
      <c r="C250" s="1058" t="str">
        <f>VLOOKUP(L250,'25-BRA-I-090'!$I:$EZ,4,0)</f>
        <v>St-Galv</v>
      </c>
      <c r="D250" s="374" t="str">
        <f t="shared" si="47"/>
        <v>pcs</v>
      </c>
      <c r="E250" s="183"/>
      <c r="F250" s="184">
        <f t="shared" si="50"/>
        <v>680</v>
      </c>
      <c r="G250" s="185">
        <f t="shared" si="50"/>
        <v>0</v>
      </c>
      <c r="H250" s="185">
        <f t="shared" si="50"/>
        <v>0</v>
      </c>
      <c r="I250" s="185">
        <f t="shared" si="49"/>
        <v>680</v>
      </c>
      <c r="J250" s="185">
        <f t="shared" si="51"/>
        <v>1000</v>
      </c>
      <c r="K250" s="185">
        <f t="shared" si="52"/>
        <v>680000</v>
      </c>
      <c r="L250" s="1184" t="s">
        <v>981</v>
      </c>
      <c r="M250" s="1059"/>
      <c r="N250" s="1059"/>
      <c r="O250" s="1038"/>
      <c r="P250" s="1054"/>
      <c r="Q250" s="1054"/>
      <c r="T250" s="1041"/>
      <c r="U250" s="1042"/>
      <c r="V250" s="1042"/>
      <c r="AA250" s="1039" t="str">
        <f>VLOOKUP(L250,'25-BRA-I-090'!$I:$EZ,2,0)</f>
        <v>Đệm</v>
      </c>
      <c r="AB250" s="1039" t="str">
        <f>VLOOKUP(L250,'25-BRA-I-090'!$I:$EZ,3,0)</f>
        <v>Washer-M6-DIN127-St-Galv</v>
      </c>
      <c r="AC250" s="1039" t="str">
        <f>VLOOKUP(L250,'25-BRA-I-090'!$I:$EZ,5,0)</f>
        <v>pcs</v>
      </c>
      <c r="AD250" s="1039">
        <f>SUMIFS('25-BRA-I-090'!$CS:$CS,'25-BRA-I-090'!$I:$I,L250)</f>
        <v>680</v>
      </c>
      <c r="AE250" s="1039">
        <f>SUMIFS('25-BRA-I-090'!$CT:$CT,'25-BRA-I-090'!$I:$I,L250)</f>
        <v>0</v>
      </c>
      <c r="AF250" s="1039">
        <f>SUMIFS('25-BRA-I-090'!$CW:$CW,'25-BRA-I-090'!$I:$I,L250)</f>
        <v>0</v>
      </c>
      <c r="AG250" s="1039">
        <f>SUMIFS('25-BRA-I-090'!$CX:$CX,'25-BRA-I-090'!$I:$I,L250)</f>
        <v>0</v>
      </c>
      <c r="AH250" s="1040">
        <f>SUMIFS('25-BRA-I-090'!$DJ:$DJ,'25-BRA-I-090'!$I:$I,L250)+SUMIFS('25-BRA-I-090'!$EC:$EC,'25-BRA-I-090'!$I:$I,L250)</f>
        <v>680</v>
      </c>
      <c r="AI250" s="1040">
        <f>SUMIFS('25-BRA-I-090'!$DK:$DK,'25-BRA-I-090'!$I:$I,L250)+SUMIFS('25-BRA-I-090'!$ED:$ED,'25-BRA-I-090'!$I:$I,L250)</f>
        <v>0</v>
      </c>
      <c r="AJ250" s="1040">
        <f>SUMIFS('25-BRA-I-090'!$DO:$DO,'25-BRA-I-090'!$I:$I,L250)+26400*SUMIFS('25-BRA-I-090'!$EF:$EF,'25-BRA-I-090'!$I:$I,L250)</f>
        <v>680000</v>
      </c>
      <c r="AK250" s="1072"/>
      <c r="AO250" s="1072"/>
    </row>
    <row r="251" spans="1:41" s="1039" customFormat="1" ht="45">
      <c r="A251" s="372"/>
      <c r="B251" s="1057" t="str">
        <f t="shared" si="48"/>
        <v>Washer-M6-ISO7089-St-200 HV-Galv</v>
      </c>
      <c r="C251" s="1058" t="str">
        <f>VLOOKUP(L251,'25-BRA-I-090'!$I:$EZ,4,0)</f>
        <v>St-200 HV-Galv</v>
      </c>
      <c r="D251" s="374" t="str">
        <f t="shared" si="47"/>
        <v>pcs</v>
      </c>
      <c r="E251" s="183"/>
      <c r="F251" s="184">
        <f t="shared" si="50"/>
        <v>12</v>
      </c>
      <c r="G251" s="185">
        <f t="shared" si="50"/>
        <v>0</v>
      </c>
      <c r="H251" s="185">
        <f t="shared" si="50"/>
        <v>0</v>
      </c>
      <c r="I251" s="185">
        <f t="shared" si="49"/>
        <v>12</v>
      </c>
      <c r="J251" s="185">
        <f t="shared" si="51"/>
        <v>1000</v>
      </c>
      <c r="K251" s="185">
        <f t="shared" si="52"/>
        <v>12000</v>
      </c>
      <c r="L251" s="1184" t="s">
        <v>983</v>
      </c>
      <c r="M251" s="1059"/>
      <c r="N251" s="1059"/>
      <c r="O251" s="1038"/>
      <c r="P251" s="1054"/>
      <c r="Q251" s="1054"/>
      <c r="T251" s="1041"/>
      <c r="U251" s="1042"/>
      <c r="V251" s="1042"/>
      <c r="AA251" s="1039" t="str">
        <f>VLOOKUP(L251,'25-BRA-I-090'!$I:$EZ,2,0)</f>
        <v>Đệm</v>
      </c>
      <c r="AB251" s="1039" t="str">
        <f>VLOOKUP(L251,'25-BRA-I-090'!$I:$EZ,3,0)</f>
        <v>Washer-M6-ISO7089-St-200 HV-Galv</v>
      </c>
      <c r="AC251" s="1039" t="str">
        <f>VLOOKUP(L251,'25-BRA-I-090'!$I:$EZ,5,0)</f>
        <v>pcs</v>
      </c>
      <c r="AD251" s="1039">
        <f>SUMIFS('25-BRA-I-090'!$CS:$CS,'25-BRA-I-090'!$I:$I,L251)</f>
        <v>12</v>
      </c>
      <c r="AE251" s="1039">
        <f>SUMIFS('25-BRA-I-090'!$CT:$CT,'25-BRA-I-090'!$I:$I,L251)</f>
        <v>0</v>
      </c>
      <c r="AF251" s="1039">
        <f>SUMIFS('25-BRA-I-090'!$CW:$CW,'25-BRA-I-090'!$I:$I,L251)</f>
        <v>0</v>
      </c>
      <c r="AG251" s="1039">
        <f>SUMIFS('25-BRA-I-090'!$CX:$CX,'25-BRA-I-090'!$I:$I,L251)</f>
        <v>0</v>
      </c>
      <c r="AH251" s="1040">
        <f>SUMIFS('25-BRA-I-090'!$DJ:$DJ,'25-BRA-I-090'!$I:$I,L251)+SUMIFS('25-BRA-I-090'!$EC:$EC,'25-BRA-I-090'!$I:$I,L251)</f>
        <v>12</v>
      </c>
      <c r="AI251" s="1040">
        <f>SUMIFS('25-BRA-I-090'!$DK:$DK,'25-BRA-I-090'!$I:$I,L251)+SUMIFS('25-BRA-I-090'!$ED:$ED,'25-BRA-I-090'!$I:$I,L251)</f>
        <v>0</v>
      </c>
      <c r="AJ251" s="1040">
        <f>SUMIFS('25-BRA-I-090'!$DO:$DO,'25-BRA-I-090'!$I:$I,L251)+26400*SUMIFS('25-BRA-I-090'!$EF:$EF,'25-BRA-I-090'!$I:$I,L251)</f>
        <v>12000</v>
      </c>
      <c r="AK251" s="1072"/>
      <c r="AO251" s="1072"/>
    </row>
    <row r="252" spans="1:41" s="1039" customFormat="1" ht="45">
      <c r="A252" s="372"/>
      <c r="B252" s="1057" t="str">
        <f t="shared" si="48"/>
        <v>Washer-M6-ISO7089-St-200 HV-tZn</v>
      </c>
      <c r="C252" s="1058" t="str">
        <f>VLOOKUP(L252,'25-BRA-I-090'!$I:$EZ,4,0)</f>
        <v>St-200 HV-tZn</v>
      </c>
      <c r="D252" s="374" t="str">
        <f t="shared" si="47"/>
        <v>pcs</v>
      </c>
      <c r="E252" s="183"/>
      <c r="F252" s="184">
        <f t="shared" si="50"/>
        <v>760</v>
      </c>
      <c r="G252" s="185">
        <f t="shared" si="50"/>
        <v>0</v>
      </c>
      <c r="H252" s="185">
        <f t="shared" si="50"/>
        <v>0</v>
      </c>
      <c r="I252" s="185">
        <f t="shared" si="49"/>
        <v>600</v>
      </c>
      <c r="J252" s="185">
        <f t="shared" si="51"/>
        <v>1000</v>
      </c>
      <c r="K252" s="185">
        <f t="shared" si="52"/>
        <v>600000</v>
      </c>
      <c r="L252" s="1184" t="s">
        <v>985</v>
      </c>
      <c r="M252" s="1059"/>
      <c r="N252" s="1059"/>
      <c r="O252" s="1038"/>
      <c r="P252" s="1054"/>
      <c r="Q252" s="1054"/>
      <c r="T252" s="1041"/>
      <c r="U252" s="1042"/>
      <c r="V252" s="1042"/>
      <c r="AA252" s="1039" t="str">
        <f>VLOOKUP(L252,'25-BRA-I-090'!$I:$EZ,2,0)</f>
        <v>Đệm</v>
      </c>
      <c r="AB252" s="1039" t="str">
        <f>VLOOKUP(L252,'25-BRA-I-090'!$I:$EZ,3,0)</f>
        <v>Washer-M6-ISO7089-St-200 HV-tZn</v>
      </c>
      <c r="AC252" s="1039" t="str">
        <f>VLOOKUP(L252,'25-BRA-I-090'!$I:$EZ,5,0)</f>
        <v>pcs</v>
      </c>
      <c r="AD252" s="1039">
        <f>SUMIFS('25-BRA-I-090'!$CS:$CS,'25-BRA-I-090'!$I:$I,L252)</f>
        <v>760</v>
      </c>
      <c r="AE252" s="1039">
        <f>SUMIFS('25-BRA-I-090'!$CT:$CT,'25-BRA-I-090'!$I:$I,L252)</f>
        <v>0</v>
      </c>
      <c r="AF252" s="1039">
        <f>SUMIFS('25-BRA-I-090'!$CW:$CW,'25-BRA-I-090'!$I:$I,L252)</f>
        <v>0</v>
      </c>
      <c r="AG252" s="1039">
        <f>SUMIFS('25-BRA-I-090'!$CX:$CX,'25-BRA-I-090'!$I:$I,L252)</f>
        <v>0</v>
      </c>
      <c r="AH252" s="1040">
        <f>SUMIFS('25-BRA-I-090'!$DJ:$DJ,'25-BRA-I-090'!$I:$I,L252)+SUMIFS('25-BRA-I-090'!$EC:$EC,'25-BRA-I-090'!$I:$I,L252)</f>
        <v>600</v>
      </c>
      <c r="AI252" s="1040">
        <f>SUMIFS('25-BRA-I-090'!$DK:$DK,'25-BRA-I-090'!$I:$I,L252)+SUMIFS('25-BRA-I-090'!$ED:$ED,'25-BRA-I-090'!$I:$I,L252)</f>
        <v>0</v>
      </c>
      <c r="AJ252" s="1040">
        <f>SUMIFS('25-BRA-I-090'!$DO:$DO,'25-BRA-I-090'!$I:$I,L252)+26400*SUMIFS('25-BRA-I-090'!$EF:$EF,'25-BRA-I-090'!$I:$I,L252)</f>
        <v>600000</v>
      </c>
      <c r="AK252" s="1072"/>
      <c r="AO252" s="1072"/>
    </row>
    <row r="253" spans="1:41" s="1039" customFormat="1" ht="30">
      <c r="A253" s="372"/>
      <c r="B253" s="1057" t="str">
        <f t="shared" si="48"/>
        <v>Washer-M8-DIN125-8-Galv</v>
      </c>
      <c r="C253" s="1058" t="str">
        <f>VLOOKUP(L253,'25-BRA-I-090'!$I:$EZ,4,0)</f>
        <v>8-Galv</v>
      </c>
      <c r="D253" s="374" t="str">
        <f t="shared" si="47"/>
        <v>pcs</v>
      </c>
      <c r="E253" s="183"/>
      <c r="F253" s="184">
        <f t="shared" si="50"/>
        <v>224</v>
      </c>
      <c r="G253" s="185">
        <f t="shared" si="50"/>
        <v>0</v>
      </c>
      <c r="H253" s="185">
        <f t="shared" si="50"/>
        <v>0</v>
      </c>
      <c r="I253" s="185">
        <f t="shared" si="49"/>
        <v>224</v>
      </c>
      <c r="J253" s="185">
        <f t="shared" si="51"/>
        <v>230</v>
      </c>
      <c r="K253" s="185">
        <f t="shared" si="52"/>
        <v>51520</v>
      </c>
      <c r="L253" s="1184" t="s">
        <v>987</v>
      </c>
      <c r="M253" s="1059"/>
      <c r="N253" s="1059"/>
      <c r="O253" s="1038"/>
      <c r="P253" s="1054"/>
      <c r="Q253" s="1054"/>
      <c r="T253" s="1041"/>
      <c r="U253" s="1042"/>
      <c r="V253" s="1042"/>
      <c r="AA253" s="1039" t="str">
        <f>VLOOKUP(L253,'25-BRA-I-090'!$I:$EZ,2,0)</f>
        <v>Đệm</v>
      </c>
      <c r="AB253" s="1039" t="str">
        <f>VLOOKUP(L253,'25-BRA-I-090'!$I:$EZ,3,0)</f>
        <v>Washer-M8-DIN125-8-Galv</v>
      </c>
      <c r="AC253" s="1039" t="str">
        <f>VLOOKUP(L253,'25-BRA-I-090'!$I:$EZ,5,0)</f>
        <v>pcs</v>
      </c>
      <c r="AD253" s="1039">
        <f>SUMIFS('25-BRA-I-090'!$CS:$CS,'25-BRA-I-090'!$I:$I,L253)</f>
        <v>224</v>
      </c>
      <c r="AE253" s="1039">
        <f>SUMIFS('25-BRA-I-090'!$CT:$CT,'25-BRA-I-090'!$I:$I,L253)</f>
        <v>0</v>
      </c>
      <c r="AF253" s="1039">
        <f>SUMIFS('25-BRA-I-090'!$CW:$CW,'25-BRA-I-090'!$I:$I,L253)</f>
        <v>0</v>
      </c>
      <c r="AG253" s="1039">
        <f>SUMIFS('25-BRA-I-090'!$CX:$CX,'25-BRA-I-090'!$I:$I,L253)</f>
        <v>0</v>
      </c>
      <c r="AH253" s="1040">
        <f>SUMIFS('25-BRA-I-090'!$DJ:$DJ,'25-BRA-I-090'!$I:$I,L253)+SUMIFS('25-BRA-I-090'!$EC:$EC,'25-BRA-I-090'!$I:$I,L253)</f>
        <v>224</v>
      </c>
      <c r="AI253" s="1040">
        <f>SUMIFS('25-BRA-I-090'!$DK:$DK,'25-BRA-I-090'!$I:$I,L253)+SUMIFS('25-BRA-I-090'!$ED:$ED,'25-BRA-I-090'!$I:$I,L253)</f>
        <v>0</v>
      </c>
      <c r="AJ253" s="1040">
        <f>SUMIFS('25-BRA-I-090'!$DO:$DO,'25-BRA-I-090'!$I:$I,L253)+26400*SUMIFS('25-BRA-I-090'!$EF:$EF,'25-BRA-I-090'!$I:$I,L253)</f>
        <v>51520</v>
      </c>
      <c r="AK253" s="1072"/>
      <c r="AO253" s="1072"/>
    </row>
    <row r="254" spans="1:41" s="1039" customFormat="1" ht="45">
      <c r="A254" s="372"/>
      <c r="B254" s="1057" t="str">
        <f t="shared" si="48"/>
        <v>Washer-M8-ISO7089-St-200 HV-tZn</v>
      </c>
      <c r="C254" s="1058" t="str">
        <f>VLOOKUP(L254,'25-BRA-I-090'!$I:$EZ,4,0)</f>
        <v>St-200 HV-tZn</v>
      </c>
      <c r="D254" s="374" t="str">
        <f t="shared" si="47"/>
        <v>pcs</v>
      </c>
      <c r="E254" s="183"/>
      <c r="F254" s="184">
        <f t="shared" si="50"/>
        <v>110</v>
      </c>
      <c r="G254" s="185">
        <f t="shared" si="50"/>
        <v>0</v>
      </c>
      <c r="H254" s="185">
        <f t="shared" si="50"/>
        <v>0</v>
      </c>
      <c r="I254" s="185">
        <f t="shared" si="49"/>
        <v>110</v>
      </c>
      <c r="J254" s="185">
        <f t="shared" si="51"/>
        <v>230</v>
      </c>
      <c r="K254" s="185">
        <f t="shared" si="52"/>
        <v>25300</v>
      </c>
      <c r="L254" s="1184" t="s">
        <v>989</v>
      </c>
      <c r="M254" s="1059"/>
      <c r="N254" s="1059"/>
      <c r="O254" s="1038"/>
      <c r="P254" s="1054"/>
      <c r="Q254" s="1054"/>
      <c r="T254" s="1041"/>
      <c r="U254" s="1042"/>
      <c r="V254" s="1042"/>
      <c r="AA254" s="1039" t="str">
        <f>VLOOKUP(L254,'25-BRA-I-090'!$I:$EZ,2,0)</f>
        <v>Đệm</v>
      </c>
      <c r="AB254" s="1039" t="str">
        <f>VLOOKUP(L254,'25-BRA-I-090'!$I:$EZ,3,0)</f>
        <v>Washer-M8-ISO7089-St-200 HV-tZn</v>
      </c>
      <c r="AC254" s="1039" t="str">
        <f>VLOOKUP(L254,'25-BRA-I-090'!$I:$EZ,5,0)</f>
        <v>pcs</v>
      </c>
      <c r="AD254" s="1039">
        <f>SUMIFS('25-BRA-I-090'!$CS:$CS,'25-BRA-I-090'!$I:$I,L254)</f>
        <v>110</v>
      </c>
      <c r="AE254" s="1039">
        <f>SUMIFS('25-BRA-I-090'!$CT:$CT,'25-BRA-I-090'!$I:$I,L254)</f>
        <v>0</v>
      </c>
      <c r="AF254" s="1039">
        <f>SUMIFS('25-BRA-I-090'!$CW:$CW,'25-BRA-I-090'!$I:$I,L254)</f>
        <v>0</v>
      </c>
      <c r="AG254" s="1039">
        <f>SUMIFS('25-BRA-I-090'!$CX:$CX,'25-BRA-I-090'!$I:$I,L254)</f>
        <v>0</v>
      </c>
      <c r="AH254" s="1040">
        <f>SUMIFS('25-BRA-I-090'!$DJ:$DJ,'25-BRA-I-090'!$I:$I,L254)+SUMIFS('25-BRA-I-090'!$EC:$EC,'25-BRA-I-090'!$I:$I,L254)</f>
        <v>110</v>
      </c>
      <c r="AI254" s="1040">
        <f>SUMIFS('25-BRA-I-090'!$DK:$DK,'25-BRA-I-090'!$I:$I,L254)+SUMIFS('25-BRA-I-090'!$ED:$ED,'25-BRA-I-090'!$I:$I,L254)</f>
        <v>0</v>
      </c>
      <c r="AJ254" s="1040">
        <f>SUMIFS('25-BRA-I-090'!$DO:$DO,'25-BRA-I-090'!$I:$I,L254)+26400*SUMIFS('25-BRA-I-090'!$EF:$EF,'25-BRA-I-090'!$I:$I,L254)</f>
        <v>25300</v>
      </c>
      <c r="AK254" s="1072"/>
      <c r="AO254" s="1072"/>
    </row>
    <row r="255" spans="1:41" s="1039" customFormat="1" ht="30">
      <c r="A255" s="372"/>
      <c r="B255" s="1057" t="str">
        <f t="shared" si="48"/>
        <v>Washer-M8-ISO7089-St-Galv</v>
      </c>
      <c r="C255" s="1058" t="str">
        <f>VLOOKUP(L255,'25-BRA-I-090'!$I:$EZ,4,0)</f>
        <v>St-Galv</v>
      </c>
      <c r="D255" s="374" t="str">
        <f t="shared" si="47"/>
        <v>pcs</v>
      </c>
      <c r="E255" s="183"/>
      <c r="F255" s="184">
        <f t="shared" si="50"/>
        <v>56</v>
      </c>
      <c r="G255" s="185">
        <f t="shared" si="50"/>
        <v>0</v>
      </c>
      <c r="H255" s="185">
        <f t="shared" si="50"/>
        <v>0</v>
      </c>
      <c r="I255" s="185">
        <f t="shared" si="49"/>
        <v>56</v>
      </c>
      <c r="J255" s="185">
        <f t="shared" si="51"/>
        <v>230</v>
      </c>
      <c r="K255" s="185">
        <f t="shared" si="52"/>
        <v>12880</v>
      </c>
      <c r="L255" s="1184" t="s">
        <v>991</v>
      </c>
      <c r="M255" s="1059"/>
      <c r="N255" s="1059"/>
      <c r="O255" s="1038"/>
      <c r="P255" s="1054"/>
      <c r="Q255" s="1054"/>
      <c r="T255" s="1041"/>
      <c r="U255" s="1042"/>
      <c r="V255" s="1042"/>
      <c r="AA255" s="1039" t="str">
        <f>VLOOKUP(L255,'25-BRA-I-090'!$I:$EZ,2,0)</f>
        <v>Đệm</v>
      </c>
      <c r="AB255" s="1039" t="str">
        <f>VLOOKUP(L255,'25-BRA-I-090'!$I:$EZ,3,0)</f>
        <v>Washer-M8-ISO7089-St-Galv</v>
      </c>
      <c r="AC255" s="1039" t="str">
        <f>VLOOKUP(L255,'25-BRA-I-090'!$I:$EZ,5,0)</f>
        <v>pcs</v>
      </c>
      <c r="AD255" s="1039">
        <f>SUMIFS('25-BRA-I-090'!$CS:$CS,'25-BRA-I-090'!$I:$I,L255)</f>
        <v>56</v>
      </c>
      <c r="AE255" s="1039">
        <f>SUMIFS('25-BRA-I-090'!$CT:$CT,'25-BRA-I-090'!$I:$I,L255)</f>
        <v>0</v>
      </c>
      <c r="AF255" s="1039">
        <f>SUMIFS('25-BRA-I-090'!$CW:$CW,'25-BRA-I-090'!$I:$I,L255)</f>
        <v>0</v>
      </c>
      <c r="AG255" s="1039">
        <f>SUMIFS('25-BRA-I-090'!$CX:$CX,'25-BRA-I-090'!$I:$I,L255)</f>
        <v>0</v>
      </c>
      <c r="AH255" s="1040">
        <f>SUMIFS('25-BRA-I-090'!$DJ:$DJ,'25-BRA-I-090'!$I:$I,L255)+SUMIFS('25-BRA-I-090'!$EC:$EC,'25-BRA-I-090'!$I:$I,L255)</f>
        <v>56</v>
      </c>
      <c r="AI255" s="1040">
        <f>SUMIFS('25-BRA-I-090'!$DK:$DK,'25-BRA-I-090'!$I:$I,L255)+SUMIFS('25-BRA-I-090'!$ED:$ED,'25-BRA-I-090'!$I:$I,L255)</f>
        <v>0</v>
      </c>
      <c r="AJ255" s="1040">
        <f>SUMIFS('25-BRA-I-090'!$DO:$DO,'25-BRA-I-090'!$I:$I,L255)+26400*SUMIFS('25-BRA-I-090'!$EF:$EF,'25-BRA-I-090'!$I:$I,L255)</f>
        <v>12880</v>
      </c>
      <c r="AK255" s="1072"/>
      <c r="AO255" s="1072"/>
    </row>
    <row r="256" spans="1:41" s="1039" customFormat="1" ht="30">
      <c r="A256" s="372"/>
      <c r="B256" s="1057" t="str">
        <f t="shared" si="48"/>
        <v>Washer-M8-ISO7093-St-Galv</v>
      </c>
      <c r="C256" s="1058" t="str">
        <f>VLOOKUP(L256,'25-BRA-I-090'!$I:$EZ,4,0)</f>
        <v>St-Galv</v>
      </c>
      <c r="D256" s="374" t="str">
        <f t="shared" si="47"/>
        <v>pcs</v>
      </c>
      <c r="E256" s="183"/>
      <c r="F256" s="184">
        <f t="shared" si="50"/>
        <v>72</v>
      </c>
      <c r="G256" s="185">
        <f t="shared" si="50"/>
        <v>0</v>
      </c>
      <c r="H256" s="185">
        <f t="shared" si="50"/>
        <v>0</v>
      </c>
      <c r="I256" s="185">
        <f t="shared" si="49"/>
        <v>72</v>
      </c>
      <c r="J256" s="185">
        <f t="shared" si="51"/>
        <v>1560</v>
      </c>
      <c r="K256" s="185">
        <f t="shared" si="52"/>
        <v>112320</v>
      </c>
      <c r="L256" s="1184" t="s">
        <v>993</v>
      </c>
      <c r="M256" s="1059"/>
      <c r="N256" s="1059"/>
      <c r="O256" s="1038"/>
      <c r="P256" s="1054"/>
      <c r="Q256" s="1054"/>
      <c r="T256" s="1041"/>
      <c r="U256" s="1042"/>
      <c r="V256" s="1042"/>
      <c r="AA256" s="1039" t="str">
        <f>VLOOKUP(L256,'25-BRA-I-090'!$I:$EZ,2,0)</f>
        <v>Đệm</v>
      </c>
      <c r="AB256" s="1039" t="str">
        <f>VLOOKUP(L256,'25-BRA-I-090'!$I:$EZ,3,0)</f>
        <v>Washer-M8-ISO7093-St-Galv</v>
      </c>
      <c r="AC256" s="1039" t="str">
        <f>VLOOKUP(L256,'25-BRA-I-090'!$I:$EZ,5,0)</f>
        <v>pcs</v>
      </c>
      <c r="AD256" s="1039">
        <f>SUMIFS('25-BRA-I-090'!$CS:$CS,'25-BRA-I-090'!$I:$I,L256)</f>
        <v>72</v>
      </c>
      <c r="AE256" s="1039">
        <f>SUMIFS('25-BRA-I-090'!$CT:$CT,'25-BRA-I-090'!$I:$I,L256)</f>
        <v>0</v>
      </c>
      <c r="AF256" s="1039">
        <f>SUMIFS('25-BRA-I-090'!$CW:$CW,'25-BRA-I-090'!$I:$I,L256)</f>
        <v>0</v>
      </c>
      <c r="AG256" s="1039">
        <f>SUMIFS('25-BRA-I-090'!$CX:$CX,'25-BRA-I-090'!$I:$I,L256)</f>
        <v>0</v>
      </c>
      <c r="AH256" s="1040">
        <f>SUMIFS('25-BRA-I-090'!$DJ:$DJ,'25-BRA-I-090'!$I:$I,L256)+SUMIFS('25-BRA-I-090'!$EC:$EC,'25-BRA-I-090'!$I:$I,L256)</f>
        <v>72</v>
      </c>
      <c r="AI256" s="1040">
        <f>SUMIFS('25-BRA-I-090'!$DK:$DK,'25-BRA-I-090'!$I:$I,L256)+SUMIFS('25-BRA-I-090'!$ED:$ED,'25-BRA-I-090'!$I:$I,L256)</f>
        <v>0</v>
      </c>
      <c r="AJ256" s="1040">
        <f>SUMIFS('25-BRA-I-090'!$DO:$DO,'25-BRA-I-090'!$I:$I,L256)+26400*SUMIFS('25-BRA-I-090'!$EF:$EF,'25-BRA-I-090'!$I:$I,L256)</f>
        <v>112320</v>
      </c>
      <c r="AK256" s="1072"/>
      <c r="AO256" s="1072"/>
    </row>
    <row r="257" spans="1:41" s="1039" customFormat="1" ht="30">
      <c r="A257" s="372"/>
      <c r="B257" s="1057" t="str">
        <f t="shared" si="48"/>
        <v>Bolt M12x45-8.8-ISO4017-Galv</v>
      </c>
      <c r="C257" s="1058" t="str">
        <f>VLOOKUP(L257,'25-BRA-I-090'!$I:$EZ,4,0)</f>
        <v>St-Galv</v>
      </c>
      <c r="D257" s="374" t="str">
        <f t="shared" si="47"/>
        <v>pcs</v>
      </c>
      <c r="E257" s="183"/>
      <c r="F257" s="184">
        <f t="shared" si="50"/>
        <v>0</v>
      </c>
      <c r="G257" s="185">
        <f t="shared" si="50"/>
        <v>0</v>
      </c>
      <c r="H257" s="185">
        <f t="shared" si="50"/>
        <v>0</v>
      </c>
      <c r="I257" s="185">
        <f t="shared" si="49"/>
        <v>0</v>
      </c>
      <c r="J257" s="185" t="e">
        <f t="shared" si="51"/>
        <v>#DIV/0!</v>
      </c>
      <c r="K257" s="185">
        <f t="shared" si="52"/>
        <v>0</v>
      </c>
      <c r="L257" s="1184" t="s">
        <v>1530</v>
      </c>
      <c r="M257" s="1059"/>
      <c r="N257" s="1059"/>
      <c r="O257" s="1038"/>
      <c r="P257" s="1054"/>
      <c r="Q257" s="1054"/>
      <c r="T257" s="1041"/>
      <c r="U257" s="1042"/>
      <c r="V257" s="1042"/>
      <c r="AA257" s="1039" t="str">
        <f>VLOOKUP(L257,'25-BRA-I-090'!$I:$EZ,2,0)</f>
        <v>Bu lông</v>
      </c>
      <c r="AB257" s="1039" t="str">
        <f>VLOOKUP(L257,'25-BRA-I-090'!$I:$EZ,3,0)</f>
        <v>Bolt M12x45-8.8-ISO4017-Galv</v>
      </c>
      <c r="AC257" s="1039" t="str">
        <f>VLOOKUP(L257,'25-BRA-I-090'!$I:$EZ,5,0)</f>
        <v>pcs</v>
      </c>
      <c r="AD257" s="1039">
        <f>SUMIFS('25-BRA-I-090'!$CS:$CS,'25-BRA-I-090'!$I:$I,L257)</f>
        <v>0</v>
      </c>
      <c r="AE257" s="1039">
        <f>SUMIFS('25-BRA-I-090'!$CT:$CT,'25-BRA-I-090'!$I:$I,L257)</f>
        <v>0</v>
      </c>
      <c r="AF257" s="1039">
        <f>SUMIFS('25-BRA-I-090'!$CW:$CW,'25-BRA-I-090'!$I:$I,L257)</f>
        <v>0</v>
      </c>
      <c r="AG257" s="1039">
        <f>SUMIFS('25-BRA-I-090'!$CX:$CX,'25-BRA-I-090'!$I:$I,L257)</f>
        <v>0</v>
      </c>
      <c r="AH257" s="1040">
        <f>SUMIFS('25-BRA-I-090'!$DJ:$DJ,'25-BRA-I-090'!$I:$I,L257)+SUMIFS('25-BRA-I-090'!$EC:$EC,'25-BRA-I-090'!$I:$I,L257)</f>
        <v>0</v>
      </c>
      <c r="AI257" s="1040">
        <f>SUMIFS('25-BRA-I-090'!$DK:$DK,'25-BRA-I-090'!$I:$I,L257)+SUMIFS('25-BRA-I-090'!$ED:$ED,'25-BRA-I-090'!$I:$I,L257)</f>
        <v>0</v>
      </c>
      <c r="AJ257" s="1040">
        <f>SUMIFS('25-BRA-I-090'!$DO:$DO,'25-BRA-I-090'!$I:$I,L257)+26400*SUMIFS('25-BRA-I-090'!$EF:$EF,'25-BRA-I-090'!$I:$I,L257)</f>
        <v>0</v>
      </c>
      <c r="AK257" s="1072"/>
      <c r="AO257" s="1072"/>
    </row>
    <row r="258" spans="1:41" s="1039" customFormat="1" ht="30">
      <c r="A258" s="372"/>
      <c r="B258" s="1057" t="str">
        <f t="shared" si="48"/>
        <v>Bolt M20x50-8.8-ISO4017-Galv</v>
      </c>
      <c r="C258" s="1058" t="str">
        <f>VLOOKUP(L258,'25-BRA-I-090'!$I:$EZ,4,0)</f>
        <v>St-Galv</v>
      </c>
      <c r="D258" s="374" t="str">
        <f t="shared" si="47"/>
        <v>pcs</v>
      </c>
      <c r="E258" s="183"/>
      <c r="F258" s="184">
        <f t="shared" si="50"/>
        <v>0</v>
      </c>
      <c r="G258" s="185">
        <f t="shared" si="50"/>
        <v>0</v>
      </c>
      <c r="H258" s="185">
        <f t="shared" si="50"/>
        <v>0</v>
      </c>
      <c r="I258" s="185">
        <f t="shared" si="49"/>
        <v>0</v>
      </c>
      <c r="J258" s="185" t="e">
        <f t="shared" si="51"/>
        <v>#DIV/0!</v>
      </c>
      <c r="K258" s="185">
        <f t="shared" si="52"/>
        <v>0</v>
      </c>
      <c r="L258" s="1184" t="s">
        <v>1532</v>
      </c>
      <c r="M258" s="1059"/>
      <c r="N258" s="1059"/>
      <c r="O258" s="1038"/>
      <c r="P258" s="1054"/>
      <c r="Q258" s="1054"/>
      <c r="T258" s="1041"/>
      <c r="U258" s="1042"/>
      <c r="V258" s="1042"/>
      <c r="AA258" s="1039" t="str">
        <f>VLOOKUP(L258,'25-BRA-I-090'!$I:$EZ,2,0)</f>
        <v>Bu lông</v>
      </c>
      <c r="AB258" s="1039" t="str">
        <f>VLOOKUP(L258,'25-BRA-I-090'!$I:$EZ,3,0)</f>
        <v>Bolt M20x50-8.8-ISO4017-Galv</v>
      </c>
      <c r="AC258" s="1039" t="str">
        <f>VLOOKUP(L258,'25-BRA-I-090'!$I:$EZ,5,0)</f>
        <v>pcs</v>
      </c>
      <c r="AD258" s="1039">
        <f>SUMIFS('25-BRA-I-090'!$CS:$CS,'25-BRA-I-090'!$I:$I,L258)</f>
        <v>0</v>
      </c>
      <c r="AE258" s="1039">
        <f>SUMIFS('25-BRA-I-090'!$CT:$CT,'25-BRA-I-090'!$I:$I,L258)</f>
        <v>0</v>
      </c>
      <c r="AF258" s="1039">
        <f>SUMIFS('25-BRA-I-090'!$CW:$CW,'25-BRA-I-090'!$I:$I,L258)</f>
        <v>0</v>
      </c>
      <c r="AG258" s="1039">
        <f>SUMIFS('25-BRA-I-090'!$CX:$CX,'25-BRA-I-090'!$I:$I,L258)</f>
        <v>0</v>
      </c>
      <c r="AH258" s="1040">
        <f>SUMIFS('25-BRA-I-090'!$DJ:$DJ,'25-BRA-I-090'!$I:$I,L258)+SUMIFS('25-BRA-I-090'!$EC:$EC,'25-BRA-I-090'!$I:$I,L258)</f>
        <v>0</v>
      </c>
      <c r="AI258" s="1040">
        <f>SUMIFS('25-BRA-I-090'!$DK:$DK,'25-BRA-I-090'!$I:$I,L258)+SUMIFS('25-BRA-I-090'!$ED:$ED,'25-BRA-I-090'!$I:$I,L258)</f>
        <v>0</v>
      </c>
      <c r="AJ258" s="1040">
        <f>SUMIFS('25-BRA-I-090'!$DO:$DO,'25-BRA-I-090'!$I:$I,L258)+26400*SUMIFS('25-BRA-I-090'!$EF:$EF,'25-BRA-I-090'!$I:$I,L258)</f>
        <v>0</v>
      </c>
      <c r="AK258" s="1072"/>
      <c r="AO258" s="1072"/>
    </row>
    <row r="259" spans="1:41" s="1039" customFormat="1" ht="30">
      <c r="A259" s="372"/>
      <c r="B259" s="1057" t="str">
        <f t="shared" si="48"/>
        <v>Bolt M20x70-8.8-ISO4017-Galv</v>
      </c>
      <c r="C259" s="1058" t="str">
        <f>VLOOKUP(L259,'25-BRA-I-090'!$I:$EZ,4,0)</f>
        <v>St-Galv</v>
      </c>
      <c r="D259" s="374" t="str">
        <f t="shared" si="47"/>
        <v>pcs</v>
      </c>
      <c r="E259" s="183"/>
      <c r="F259" s="184">
        <f t="shared" si="50"/>
        <v>0</v>
      </c>
      <c r="G259" s="185">
        <f t="shared" si="50"/>
        <v>0</v>
      </c>
      <c r="H259" s="185">
        <f t="shared" si="50"/>
        <v>0</v>
      </c>
      <c r="I259" s="185">
        <f t="shared" si="49"/>
        <v>0</v>
      </c>
      <c r="J259" s="185" t="e">
        <f t="shared" si="51"/>
        <v>#DIV/0!</v>
      </c>
      <c r="K259" s="185">
        <f t="shared" si="52"/>
        <v>0</v>
      </c>
      <c r="L259" s="1184" t="s">
        <v>1534</v>
      </c>
      <c r="M259" s="1059"/>
      <c r="N259" s="1059"/>
      <c r="O259" s="1038"/>
      <c r="P259" s="1054"/>
      <c r="Q259" s="1054"/>
      <c r="T259" s="1041"/>
      <c r="U259" s="1042"/>
      <c r="V259" s="1042"/>
      <c r="AA259" s="1039" t="str">
        <f>VLOOKUP(L259,'25-BRA-I-090'!$I:$EZ,2,0)</f>
        <v>Bu lông</v>
      </c>
      <c r="AB259" s="1039" t="str">
        <f>VLOOKUP(L259,'25-BRA-I-090'!$I:$EZ,3,0)</f>
        <v>Bolt M20x70-8.8-ISO4017-Galv</v>
      </c>
      <c r="AC259" s="1039" t="str">
        <f>VLOOKUP(L259,'25-BRA-I-090'!$I:$EZ,5,0)</f>
        <v>pcs</v>
      </c>
      <c r="AD259" s="1039">
        <f>SUMIFS('25-BRA-I-090'!$CS:$CS,'25-BRA-I-090'!$I:$I,L259)</f>
        <v>0</v>
      </c>
      <c r="AE259" s="1039">
        <f>SUMIFS('25-BRA-I-090'!$CT:$CT,'25-BRA-I-090'!$I:$I,L259)</f>
        <v>0</v>
      </c>
      <c r="AF259" s="1039">
        <f>SUMIFS('25-BRA-I-090'!$CW:$CW,'25-BRA-I-090'!$I:$I,L259)</f>
        <v>0</v>
      </c>
      <c r="AG259" s="1039">
        <f>SUMIFS('25-BRA-I-090'!$CX:$CX,'25-BRA-I-090'!$I:$I,L259)</f>
        <v>0</v>
      </c>
      <c r="AH259" s="1040">
        <f>SUMIFS('25-BRA-I-090'!$DJ:$DJ,'25-BRA-I-090'!$I:$I,L259)+SUMIFS('25-BRA-I-090'!$EC:$EC,'25-BRA-I-090'!$I:$I,L259)</f>
        <v>0</v>
      </c>
      <c r="AI259" s="1040">
        <f>SUMIFS('25-BRA-I-090'!$DK:$DK,'25-BRA-I-090'!$I:$I,L259)+SUMIFS('25-BRA-I-090'!$ED:$ED,'25-BRA-I-090'!$I:$I,L259)</f>
        <v>0</v>
      </c>
      <c r="AJ259" s="1040">
        <f>SUMIFS('25-BRA-I-090'!$DO:$DO,'25-BRA-I-090'!$I:$I,L259)+26400*SUMIFS('25-BRA-I-090'!$EF:$EF,'25-BRA-I-090'!$I:$I,L259)</f>
        <v>0</v>
      </c>
      <c r="AK259" s="1072"/>
      <c r="AO259" s="1072"/>
    </row>
    <row r="260" spans="1:41" s="1039" customFormat="1" ht="30">
      <c r="A260" s="372"/>
      <c r="B260" s="1057" t="str">
        <f t="shared" si="48"/>
        <v>Nut M12-8.8-ISO4032-Galv</v>
      </c>
      <c r="C260" s="1058" t="str">
        <f>VLOOKUP(L260,'25-BRA-I-090'!$I:$EZ,4,0)</f>
        <v>St-Galv</v>
      </c>
      <c r="D260" s="374" t="str">
        <f t="shared" si="47"/>
        <v>pcs</v>
      </c>
      <c r="E260" s="183"/>
      <c r="F260" s="184">
        <f t="shared" si="50"/>
        <v>0</v>
      </c>
      <c r="G260" s="185">
        <f t="shared" si="50"/>
        <v>0</v>
      </c>
      <c r="H260" s="185">
        <f t="shared" si="50"/>
        <v>0</v>
      </c>
      <c r="I260" s="185">
        <f t="shared" si="49"/>
        <v>0</v>
      </c>
      <c r="J260" s="185" t="e">
        <f t="shared" si="51"/>
        <v>#DIV/0!</v>
      </c>
      <c r="K260" s="185">
        <f t="shared" si="52"/>
        <v>0</v>
      </c>
      <c r="L260" s="1184" t="s">
        <v>1536</v>
      </c>
      <c r="M260" s="1059"/>
      <c r="N260" s="1059"/>
      <c r="O260" s="1038"/>
      <c r="P260" s="1054"/>
      <c r="Q260" s="1054"/>
      <c r="T260" s="1041"/>
      <c r="U260" s="1042"/>
      <c r="V260" s="1042"/>
      <c r="AA260" s="1039" t="str">
        <f>VLOOKUP(L260,'25-BRA-I-090'!$I:$EZ,2,0)</f>
        <v>Ốc</v>
      </c>
      <c r="AB260" s="1039" t="str">
        <f>VLOOKUP(L260,'25-BRA-I-090'!$I:$EZ,3,0)</f>
        <v>Nut M12-8.8-ISO4032-Galv</v>
      </c>
      <c r="AC260" s="1039" t="str">
        <f>VLOOKUP(L260,'25-BRA-I-090'!$I:$EZ,5,0)</f>
        <v>pcs</v>
      </c>
      <c r="AD260" s="1039">
        <f>SUMIFS('25-BRA-I-090'!$CS:$CS,'25-BRA-I-090'!$I:$I,L260)</f>
        <v>0</v>
      </c>
      <c r="AE260" s="1039">
        <f>SUMIFS('25-BRA-I-090'!$CT:$CT,'25-BRA-I-090'!$I:$I,L260)</f>
        <v>0</v>
      </c>
      <c r="AF260" s="1039">
        <f>SUMIFS('25-BRA-I-090'!$CW:$CW,'25-BRA-I-090'!$I:$I,L260)</f>
        <v>0</v>
      </c>
      <c r="AG260" s="1039">
        <f>SUMIFS('25-BRA-I-090'!$CX:$CX,'25-BRA-I-090'!$I:$I,L260)</f>
        <v>0</v>
      </c>
      <c r="AH260" s="1040">
        <f>SUMIFS('25-BRA-I-090'!$DJ:$DJ,'25-BRA-I-090'!$I:$I,L260)+SUMIFS('25-BRA-I-090'!$EC:$EC,'25-BRA-I-090'!$I:$I,L260)</f>
        <v>0</v>
      </c>
      <c r="AI260" s="1040">
        <f>SUMIFS('25-BRA-I-090'!$DK:$DK,'25-BRA-I-090'!$I:$I,L260)+SUMIFS('25-BRA-I-090'!$ED:$ED,'25-BRA-I-090'!$I:$I,L260)</f>
        <v>0</v>
      </c>
      <c r="AJ260" s="1040">
        <f>SUMIFS('25-BRA-I-090'!$DO:$DO,'25-BRA-I-090'!$I:$I,L260)+26400*SUMIFS('25-BRA-I-090'!$EF:$EF,'25-BRA-I-090'!$I:$I,L260)</f>
        <v>0</v>
      </c>
      <c r="AK260" s="1072"/>
      <c r="AO260" s="1072"/>
    </row>
    <row r="261" spans="1:41" s="1039" customFormat="1" ht="30">
      <c r="A261" s="372"/>
      <c r="B261" s="1057" t="str">
        <f t="shared" si="48"/>
        <v>Nut M20-8.8-ISO4032-Galv</v>
      </c>
      <c r="C261" s="1058" t="str">
        <f>VLOOKUP(L261,'25-BRA-I-090'!$I:$EZ,4,0)</f>
        <v>St-Galv</v>
      </c>
      <c r="D261" s="374" t="str">
        <f t="shared" si="47"/>
        <v>pcs</v>
      </c>
      <c r="E261" s="183"/>
      <c r="F261" s="184">
        <f t="shared" si="50"/>
        <v>0</v>
      </c>
      <c r="G261" s="185">
        <f t="shared" si="50"/>
        <v>0</v>
      </c>
      <c r="H261" s="185">
        <f t="shared" si="50"/>
        <v>0</v>
      </c>
      <c r="I261" s="185">
        <f t="shared" si="49"/>
        <v>0</v>
      </c>
      <c r="J261" s="185" t="e">
        <f t="shared" si="51"/>
        <v>#DIV/0!</v>
      </c>
      <c r="K261" s="185">
        <f t="shared" si="52"/>
        <v>0</v>
      </c>
      <c r="L261" s="1184" t="s">
        <v>1538</v>
      </c>
      <c r="M261" s="1059"/>
      <c r="N261" s="1059"/>
      <c r="O261" s="1038"/>
      <c r="P261" s="1054"/>
      <c r="Q261" s="1054"/>
      <c r="T261" s="1041"/>
      <c r="U261" s="1042"/>
      <c r="V261" s="1042"/>
      <c r="AA261" s="1039" t="str">
        <f>VLOOKUP(L261,'25-BRA-I-090'!$I:$EZ,2,0)</f>
        <v>Ốc</v>
      </c>
      <c r="AB261" s="1039" t="str">
        <f>VLOOKUP(L261,'25-BRA-I-090'!$I:$EZ,3,0)</f>
        <v>Nut M20-8.8-ISO4032-Galv</v>
      </c>
      <c r="AC261" s="1039" t="str">
        <f>VLOOKUP(L261,'25-BRA-I-090'!$I:$EZ,5,0)</f>
        <v>pcs</v>
      </c>
      <c r="AD261" s="1039">
        <f>SUMIFS('25-BRA-I-090'!$CS:$CS,'25-BRA-I-090'!$I:$I,L261)</f>
        <v>0</v>
      </c>
      <c r="AE261" s="1039">
        <f>SUMIFS('25-BRA-I-090'!$CT:$CT,'25-BRA-I-090'!$I:$I,L261)</f>
        <v>0</v>
      </c>
      <c r="AF261" s="1039">
        <f>SUMIFS('25-BRA-I-090'!$CW:$CW,'25-BRA-I-090'!$I:$I,L261)</f>
        <v>0</v>
      </c>
      <c r="AG261" s="1039">
        <f>SUMIFS('25-BRA-I-090'!$CX:$CX,'25-BRA-I-090'!$I:$I,L261)</f>
        <v>0</v>
      </c>
      <c r="AH261" s="1040">
        <f>SUMIFS('25-BRA-I-090'!$DJ:$DJ,'25-BRA-I-090'!$I:$I,L261)+SUMIFS('25-BRA-I-090'!$EC:$EC,'25-BRA-I-090'!$I:$I,L261)</f>
        <v>0</v>
      </c>
      <c r="AI261" s="1040">
        <f>SUMIFS('25-BRA-I-090'!$DK:$DK,'25-BRA-I-090'!$I:$I,L261)+SUMIFS('25-BRA-I-090'!$ED:$ED,'25-BRA-I-090'!$I:$I,L261)</f>
        <v>0</v>
      </c>
      <c r="AJ261" s="1040">
        <f>SUMIFS('25-BRA-I-090'!$DO:$DO,'25-BRA-I-090'!$I:$I,L261)+26400*SUMIFS('25-BRA-I-090'!$EF:$EF,'25-BRA-I-090'!$I:$I,L261)</f>
        <v>0</v>
      </c>
      <c r="AK261" s="1072"/>
      <c r="AO261" s="1072"/>
    </row>
    <row r="262" spans="1:41" s="1039" customFormat="1" ht="45">
      <c r="A262" s="372"/>
      <c r="B262" s="1057" t="str">
        <f t="shared" si="48"/>
        <v>Washer M12-St-200 HV-ISO7089-tZn</v>
      </c>
      <c r="C262" s="1058" t="str">
        <f>VLOOKUP(L262,'25-BRA-I-090'!$I:$EZ,4,0)</f>
        <v>St-Galv</v>
      </c>
      <c r="D262" s="374" t="str">
        <f t="shared" si="47"/>
        <v>pcs</v>
      </c>
      <c r="E262" s="183"/>
      <c r="F262" s="184">
        <f t="shared" si="50"/>
        <v>0</v>
      </c>
      <c r="G262" s="185">
        <f t="shared" si="50"/>
        <v>0</v>
      </c>
      <c r="H262" s="185">
        <f t="shared" si="50"/>
        <v>0</v>
      </c>
      <c r="I262" s="185">
        <f t="shared" si="49"/>
        <v>0</v>
      </c>
      <c r="J262" s="185" t="e">
        <f t="shared" si="51"/>
        <v>#DIV/0!</v>
      </c>
      <c r="K262" s="185">
        <f t="shared" si="52"/>
        <v>0</v>
      </c>
      <c r="L262" s="1184" t="s">
        <v>1540</v>
      </c>
      <c r="M262" s="1059"/>
      <c r="N262" s="1059"/>
      <c r="O262" s="1038"/>
      <c r="P262" s="1054"/>
      <c r="Q262" s="1054"/>
      <c r="T262" s="1041"/>
      <c r="U262" s="1042"/>
      <c r="V262" s="1042"/>
      <c r="AA262" s="1039" t="str">
        <f>VLOOKUP(L262,'25-BRA-I-090'!$I:$EZ,2,0)</f>
        <v>Đệm</v>
      </c>
      <c r="AB262" s="1039" t="str">
        <f>VLOOKUP(L262,'25-BRA-I-090'!$I:$EZ,3,0)</f>
        <v>Washer M12-St-200 HV-ISO7089-tZn</v>
      </c>
      <c r="AC262" s="1039" t="str">
        <f>VLOOKUP(L262,'25-BRA-I-090'!$I:$EZ,5,0)</f>
        <v>pcs</v>
      </c>
      <c r="AD262" s="1039">
        <f>SUMIFS('25-BRA-I-090'!$CS:$CS,'25-BRA-I-090'!$I:$I,L262)</f>
        <v>0</v>
      </c>
      <c r="AE262" s="1039">
        <f>SUMIFS('25-BRA-I-090'!$CT:$CT,'25-BRA-I-090'!$I:$I,L262)</f>
        <v>0</v>
      </c>
      <c r="AF262" s="1039">
        <f>SUMIFS('25-BRA-I-090'!$CW:$CW,'25-BRA-I-090'!$I:$I,L262)</f>
        <v>0</v>
      </c>
      <c r="AG262" s="1039">
        <f>SUMIFS('25-BRA-I-090'!$CX:$CX,'25-BRA-I-090'!$I:$I,L262)</f>
        <v>0</v>
      </c>
      <c r="AH262" s="1040">
        <f>SUMIFS('25-BRA-I-090'!$DJ:$DJ,'25-BRA-I-090'!$I:$I,L262)+SUMIFS('25-BRA-I-090'!$EC:$EC,'25-BRA-I-090'!$I:$I,L262)</f>
        <v>0</v>
      </c>
      <c r="AI262" s="1040">
        <f>SUMIFS('25-BRA-I-090'!$DK:$DK,'25-BRA-I-090'!$I:$I,L262)+SUMIFS('25-BRA-I-090'!$ED:$ED,'25-BRA-I-090'!$I:$I,L262)</f>
        <v>0</v>
      </c>
      <c r="AJ262" s="1040">
        <f>SUMIFS('25-BRA-I-090'!$DO:$DO,'25-BRA-I-090'!$I:$I,L262)+26400*SUMIFS('25-BRA-I-090'!$EF:$EF,'25-BRA-I-090'!$I:$I,L262)</f>
        <v>0</v>
      </c>
      <c r="AK262" s="1072"/>
      <c r="AO262" s="1072"/>
    </row>
    <row r="263" spans="1:41" s="1039" customFormat="1" ht="45">
      <c r="A263" s="372"/>
      <c r="B263" s="1057" t="str">
        <f t="shared" si="48"/>
        <v>Washer M12-St-200 HV-ISO7093A-tZn</v>
      </c>
      <c r="C263" s="1058" t="str">
        <f>VLOOKUP(L263,'25-BRA-I-090'!$I:$EZ,4,0)</f>
        <v>St-Galv</v>
      </c>
      <c r="D263" s="374" t="str">
        <f t="shared" si="47"/>
        <v>pcs</v>
      </c>
      <c r="E263" s="183"/>
      <c r="F263" s="184">
        <f t="shared" si="50"/>
        <v>170</v>
      </c>
      <c r="G263" s="185">
        <f t="shared" si="50"/>
        <v>0</v>
      </c>
      <c r="H263" s="185">
        <f t="shared" si="50"/>
        <v>0</v>
      </c>
      <c r="I263" s="185">
        <f t="shared" si="49"/>
        <v>67</v>
      </c>
      <c r="J263" s="185">
        <f t="shared" si="51"/>
        <v>5550</v>
      </c>
      <c r="K263" s="185">
        <f t="shared" si="52"/>
        <v>371850</v>
      </c>
      <c r="L263" s="1184" t="s">
        <v>1542</v>
      </c>
      <c r="M263" s="1059"/>
      <c r="N263" s="1059"/>
      <c r="O263" s="1038"/>
      <c r="P263" s="1054"/>
      <c r="Q263" s="1054"/>
      <c r="T263" s="1041"/>
      <c r="U263" s="1042"/>
      <c r="V263" s="1042"/>
      <c r="AA263" s="1039" t="str">
        <f>VLOOKUP(L263,'25-BRA-I-090'!$I:$EZ,2,0)</f>
        <v>Đệm</v>
      </c>
      <c r="AB263" s="1039" t="str">
        <f>VLOOKUP(L263,'25-BRA-I-090'!$I:$EZ,3,0)</f>
        <v>Washer M12-St-200 HV-ISO7093A-tZn</v>
      </c>
      <c r="AC263" s="1039" t="str">
        <f>VLOOKUP(L263,'25-BRA-I-090'!$I:$EZ,5,0)</f>
        <v>pcs</v>
      </c>
      <c r="AD263" s="1039">
        <f>SUMIFS('25-BRA-I-090'!$CS:$CS,'25-BRA-I-090'!$I:$I,L263)</f>
        <v>170</v>
      </c>
      <c r="AE263" s="1039">
        <f>SUMIFS('25-BRA-I-090'!$CT:$CT,'25-BRA-I-090'!$I:$I,L263)</f>
        <v>0</v>
      </c>
      <c r="AF263" s="1039">
        <f>SUMIFS('25-BRA-I-090'!$CW:$CW,'25-BRA-I-090'!$I:$I,L263)</f>
        <v>0</v>
      </c>
      <c r="AG263" s="1039">
        <f>SUMIFS('25-BRA-I-090'!$CX:$CX,'25-BRA-I-090'!$I:$I,L263)</f>
        <v>0</v>
      </c>
      <c r="AH263" s="1040">
        <f>SUMIFS('25-BRA-I-090'!$DJ:$DJ,'25-BRA-I-090'!$I:$I,L263)+SUMIFS('25-BRA-I-090'!$EC:$EC,'25-BRA-I-090'!$I:$I,L263)</f>
        <v>67</v>
      </c>
      <c r="AI263" s="1040">
        <f>SUMIFS('25-BRA-I-090'!$DK:$DK,'25-BRA-I-090'!$I:$I,L263)+SUMIFS('25-BRA-I-090'!$ED:$ED,'25-BRA-I-090'!$I:$I,L263)</f>
        <v>0</v>
      </c>
      <c r="AJ263" s="1040">
        <f>SUMIFS('25-BRA-I-090'!$DO:$DO,'25-BRA-I-090'!$I:$I,L263)+26400*SUMIFS('25-BRA-I-090'!$EF:$EF,'25-BRA-I-090'!$I:$I,L263)</f>
        <v>371850</v>
      </c>
      <c r="AK263" s="1072"/>
      <c r="AO263" s="1072"/>
    </row>
    <row r="264" spans="1:41" s="1039" customFormat="1" ht="45">
      <c r="A264" s="372"/>
      <c r="B264" s="1057" t="str">
        <f t="shared" si="48"/>
        <v>Washer M20-St-200 HV-ISO7089-tZn</v>
      </c>
      <c r="C264" s="1058" t="str">
        <f>VLOOKUP(L264,'25-BRA-I-090'!$I:$EZ,4,0)</f>
        <v>St-Galv</v>
      </c>
      <c r="D264" s="374" t="str">
        <f t="shared" si="47"/>
        <v>pcs</v>
      </c>
      <c r="E264" s="183"/>
      <c r="F264" s="184">
        <f t="shared" si="50"/>
        <v>0</v>
      </c>
      <c r="G264" s="185">
        <f t="shared" si="50"/>
        <v>0</v>
      </c>
      <c r="H264" s="185">
        <f t="shared" si="50"/>
        <v>0</v>
      </c>
      <c r="I264" s="185">
        <f t="shared" si="49"/>
        <v>0</v>
      </c>
      <c r="J264" s="185" t="e">
        <f t="shared" si="51"/>
        <v>#DIV/0!</v>
      </c>
      <c r="K264" s="185">
        <f t="shared" si="52"/>
        <v>0</v>
      </c>
      <c r="L264" s="1184" t="s">
        <v>1544</v>
      </c>
      <c r="M264" s="1059"/>
      <c r="N264" s="1059"/>
      <c r="O264" s="1038"/>
      <c r="P264" s="1054"/>
      <c r="Q264" s="1054"/>
      <c r="T264" s="1041"/>
      <c r="U264" s="1042"/>
      <c r="V264" s="1042"/>
      <c r="AA264" s="1039" t="str">
        <f>VLOOKUP(L264,'25-BRA-I-090'!$I:$EZ,2,0)</f>
        <v>Đệm</v>
      </c>
      <c r="AB264" s="1039" t="str">
        <f>VLOOKUP(L264,'25-BRA-I-090'!$I:$EZ,3,0)</f>
        <v>Washer M20-St-200 HV-ISO7089-tZn</v>
      </c>
      <c r="AC264" s="1039" t="str">
        <f>VLOOKUP(L264,'25-BRA-I-090'!$I:$EZ,5,0)</f>
        <v>pcs</v>
      </c>
      <c r="AD264" s="1039">
        <f>SUMIFS('25-BRA-I-090'!$CS:$CS,'25-BRA-I-090'!$I:$I,L264)</f>
        <v>0</v>
      </c>
      <c r="AE264" s="1039">
        <f>SUMIFS('25-BRA-I-090'!$CT:$CT,'25-BRA-I-090'!$I:$I,L264)</f>
        <v>0</v>
      </c>
      <c r="AF264" s="1039">
        <f>SUMIFS('25-BRA-I-090'!$CW:$CW,'25-BRA-I-090'!$I:$I,L264)</f>
        <v>0</v>
      </c>
      <c r="AG264" s="1039">
        <f>SUMIFS('25-BRA-I-090'!$CX:$CX,'25-BRA-I-090'!$I:$I,L264)</f>
        <v>0</v>
      </c>
      <c r="AH264" s="1040">
        <f>SUMIFS('25-BRA-I-090'!$DJ:$DJ,'25-BRA-I-090'!$I:$I,L264)+SUMIFS('25-BRA-I-090'!$EC:$EC,'25-BRA-I-090'!$I:$I,L264)</f>
        <v>0</v>
      </c>
      <c r="AI264" s="1040">
        <f>SUMIFS('25-BRA-I-090'!$DK:$DK,'25-BRA-I-090'!$I:$I,L264)+SUMIFS('25-BRA-I-090'!$ED:$ED,'25-BRA-I-090'!$I:$I,L264)</f>
        <v>0</v>
      </c>
      <c r="AJ264" s="1040">
        <f>SUMIFS('25-BRA-I-090'!$DO:$DO,'25-BRA-I-090'!$I:$I,L264)+26400*SUMIFS('25-BRA-I-090'!$EF:$EF,'25-BRA-I-090'!$I:$I,L264)</f>
        <v>0</v>
      </c>
      <c r="AK264" s="1072"/>
      <c r="AO264" s="1072"/>
    </row>
    <row r="265" spans="1:41" s="1039" customFormat="1" ht="60">
      <c r="A265" s="372"/>
      <c r="B265" s="1057" t="str">
        <f t="shared" si="48"/>
        <v>Hex washer head self drilling screw M5.5x25-DIN 7504 L-St-Galv.</v>
      </c>
      <c r="C265" s="1058" t="str">
        <f>VLOOKUP(L265,'25-BRA-I-090'!$I:$EZ,4,0)</f>
        <v>St-Galv</v>
      </c>
      <c r="D265" s="374" t="str">
        <f t="shared" ref="D265:D278" si="53">AC265</f>
        <v>pcs</v>
      </c>
      <c r="E265" s="183"/>
      <c r="F265" s="184">
        <f t="shared" si="50"/>
        <v>3935</v>
      </c>
      <c r="G265" s="185">
        <f t="shared" si="50"/>
        <v>0</v>
      </c>
      <c r="H265" s="185">
        <f t="shared" si="50"/>
        <v>0</v>
      </c>
      <c r="I265" s="185">
        <f t="shared" si="49"/>
        <v>4000</v>
      </c>
      <c r="J265" s="185">
        <f t="shared" si="51"/>
        <v>1990</v>
      </c>
      <c r="K265" s="185">
        <f t="shared" si="52"/>
        <v>7960000</v>
      </c>
      <c r="L265" s="1184" t="s">
        <v>1546</v>
      </c>
      <c r="M265" s="1059"/>
      <c r="N265" s="1059"/>
      <c r="O265" s="1038"/>
      <c r="P265" s="1054"/>
      <c r="Q265" s="1054"/>
      <c r="T265" s="1041"/>
      <c r="U265" s="1042"/>
      <c r="V265" s="1042"/>
      <c r="AA265" s="1039" t="str">
        <f>VLOOKUP(L265,'25-BRA-I-090'!$I:$EZ,2,0)</f>
        <v>Vít tự khoan</v>
      </c>
      <c r="AB265" s="1039" t="str">
        <f>VLOOKUP(L265,'25-BRA-I-090'!$I:$EZ,3,0)</f>
        <v>Hex washer head self drilling screw M5.5x25-DIN 7504 L-St-Galv.</v>
      </c>
      <c r="AC265" s="1039" t="str">
        <f>VLOOKUP(L265,'25-BRA-I-090'!$I:$EZ,5,0)</f>
        <v>pcs</v>
      </c>
      <c r="AD265" s="1039">
        <f>SUMIFS('25-BRA-I-090'!$CS:$CS,'25-BRA-I-090'!$I:$I,L265)</f>
        <v>3935</v>
      </c>
      <c r="AE265" s="1039">
        <f>SUMIFS('25-BRA-I-090'!$CT:$CT,'25-BRA-I-090'!$I:$I,L265)</f>
        <v>0</v>
      </c>
      <c r="AF265" s="1039">
        <f>SUMIFS('25-BRA-I-090'!$CW:$CW,'25-BRA-I-090'!$I:$I,L265)</f>
        <v>0</v>
      </c>
      <c r="AG265" s="1039">
        <f>SUMIFS('25-BRA-I-090'!$CX:$CX,'25-BRA-I-090'!$I:$I,L265)</f>
        <v>0</v>
      </c>
      <c r="AH265" s="1040">
        <f>SUMIFS('25-BRA-I-090'!$DJ:$DJ,'25-BRA-I-090'!$I:$I,L265)+SUMIFS('25-BRA-I-090'!$EC:$EC,'25-BRA-I-090'!$I:$I,L265)</f>
        <v>4000</v>
      </c>
      <c r="AI265" s="1040">
        <f>SUMIFS('25-BRA-I-090'!$DK:$DK,'25-BRA-I-090'!$I:$I,L265)+SUMIFS('25-BRA-I-090'!$ED:$ED,'25-BRA-I-090'!$I:$I,L265)</f>
        <v>0</v>
      </c>
      <c r="AJ265" s="1040">
        <f>SUMIFS('25-BRA-I-090'!$DO:$DO,'25-BRA-I-090'!$I:$I,L265)+26400*SUMIFS('25-BRA-I-090'!$EF:$EF,'25-BRA-I-090'!$I:$I,L265)</f>
        <v>7960000</v>
      </c>
      <c r="AK265" s="1072"/>
      <c r="AO265" s="1072"/>
    </row>
    <row r="266" spans="1:41" s="1039" customFormat="1">
      <c r="A266" s="372"/>
      <c r="B266" s="1057" t="str">
        <f t="shared" si="48"/>
        <v>FL312D</v>
      </c>
      <c r="C266" s="1058" t="str">
        <f>VLOOKUP(L266,'25-BRA-I-090'!$I:$EZ,4,0)</f>
        <v>St-Galv</v>
      </c>
      <c r="D266" s="374" t="str">
        <f t="shared" si="53"/>
        <v>Sets</v>
      </c>
      <c r="E266" s="183"/>
      <c r="F266" s="184">
        <f t="shared" si="50"/>
        <v>0</v>
      </c>
      <c r="G266" s="185">
        <f t="shared" si="50"/>
        <v>0</v>
      </c>
      <c r="H266" s="185">
        <f t="shared" si="50"/>
        <v>0</v>
      </c>
      <c r="I266" s="185">
        <f t="shared" si="49"/>
        <v>0</v>
      </c>
      <c r="J266" s="185" t="e">
        <f t="shared" si="51"/>
        <v>#DIV/0!</v>
      </c>
      <c r="K266" s="185">
        <f t="shared" si="52"/>
        <v>0</v>
      </c>
      <c r="L266" s="1184" t="s">
        <v>1549</v>
      </c>
      <c r="M266" s="1059"/>
      <c r="N266" s="1059"/>
      <c r="O266" s="1038"/>
      <c r="P266" s="1054"/>
      <c r="Q266" s="1054"/>
      <c r="T266" s="1041"/>
      <c r="U266" s="1042"/>
      <c r="V266" s="1042"/>
      <c r="AA266" s="1039" t="str">
        <f>VLOOKUP(L266,'25-BRA-I-090'!$I:$EZ,2,0)</f>
        <v>Kẹp</v>
      </c>
      <c r="AB266" s="1039" t="str">
        <f>VLOOKUP(L266,'25-BRA-I-090'!$I:$EZ,3,0)</f>
        <v>FL312D</v>
      </c>
      <c r="AC266" s="1039" t="str">
        <f>VLOOKUP(L266,'25-BRA-I-090'!$I:$EZ,5,0)</f>
        <v>Sets</v>
      </c>
      <c r="AD266" s="1039">
        <f>SUMIFS('25-BRA-I-090'!$CS:$CS,'25-BRA-I-090'!$I:$I,L266)</f>
        <v>0</v>
      </c>
      <c r="AE266" s="1039">
        <f>SUMIFS('25-BRA-I-090'!$CT:$CT,'25-BRA-I-090'!$I:$I,L266)</f>
        <v>0</v>
      </c>
      <c r="AF266" s="1039">
        <f>SUMIFS('25-BRA-I-090'!$CW:$CW,'25-BRA-I-090'!$I:$I,L266)</f>
        <v>0</v>
      </c>
      <c r="AG266" s="1039">
        <f>SUMIFS('25-BRA-I-090'!$CX:$CX,'25-BRA-I-090'!$I:$I,L266)</f>
        <v>0</v>
      </c>
      <c r="AH266" s="1040">
        <f>SUMIFS('25-BRA-I-090'!$DJ:$DJ,'25-BRA-I-090'!$I:$I,L266)+SUMIFS('25-BRA-I-090'!$EC:$EC,'25-BRA-I-090'!$I:$I,L266)</f>
        <v>0</v>
      </c>
      <c r="AI266" s="1040">
        <f>SUMIFS('25-BRA-I-090'!$DK:$DK,'25-BRA-I-090'!$I:$I,L266)+SUMIFS('25-BRA-I-090'!$ED:$ED,'25-BRA-I-090'!$I:$I,L266)</f>
        <v>0</v>
      </c>
      <c r="AJ266" s="1040">
        <f>SUMIFS('25-BRA-I-090'!$DO:$DO,'25-BRA-I-090'!$I:$I,L266)+26400*SUMIFS('25-BRA-I-090'!$EF:$EF,'25-BRA-I-090'!$I:$I,L266)</f>
        <v>0</v>
      </c>
      <c r="AK266" s="1072"/>
      <c r="AO266" s="1072"/>
    </row>
    <row r="267" spans="1:41" s="1039" customFormat="1" ht="30">
      <c r="A267" s="372"/>
      <c r="B267" s="1057" t="str">
        <f t="shared" ref="B267:B278" si="54">AB267</f>
        <v>MPR-Girder cleats 41/41/2-M8</v>
      </c>
      <c r="C267" s="1058" t="str">
        <f>VLOOKUP(L267,'25-BRA-I-090'!$I:$EZ,4,0)</f>
        <v>St-Galv</v>
      </c>
      <c r="D267" s="374" t="str">
        <f t="shared" si="53"/>
        <v>Sets</v>
      </c>
      <c r="E267" s="183"/>
      <c r="F267" s="184">
        <f t="shared" si="50"/>
        <v>0</v>
      </c>
      <c r="G267" s="185">
        <f t="shared" si="50"/>
        <v>0</v>
      </c>
      <c r="H267" s="185">
        <f t="shared" si="50"/>
        <v>0</v>
      </c>
      <c r="I267" s="185">
        <f t="shared" ref="I267:I278" si="55">AH267</f>
        <v>0</v>
      </c>
      <c r="J267" s="185" t="e">
        <f t="shared" si="51"/>
        <v>#DIV/0!</v>
      </c>
      <c r="K267" s="185">
        <f t="shared" si="52"/>
        <v>0</v>
      </c>
      <c r="L267" s="1184" t="s">
        <v>1552</v>
      </c>
      <c r="M267" s="1059"/>
      <c r="N267" s="1059"/>
      <c r="O267" s="1038"/>
      <c r="P267" s="1054"/>
      <c r="Q267" s="1054"/>
      <c r="T267" s="1041"/>
      <c r="U267" s="1042"/>
      <c r="V267" s="1042"/>
      <c r="AA267" s="1039" t="str">
        <f>VLOOKUP(L267,'25-BRA-I-090'!$I:$EZ,2,0)</f>
        <v>Kẹp chốt</v>
      </c>
      <c r="AB267" s="1039" t="str">
        <f>VLOOKUP(L267,'25-BRA-I-090'!$I:$EZ,3,0)</f>
        <v>MPR-Girder cleats 41/41/2-M8</v>
      </c>
      <c r="AC267" s="1039" t="str">
        <f>VLOOKUP(L267,'25-BRA-I-090'!$I:$EZ,5,0)</f>
        <v>Sets</v>
      </c>
      <c r="AD267" s="1039">
        <f>SUMIFS('25-BRA-I-090'!$CS:$CS,'25-BRA-I-090'!$I:$I,L267)</f>
        <v>0</v>
      </c>
      <c r="AE267" s="1039">
        <f>SUMIFS('25-BRA-I-090'!$CT:$CT,'25-BRA-I-090'!$I:$I,L267)</f>
        <v>0</v>
      </c>
      <c r="AF267" s="1039">
        <f>SUMIFS('25-BRA-I-090'!$CW:$CW,'25-BRA-I-090'!$I:$I,L267)</f>
        <v>0</v>
      </c>
      <c r="AG267" s="1039">
        <f>SUMIFS('25-BRA-I-090'!$CX:$CX,'25-BRA-I-090'!$I:$I,L267)</f>
        <v>0</v>
      </c>
      <c r="AH267" s="1040">
        <f>SUMIFS('25-BRA-I-090'!$DJ:$DJ,'25-BRA-I-090'!$I:$I,L267)+SUMIFS('25-BRA-I-090'!$EC:$EC,'25-BRA-I-090'!$I:$I,L267)</f>
        <v>0</v>
      </c>
      <c r="AI267" s="1040">
        <f>SUMIFS('25-BRA-I-090'!$DK:$DK,'25-BRA-I-090'!$I:$I,L267)+SUMIFS('25-BRA-I-090'!$ED:$ED,'25-BRA-I-090'!$I:$I,L267)</f>
        <v>0</v>
      </c>
      <c r="AJ267" s="1040">
        <f>SUMIFS('25-BRA-I-090'!$DO:$DO,'25-BRA-I-090'!$I:$I,L267)+26400*SUMIFS('25-BRA-I-090'!$EF:$EF,'25-BRA-I-090'!$I:$I,L267)</f>
        <v>0</v>
      </c>
      <c r="AK267" s="1072"/>
      <c r="AO267" s="1072"/>
    </row>
    <row r="268" spans="1:41" s="1039" customFormat="1" ht="45">
      <c r="A268" s="372"/>
      <c r="B268" s="1057" t="str">
        <f t="shared" si="54"/>
        <v>Threaded Rod-M24x220-DIN976-1-type A-8.8-Galv</v>
      </c>
      <c r="C268" s="1058" t="str">
        <f>VLOOKUP(L268,'25-BRA-I-090'!$I:$EZ,4,0)</f>
        <v>8.8-Galv</v>
      </c>
      <c r="D268" s="374" t="str">
        <f t="shared" si="53"/>
        <v>pcs</v>
      </c>
      <c r="E268" s="183"/>
      <c r="F268" s="184">
        <f t="shared" si="50"/>
        <v>50</v>
      </c>
      <c r="G268" s="185">
        <f t="shared" si="50"/>
        <v>0</v>
      </c>
      <c r="H268" s="185">
        <f t="shared" si="50"/>
        <v>0</v>
      </c>
      <c r="I268" s="185">
        <f t="shared" si="55"/>
        <v>50</v>
      </c>
      <c r="J268" s="185">
        <f t="shared" si="51"/>
        <v>90000</v>
      </c>
      <c r="K268" s="185">
        <f t="shared" si="52"/>
        <v>4500000</v>
      </c>
      <c r="L268" s="1184" t="s">
        <v>1598</v>
      </c>
      <c r="M268" s="1059"/>
      <c r="N268" s="1059"/>
      <c r="O268" s="1038"/>
      <c r="P268" s="1054"/>
      <c r="Q268" s="1054"/>
      <c r="T268" s="1041"/>
      <c r="U268" s="1042"/>
      <c r="V268" s="1042"/>
      <c r="AA268" s="1039" t="str">
        <f>VLOOKUP(L268,'25-BRA-I-090'!$I:$EZ,2,0)</f>
        <v>Thanh ren</v>
      </c>
      <c r="AB268" s="1039" t="str">
        <f>VLOOKUP(L268,'25-BRA-I-090'!$I:$EZ,3,0)</f>
        <v>Threaded Rod-M24x220-DIN976-1-type A-8.8-Galv</v>
      </c>
      <c r="AC268" s="1039" t="str">
        <f>VLOOKUP(L268,'25-BRA-I-090'!$I:$EZ,5,0)</f>
        <v>pcs</v>
      </c>
      <c r="AD268" s="1039">
        <f>SUMIFS('25-BRA-I-090'!$CS:$CS,'25-BRA-I-090'!$I:$I,L268)</f>
        <v>50</v>
      </c>
      <c r="AE268" s="1039">
        <f>SUMIFS('25-BRA-I-090'!$CT:$CT,'25-BRA-I-090'!$I:$I,L268)</f>
        <v>0</v>
      </c>
      <c r="AF268" s="1039">
        <f>SUMIFS('25-BRA-I-090'!$CW:$CW,'25-BRA-I-090'!$I:$I,L268)</f>
        <v>0</v>
      </c>
      <c r="AG268" s="1039">
        <f>SUMIFS('25-BRA-I-090'!$CX:$CX,'25-BRA-I-090'!$I:$I,L268)</f>
        <v>0</v>
      </c>
      <c r="AH268" s="1040">
        <f>SUMIFS('25-BRA-I-090'!$DJ:$DJ,'25-BRA-I-090'!$I:$I,L268)+SUMIFS('25-BRA-I-090'!$EC:$EC,'25-BRA-I-090'!$I:$I,L268)</f>
        <v>50</v>
      </c>
      <c r="AI268" s="1040">
        <f>SUMIFS('25-BRA-I-090'!$DK:$DK,'25-BRA-I-090'!$I:$I,L268)+SUMIFS('25-BRA-I-090'!$ED:$ED,'25-BRA-I-090'!$I:$I,L268)</f>
        <v>0</v>
      </c>
      <c r="AJ268" s="1040">
        <f>SUMIFS('25-BRA-I-090'!$DO:$DO,'25-BRA-I-090'!$I:$I,L268)+26400*SUMIFS('25-BRA-I-090'!$EF:$EF,'25-BRA-I-090'!$I:$I,L268)</f>
        <v>4500000</v>
      </c>
      <c r="AK268" s="1072"/>
      <c r="AO268" s="1072"/>
    </row>
    <row r="269" spans="1:41" s="1039" customFormat="1" ht="30">
      <c r="A269" s="372"/>
      <c r="B269" s="1057" t="str">
        <f t="shared" si="54"/>
        <v>Ring-80x2.5-DIN471-St-Galv</v>
      </c>
      <c r="C269" s="1058" t="str">
        <f>VLOOKUP(L269,'25-BRA-I-090'!$I:$EZ,4,0)</f>
        <v>St-Galv</v>
      </c>
      <c r="D269" s="374" t="str">
        <f t="shared" si="53"/>
        <v>pcs</v>
      </c>
      <c r="E269" s="183"/>
      <c r="F269" s="184">
        <f t="shared" si="50"/>
        <v>80</v>
      </c>
      <c r="G269" s="185">
        <f t="shared" si="50"/>
        <v>0</v>
      </c>
      <c r="H269" s="185">
        <f t="shared" si="50"/>
        <v>0</v>
      </c>
      <c r="I269" s="185">
        <f t="shared" si="55"/>
        <v>80</v>
      </c>
      <c r="J269" s="185">
        <f t="shared" si="51"/>
        <v>32000</v>
      </c>
      <c r="K269" s="185">
        <f t="shared" si="52"/>
        <v>2560000</v>
      </c>
      <c r="L269" s="1184" t="s">
        <v>1601</v>
      </c>
      <c r="M269" s="1059"/>
      <c r="N269" s="1059"/>
      <c r="O269" s="1038"/>
      <c r="P269" s="1054"/>
      <c r="Q269" s="1054"/>
      <c r="T269" s="1041"/>
      <c r="U269" s="1042"/>
      <c r="V269" s="1042"/>
      <c r="AA269" s="1039" t="str">
        <f>VLOOKUP(L269,'25-BRA-I-090'!$I:$EZ,2,0)</f>
        <v>Vòng khóa</v>
      </c>
      <c r="AB269" s="1039" t="str">
        <f>VLOOKUP(L269,'25-BRA-I-090'!$I:$EZ,3,0)</f>
        <v>Ring-80x2.5-DIN471-St-Galv</v>
      </c>
      <c r="AC269" s="1039" t="str">
        <f>VLOOKUP(L269,'25-BRA-I-090'!$I:$EZ,5,0)</f>
        <v>pcs</v>
      </c>
      <c r="AD269" s="1039">
        <f>SUMIFS('25-BRA-I-090'!$CS:$CS,'25-BRA-I-090'!$I:$I,L269)</f>
        <v>80</v>
      </c>
      <c r="AE269" s="1039">
        <f>SUMIFS('25-BRA-I-090'!$CT:$CT,'25-BRA-I-090'!$I:$I,L269)</f>
        <v>0</v>
      </c>
      <c r="AF269" s="1039">
        <f>SUMIFS('25-BRA-I-090'!$CW:$CW,'25-BRA-I-090'!$I:$I,L269)</f>
        <v>0</v>
      </c>
      <c r="AG269" s="1039">
        <f>SUMIFS('25-BRA-I-090'!$CX:$CX,'25-BRA-I-090'!$I:$I,L269)</f>
        <v>0</v>
      </c>
      <c r="AH269" s="1040">
        <f>SUMIFS('25-BRA-I-090'!$DJ:$DJ,'25-BRA-I-090'!$I:$I,L269)+SUMIFS('25-BRA-I-090'!$EC:$EC,'25-BRA-I-090'!$I:$I,L269)</f>
        <v>80</v>
      </c>
      <c r="AI269" s="1040">
        <f>SUMIFS('25-BRA-I-090'!$DK:$DK,'25-BRA-I-090'!$I:$I,L269)+SUMIFS('25-BRA-I-090'!$ED:$ED,'25-BRA-I-090'!$I:$I,L269)</f>
        <v>0</v>
      </c>
      <c r="AJ269" s="1040">
        <f>SUMIFS('25-BRA-I-090'!$DO:$DO,'25-BRA-I-090'!$I:$I,L269)+26400*SUMIFS('25-BRA-I-090'!$EF:$EF,'25-BRA-I-090'!$I:$I,L269)</f>
        <v>2560000</v>
      </c>
      <c r="AK269" s="1072"/>
      <c r="AO269" s="1072"/>
    </row>
    <row r="270" spans="1:41" s="1039" customFormat="1" ht="30">
      <c r="A270" s="372"/>
      <c r="B270" s="1057" t="str">
        <f t="shared" si="54"/>
        <v>Ring-50x2.0-DIN471-St-Galv</v>
      </c>
      <c r="C270" s="1058" t="str">
        <f>VLOOKUP(L270,'25-BRA-I-090'!$I:$EZ,4,0)</f>
        <v>St-Galv</v>
      </c>
      <c r="D270" s="374" t="str">
        <f t="shared" si="53"/>
        <v>pcs</v>
      </c>
      <c r="E270" s="183"/>
      <c r="F270" s="184">
        <f t="shared" si="50"/>
        <v>80</v>
      </c>
      <c r="G270" s="185">
        <f t="shared" si="50"/>
        <v>0</v>
      </c>
      <c r="H270" s="185">
        <f t="shared" si="50"/>
        <v>0</v>
      </c>
      <c r="I270" s="185">
        <f t="shared" si="55"/>
        <v>80</v>
      </c>
      <c r="J270" s="185">
        <f t="shared" si="51"/>
        <v>29000</v>
      </c>
      <c r="K270" s="185">
        <f t="shared" si="52"/>
        <v>2320000</v>
      </c>
      <c r="L270" s="1184" t="s">
        <v>1604</v>
      </c>
      <c r="M270" s="1059"/>
      <c r="N270" s="1059"/>
      <c r="O270" s="1038"/>
      <c r="P270" s="1054"/>
      <c r="Q270" s="1054"/>
      <c r="T270" s="1041"/>
      <c r="U270" s="1042"/>
      <c r="V270" s="1042"/>
      <c r="AA270" s="1039" t="str">
        <f>VLOOKUP(L270,'25-BRA-I-090'!$I:$EZ,2,0)</f>
        <v>Vòng khóa</v>
      </c>
      <c r="AB270" s="1039" t="str">
        <f>VLOOKUP(L270,'25-BRA-I-090'!$I:$EZ,3,0)</f>
        <v>Ring-50x2.0-DIN471-St-Galv</v>
      </c>
      <c r="AC270" s="1039" t="str">
        <f>VLOOKUP(L270,'25-BRA-I-090'!$I:$EZ,5,0)</f>
        <v>pcs</v>
      </c>
      <c r="AD270" s="1039">
        <f>SUMIFS('25-BRA-I-090'!$CS:$CS,'25-BRA-I-090'!$I:$I,L270)</f>
        <v>80</v>
      </c>
      <c r="AE270" s="1039">
        <f>SUMIFS('25-BRA-I-090'!$CT:$CT,'25-BRA-I-090'!$I:$I,L270)</f>
        <v>0</v>
      </c>
      <c r="AF270" s="1039">
        <f>SUMIFS('25-BRA-I-090'!$CW:$CW,'25-BRA-I-090'!$I:$I,L270)</f>
        <v>0</v>
      </c>
      <c r="AG270" s="1039">
        <f>SUMIFS('25-BRA-I-090'!$CX:$CX,'25-BRA-I-090'!$I:$I,L270)</f>
        <v>0</v>
      </c>
      <c r="AH270" s="1040">
        <f>SUMIFS('25-BRA-I-090'!$DJ:$DJ,'25-BRA-I-090'!$I:$I,L270)+SUMIFS('25-BRA-I-090'!$EC:$EC,'25-BRA-I-090'!$I:$I,L270)</f>
        <v>80</v>
      </c>
      <c r="AI270" s="1040">
        <f>SUMIFS('25-BRA-I-090'!$DK:$DK,'25-BRA-I-090'!$I:$I,L270)+SUMIFS('25-BRA-I-090'!$ED:$ED,'25-BRA-I-090'!$I:$I,L270)</f>
        <v>0</v>
      </c>
      <c r="AJ270" s="1040">
        <f>SUMIFS('25-BRA-I-090'!$DO:$DO,'25-BRA-I-090'!$I:$I,L270)+26400*SUMIFS('25-BRA-I-090'!$EF:$EF,'25-BRA-I-090'!$I:$I,L270)</f>
        <v>2320000</v>
      </c>
      <c r="AK270" s="1072"/>
      <c r="AO270" s="1072"/>
    </row>
    <row r="271" spans="1:41" s="1039" customFormat="1" ht="60">
      <c r="A271" s="372"/>
      <c r="B271" s="1057" t="str">
        <f t="shared" si="54"/>
        <v>Cylinder Head Cap Screw-M10x25-8.8-DIN912-Galv.</v>
      </c>
      <c r="C271" s="1058" t="str">
        <f>VLOOKUP(L271,'25-BRA-I-090'!$I:$EZ,4,0)</f>
        <v>8.8-Galv</v>
      </c>
      <c r="D271" s="374" t="str">
        <f t="shared" si="53"/>
        <v>pcs</v>
      </c>
      <c r="E271" s="183"/>
      <c r="F271" s="184">
        <f t="shared" si="50"/>
        <v>488.2</v>
      </c>
      <c r="G271" s="185">
        <f t="shared" si="50"/>
        <v>0</v>
      </c>
      <c r="H271" s="185">
        <f t="shared" si="50"/>
        <v>0</v>
      </c>
      <c r="I271" s="185">
        <f t="shared" si="55"/>
        <v>488.2</v>
      </c>
      <c r="J271" s="185">
        <f t="shared" si="51"/>
        <v>5080</v>
      </c>
      <c r="K271" s="185">
        <f t="shared" si="52"/>
        <v>2480056</v>
      </c>
      <c r="L271" s="1184" t="s">
        <v>1639</v>
      </c>
      <c r="M271" s="1059"/>
      <c r="N271" s="1059"/>
      <c r="O271" s="1038"/>
      <c r="P271" s="1054"/>
      <c r="Q271" s="1054"/>
      <c r="T271" s="1041"/>
      <c r="U271" s="1042"/>
      <c r="V271" s="1042"/>
      <c r="AA271" s="1039" t="str">
        <f>VLOOKUP(L271,'25-BRA-I-090'!$I:$EZ,2,0)</f>
        <v>Bu lông</v>
      </c>
      <c r="AB271" s="1039" t="str">
        <f>VLOOKUP(L271,'25-BRA-I-090'!$I:$EZ,3,0)</f>
        <v>Cylinder Head Cap Screw-M10x25-8.8-DIN912-Galv.</v>
      </c>
      <c r="AC271" s="1039" t="str">
        <f>VLOOKUP(L271,'25-BRA-I-090'!$I:$EZ,5,0)</f>
        <v>pcs</v>
      </c>
      <c r="AD271" s="1039">
        <f>SUMIFS('25-BRA-I-090'!$CS:$CS,'25-BRA-I-090'!$I:$I,L271)</f>
        <v>488.2</v>
      </c>
      <c r="AE271" s="1039">
        <f>SUMIFS('25-BRA-I-090'!$CT:$CT,'25-BRA-I-090'!$I:$I,L271)</f>
        <v>0</v>
      </c>
      <c r="AF271" s="1039">
        <f>SUMIFS('25-BRA-I-090'!$CW:$CW,'25-BRA-I-090'!$I:$I,L271)</f>
        <v>0</v>
      </c>
      <c r="AG271" s="1039">
        <f>SUMIFS('25-BRA-I-090'!$CX:$CX,'25-BRA-I-090'!$I:$I,L271)</f>
        <v>0</v>
      </c>
      <c r="AH271" s="1040">
        <f>SUMIFS('25-BRA-I-090'!$DJ:$DJ,'25-BRA-I-090'!$I:$I,L271)+SUMIFS('25-BRA-I-090'!$EC:$EC,'25-BRA-I-090'!$I:$I,L271)</f>
        <v>488.2</v>
      </c>
      <c r="AI271" s="1040">
        <f>SUMIFS('25-BRA-I-090'!$DK:$DK,'25-BRA-I-090'!$I:$I,L271)+SUMIFS('25-BRA-I-090'!$ED:$ED,'25-BRA-I-090'!$I:$I,L271)</f>
        <v>0</v>
      </c>
      <c r="AJ271" s="1040">
        <f>SUMIFS('25-BRA-I-090'!$DO:$DO,'25-BRA-I-090'!$I:$I,L271)+26400*SUMIFS('25-BRA-I-090'!$EF:$EF,'25-BRA-I-090'!$I:$I,L271)</f>
        <v>2480056</v>
      </c>
      <c r="AK271" s="1072"/>
      <c r="AO271" s="1072"/>
    </row>
    <row r="272" spans="1:41" s="1039" customFormat="1" ht="60">
      <c r="A272" s="372"/>
      <c r="B272" s="1057" t="str">
        <f t="shared" si="54"/>
        <v>Cylinder Head Cap Screw-M10x35-8.8-DIN912-Galv.</v>
      </c>
      <c r="C272" s="1058" t="str">
        <f>VLOOKUP(L272,'25-BRA-I-090'!$I:$EZ,4,0)</f>
        <v>8.8-Galv</v>
      </c>
      <c r="D272" s="374" t="str">
        <f t="shared" si="53"/>
        <v>pcs</v>
      </c>
      <c r="E272" s="183"/>
      <c r="F272" s="184">
        <f t="shared" si="50"/>
        <v>902.80000000000007</v>
      </c>
      <c r="G272" s="185">
        <f t="shared" si="50"/>
        <v>0</v>
      </c>
      <c r="H272" s="185">
        <f t="shared" si="50"/>
        <v>0</v>
      </c>
      <c r="I272" s="185">
        <f t="shared" si="55"/>
        <v>902.80000000000007</v>
      </c>
      <c r="J272" s="185">
        <f t="shared" si="51"/>
        <v>6079.9999999999991</v>
      </c>
      <c r="K272" s="185">
        <f t="shared" si="52"/>
        <v>5489024</v>
      </c>
      <c r="L272" s="1184" t="s">
        <v>1641</v>
      </c>
      <c r="M272" s="1059"/>
      <c r="N272" s="1059"/>
      <c r="O272" s="1038"/>
      <c r="P272" s="1054"/>
      <c r="Q272" s="1054"/>
      <c r="T272" s="1041"/>
      <c r="U272" s="1042"/>
      <c r="V272" s="1042"/>
      <c r="AA272" s="1039" t="str">
        <f>VLOOKUP(L272,'25-BRA-I-090'!$I:$EZ,2,0)</f>
        <v>Bu lông</v>
      </c>
      <c r="AB272" s="1039" t="str">
        <f>VLOOKUP(L272,'25-BRA-I-090'!$I:$EZ,3,0)</f>
        <v>Cylinder Head Cap Screw-M10x35-8.8-DIN912-Galv.</v>
      </c>
      <c r="AC272" s="1039" t="str">
        <f>VLOOKUP(L272,'25-BRA-I-090'!$I:$EZ,5,0)</f>
        <v>pcs</v>
      </c>
      <c r="AD272" s="1039">
        <f>SUMIFS('25-BRA-I-090'!$CS:$CS,'25-BRA-I-090'!$I:$I,L272)</f>
        <v>902.80000000000007</v>
      </c>
      <c r="AE272" s="1039">
        <f>SUMIFS('25-BRA-I-090'!$CT:$CT,'25-BRA-I-090'!$I:$I,L272)</f>
        <v>0</v>
      </c>
      <c r="AF272" s="1039">
        <f>SUMIFS('25-BRA-I-090'!$CW:$CW,'25-BRA-I-090'!$I:$I,L272)</f>
        <v>0</v>
      </c>
      <c r="AG272" s="1039">
        <f>SUMIFS('25-BRA-I-090'!$CX:$CX,'25-BRA-I-090'!$I:$I,L272)</f>
        <v>0</v>
      </c>
      <c r="AH272" s="1040">
        <f>SUMIFS('25-BRA-I-090'!$DJ:$DJ,'25-BRA-I-090'!$I:$I,L272)+SUMIFS('25-BRA-I-090'!$EC:$EC,'25-BRA-I-090'!$I:$I,L272)</f>
        <v>902.80000000000007</v>
      </c>
      <c r="AI272" s="1040">
        <f>SUMIFS('25-BRA-I-090'!$DK:$DK,'25-BRA-I-090'!$I:$I,L272)+SUMIFS('25-BRA-I-090'!$ED:$ED,'25-BRA-I-090'!$I:$I,L272)</f>
        <v>0</v>
      </c>
      <c r="AJ272" s="1040">
        <f>SUMIFS('25-BRA-I-090'!$DO:$DO,'25-BRA-I-090'!$I:$I,L272)+26400*SUMIFS('25-BRA-I-090'!$EF:$EF,'25-BRA-I-090'!$I:$I,L272)</f>
        <v>5489024</v>
      </c>
      <c r="AK272" s="1072"/>
      <c r="AO272" s="1072"/>
    </row>
    <row r="273" spans="1:41" s="1039" customFormat="1">
      <c r="A273" s="372"/>
      <c r="B273" s="1057" t="str">
        <f t="shared" si="54"/>
        <v>Nam plate</v>
      </c>
      <c r="C273" s="1058" t="str">
        <f>VLOOKUP(L273,'25-BRA-I-090'!$I:$EZ,4,0)</f>
        <v>SUS304</v>
      </c>
      <c r="D273" s="374" t="str">
        <f t="shared" si="53"/>
        <v>pcs</v>
      </c>
      <c r="E273" s="183"/>
      <c r="F273" s="184">
        <f t="shared" si="50"/>
        <v>5</v>
      </c>
      <c r="G273" s="185">
        <f t="shared" si="50"/>
        <v>0</v>
      </c>
      <c r="H273" s="185">
        <f t="shared" si="50"/>
        <v>0</v>
      </c>
      <c r="I273" s="185">
        <f t="shared" si="55"/>
        <v>5</v>
      </c>
      <c r="J273" s="185">
        <f t="shared" si="51"/>
        <v>450000</v>
      </c>
      <c r="K273" s="185">
        <f t="shared" si="52"/>
        <v>2250000</v>
      </c>
      <c r="L273" s="1184" t="s">
        <v>1660</v>
      </c>
      <c r="M273" s="1059"/>
      <c r="N273" s="1059"/>
      <c r="O273" s="1038"/>
      <c r="P273" s="1054"/>
      <c r="Q273" s="1054"/>
      <c r="T273" s="1041"/>
      <c r="U273" s="1042"/>
      <c r="V273" s="1042"/>
      <c r="AA273" s="1039" t="str">
        <f>VLOOKUP(L273,'25-BRA-I-090'!$I:$EZ,2,0)</f>
        <v>Bảng tên</v>
      </c>
      <c r="AB273" s="1039" t="str">
        <f>VLOOKUP(L273,'25-BRA-I-090'!$I:$EZ,3,0)</f>
        <v>Nam plate</v>
      </c>
      <c r="AC273" s="1039" t="str">
        <f>VLOOKUP(L273,'25-BRA-I-090'!$I:$EZ,5,0)</f>
        <v>pcs</v>
      </c>
      <c r="AD273" s="1039">
        <f>SUMIFS('25-BRA-I-090'!$CS:$CS,'25-BRA-I-090'!$I:$I,L273)</f>
        <v>5</v>
      </c>
      <c r="AE273" s="1039">
        <f>SUMIFS('25-BRA-I-090'!$CT:$CT,'25-BRA-I-090'!$I:$I,L273)</f>
        <v>0</v>
      </c>
      <c r="AF273" s="1039">
        <f>SUMIFS('25-BRA-I-090'!$CW:$CW,'25-BRA-I-090'!$I:$I,L273)</f>
        <v>0</v>
      </c>
      <c r="AG273" s="1039">
        <f>SUMIFS('25-BRA-I-090'!$CX:$CX,'25-BRA-I-090'!$I:$I,L273)</f>
        <v>0</v>
      </c>
      <c r="AH273" s="1040">
        <f>SUMIFS('25-BRA-I-090'!$DJ:$DJ,'25-BRA-I-090'!$I:$I,L273)+SUMIFS('25-BRA-I-090'!$EC:$EC,'25-BRA-I-090'!$I:$I,L273)</f>
        <v>5</v>
      </c>
      <c r="AI273" s="1040">
        <f>SUMIFS('25-BRA-I-090'!$DK:$DK,'25-BRA-I-090'!$I:$I,L273)+SUMIFS('25-BRA-I-090'!$ED:$ED,'25-BRA-I-090'!$I:$I,L273)</f>
        <v>0</v>
      </c>
      <c r="AJ273" s="1040">
        <f>SUMIFS('25-BRA-I-090'!$DO:$DO,'25-BRA-I-090'!$I:$I,L273)+26400*SUMIFS('25-BRA-I-090'!$EF:$EF,'25-BRA-I-090'!$I:$I,L273)</f>
        <v>2250000</v>
      </c>
      <c r="AK273" s="1072"/>
      <c r="AO273" s="1072"/>
    </row>
    <row r="274" spans="1:41" s="1039" customFormat="1" ht="30">
      <c r="A274" s="372"/>
      <c r="B274" s="1057" t="str">
        <f t="shared" si="54"/>
        <v>Sticker</v>
      </c>
      <c r="C274" s="1058" t="str">
        <f>VLOOKUP(L274,'25-BRA-I-090'!$I:$EZ,4,0)</f>
        <v>decal</v>
      </c>
      <c r="D274" s="374" t="str">
        <f t="shared" si="53"/>
        <v>pcs</v>
      </c>
      <c r="E274" s="183"/>
      <c r="F274" s="184">
        <f t="shared" si="50"/>
        <v>50</v>
      </c>
      <c r="G274" s="185">
        <f t="shared" si="50"/>
        <v>0</v>
      </c>
      <c r="H274" s="185">
        <f t="shared" si="50"/>
        <v>0</v>
      </c>
      <c r="I274" s="185">
        <f t="shared" si="55"/>
        <v>50</v>
      </c>
      <c r="J274" s="185">
        <f t="shared" si="51"/>
        <v>10000</v>
      </c>
      <c r="K274" s="185">
        <f t="shared" si="52"/>
        <v>500000</v>
      </c>
      <c r="L274" s="1184" t="s">
        <v>1663</v>
      </c>
      <c r="M274" s="1059"/>
      <c r="N274" s="1059"/>
      <c r="O274" s="1038"/>
      <c r="P274" s="1054"/>
      <c r="Q274" s="1054"/>
      <c r="T274" s="1041"/>
      <c r="U274" s="1042"/>
      <c r="V274" s="1042"/>
      <c r="AA274" s="1039" t="str">
        <f>VLOOKUP(L274,'25-BRA-I-090'!$I:$EZ,2,0)</f>
        <v>Tấm dán decal</v>
      </c>
      <c r="AB274" s="1039" t="str">
        <f>VLOOKUP(L274,'25-BRA-I-090'!$I:$EZ,3,0)</f>
        <v>Sticker</v>
      </c>
      <c r="AC274" s="1039" t="str">
        <f>VLOOKUP(L274,'25-BRA-I-090'!$I:$EZ,5,0)</f>
        <v>pcs</v>
      </c>
      <c r="AD274" s="1039">
        <f>SUMIFS('25-BRA-I-090'!$CS:$CS,'25-BRA-I-090'!$I:$I,L274)</f>
        <v>50</v>
      </c>
      <c r="AE274" s="1039">
        <f>SUMIFS('25-BRA-I-090'!$CT:$CT,'25-BRA-I-090'!$I:$I,L274)</f>
        <v>0</v>
      </c>
      <c r="AF274" s="1039">
        <f>SUMIFS('25-BRA-I-090'!$CW:$CW,'25-BRA-I-090'!$I:$I,L274)</f>
        <v>0</v>
      </c>
      <c r="AG274" s="1039">
        <f>SUMIFS('25-BRA-I-090'!$CX:$CX,'25-BRA-I-090'!$I:$I,L274)</f>
        <v>0</v>
      </c>
      <c r="AH274" s="1040">
        <f>SUMIFS('25-BRA-I-090'!$DJ:$DJ,'25-BRA-I-090'!$I:$I,L274)+SUMIFS('25-BRA-I-090'!$EC:$EC,'25-BRA-I-090'!$I:$I,L274)</f>
        <v>50</v>
      </c>
      <c r="AI274" s="1040">
        <f>SUMIFS('25-BRA-I-090'!$DK:$DK,'25-BRA-I-090'!$I:$I,L274)+SUMIFS('25-BRA-I-090'!$ED:$ED,'25-BRA-I-090'!$I:$I,L274)</f>
        <v>0</v>
      </c>
      <c r="AJ274" s="1040">
        <f>SUMIFS('25-BRA-I-090'!$DO:$DO,'25-BRA-I-090'!$I:$I,L274)+26400*SUMIFS('25-BRA-I-090'!$EF:$EF,'25-BRA-I-090'!$I:$I,L274)</f>
        <v>500000</v>
      </c>
      <c r="AK274" s="1072"/>
      <c r="AO274" s="1072"/>
    </row>
    <row r="275" spans="1:41" s="1039" customFormat="1">
      <c r="A275" s="372"/>
      <c r="B275" s="1057" t="str">
        <f t="shared" si="54"/>
        <v>Tai cẩu hàn 20T</v>
      </c>
      <c r="C275" s="1058" t="str">
        <f>VLOOKUP(L275,'25-BRA-I-090'!$I:$EZ,4,0)</f>
        <v>Steel</v>
      </c>
      <c r="D275" s="374" t="str">
        <f t="shared" si="53"/>
        <v>pcs</v>
      </c>
      <c r="E275" s="183"/>
      <c r="F275" s="184">
        <f t="shared" si="50"/>
        <v>3</v>
      </c>
      <c r="G275" s="185">
        <f t="shared" si="50"/>
        <v>0</v>
      </c>
      <c r="H275" s="185">
        <f t="shared" si="50"/>
        <v>0</v>
      </c>
      <c r="I275" s="185">
        <f t="shared" si="55"/>
        <v>3</v>
      </c>
      <c r="J275" s="185">
        <f t="shared" si="51"/>
        <v>5586000</v>
      </c>
      <c r="K275" s="185">
        <f t="shared" si="52"/>
        <v>16758000</v>
      </c>
      <c r="L275" s="1184" t="s">
        <v>1771</v>
      </c>
      <c r="M275" s="1059"/>
      <c r="N275" s="1059"/>
      <c r="O275" s="1038"/>
      <c r="P275" s="1054"/>
      <c r="Q275" s="1054"/>
      <c r="T275" s="1041"/>
      <c r="U275" s="1042"/>
      <c r="V275" s="1042"/>
      <c r="AA275" s="1039" t="str">
        <f>VLOOKUP(L275,'25-BRA-I-090'!$I:$EZ,2,0)</f>
        <v>Tai cẩu hàn</v>
      </c>
      <c r="AB275" s="1039" t="str">
        <f>VLOOKUP(L275,'25-BRA-I-090'!$I:$EZ,3,0)</f>
        <v>Tai cẩu hàn 20T</v>
      </c>
      <c r="AC275" s="1039" t="str">
        <f>VLOOKUP(L275,'25-BRA-I-090'!$I:$EZ,5,0)</f>
        <v>pcs</v>
      </c>
      <c r="AD275" s="1039">
        <f>SUMIFS('25-BRA-I-090'!$CS:$CS,'25-BRA-I-090'!$I:$I,L275)</f>
        <v>3</v>
      </c>
      <c r="AE275" s="1039">
        <f>SUMIFS('25-BRA-I-090'!$CT:$CT,'25-BRA-I-090'!$I:$I,L275)</f>
        <v>0</v>
      </c>
      <c r="AF275" s="1039">
        <f>SUMIFS('25-BRA-I-090'!$CW:$CW,'25-BRA-I-090'!$I:$I,L275)</f>
        <v>0</v>
      </c>
      <c r="AG275" s="1039">
        <f>SUMIFS('25-BRA-I-090'!$CX:$CX,'25-BRA-I-090'!$I:$I,L275)</f>
        <v>0</v>
      </c>
      <c r="AH275" s="1040">
        <f>SUMIFS('25-BRA-I-090'!$DJ:$DJ,'25-BRA-I-090'!$I:$I,L275)+SUMIFS('25-BRA-I-090'!$EC:$EC,'25-BRA-I-090'!$I:$I,L275)</f>
        <v>3</v>
      </c>
      <c r="AI275" s="1040">
        <f>SUMIFS('25-BRA-I-090'!$DK:$DK,'25-BRA-I-090'!$I:$I,L275)+SUMIFS('25-BRA-I-090'!$ED:$ED,'25-BRA-I-090'!$I:$I,L275)</f>
        <v>0</v>
      </c>
      <c r="AJ275" s="1040">
        <f>SUMIFS('25-BRA-I-090'!$DO:$DO,'25-BRA-I-090'!$I:$I,L275)+26400*SUMIFS('25-BRA-I-090'!$EF:$EF,'25-BRA-I-090'!$I:$I,L275)</f>
        <v>16758000</v>
      </c>
      <c r="AK275" s="1072"/>
      <c r="AO275" s="1072"/>
    </row>
    <row r="276" spans="1:41" s="1039" customFormat="1" ht="30">
      <c r="A276" s="372"/>
      <c r="B276" s="1057" t="str">
        <f t="shared" si="54"/>
        <v>Bolt-M16x90-ISO4017-8.8-Galv</v>
      </c>
      <c r="C276" s="1058" t="str">
        <f>VLOOKUP(L276,'25-BRA-I-090'!$I:$EZ,4,0)</f>
        <v>8.8-Galv</v>
      </c>
      <c r="D276" s="374" t="str">
        <f t="shared" si="53"/>
        <v>pcs</v>
      </c>
      <c r="E276" s="183"/>
      <c r="F276" s="184">
        <f t="shared" si="50"/>
        <v>16</v>
      </c>
      <c r="G276" s="185">
        <f t="shared" si="50"/>
        <v>0</v>
      </c>
      <c r="H276" s="185">
        <f t="shared" si="50"/>
        <v>0</v>
      </c>
      <c r="I276" s="185">
        <f t="shared" si="55"/>
        <v>0</v>
      </c>
      <c r="J276" s="185" t="e">
        <f t="shared" si="51"/>
        <v>#DIV/0!</v>
      </c>
      <c r="K276" s="185">
        <f t="shared" si="52"/>
        <v>0</v>
      </c>
      <c r="L276" s="1184" t="s">
        <v>2593</v>
      </c>
      <c r="M276" s="1059"/>
      <c r="N276" s="1059"/>
      <c r="O276" s="1038"/>
      <c r="P276" s="1054"/>
      <c r="Q276" s="1054"/>
      <c r="T276" s="1041"/>
      <c r="U276" s="1042"/>
      <c r="V276" s="1042"/>
      <c r="AA276" s="1039" t="str">
        <f>VLOOKUP(L276,'25-BRA-I-090'!$I:$EZ,2,0)</f>
        <v>Bu lông</v>
      </c>
      <c r="AB276" s="1039" t="str">
        <f>VLOOKUP(L276,'25-BRA-I-090'!$I:$EZ,3,0)</f>
        <v>Bolt-M16x90-ISO4017-8.8-Galv</v>
      </c>
      <c r="AC276" s="1039" t="str">
        <f>VLOOKUP(L276,'25-BRA-I-090'!$I:$EZ,5,0)</f>
        <v>pcs</v>
      </c>
      <c r="AD276" s="1039">
        <f>SUMIFS('25-BRA-I-090'!$CS:$CS,'25-BRA-I-090'!$I:$I,L276)</f>
        <v>16</v>
      </c>
      <c r="AE276" s="1039">
        <f>SUMIFS('25-BRA-I-090'!$CT:$CT,'25-BRA-I-090'!$I:$I,L276)</f>
        <v>0</v>
      </c>
      <c r="AF276" s="1039">
        <f>SUMIFS('25-BRA-I-090'!$CW:$CW,'25-BRA-I-090'!$I:$I,L276)</f>
        <v>0</v>
      </c>
      <c r="AG276" s="1039">
        <f>SUMIFS('25-BRA-I-090'!$CX:$CX,'25-BRA-I-090'!$I:$I,L276)</f>
        <v>0</v>
      </c>
      <c r="AH276" s="1040">
        <f>SUMIFS('25-BRA-I-090'!$DJ:$DJ,'25-BRA-I-090'!$I:$I,L276)+SUMIFS('25-BRA-I-090'!$EC:$EC,'25-BRA-I-090'!$I:$I,L276)</f>
        <v>0</v>
      </c>
      <c r="AI276" s="1040">
        <f>SUMIFS('25-BRA-I-090'!$DK:$DK,'25-BRA-I-090'!$I:$I,L276)+SUMIFS('25-BRA-I-090'!$ED:$ED,'25-BRA-I-090'!$I:$I,L276)</f>
        <v>0</v>
      </c>
      <c r="AJ276" s="1040">
        <f>SUMIFS('25-BRA-I-090'!$DO:$DO,'25-BRA-I-090'!$I:$I,L276)+26400*SUMIFS('25-BRA-I-090'!$EF:$EF,'25-BRA-I-090'!$I:$I,L276)</f>
        <v>0</v>
      </c>
      <c r="AK276" s="1072"/>
      <c r="AO276" s="1072"/>
    </row>
    <row r="277" spans="1:41" s="1039" customFormat="1" ht="30">
      <c r="A277" s="372"/>
      <c r="B277" s="1057" t="str">
        <f t="shared" si="54"/>
        <v>Bolt-M20x60-ISO4017-8.8-Galv</v>
      </c>
      <c r="C277" s="1058" t="str">
        <f>VLOOKUP(L277,'25-BRA-I-090'!$I:$EZ,4,0)</f>
        <v>8.8-Galv</v>
      </c>
      <c r="D277" s="374" t="str">
        <f t="shared" si="53"/>
        <v>pcs</v>
      </c>
      <c r="E277" s="183"/>
      <c r="F277" s="184">
        <f t="shared" si="50"/>
        <v>160</v>
      </c>
      <c r="G277" s="185">
        <f t="shared" si="50"/>
        <v>0</v>
      </c>
      <c r="H277" s="185">
        <f t="shared" si="50"/>
        <v>0</v>
      </c>
      <c r="I277" s="185">
        <f t="shared" si="55"/>
        <v>0</v>
      </c>
      <c r="J277" s="185" t="e">
        <f t="shared" si="51"/>
        <v>#DIV/0!</v>
      </c>
      <c r="K277" s="185">
        <f t="shared" si="52"/>
        <v>0</v>
      </c>
      <c r="L277" s="1184" t="s">
        <v>2594</v>
      </c>
      <c r="M277" s="1059"/>
      <c r="N277" s="1059"/>
      <c r="O277" s="1038"/>
      <c r="P277" s="1054"/>
      <c r="Q277" s="1054"/>
      <c r="T277" s="1041"/>
      <c r="U277" s="1042"/>
      <c r="V277" s="1042"/>
      <c r="AA277" s="1039" t="str">
        <f>VLOOKUP(L277,'25-BRA-I-090'!$I:$EZ,2,0)</f>
        <v>Bu lông</v>
      </c>
      <c r="AB277" s="1039" t="str">
        <f>VLOOKUP(L277,'25-BRA-I-090'!$I:$EZ,3,0)</f>
        <v>Bolt-M20x60-ISO4017-8.8-Galv</v>
      </c>
      <c r="AC277" s="1039" t="str">
        <f>VLOOKUP(L277,'25-BRA-I-090'!$I:$EZ,5,0)</f>
        <v>pcs</v>
      </c>
      <c r="AD277" s="1039">
        <f>SUMIFS('25-BRA-I-090'!$CS:$CS,'25-BRA-I-090'!$I:$I,L277)</f>
        <v>160</v>
      </c>
      <c r="AE277" s="1039">
        <f>SUMIFS('25-BRA-I-090'!$CT:$CT,'25-BRA-I-090'!$I:$I,L277)</f>
        <v>0</v>
      </c>
      <c r="AF277" s="1039">
        <f>SUMIFS('25-BRA-I-090'!$CW:$CW,'25-BRA-I-090'!$I:$I,L277)</f>
        <v>0</v>
      </c>
      <c r="AG277" s="1039">
        <f>SUMIFS('25-BRA-I-090'!$CX:$CX,'25-BRA-I-090'!$I:$I,L277)</f>
        <v>0</v>
      </c>
      <c r="AH277" s="1040">
        <f>SUMIFS('25-BRA-I-090'!$DJ:$DJ,'25-BRA-I-090'!$I:$I,L277)+SUMIFS('25-BRA-I-090'!$EC:$EC,'25-BRA-I-090'!$I:$I,L277)</f>
        <v>0</v>
      </c>
      <c r="AI277" s="1040">
        <f>SUMIFS('25-BRA-I-090'!$DK:$DK,'25-BRA-I-090'!$I:$I,L277)+SUMIFS('25-BRA-I-090'!$ED:$ED,'25-BRA-I-090'!$I:$I,L277)</f>
        <v>0</v>
      </c>
      <c r="AJ277" s="1040">
        <f>SUMIFS('25-BRA-I-090'!$DO:$DO,'25-BRA-I-090'!$I:$I,L277)+26400*SUMIFS('25-BRA-I-090'!$EF:$EF,'25-BRA-I-090'!$I:$I,L277)</f>
        <v>0</v>
      </c>
      <c r="AK277" s="1072"/>
      <c r="AO277" s="1072"/>
    </row>
    <row r="278" spans="1:41" s="1039" customFormat="1" ht="30">
      <c r="A278" s="372"/>
      <c r="B278" s="1057" t="str">
        <f t="shared" si="54"/>
        <v>Bolt-M6x25-DIN7500-St-Galv</v>
      </c>
      <c r="C278" s="1058" t="str">
        <f>VLOOKUP(L278,'25-BRA-I-090'!$I:$EZ,4,0)</f>
        <v>St-Galv</v>
      </c>
      <c r="D278" s="374" t="str">
        <f t="shared" si="53"/>
        <v>pcs</v>
      </c>
      <c r="E278" s="183"/>
      <c r="F278" s="184">
        <f t="shared" si="50"/>
        <v>10</v>
      </c>
      <c r="G278" s="185">
        <f t="shared" si="50"/>
        <v>0</v>
      </c>
      <c r="H278" s="185">
        <f t="shared" si="50"/>
        <v>0</v>
      </c>
      <c r="I278" s="185">
        <f t="shared" si="55"/>
        <v>0</v>
      </c>
      <c r="J278" s="185" t="e">
        <f t="shared" si="51"/>
        <v>#DIV/0!</v>
      </c>
      <c r="K278" s="185">
        <f t="shared" si="52"/>
        <v>0</v>
      </c>
      <c r="L278" s="1184" t="s">
        <v>2595</v>
      </c>
      <c r="M278" s="1059"/>
      <c r="N278" s="1059"/>
      <c r="O278" s="1038"/>
      <c r="P278" s="1054"/>
      <c r="Q278" s="1054"/>
      <c r="T278" s="1041"/>
      <c r="U278" s="1042"/>
      <c r="V278" s="1042"/>
      <c r="AA278" s="1039" t="str">
        <f>VLOOKUP(L278,'25-BRA-I-090'!$I:$EZ,2,0)</f>
        <v>Bu lông</v>
      </c>
      <c r="AB278" s="1039" t="str">
        <f>VLOOKUP(L278,'25-BRA-I-090'!$I:$EZ,3,0)</f>
        <v>Bolt-M6x25-DIN7500-St-Galv</v>
      </c>
      <c r="AC278" s="1039" t="str">
        <f>VLOOKUP(L278,'25-BRA-I-090'!$I:$EZ,5,0)</f>
        <v>pcs</v>
      </c>
      <c r="AD278" s="1039">
        <f>SUMIFS('25-BRA-I-090'!$CS:$CS,'25-BRA-I-090'!$I:$I,L278)</f>
        <v>10</v>
      </c>
      <c r="AE278" s="1039">
        <f>SUMIFS('25-BRA-I-090'!$CT:$CT,'25-BRA-I-090'!$I:$I,L278)</f>
        <v>0</v>
      </c>
      <c r="AF278" s="1039">
        <f>SUMIFS('25-BRA-I-090'!$CW:$CW,'25-BRA-I-090'!$I:$I,L278)</f>
        <v>0</v>
      </c>
      <c r="AG278" s="1039">
        <f>SUMIFS('25-BRA-I-090'!$CX:$CX,'25-BRA-I-090'!$I:$I,L278)</f>
        <v>0</v>
      </c>
      <c r="AH278" s="1040">
        <f>SUMIFS('25-BRA-I-090'!$DJ:$DJ,'25-BRA-I-090'!$I:$I,L278)+SUMIFS('25-BRA-I-090'!$EC:$EC,'25-BRA-I-090'!$I:$I,L278)</f>
        <v>0</v>
      </c>
      <c r="AI278" s="1040">
        <f>SUMIFS('25-BRA-I-090'!$DK:$DK,'25-BRA-I-090'!$I:$I,L278)+SUMIFS('25-BRA-I-090'!$ED:$ED,'25-BRA-I-090'!$I:$I,L278)</f>
        <v>0</v>
      </c>
      <c r="AJ278" s="1040">
        <f>SUMIFS('25-BRA-I-090'!$DO:$DO,'25-BRA-I-090'!$I:$I,L278)+26400*SUMIFS('25-BRA-I-090'!$EF:$EF,'25-BRA-I-090'!$I:$I,L278)</f>
        <v>0</v>
      </c>
      <c r="AK278" s="1072"/>
      <c r="AO278" s="1072"/>
    </row>
    <row r="279" spans="1:41" s="1039" customFormat="1">
      <c r="A279" s="1085"/>
      <c r="B279" s="1086" t="s">
        <v>2628</v>
      </c>
      <c r="C279" s="1087"/>
      <c r="D279" s="1088"/>
      <c r="E279" s="1089"/>
      <c r="F279" s="1090"/>
      <c r="G279" s="1091">
        <f>SUBTOTAL(9,G8:G278)</f>
        <v>1394826.6609322391</v>
      </c>
      <c r="H279" s="1091"/>
      <c r="I279" s="1091">
        <f>SUBTOTAL(9,I8:I278)</f>
        <v>1496286.9499999997</v>
      </c>
      <c r="J279" s="1091"/>
      <c r="K279" s="1091">
        <f>SUBTOTAL(9,K8:K278)</f>
        <v>28974314279.620625</v>
      </c>
      <c r="L279" s="1100"/>
      <c r="M279" s="1059"/>
      <c r="N279" s="1059"/>
      <c r="O279" s="1038"/>
      <c r="P279" s="1054"/>
      <c r="Q279" s="1054"/>
      <c r="T279" s="1041"/>
      <c r="U279" s="1042"/>
      <c r="V279" s="1042"/>
      <c r="AH279" s="1040"/>
      <c r="AI279" s="1040"/>
      <c r="AJ279" s="1040"/>
      <c r="AL279" s="1092"/>
      <c r="AM279" s="1093"/>
      <c r="AN279" s="1094"/>
    </row>
    <row r="280" spans="1:41" s="1039" customFormat="1">
      <c r="A280" s="1085"/>
      <c r="B280" s="1086" t="s">
        <v>2629</v>
      </c>
      <c r="C280" s="1086"/>
      <c r="D280" s="1088" t="s">
        <v>2620</v>
      </c>
      <c r="E280" s="1089">
        <f>+E7-2%</f>
        <v>6.9999999999999993E-2</v>
      </c>
      <c r="F280" s="1089"/>
      <c r="G280" s="1091">
        <f>-G279*E280</f>
        <v>-97637.866265256729</v>
      </c>
      <c r="H280" s="1091"/>
      <c r="I280" s="1091"/>
      <c r="J280" s="1056">
        <v>7500</v>
      </c>
      <c r="K280" s="1091">
        <f>+J280*G280</f>
        <v>-732283996.98942542</v>
      </c>
      <c r="L280" s="1100"/>
      <c r="M280" s="1059" t="e">
        <f>+VLOOKUP(L280,'[121]PR (2)'!$A$12:$M$253,13,FALSE)</f>
        <v>#N/A</v>
      </c>
      <c r="N280" s="1059" t="e">
        <f>+VLOOKUP(L280,'[121]PR (2)'!$A$12:$AQ$253,12,FALSE)</f>
        <v>#N/A</v>
      </c>
      <c r="S280" s="1095">
        <f>SUM(K8:K278)</f>
        <v>28974314279.620625</v>
      </c>
      <c r="T280" s="1041">
        <f>S280/G7/1000</f>
        <v>22336.235402849732</v>
      </c>
      <c r="U280" s="1042"/>
      <c r="V280" s="1042"/>
      <c r="AH280" s="1040"/>
      <c r="AI280" s="1040"/>
      <c r="AJ280" s="1040"/>
      <c r="AL280" s="1092" t="s">
        <v>2630</v>
      </c>
      <c r="AM280" s="1093">
        <f>SUM(G12:G64)</f>
        <v>1172527.6638621478</v>
      </c>
      <c r="AN280" s="1094" t="e">
        <f>+AM280/#REF!</f>
        <v>#REF!</v>
      </c>
    </row>
    <row r="281" spans="1:41" s="1039" customFormat="1" ht="29.5" customHeight="1">
      <c r="A281" s="1046" t="s">
        <v>2108</v>
      </c>
      <c r="B281" s="1047" t="s">
        <v>2631</v>
      </c>
      <c r="C281" s="1048"/>
      <c r="D281" s="1049" t="s">
        <v>2490</v>
      </c>
      <c r="E281" s="1050"/>
      <c r="F281" s="1050"/>
      <c r="G281" s="1051">
        <v>179.172</v>
      </c>
      <c r="H281" s="1051"/>
      <c r="I281" s="1051"/>
      <c r="J281" s="1052">
        <f>K281/G281</f>
        <v>2223221.7716219611</v>
      </c>
      <c r="K281" s="1052">
        <f>SUBTOTAL(9,K282:K336)</f>
        <v>398339091.26504999</v>
      </c>
      <c r="L281" s="1053" t="s">
        <v>2632</v>
      </c>
      <c r="M281" s="1017" t="e">
        <f>+VLOOKUP(L281,'[121]PR (2)'!$A$12:$M$253,13,FALSE)</f>
        <v>#N/A</v>
      </c>
      <c r="N281" s="1017" t="e">
        <f>+VLOOKUP(L281,'[121]PR (2)'!$A$12:$AQ$253,12,FALSE)</f>
        <v>#N/A</v>
      </c>
      <c r="P281" s="1054"/>
      <c r="Q281" s="1054"/>
      <c r="R281" s="1054"/>
      <c r="S281" s="1039">
        <f>+G283+G285+G286+G287+G288+G289</f>
        <v>4194</v>
      </c>
      <c r="T281" s="1055"/>
      <c r="U281" s="1042"/>
      <c r="V281" s="1042"/>
      <c r="AH281" s="1040"/>
      <c r="AI281" s="1040"/>
      <c r="AJ281" s="1040"/>
      <c r="AL281" s="1056" t="s">
        <v>2633</v>
      </c>
      <c r="AM281" s="1039" t="e">
        <f>SUM(#REF!)</f>
        <v>#REF!</v>
      </c>
      <c r="AN281" s="1039" t="e">
        <f>+AM281/#REF!</f>
        <v>#REF!</v>
      </c>
    </row>
    <row r="282" spans="1:41" s="1101" customFormat="1" ht="29" customHeight="1">
      <c r="A282" s="1096" t="s">
        <v>2634</v>
      </c>
      <c r="B282" s="1097" t="s">
        <v>2635</v>
      </c>
      <c r="C282" s="1097"/>
      <c r="D282" s="1096"/>
      <c r="E282" s="1098"/>
      <c r="F282" s="1098"/>
      <c r="G282" s="1099"/>
      <c r="H282" s="1099"/>
      <c r="I282" s="1099"/>
      <c r="J282" s="1100"/>
      <c r="K282" s="1100">
        <f>SUBTOTAL(9,K283:K289)</f>
        <v>132699600</v>
      </c>
      <c r="L282" s="1100"/>
      <c r="M282" s="1059" t="e">
        <f>+VLOOKUP(L282,'[121]PR (2)'!$A$12:$M$253,13,FALSE)</f>
        <v>#N/A</v>
      </c>
      <c r="N282" s="1059" t="e">
        <f>+VLOOKUP(L282,'[121]PR (2)'!$A$12:$AQ$253,12,FALSE)</f>
        <v>#N/A</v>
      </c>
      <c r="S282" s="1102"/>
      <c r="T282" s="1103"/>
      <c r="U282" s="1104"/>
      <c r="V282" s="1104"/>
      <c r="AA282" s="1039"/>
      <c r="AB282" s="1039"/>
      <c r="AC282" s="1039"/>
      <c r="AD282" s="1039"/>
      <c r="AE282" s="1039"/>
      <c r="AF282" s="1039"/>
      <c r="AG282" s="1039"/>
      <c r="AH282" s="1040"/>
      <c r="AI282" s="1040"/>
      <c r="AJ282" s="1040"/>
      <c r="AL282" s="1105" t="s">
        <v>2636</v>
      </c>
      <c r="AM282" s="1028" t="e">
        <f>179.17-#REF!/1000</f>
        <v>#REF!</v>
      </c>
    </row>
    <row r="283" spans="1:41" s="1010" customFormat="1">
      <c r="A283" s="1106">
        <v>1</v>
      </c>
      <c r="B283" s="1107" t="s">
        <v>2637</v>
      </c>
      <c r="C283" s="1108"/>
      <c r="D283" s="374" t="s">
        <v>2638</v>
      </c>
      <c r="E283" s="1109">
        <v>23</v>
      </c>
      <c r="F283" s="1109"/>
      <c r="G283" s="1110">
        <f>S283*E283</f>
        <v>4140</v>
      </c>
      <c r="H283" s="1110"/>
      <c r="I283" s="1110"/>
      <c r="J283" s="1111">
        <v>31500</v>
      </c>
      <c r="K283" s="1112">
        <f t="shared" ref="K283:K325" si="56">+G283*J283</f>
        <v>130410000</v>
      </c>
      <c r="L283" s="1186"/>
      <c r="M283" s="1059" t="e">
        <f>+VLOOKUP(L283,'[121]PR (2)'!$A$12:$M$253,13,FALSE)</f>
        <v>#N/A</v>
      </c>
      <c r="N283" s="1059" t="e">
        <f>+VLOOKUP(L283,'[121]PR (2)'!$A$12:$AQ$253,12,FALSE)</f>
        <v>#N/A</v>
      </c>
      <c r="S283" s="1113">
        <v>180</v>
      </c>
      <c r="T283" s="1011" t="s">
        <v>2639</v>
      </c>
      <c r="U283" s="1012"/>
      <c r="V283" s="1012"/>
      <c r="AA283" s="1039"/>
      <c r="AB283" s="1039"/>
      <c r="AC283" s="1039"/>
      <c r="AD283" s="1039"/>
      <c r="AE283" s="1039"/>
      <c r="AF283" s="1039"/>
      <c r="AG283" s="1039"/>
      <c r="AH283" s="1040"/>
      <c r="AI283" s="1040"/>
      <c r="AJ283" s="1040"/>
      <c r="AL283" s="1092" t="e">
        <f>+#REF!</f>
        <v>#REF!</v>
      </c>
      <c r="AM283" s="1114" t="e">
        <f>+#REF!*$AM$282</f>
        <v>#REF!</v>
      </c>
      <c r="AN283" s="1094" t="e">
        <f>+AM283/$AM$282</f>
        <v>#REF!</v>
      </c>
      <c r="AO283" s="1010" t="e">
        <f>+AM283*1.09</f>
        <v>#REF!</v>
      </c>
    </row>
    <row r="284" spans="1:41" s="1010" customFormat="1">
      <c r="A284" s="1106">
        <f>+A283+1</f>
        <v>2</v>
      </c>
      <c r="B284" s="1107" t="s">
        <v>2640</v>
      </c>
      <c r="C284" s="1108"/>
      <c r="D284" s="374" t="s">
        <v>2638</v>
      </c>
      <c r="E284" s="1109">
        <v>23</v>
      </c>
      <c r="F284" s="1109"/>
      <c r="G284" s="1110">
        <f>S284*E284</f>
        <v>0</v>
      </c>
      <c r="H284" s="1110"/>
      <c r="I284" s="1110"/>
      <c r="J284" s="1111">
        <v>43400</v>
      </c>
      <c r="K284" s="1112">
        <f t="shared" si="56"/>
        <v>0</v>
      </c>
      <c r="L284" s="1186"/>
      <c r="M284" s="1059" t="e">
        <f>+VLOOKUP(L284,'[121]PR (2)'!$A$12:$M$253,13,FALSE)</f>
        <v>#N/A</v>
      </c>
      <c r="N284" s="1059" t="e">
        <f>+VLOOKUP(L284,'[121]PR (2)'!$A$12:$AQ$253,12,FALSE)</f>
        <v>#N/A</v>
      </c>
      <c r="S284" s="1113">
        <v>0</v>
      </c>
      <c r="T284" s="1011" t="s">
        <v>2639</v>
      </c>
      <c r="U284" s="1012"/>
      <c r="V284" s="1012"/>
      <c r="AA284" s="1039"/>
      <c r="AB284" s="1039"/>
      <c r="AC284" s="1039"/>
      <c r="AD284" s="1039"/>
      <c r="AE284" s="1039"/>
      <c r="AF284" s="1039"/>
      <c r="AG284" s="1039"/>
      <c r="AH284" s="1040"/>
      <c r="AI284" s="1040"/>
      <c r="AJ284" s="1040"/>
      <c r="AL284" s="1092" t="str">
        <f>+AL280</f>
        <v>Thép hình thường</v>
      </c>
      <c r="AM284" s="1114" t="e">
        <f>+AN280*AM282</f>
        <v>#REF!</v>
      </c>
      <c r="AN284" s="1094" t="e">
        <f>+AM284/$AM$282</f>
        <v>#REF!</v>
      </c>
      <c r="AO284" s="1010" t="e">
        <f>+AM284*1.09</f>
        <v>#REF!</v>
      </c>
    </row>
    <row r="285" spans="1:41" s="1010" customFormat="1">
      <c r="A285" s="1106">
        <f>+A284+1</f>
        <v>3</v>
      </c>
      <c r="B285" s="1107" t="s">
        <v>2641</v>
      </c>
      <c r="C285" s="1108"/>
      <c r="D285" s="374" t="s">
        <v>2638</v>
      </c>
      <c r="E285" s="1109">
        <v>5</v>
      </c>
      <c r="F285" s="1109"/>
      <c r="G285" s="1110">
        <f t="shared" ref="G285:G287" si="57">S285*E285</f>
        <v>0</v>
      </c>
      <c r="H285" s="1110"/>
      <c r="I285" s="1110"/>
      <c r="J285" s="1111">
        <v>42400</v>
      </c>
      <c r="K285" s="1112">
        <f t="shared" si="56"/>
        <v>0</v>
      </c>
      <c r="L285" s="1186"/>
      <c r="M285" s="1059" t="e">
        <f>+VLOOKUP(L285,'[121]PR (2)'!$A$12:$M$253,13,FALSE)</f>
        <v>#N/A</v>
      </c>
      <c r="N285" s="1059" t="e">
        <f>+VLOOKUP(L285,'[121]PR (2)'!$A$12:$AQ$253,12,FALSE)</f>
        <v>#N/A</v>
      </c>
      <c r="S285" s="1115">
        <v>0</v>
      </c>
      <c r="T285" s="1011" t="s">
        <v>2642</v>
      </c>
      <c r="U285" s="1012"/>
      <c r="V285" s="1012"/>
      <c r="AA285" s="1039"/>
      <c r="AB285" s="1039"/>
      <c r="AC285" s="1039"/>
      <c r="AD285" s="1039"/>
      <c r="AE285" s="1039"/>
      <c r="AF285" s="1039"/>
      <c r="AG285" s="1039"/>
      <c r="AH285" s="1040"/>
      <c r="AI285" s="1040"/>
      <c r="AJ285" s="1040"/>
      <c r="AL285" s="1092" t="str">
        <f>+AL281</f>
        <v>Thép hình đặc biệt</v>
      </c>
      <c r="AM285" s="1114" t="e">
        <f>+AN281*AM282</f>
        <v>#REF!</v>
      </c>
      <c r="AN285" s="1094" t="e">
        <f>+AM285/$AM$282</f>
        <v>#REF!</v>
      </c>
      <c r="AO285" s="1010" t="e">
        <f>+AM285*1.09</f>
        <v>#REF!</v>
      </c>
    </row>
    <row r="286" spans="1:41" s="1010" customFormat="1">
      <c r="A286" s="1106">
        <f t="shared" ref="A286:A335" si="58">A285+1</f>
        <v>4</v>
      </c>
      <c r="B286" s="1107" t="s">
        <v>2643</v>
      </c>
      <c r="C286" s="1108"/>
      <c r="D286" s="374" t="s">
        <v>2638</v>
      </c>
      <c r="E286" s="1116">
        <v>5</v>
      </c>
      <c r="F286" s="1116"/>
      <c r="G286" s="1110">
        <f t="shared" si="57"/>
        <v>0</v>
      </c>
      <c r="H286" s="1110"/>
      <c r="I286" s="1110"/>
      <c r="J286" s="1111">
        <v>42400</v>
      </c>
      <c r="K286" s="1112">
        <f t="shared" si="56"/>
        <v>0</v>
      </c>
      <c r="L286" s="1186"/>
      <c r="M286" s="1059" t="e">
        <f>+VLOOKUP(L286,'[121]PR (2)'!$A$12:$M$253,13,FALSE)</f>
        <v>#N/A</v>
      </c>
      <c r="N286" s="1059" t="e">
        <f>+VLOOKUP(L286,'[121]PR (2)'!$A$12:$AQ$253,12,FALSE)</f>
        <v>#N/A</v>
      </c>
      <c r="S286" s="1115">
        <v>0</v>
      </c>
      <c r="T286" s="1012"/>
      <c r="U286" s="1012"/>
      <c r="V286" s="1012"/>
      <c r="AA286" s="1039"/>
      <c r="AB286" s="1039"/>
      <c r="AC286" s="1039"/>
      <c r="AD286" s="1039"/>
      <c r="AE286" s="1039"/>
      <c r="AF286" s="1039"/>
      <c r="AG286" s="1039"/>
      <c r="AH286" s="1040"/>
      <c r="AI286" s="1040"/>
      <c r="AJ286" s="1040"/>
      <c r="AL286" s="1092"/>
      <c r="AM286" s="1039"/>
    </row>
    <row r="287" spans="1:41" s="1010" customFormat="1">
      <c r="A287" s="1106">
        <f t="shared" si="58"/>
        <v>5</v>
      </c>
      <c r="B287" s="1107" t="s">
        <v>2644</v>
      </c>
      <c r="C287" s="1108"/>
      <c r="D287" s="374" t="s">
        <v>2638</v>
      </c>
      <c r="E287" s="1116">
        <v>0.3</v>
      </c>
      <c r="F287" s="1116"/>
      <c r="G287" s="1110">
        <f t="shared" si="57"/>
        <v>54</v>
      </c>
      <c r="H287" s="1110"/>
      <c r="I287" s="1110"/>
      <c r="J287" s="1111">
        <v>42400</v>
      </c>
      <c r="K287" s="1112">
        <f t="shared" si="56"/>
        <v>2289600</v>
      </c>
      <c r="L287" s="1186"/>
      <c r="M287" s="1059" t="e">
        <f>+VLOOKUP(L287,'[121]PR (2)'!$A$12:$M$253,13,FALSE)</f>
        <v>#N/A</v>
      </c>
      <c r="N287" s="1059" t="e">
        <f>+VLOOKUP(L287,'[121]PR (2)'!$A$12:$AQ$253,12,FALSE)</f>
        <v>#N/A</v>
      </c>
      <c r="S287" s="1012">
        <v>180</v>
      </c>
      <c r="T287" s="1012"/>
      <c r="U287" s="1012"/>
      <c r="V287" s="1012"/>
      <c r="AA287" s="1039"/>
      <c r="AB287" s="1039"/>
      <c r="AC287" s="1039"/>
      <c r="AD287" s="1039"/>
      <c r="AE287" s="1039"/>
      <c r="AF287" s="1039"/>
      <c r="AG287" s="1039"/>
      <c r="AH287" s="1040"/>
      <c r="AI287" s="1040"/>
      <c r="AJ287" s="1040"/>
      <c r="AL287" s="1092"/>
      <c r="AM287" s="1039"/>
    </row>
    <row r="288" spans="1:41" s="1010" customFormat="1" ht="31">
      <c r="A288" s="1106">
        <f t="shared" si="58"/>
        <v>6</v>
      </c>
      <c r="B288" s="1107" t="s">
        <v>2645</v>
      </c>
      <c r="C288" s="1108"/>
      <c r="D288" s="374" t="s">
        <v>2638</v>
      </c>
      <c r="E288" s="1116">
        <v>0.2</v>
      </c>
      <c r="F288" s="1117"/>
      <c r="G288" s="1110">
        <v>0</v>
      </c>
      <c r="H288" s="1110"/>
      <c r="I288" s="1110"/>
      <c r="J288" s="1111">
        <v>65000</v>
      </c>
      <c r="K288" s="1112">
        <f t="shared" si="56"/>
        <v>0</v>
      </c>
      <c r="L288" s="1186"/>
      <c r="M288" s="1059" t="e">
        <f>+VLOOKUP(L288,'[121]PR (2)'!$A$12:$M$253,13,FALSE)</f>
        <v>#N/A</v>
      </c>
      <c r="N288" s="1059" t="e">
        <f>+VLOOKUP(L288,'[121]PR (2)'!$A$12:$AQ$253,12,FALSE)</f>
        <v>#N/A</v>
      </c>
      <c r="T288" s="1011"/>
      <c r="U288" s="1012"/>
      <c r="V288" s="1012">
        <f>+S288*U288</f>
        <v>0</v>
      </c>
      <c r="AA288" s="1039"/>
      <c r="AB288" s="1039"/>
      <c r="AC288" s="1039"/>
      <c r="AD288" s="1039"/>
      <c r="AE288" s="1039"/>
      <c r="AF288" s="1039"/>
      <c r="AG288" s="1039"/>
      <c r="AH288" s="1040"/>
      <c r="AI288" s="1040"/>
      <c r="AJ288" s="1040"/>
      <c r="AL288" s="1092"/>
      <c r="AM288" s="1039"/>
    </row>
    <row r="289" spans="1:39" s="1010" customFormat="1" ht="31">
      <c r="A289" s="1106">
        <f t="shared" si="58"/>
        <v>7</v>
      </c>
      <c r="B289" s="1107" t="s">
        <v>2646</v>
      </c>
      <c r="C289" s="1108"/>
      <c r="D289" s="374" t="s">
        <v>2638</v>
      </c>
      <c r="E289" s="1116">
        <v>0.2</v>
      </c>
      <c r="F289" s="1116"/>
      <c r="G289" s="1110">
        <v>0</v>
      </c>
      <c r="H289" s="1110"/>
      <c r="I289" s="1110"/>
      <c r="J289" s="1111">
        <v>65000</v>
      </c>
      <c r="K289" s="1112">
        <f>+G289*J289</f>
        <v>0</v>
      </c>
      <c r="L289" s="1186"/>
      <c r="M289" s="1059" t="e">
        <f>+VLOOKUP(L289,'[121]PR (2)'!$A$12:$M$253,13,FALSE)</f>
        <v>#N/A</v>
      </c>
      <c r="N289" s="1059" t="e">
        <f>+VLOOKUP(L289,'[121]PR (2)'!$A$12:$AQ$253,12,FALSE)</f>
        <v>#N/A</v>
      </c>
      <c r="P289" s="1010">
        <f>80000/20</f>
        <v>4000</v>
      </c>
      <c r="S289" s="1118"/>
      <c r="T289" s="1011"/>
      <c r="U289" s="1012"/>
      <c r="V289" s="1012" t="e">
        <f>+V288/S286</f>
        <v>#DIV/0!</v>
      </c>
      <c r="AA289" s="1039"/>
      <c r="AB289" s="1039"/>
      <c r="AC289" s="1039"/>
      <c r="AD289" s="1039"/>
      <c r="AE289" s="1039"/>
      <c r="AF289" s="1039"/>
      <c r="AG289" s="1039"/>
      <c r="AH289" s="1040"/>
      <c r="AI289" s="1040"/>
      <c r="AJ289" s="1040"/>
      <c r="AL289" s="1092"/>
      <c r="AM289" s="1039"/>
    </row>
    <row r="290" spans="1:39" s="1126" customFormat="1" ht="24" customHeight="1">
      <c r="A290" s="1119" t="s">
        <v>2647</v>
      </c>
      <c r="B290" s="1120" t="s">
        <v>2648</v>
      </c>
      <c r="C290" s="1121"/>
      <c r="D290" s="1122"/>
      <c r="E290" s="1123"/>
      <c r="F290" s="1123"/>
      <c r="G290" s="1124"/>
      <c r="H290" s="1124"/>
      <c r="I290" s="1124"/>
      <c r="J290" s="1125"/>
      <c r="K290" s="1100">
        <f>SUBTOTAL(9,K291:K336)</f>
        <v>265639491.26504996</v>
      </c>
      <c r="L290" s="1100"/>
      <c r="M290" s="1059" t="e">
        <f>+VLOOKUP(L290,'[121]PR (2)'!$A$12:$M$253,13,FALSE)</f>
        <v>#N/A</v>
      </c>
      <c r="N290" s="1059" t="e">
        <f>+VLOOKUP(L290,'[121]PR (2)'!$A$12:$AQ$253,12,FALSE)</f>
        <v>#N/A</v>
      </c>
      <c r="S290" s="1127"/>
      <c r="T290" s="1128"/>
      <c r="U290" s="1129"/>
      <c r="V290" s="1129"/>
      <c r="AA290" s="1039"/>
      <c r="AB290" s="1039"/>
      <c r="AC290" s="1039"/>
      <c r="AD290" s="1039"/>
      <c r="AE290" s="1039"/>
      <c r="AF290" s="1039"/>
      <c r="AG290" s="1039"/>
      <c r="AH290" s="1040"/>
      <c r="AI290" s="1040"/>
      <c r="AJ290" s="1040"/>
      <c r="AL290" s="1092"/>
      <c r="AM290" s="1039"/>
    </row>
    <row r="291" spans="1:39" s="1010" customFormat="1">
      <c r="A291" s="1106">
        <f>A289+1</f>
        <v>8</v>
      </c>
      <c r="B291" s="1130" t="s">
        <v>2649</v>
      </c>
      <c r="C291" s="1131"/>
      <c r="D291" s="1132" t="s">
        <v>2650</v>
      </c>
      <c r="E291" s="1116">
        <v>3</v>
      </c>
      <c r="F291" s="1116"/>
      <c r="G291" s="1112">
        <f>ROUND(E291*$G$281,0)</f>
        <v>538</v>
      </c>
      <c r="H291" s="1112"/>
      <c r="I291" s="1112"/>
      <c r="J291" s="1112">
        <v>41500</v>
      </c>
      <c r="K291" s="1112">
        <f t="shared" si="56"/>
        <v>22327000</v>
      </c>
      <c r="L291" s="1187"/>
      <c r="M291" s="1059" t="e">
        <f>+VLOOKUP(L291,'[121]PR (2)'!$A$12:$M$253,13,FALSE)</f>
        <v>#N/A</v>
      </c>
      <c r="N291" s="1059" t="e">
        <f>+VLOOKUP(L291,'[121]PR (2)'!$A$12:$AQ$253,12,FALSE)</f>
        <v>#N/A</v>
      </c>
      <c r="P291" s="1010">
        <f>100*2</f>
        <v>200</v>
      </c>
      <c r="T291" s="1011"/>
      <c r="U291" s="1012"/>
      <c r="V291" s="1012"/>
      <c r="AA291" s="1039"/>
      <c r="AB291" s="1039"/>
      <c r="AC291" s="1039"/>
      <c r="AD291" s="1039"/>
      <c r="AE291" s="1039"/>
      <c r="AF291" s="1039"/>
      <c r="AG291" s="1039"/>
      <c r="AH291" s="1040"/>
      <c r="AI291" s="1040"/>
      <c r="AJ291" s="1040"/>
      <c r="AL291" s="1092"/>
      <c r="AM291" s="1039"/>
    </row>
    <row r="292" spans="1:39" s="1010" customFormat="1">
      <c r="A292" s="1106">
        <f t="shared" si="58"/>
        <v>9</v>
      </c>
      <c r="B292" s="1130" t="s">
        <v>2651</v>
      </c>
      <c r="C292" s="1131"/>
      <c r="D292" s="374" t="s">
        <v>1725</v>
      </c>
      <c r="E292" s="1116">
        <v>2</v>
      </c>
      <c r="F292" s="1116"/>
      <c r="G292" s="1112">
        <f>G291*E292</f>
        <v>1076</v>
      </c>
      <c r="H292" s="1112"/>
      <c r="I292" s="1112"/>
      <c r="J292" s="1112">
        <f>+S292</f>
        <v>30000</v>
      </c>
      <c r="K292" s="1112">
        <f t="shared" si="56"/>
        <v>32280000</v>
      </c>
      <c r="L292" s="1187" t="s">
        <v>2652</v>
      </c>
      <c r="M292" s="1059" t="e">
        <f>+VLOOKUP(L292,'[121]PR (2)'!$A$12:$M$253,13,FALSE)</f>
        <v>#N/A</v>
      </c>
      <c r="N292" s="1059" t="e">
        <f>+VLOOKUP(L292,'[121]PR (2)'!$A$12:$AQ$253,12,FALSE)</f>
        <v>#N/A</v>
      </c>
      <c r="S292" s="1010">
        <f>1500000/50</f>
        <v>30000</v>
      </c>
      <c r="T292" s="1011"/>
      <c r="U292" s="1012"/>
      <c r="V292" s="1012"/>
      <c r="AA292" s="1039"/>
      <c r="AB292" s="1039"/>
      <c r="AC292" s="1039"/>
      <c r="AD292" s="1039"/>
      <c r="AE292" s="1039"/>
      <c r="AF292" s="1039"/>
      <c r="AG292" s="1039"/>
      <c r="AH292" s="1040"/>
      <c r="AI292" s="1040"/>
      <c r="AJ292" s="1040"/>
      <c r="AL292" s="1092"/>
      <c r="AM292" s="1039"/>
    </row>
    <row r="293" spans="1:39" s="1010" customFormat="1">
      <c r="A293" s="1106">
        <f t="shared" si="58"/>
        <v>10</v>
      </c>
      <c r="B293" s="1130" t="s">
        <v>2653</v>
      </c>
      <c r="C293" s="1131"/>
      <c r="D293" s="1132" t="s">
        <v>2650</v>
      </c>
      <c r="E293" s="1116">
        <v>15</v>
      </c>
      <c r="F293" s="1116"/>
      <c r="G293" s="1112">
        <f>ROUND(G283/E293,0)</f>
        <v>276</v>
      </c>
      <c r="H293" s="1112"/>
      <c r="I293" s="1112"/>
      <c r="J293" s="1112">
        <v>195000</v>
      </c>
      <c r="K293" s="1112">
        <f t="shared" si="56"/>
        <v>53820000</v>
      </c>
      <c r="L293" s="1187" t="s">
        <v>2654</v>
      </c>
      <c r="M293" s="1059" t="e">
        <f>+VLOOKUP(L293,'[121]PR (2)'!$A$12:$M$253,13,FALSE)</f>
        <v>#N/A</v>
      </c>
      <c r="N293" s="1059" t="e">
        <f>+VLOOKUP(L293,'[121]PR (2)'!$A$12:$AQ$253,12,FALSE)</f>
        <v>#N/A</v>
      </c>
      <c r="T293" s="1011"/>
      <c r="U293" s="1012"/>
      <c r="V293" s="1012"/>
      <c r="AA293" s="1039"/>
      <c r="AB293" s="1039"/>
      <c r="AC293" s="1039"/>
      <c r="AD293" s="1039"/>
      <c r="AE293" s="1039"/>
      <c r="AF293" s="1039"/>
      <c r="AG293" s="1039"/>
      <c r="AH293" s="1040"/>
      <c r="AI293" s="1040"/>
      <c r="AJ293" s="1040"/>
      <c r="AL293" s="1092"/>
      <c r="AM293" s="1039"/>
    </row>
    <row r="294" spans="1:39" s="1010" customFormat="1">
      <c r="A294" s="1106">
        <f t="shared" si="58"/>
        <v>11</v>
      </c>
      <c r="B294" s="1130" t="s">
        <v>2655</v>
      </c>
      <c r="C294" s="1131"/>
      <c r="D294" s="374" t="s">
        <v>2656</v>
      </c>
      <c r="E294" s="1116">
        <v>2</v>
      </c>
      <c r="F294" s="1116"/>
      <c r="G294" s="1112">
        <f>ROUND(E294*S294,0)</f>
        <v>0</v>
      </c>
      <c r="H294" s="1112"/>
      <c r="I294" s="1112"/>
      <c r="J294" s="1112">
        <v>150000</v>
      </c>
      <c r="K294" s="1112">
        <f t="shared" si="56"/>
        <v>0</v>
      </c>
      <c r="L294" s="1187"/>
      <c r="M294" s="1059" t="e">
        <f>+VLOOKUP(L294,'[121]PR (2)'!$A$12:$M$253,13,FALSE)</f>
        <v>#N/A</v>
      </c>
      <c r="N294" s="1059" t="e">
        <f>+VLOOKUP(L294,'[121]PR (2)'!$A$12:$AQ$253,12,FALSE)</f>
        <v>#N/A</v>
      </c>
      <c r="S294" s="1118">
        <f>+S285</f>
        <v>0</v>
      </c>
      <c r="T294" s="1011" t="s">
        <v>2657</v>
      </c>
      <c r="U294" s="1012"/>
      <c r="V294" s="1012"/>
      <c r="AA294" s="1039"/>
      <c r="AB294" s="1039"/>
      <c r="AC294" s="1039"/>
      <c r="AD294" s="1039"/>
      <c r="AE294" s="1039"/>
      <c r="AF294" s="1039"/>
      <c r="AG294" s="1039"/>
      <c r="AH294" s="1040"/>
      <c r="AI294" s="1040"/>
      <c r="AJ294" s="1040"/>
      <c r="AL294" s="1092"/>
      <c r="AM294" s="1039"/>
    </row>
    <row r="295" spans="1:39" s="1010" customFormat="1">
      <c r="A295" s="1106">
        <f t="shared" si="58"/>
        <v>12</v>
      </c>
      <c r="B295" s="1130" t="s">
        <v>2658</v>
      </c>
      <c r="C295" s="1131"/>
      <c r="D295" s="374" t="s">
        <v>2659</v>
      </c>
      <c r="E295" s="1109">
        <v>5</v>
      </c>
      <c r="F295" s="1109"/>
      <c r="G295" s="1112">
        <f>ROUND(E295*$G$281,0)</f>
        <v>896</v>
      </c>
      <c r="H295" s="1112"/>
      <c r="I295" s="1112"/>
      <c r="J295" s="1112">
        <v>11000</v>
      </c>
      <c r="K295" s="1112">
        <f t="shared" si="56"/>
        <v>9856000</v>
      </c>
      <c r="L295" s="1186"/>
      <c r="M295" s="1059" t="e">
        <f>+VLOOKUP(L295,'[121]PR (2)'!$A$12:$M$253,13,FALSE)</f>
        <v>#N/A</v>
      </c>
      <c r="N295" s="1059" t="e">
        <f>+VLOOKUP(L295,'[121]PR (2)'!$A$12:$AQ$253,12,FALSE)</f>
        <v>#N/A</v>
      </c>
      <c r="P295" s="1114">
        <f>G291*2</f>
        <v>1076</v>
      </c>
      <c r="T295" s="1011"/>
      <c r="U295" s="1133"/>
      <c r="V295" s="1012"/>
      <c r="AA295" s="1039"/>
      <c r="AB295" s="1039"/>
      <c r="AC295" s="1039"/>
      <c r="AD295" s="1039"/>
      <c r="AE295" s="1039"/>
      <c r="AF295" s="1039"/>
      <c r="AG295" s="1039"/>
      <c r="AH295" s="1040"/>
      <c r="AI295" s="1040"/>
      <c r="AJ295" s="1040"/>
      <c r="AL295" s="1092"/>
      <c r="AM295" s="1039"/>
    </row>
    <row r="296" spans="1:39" s="1010" customFormat="1">
      <c r="A296" s="1106">
        <f t="shared" si="58"/>
        <v>13</v>
      </c>
      <c r="B296" s="1130" t="s">
        <v>2660</v>
      </c>
      <c r="C296" s="1131"/>
      <c r="D296" s="374" t="s">
        <v>2659</v>
      </c>
      <c r="E296" s="1109">
        <v>2</v>
      </c>
      <c r="F296" s="1109"/>
      <c r="G296" s="1112">
        <f>ROUND(E296*$G$281,0)</f>
        <v>358</v>
      </c>
      <c r="H296" s="1112"/>
      <c r="I296" s="1112"/>
      <c r="J296" s="1112">
        <v>4950</v>
      </c>
      <c r="K296" s="1112">
        <f t="shared" si="56"/>
        <v>1772100</v>
      </c>
      <c r="L296" s="1186"/>
      <c r="M296" s="1059" t="e">
        <f>+VLOOKUP(L296,'[121]PR (2)'!$A$12:$M$253,13,FALSE)</f>
        <v>#N/A</v>
      </c>
      <c r="N296" s="1059" t="e">
        <f>+VLOOKUP(L296,'[121]PR (2)'!$A$12:$AQ$253,12,FALSE)</f>
        <v>#N/A</v>
      </c>
      <c r="T296" s="1011"/>
      <c r="U296" s="1133"/>
      <c r="V296" s="1012"/>
      <c r="AA296" s="1039"/>
      <c r="AB296" s="1039"/>
      <c r="AC296" s="1039"/>
      <c r="AD296" s="1039"/>
      <c r="AE296" s="1039"/>
      <c r="AF296" s="1039"/>
      <c r="AG296" s="1039"/>
      <c r="AH296" s="1040"/>
      <c r="AI296" s="1040"/>
      <c r="AJ296" s="1040"/>
      <c r="AL296" s="1092"/>
      <c r="AM296" s="1039"/>
    </row>
    <row r="297" spans="1:39" s="1010" customFormat="1">
      <c r="A297" s="1106">
        <f t="shared" si="58"/>
        <v>14</v>
      </c>
      <c r="B297" s="1130" t="s">
        <v>2661</v>
      </c>
      <c r="C297" s="1131"/>
      <c r="D297" s="374" t="s">
        <v>2659</v>
      </c>
      <c r="E297" s="1109">
        <v>4</v>
      </c>
      <c r="F297" s="1109"/>
      <c r="G297" s="1112">
        <f>ROUND(E297*$G$281,0)</f>
        <v>717</v>
      </c>
      <c r="H297" s="1112"/>
      <c r="I297" s="1112"/>
      <c r="J297" s="1112">
        <v>11000</v>
      </c>
      <c r="K297" s="1112">
        <f t="shared" si="56"/>
        <v>7887000</v>
      </c>
      <c r="L297" s="1187"/>
      <c r="M297" s="1059" t="e">
        <f>+VLOOKUP(L297,'[121]PR (2)'!$A$12:$M$253,13,FALSE)</f>
        <v>#N/A</v>
      </c>
      <c r="N297" s="1059" t="e">
        <f>+VLOOKUP(L297,'[121]PR (2)'!$A$12:$AQ$253,12,FALSE)</f>
        <v>#N/A</v>
      </c>
      <c r="T297" s="1011"/>
      <c r="U297" s="1133"/>
      <c r="V297" s="1012"/>
      <c r="AA297" s="1039"/>
      <c r="AB297" s="1039"/>
      <c r="AC297" s="1039"/>
      <c r="AD297" s="1039"/>
      <c r="AE297" s="1039"/>
      <c r="AF297" s="1039"/>
      <c r="AG297" s="1039"/>
      <c r="AH297" s="1040"/>
      <c r="AI297" s="1040"/>
      <c r="AJ297" s="1040"/>
      <c r="AL297" s="1092"/>
      <c r="AM297" s="1039"/>
    </row>
    <row r="298" spans="1:39" s="1010" customFormat="1">
      <c r="A298" s="1106">
        <f t="shared" si="58"/>
        <v>15</v>
      </c>
      <c r="B298" s="1130" t="s">
        <v>2662</v>
      </c>
      <c r="C298" s="1131"/>
      <c r="D298" s="374" t="s">
        <v>2659</v>
      </c>
      <c r="E298" s="1109">
        <v>1</v>
      </c>
      <c r="F298" s="1109"/>
      <c r="G298" s="1112">
        <f>ROUND(E298*$G$281,0)</f>
        <v>179</v>
      </c>
      <c r="H298" s="1112"/>
      <c r="I298" s="1112"/>
      <c r="J298" s="1112">
        <v>11000</v>
      </c>
      <c r="K298" s="1112">
        <f t="shared" si="56"/>
        <v>1969000</v>
      </c>
      <c r="L298" s="1187"/>
      <c r="M298" s="1059" t="e">
        <f>+VLOOKUP(L298,'[121]PR (2)'!$A$12:$M$253,13,FALSE)</f>
        <v>#N/A</v>
      </c>
      <c r="N298" s="1059" t="e">
        <f>+VLOOKUP(L298,'[121]PR (2)'!$A$12:$AQ$253,12,FALSE)</f>
        <v>#N/A</v>
      </c>
      <c r="T298" s="1011"/>
      <c r="U298" s="1133"/>
      <c r="V298" s="1012"/>
      <c r="AA298" s="1039"/>
      <c r="AB298" s="1039"/>
      <c r="AC298" s="1039"/>
      <c r="AD298" s="1039"/>
      <c r="AE298" s="1039"/>
      <c r="AF298" s="1039"/>
      <c r="AG298" s="1039"/>
      <c r="AH298" s="1040"/>
      <c r="AI298" s="1040"/>
      <c r="AJ298" s="1040"/>
      <c r="AL298" s="1092"/>
      <c r="AM298" s="1039"/>
    </row>
    <row r="299" spans="1:39" s="1010" customFormat="1">
      <c r="A299" s="1106">
        <f t="shared" si="58"/>
        <v>16</v>
      </c>
      <c r="B299" s="1130" t="s">
        <v>2663</v>
      </c>
      <c r="C299" s="1131"/>
      <c r="D299" s="374" t="s">
        <v>2664</v>
      </c>
      <c r="E299" s="1109">
        <v>0.5</v>
      </c>
      <c r="F299" s="1109"/>
      <c r="G299" s="1112">
        <f t="shared" ref="G299:G317" si="59">ROUND(E299*$G$281,0)</f>
        <v>90</v>
      </c>
      <c r="H299" s="1112"/>
      <c r="I299" s="1112"/>
      <c r="J299" s="1112">
        <v>68300</v>
      </c>
      <c r="K299" s="1112">
        <f t="shared" si="56"/>
        <v>6147000</v>
      </c>
      <c r="L299" s="1187"/>
      <c r="M299" s="1059" t="e">
        <f>+VLOOKUP(L299,'[121]PR (2)'!$A$12:$M$253,13,FALSE)</f>
        <v>#N/A</v>
      </c>
      <c r="N299" s="1059" t="e">
        <f>+VLOOKUP(L299,'[121]PR (2)'!$A$12:$AQ$253,12,FALSE)</f>
        <v>#N/A</v>
      </c>
      <c r="T299" s="1011"/>
      <c r="U299" s="1133"/>
      <c r="V299" s="1012"/>
      <c r="AA299" s="1039"/>
      <c r="AB299" s="1039"/>
      <c r="AC299" s="1039"/>
      <c r="AD299" s="1039"/>
      <c r="AE299" s="1039"/>
      <c r="AF299" s="1039"/>
      <c r="AG299" s="1039"/>
      <c r="AH299" s="1040"/>
      <c r="AI299" s="1040"/>
      <c r="AJ299" s="1040"/>
      <c r="AL299" s="1092"/>
      <c r="AM299" s="1039"/>
    </row>
    <row r="300" spans="1:39" s="1010" customFormat="1">
      <c r="A300" s="1106">
        <f t="shared" si="58"/>
        <v>17</v>
      </c>
      <c r="B300" s="1130" t="s">
        <v>2665</v>
      </c>
      <c r="C300" s="1131"/>
      <c r="D300" s="374" t="s">
        <v>2664</v>
      </c>
      <c r="E300" s="1109">
        <v>4</v>
      </c>
      <c r="F300" s="1109"/>
      <c r="G300" s="1112">
        <f t="shared" si="59"/>
        <v>717</v>
      </c>
      <c r="H300" s="1112"/>
      <c r="I300" s="1112"/>
      <c r="J300" s="1112">
        <v>6200</v>
      </c>
      <c r="K300" s="1112">
        <f t="shared" si="56"/>
        <v>4445400</v>
      </c>
      <c r="L300" s="1187"/>
      <c r="M300" s="1059" t="e">
        <f>+VLOOKUP(L300,'[121]PR (2)'!$A$12:$M$253,13,FALSE)</f>
        <v>#N/A</v>
      </c>
      <c r="N300" s="1059" t="e">
        <f>+VLOOKUP(L300,'[121]PR (2)'!$A$12:$AQ$253,12,FALSE)</f>
        <v>#N/A</v>
      </c>
      <c r="T300" s="1011"/>
      <c r="U300" s="1133"/>
      <c r="V300" s="1012"/>
      <c r="AA300" s="1039"/>
      <c r="AB300" s="1039"/>
      <c r="AC300" s="1039"/>
      <c r="AD300" s="1039"/>
      <c r="AE300" s="1039"/>
      <c r="AF300" s="1039"/>
      <c r="AG300" s="1039"/>
      <c r="AH300" s="1040"/>
      <c r="AI300" s="1040"/>
      <c r="AJ300" s="1040"/>
      <c r="AL300" s="1092"/>
      <c r="AM300" s="1039"/>
    </row>
    <row r="301" spans="1:39" s="1010" customFormat="1">
      <c r="A301" s="1106">
        <f t="shared" si="58"/>
        <v>18</v>
      </c>
      <c r="B301" s="1130" t="s">
        <v>2666</v>
      </c>
      <c r="C301" s="1131"/>
      <c r="D301" s="374" t="s">
        <v>2667</v>
      </c>
      <c r="E301" s="1116">
        <v>0.1</v>
      </c>
      <c r="F301" s="1116"/>
      <c r="G301" s="1112">
        <f t="shared" si="59"/>
        <v>18</v>
      </c>
      <c r="H301" s="1112"/>
      <c r="I301" s="1112"/>
      <c r="J301" s="1112">
        <v>66000</v>
      </c>
      <c r="K301" s="1112">
        <f t="shared" si="56"/>
        <v>1188000</v>
      </c>
      <c r="L301" s="1187"/>
      <c r="M301" s="1059" t="e">
        <f>+VLOOKUP(L301,'[121]PR (2)'!$A$12:$M$253,13,FALSE)</f>
        <v>#N/A</v>
      </c>
      <c r="N301" s="1059" t="e">
        <f>+VLOOKUP(L301,'[121]PR (2)'!$A$12:$AQ$253,12,FALSE)</f>
        <v>#N/A</v>
      </c>
      <c r="P301" s="1010">
        <f>4000/20</f>
        <v>200</v>
      </c>
      <c r="T301" s="1011"/>
      <c r="U301" s="1133"/>
      <c r="V301" s="1012"/>
      <c r="AA301" s="1039"/>
      <c r="AB301" s="1039"/>
      <c r="AC301" s="1039"/>
      <c r="AD301" s="1039"/>
      <c r="AE301" s="1039"/>
      <c r="AF301" s="1039"/>
      <c r="AG301" s="1039"/>
      <c r="AH301" s="1040"/>
      <c r="AI301" s="1040"/>
      <c r="AJ301" s="1040"/>
      <c r="AL301" s="1092"/>
      <c r="AM301" s="1039"/>
    </row>
    <row r="302" spans="1:39" s="1010" customFormat="1">
      <c r="A302" s="1106">
        <f t="shared" si="58"/>
        <v>19</v>
      </c>
      <c r="B302" s="1130" t="s">
        <v>2668</v>
      </c>
      <c r="C302" s="1131"/>
      <c r="D302" s="374" t="s">
        <v>2667</v>
      </c>
      <c r="E302" s="1116">
        <v>0.3</v>
      </c>
      <c r="F302" s="1116"/>
      <c r="G302" s="1112">
        <f t="shared" si="59"/>
        <v>54</v>
      </c>
      <c r="H302" s="1112"/>
      <c r="I302" s="1112"/>
      <c r="J302" s="1112">
        <v>50000</v>
      </c>
      <c r="K302" s="1112">
        <f t="shared" si="56"/>
        <v>2700000</v>
      </c>
      <c r="L302" s="1187"/>
      <c r="M302" s="1059" t="e">
        <f>+VLOOKUP(L302,'[121]PR (2)'!$A$12:$M$253,13,FALSE)</f>
        <v>#N/A</v>
      </c>
      <c r="N302" s="1059" t="e">
        <f>+VLOOKUP(L302,'[121]PR (2)'!$A$12:$AQ$253,12,FALSE)</f>
        <v>#N/A</v>
      </c>
      <c r="T302" s="1011"/>
      <c r="U302" s="1133"/>
      <c r="V302" s="1012"/>
      <c r="AA302" s="1039"/>
      <c r="AB302" s="1039"/>
      <c r="AC302" s="1039"/>
      <c r="AD302" s="1039"/>
      <c r="AE302" s="1039"/>
      <c r="AF302" s="1039"/>
      <c r="AG302" s="1039"/>
      <c r="AH302" s="1040"/>
      <c r="AI302" s="1040"/>
      <c r="AJ302" s="1040"/>
      <c r="AL302" s="1092"/>
      <c r="AM302" s="1039"/>
    </row>
    <row r="303" spans="1:39" s="1010" customFormat="1">
      <c r="A303" s="1106">
        <f t="shared" si="58"/>
        <v>20</v>
      </c>
      <c r="B303" s="1130" t="s">
        <v>2669</v>
      </c>
      <c r="C303" s="1131"/>
      <c r="D303" s="374" t="s">
        <v>2667</v>
      </c>
      <c r="E303" s="1116">
        <v>0.2</v>
      </c>
      <c r="F303" s="1116"/>
      <c r="G303" s="1112">
        <f t="shared" si="59"/>
        <v>36</v>
      </c>
      <c r="H303" s="1112"/>
      <c r="I303" s="1112"/>
      <c r="J303" s="1112">
        <v>58000</v>
      </c>
      <c r="K303" s="1112">
        <f t="shared" si="56"/>
        <v>2088000</v>
      </c>
      <c r="L303" s="1187"/>
      <c r="M303" s="1059" t="e">
        <f>+VLOOKUP(L303,'[121]PR (2)'!$A$12:$M$253,13,FALSE)</f>
        <v>#N/A</v>
      </c>
      <c r="N303" s="1059" t="e">
        <f>+VLOOKUP(L303,'[121]PR (2)'!$A$12:$AQ$253,12,FALSE)</f>
        <v>#N/A</v>
      </c>
      <c r="T303" s="1011"/>
      <c r="U303" s="1133"/>
      <c r="V303" s="1012"/>
      <c r="AA303" s="1039"/>
      <c r="AB303" s="1039"/>
      <c r="AC303" s="1039"/>
      <c r="AD303" s="1039"/>
      <c r="AE303" s="1039"/>
      <c r="AF303" s="1039"/>
      <c r="AG303" s="1039"/>
      <c r="AH303" s="1040"/>
      <c r="AI303" s="1040"/>
      <c r="AJ303" s="1040"/>
      <c r="AL303" s="1092"/>
      <c r="AM303" s="1039"/>
    </row>
    <row r="304" spans="1:39" s="1010" customFormat="1">
      <c r="A304" s="1106">
        <f t="shared" si="58"/>
        <v>21</v>
      </c>
      <c r="B304" s="1130" t="s">
        <v>2670</v>
      </c>
      <c r="C304" s="1131"/>
      <c r="D304" s="374" t="s">
        <v>2671</v>
      </c>
      <c r="E304" s="1116">
        <v>3</v>
      </c>
      <c r="F304" s="1116"/>
      <c r="G304" s="1112">
        <f t="shared" si="59"/>
        <v>538</v>
      </c>
      <c r="H304" s="1112"/>
      <c r="I304" s="1112"/>
      <c r="J304" s="1112">
        <v>5800</v>
      </c>
      <c r="K304" s="1112">
        <f t="shared" si="56"/>
        <v>3120400</v>
      </c>
      <c r="L304" s="1187"/>
      <c r="M304" s="1059" t="e">
        <f>+VLOOKUP(L304,'[121]PR (2)'!$A$12:$M$253,13,FALSE)</f>
        <v>#N/A</v>
      </c>
      <c r="N304" s="1059" t="e">
        <f>+VLOOKUP(L304,'[121]PR (2)'!$A$12:$AQ$253,12,FALSE)</f>
        <v>#N/A</v>
      </c>
      <c r="T304" s="1011"/>
      <c r="U304" s="1133"/>
      <c r="V304" s="1012"/>
      <c r="AA304" s="1039"/>
      <c r="AB304" s="1039"/>
      <c r="AC304" s="1039"/>
      <c r="AD304" s="1039"/>
      <c r="AE304" s="1039"/>
      <c r="AF304" s="1039"/>
      <c r="AG304" s="1039"/>
      <c r="AH304" s="1040"/>
      <c r="AI304" s="1040"/>
      <c r="AJ304" s="1040"/>
      <c r="AL304" s="1092"/>
      <c r="AM304" s="1039"/>
    </row>
    <row r="305" spans="1:39" s="1010" customFormat="1">
      <c r="A305" s="1106">
        <f t="shared" si="58"/>
        <v>22</v>
      </c>
      <c r="B305" s="1130" t="s">
        <v>2672</v>
      </c>
      <c r="C305" s="1108"/>
      <c r="D305" s="374" t="s">
        <v>2664</v>
      </c>
      <c r="E305" s="1109">
        <v>2</v>
      </c>
      <c r="F305" s="1109"/>
      <c r="G305" s="1112">
        <f t="shared" si="59"/>
        <v>358</v>
      </c>
      <c r="H305" s="1112"/>
      <c r="I305" s="1112"/>
      <c r="J305" s="1112">
        <v>5800</v>
      </c>
      <c r="K305" s="1112">
        <f t="shared" si="56"/>
        <v>2076400</v>
      </c>
      <c r="L305" s="1187"/>
      <c r="M305" s="1059" t="e">
        <f>+VLOOKUP(L305,'[121]PR (2)'!$A$12:$M$253,13,FALSE)</f>
        <v>#N/A</v>
      </c>
      <c r="N305" s="1059" t="e">
        <f>+VLOOKUP(L305,'[121]PR (2)'!$A$12:$AQ$253,12,FALSE)</f>
        <v>#N/A</v>
      </c>
      <c r="T305" s="1011"/>
      <c r="U305" s="1133"/>
      <c r="V305" s="1012"/>
      <c r="AA305" s="1039"/>
      <c r="AB305" s="1039"/>
      <c r="AC305" s="1039"/>
      <c r="AD305" s="1039"/>
      <c r="AE305" s="1039"/>
      <c r="AF305" s="1039"/>
      <c r="AG305" s="1039"/>
      <c r="AH305" s="1040"/>
      <c r="AI305" s="1040"/>
      <c r="AJ305" s="1040"/>
      <c r="AL305" s="1092"/>
      <c r="AM305" s="1039"/>
    </row>
    <row r="306" spans="1:39" s="1010" customFormat="1">
      <c r="A306" s="1106">
        <f t="shared" si="58"/>
        <v>23</v>
      </c>
      <c r="B306" s="1130" t="s">
        <v>2673</v>
      </c>
      <c r="C306" s="1108"/>
      <c r="D306" s="374" t="s">
        <v>2664</v>
      </c>
      <c r="E306" s="1109">
        <v>2</v>
      </c>
      <c r="F306" s="1109"/>
      <c r="G306" s="1112">
        <f t="shared" si="59"/>
        <v>358</v>
      </c>
      <c r="H306" s="1112"/>
      <c r="I306" s="1112"/>
      <c r="J306" s="1112">
        <v>13500</v>
      </c>
      <c r="K306" s="1112">
        <f t="shared" si="56"/>
        <v>4833000</v>
      </c>
      <c r="L306" s="1187"/>
      <c r="M306" s="1059" t="e">
        <f>+VLOOKUP(L306,'[121]PR (2)'!$A$12:$M$253,13,FALSE)</f>
        <v>#N/A</v>
      </c>
      <c r="N306" s="1059" t="e">
        <f>+VLOOKUP(L306,'[121]PR (2)'!$A$12:$AQ$253,12,FALSE)</f>
        <v>#N/A</v>
      </c>
      <c r="T306" s="1011"/>
      <c r="U306" s="1133"/>
      <c r="V306" s="1012"/>
      <c r="AA306" s="1039"/>
      <c r="AB306" s="1039"/>
      <c r="AC306" s="1039"/>
      <c r="AD306" s="1039"/>
      <c r="AE306" s="1039"/>
      <c r="AF306" s="1039"/>
      <c r="AG306" s="1039"/>
      <c r="AH306" s="1040"/>
      <c r="AI306" s="1040"/>
      <c r="AJ306" s="1040"/>
      <c r="AL306" s="1092"/>
      <c r="AM306" s="1039"/>
    </row>
    <row r="307" spans="1:39" s="1010" customFormat="1">
      <c r="A307" s="1106">
        <f t="shared" si="58"/>
        <v>24</v>
      </c>
      <c r="B307" s="1130" t="s">
        <v>2674</v>
      </c>
      <c r="C307" s="1108"/>
      <c r="D307" s="374" t="s">
        <v>2664</v>
      </c>
      <c r="E307" s="1134">
        <v>0.5</v>
      </c>
      <c r="F307" s="1134"/>
      <c r="G307" s="1112">
        <f t="shared" si="59"/>
        <v>90</v>
      </c>
      <c r="H307" s="1112"/>
      <c r="I307" s="1112"/>
      <c r="J307" s="1112">
        <v>6600</v>
      </c>
      <c r="K307" s="1112">
        <f t="shared" si="56"/>
        <v>594000</v>
      </c>
      <c r="L307" s="1187"/>
      <c r="M307" s="1059" t="e">
        <f>+VLOOKUP(L307,'[121]PR (2)'!$A$12:$M$253,13,FALSE)</f>
        <v>#N/A</v>
      </c>
      <c r="N307" s="1059" t="e">
        <f>+VLOOKUP(L307,'[121]PR (2)'!$A$12:$AQ$253,12,FALSE)</f>
        <v>#N/A</v>
      </c>
      <c r="T307" s="1011"/>
      <c r="U307" s="1133"/>
      <c r="V307" s="1012"/>
      <c r="AA307" s="1039"/>
      <c r="AB307" s="1039"/>
      <c r="AC307" s="1039"/>
      <c r="AD307" s="1039"/>
      <c r="AE307" s="1039"/>
      <c r="AF307" s="1039"/>
      <c r="AG307" s="1039"/>
      <c r="AH307" s="1040"/>
      <c r="AI307" s="1040"/>
      <c r="AJ307" s="1040"/>
      <c r="AL307" s="1092"/>
      <c r="AM307" s="1039"/>
    </row>
    <row r="308" spans="1:39" s="1010" customFormat="1">
      <c r="A308" s="1106">
        <f t="shared" si="58"/>
        <v>25</v>
      </c>
      <c r="B308" s="1130" t="s">
        <v>2675</v>
      </c>
      <c r="C308" s="1108"/>
      <c r="D308" s="374" t="s">
        <v>2664</v>
      </c>
      <c r="E308" s="1134">
        <v>5</v>
      </c>
      <c r="F308" s="1134"/>
      <c r="G308" s="1112">
        <v>50</v>
      </c>
      <c r="H308" s="1112"/>
      <c r="I308" s="1112"/>
      <c r="J308" s="1112">
        <v>57200</v>
      </c>
      <c r="K308" s="1112">
        <f t="shared" si="56"/>
        <v>2860000</v>
      </c>
      <c r="L308" s="1187"/>
      <c r="M308" s="1059" t="e">
        <f>+VLOOKUP(L308,'[121]PR (2)'!$A$12:$M$253,13,FALSE)</f>
        <v>#N/A</v>
      </c>
      <c r="N308" s="1059" t="e">
        <f>+VLOOKUP(L308,'[121]PR (2)'!$A$12:$AQ$253,12,FALSE)</f>
        <v>#N/A</v>
      </c>
      <c r="T308" s="1011"/>
      <c r="U308" s="1133"/>
      <c r="V308" s="1012"/>
      <c r="AA308" s="1039"/>
      <c r="AB308" s="1039"/>
      <c r="AC308" s="1039"/>
      <c r="AD308" s="1039"/>
      <c r="AE308" s="1039"/>
      <c r="AF308" s="1039"/>
      <c r="AG308" s="1039"/>
      <c r="AH308" s="1040"/>
      <c r="AI308" s="1040"/>
      <c r="AJ308" s="1040"/>
      <c r="AL308" s="1092"/>
      <c r="AM308" s="1039"/>
    </row>
    <row r="309" spans="1:39" s="1010" customFormat="1">
      <c r="A309" s="1106">
        <f t="shared" si="58"/>
        <v>26</v>
      </c>
      <c r="B309" s="1130" t="s">
        <v>2676</v>
      </c>
      <c r="C309" s="1108"/>
      <c r="D309" s="374" t="s">
        <v>2664</v>
      </c>
      <c r="E309" s="1134">
        <v>0.2</v>
      </c>
      <c r="F309" s="1134"/>
      <c r="G309" s="1112">
        <f t="shared" si="59"/>
        <v>36</v>
      </c>
      <c r="H309" s="1112"/>
      <c r="I309" s="1112"/>
      <c r="J309" s="1112">
        <v>27200</v>
      </c>
      <c r="K309" s="1112">
        <f t="shared" si="56"/>
        <v>979200</v>
      </c>
      <c r="L309" s="1187"/>
      <c r="M309" s="1059" t="e">
        <f>+VLOOKUP(L309,'[121]PR (2)'!$A$12:$M$253,13,FALSE)</f>
        <v>#N/A</v>
      </c>
      <c r="N309" s="1059" t="e">
        <f>+VLOOKUP(L309,'[121]PR (2)'!$A$12:$AQ$253,12,FALSE)</f>
        <v>#N/A</v>
      </c>
      <c r="T309" s="1011"/>
      <c r="U309" s="1133"/>
      <c r="V309" s="1012"/>
      <c r="AA309" s="1039"/>
      <c r="AB309" s="1039"/>
      <c r="AC309" s="1039"/>
      <c r="AD309" s="1039"/>
      <c r="AE309" s="1039"/>
      <c r="AF309" s="1039"/>
      <c r="AG309" s="1039"/>
      <c r="AH309" s="1040"/>
      <c r="AI309" s="1040"/>
      <c r="AJ309" s="1040"/>
      <c r="AL309" s="1092"/>
      <c r="AM309" s="1039"/>
    </row>
    <row r="310" spans="1:39" s="1010" customFormat="1">
      <c r="A310" s="1106">
        <f t="shared" si="58"/>
        <v>27</v>
      </c>
      <c r="B310" s="1130" t="s">
        <v>2677</v>
      </c>
      <c r="C310" s="1135"/>
      <c r="D310" s="374" t="s">
        <v>2678</v>
      </c>
      <c r="E310" s="1109">
        <v>0.2</v>
      </c>
      <c r="F310" s="1109"/>
      <c r="G310" s="1112">
        <f t="shared" si="59"/>
        <v>36</v>
      </c>
      <c r="H310" s="1112"/>
      <c r="I310" s="1112"/>
      <c r="J310" s="1112">
        <v>140000</v>
      </c>
      <c r="K310" s="1112">
        <f t="shared" si="56"/>
        <v>5040000</v>
      </c>
      <c r="L310" s="1187"/>
      <c r="M310" s="1059" t="e">
        <f>+VLOOKUP(L310,'[121]PR (2)'!$A$12:$M$253,13,FALSE)</f>
        <v>#N/A</v>
      </c>
      <c r="N310" s="1059" t="e">
        <f>+VLOOKUP(L310,'[121]PR (2)'!$A$12:$AQ$253,12,FALSE)</f>
        <v>#N/A</v>
      </c>
      <c r="T310" s="1011"/>
      <c r="U310" s="1133"/>
      <c r="V310" s="1012"/>
      <c r="AA310" s="1039"/>
      <c r="AB310" s="1039"/>
      <c r="AC310" s="1039"/>
      <c r="AD310" s="1039"/>
      <c r="AE310" s="1039"/>
      <c r="AF310" s="1039"/>
      <c r="AG310" s="1039"/>
      <c r="AH310" s="1040"/>
      <c r="AI310" s="1040"/>
      <c r="AJ310" s="1040"/>
      <c r="AL310" s="1092"/>
      <c r="AM310" s="1039"/>
    </row>
    <row r="311" spans="1:39" s="1010" customFormat="1">
      <c r="A311" s="1106">
        <f t="shared" si="58"/>
        <v>28</v>
      </c>
      <c r="B311" s="1130" t="s">
        <v>2679</v>
      </c>
      <c r="C311" s="1135"/>
      <c r="D311" s="374" t="s">
        <v>2678</v>
      </c>
      <c r="E311" s="1109">
        <v>0.1</v>
      </c>
      <c r="F311" s="1109"/>
      <c r="G311" s="1112">
        <f t="shared" si="59"/>
        <v>18</v>
      </c>
      <c r="H311" s="1112"/>
      <c r="I311" s="1112"/>
      <c r="J311" s="1112">
        <v>74300</v>
      </c>
      <c r="K311" s="1112">
        <f t="shared" si="56"/>
        <v>1337400</v>
      </c>
      <c r="L311" s="1187"/>
      <c r="M311" s="1059" t="e">
        <f>+VLOOKUP(L311,'[121]PR (2)'!$A$12:$M$253,13,FALSE)</f>
        <v>#N/A</v>
      </c>
      <c r="N311" s="1059" t="e">
        <f>+VLOOKUP(L311,'[121]PR (2)'!$A$12:$AQ$253,12,FALSE)</f>
        <v>#N/A</v>
      </c>
      <c r="T311" s="1011"/>
      <c r="U311" s="1133"/>
      <c r="V311" s="1012"/>
      <c r="AA311" s="1039"/>
      <c r="AB311" s="1039"/>
      <c r="AC311" s="1039"/>
      <c r="AD311" s="1039"/>
      <c r="AE311" s="1039"/>
      <c r="AF311" s="1039"/>
      <c r="AG311" s="1039"/>
      <c r="AH311" s="1040"/>
      <c r="AI311" s="1040"/>
      <c r="AJ311" s="1040"/>
      <c r="AL311" s="1092"/>
      <c r="AM311" s="1039"/>
    </row>
    <row r="312" spans="1:39" s="1010" customFormat="1">
      <c r="A312" s="1106">
        <f t="shared" si="58"/>
        <v>29</v>
      </c>
      <c r="B312" s="1130" t="s">
        <v>2680</v>
      </c>
      <c r="C312" s="1135"/>
      <c r="D312" s="374" t="s">
        <v>2587</v>
      </c>
      <c r="E312" s="1109">
        <v>8.1218274111675121E-2</v>
      </c>
      <c r="F312" s="1109"/>
      <c r="G312" s="1112">
        <f t="shared" si="59"/>
        <v>15</v>
      </c>
      <c r="H312" s="1112"/>
      <c r="I312" s="1112"/>
      <c r="J312" s="1112">
        <v>891000.00000000012</v>
      </c>
      <c r="K312" s="1112">
        <f t="shared" si="56"/>
        <v>13365000.000000002</v>
      </c>
      <c r="L312" s="1187"/>
      <c r="M312" s="1059" t="e">
        <f>+VLOOKUP(L312,'[121]PR (2)'!$A$12:$M$253,13,FALSE)</f>
        <v>#N/A</v>
      </c>
      <c r="N312" s="1059" t="e">
        <f>+VLOOKUP(L312,'[121]PR (2)'!$A$12:$AQ$253,12,FALSE)</f>
        <v>#N/A</v>
      </c>
      <c r="T312" s="1011"/>
      <c r="U312" s="1133"/>
      <c r="V312" s="1012"/>
      <c r="AA312" s="1039"/>
      <c r="AB312" s="1039"/>
      <c r="AC312" s="1039"/>
      <c r="AD312" s="1039"/>
      <c r="AE312" s="1039"/>
      <c r="AF312" s="1039"/>
      <c r="AG312" s="1039"/>
      <c r="AH312" s="1040"/>
      <c r="AI312" s="1040"/>
      <c r="AJ312" s="1040"/>
      <c r="AL312" s="1092"/>
      <c r="AM312" s="1039"/>
    </row>
    <row r="313" spans="1:39" s="1010" customFormat="1">
      <c r="A313" s="1106">
        <f t="shared" si="58"/>
        <v>30</v>
      </c>
      <c r="B313" s="1107" t="s">
        <v>2681</v>
      </c>
      <c r="C313" s="1135"/>
      <c r="D313" s="374" t="s">
        <v>2467</v>
      </c>
      <c r="E313" s="1109">
        <v>2.5154701413694223E-2</v>
      </c>
      <c r="F313" s="1109"/>
      <c r="G313" s="1112">
        <f t="shared" si="59"/>
        <v>5</v>
      </c>
      <c r="H313" s="1112"/>
      <c r="I313" s="1112"/>
      <c r="J313" s="1112">
        <v>120000</v>
      </c>
      <c r="K313" s="1112">
        <f t="shared" si="56"/>
        <v>600000</v>
      </c>
      <c r="L313" s="1187"/>
      <c r="M313" s="1059" t="e">
        <f>+VLOOKUP(L313,'[121]PR (2)'!$A$12:$M$253,13,FALSE)</f>
        <v>#N/A</v>
      </c>
      <c r="N313" s="1059" t="e">
        <f>+VLOOKUP(L313,'[121]PR (2)'!$A$12:$AQ$253,12,FALSE)</f>
        <v>#N/A</v>
      </c>
      <c r="T313" s="1011"/>
      <c r="U313" s="1133"/>
      <c r="V313" s="1012"/>
      <c r="AA313" s="1039"/>
      <c r="AB313" s="1039"/>
      <c r="AC313" s="1039"/>
      <c r="AD313" s="1039"/>
      <c r="AE313" s="1039"/>
      <c r="AF313" s="1039"/>
      <c r="AG313" s="1039"/>
      <c r="AH313" s="1040"/>
      <c r="AI313" s="1040"/>
      <c r="AJ313" s="1040"/>
      <c r="AL313" s="1092"/>
      <c r="AM313" s="1039"/>
    </row>
    <row r="314" spans="1:39" s="1010" customFormat="1" ht="31">
      <c r="A314" s="1106">
        <f t="shared" si="58"/>
        <v>31</v>
      </c>
      <c r="B314" s="1107" t="s">
        <v>2682</v>
      </c>
      <c r="C314" s="1135"/>
      <c r="D314" s="374" t="s">
        <v>2683</v>
      </c>
      <c r="E314" s="1109">
        <v>0.1</v>
      </c>
      <c r="F314" s="1109"/>
      <c r="G314" s="1112">
        <f t="shared" si="59"/>
        <v>18</v>
      </c>
      <c r="H314" s="1112"/>
      <c r="I314" s="1112"/>
      <c r="J314" s="1112">
        <v>1500000</v>
      </c>
      <c r="K314" s="1112">
        <f t="shared" si="56"/>
        <v>27000000</v>
      </c>
      <c r="L314" s="1187"/>
      <c r="M314" s="1059" t="e">
        <f>+VLOOKUP(L314,'[121]PR (2)'!$A$12:$M$253,13,FALSE)</f>
        <v>#N/A</v>
      </c>
      <c r="N314" s="1059" t="e">
        <f>+VLOOKUP(L314,'[121]PR (2)'!$A$12:$AQ$253,12,FALSE)</f>
        <v>#N/A</v>
      </c>
      <c r="T314" s="1011"/>
      <c r="U314" s="1133"/>
      <c r="V314" s="1012"/>
      <c r="AA314" s="1039"/>
      <c r="AB314" s="1039"/>
      <c r="AC314" s="1039"/>
      <c r="AD314" s="1039"/>
      <c r="AE314" s="1039"/>
      <c r="AF314" s="1039"/>
      <c r="AG314" s="1039"/>
      <c r="AH314" s="1040"/>
      <c r="AI314" s="1040"/>
      <c r="AJ314" s="1040"/>
      <c r="AL314" s="1092"/>
      <c r="AM314" s="1039"/>
    </row>
    <row r="315" spans="1:39" s="1010" customFormat="1">
      <c r="A315" s="1106">
        <f t="shared" si="58"/>
        <v>32</v>
      </c>
      <c r="B315" s="1107" t="s">
        <v>2684</v>
      </c>
      <c r="C315" s="1135"/>
      <c r="D315" s="374" t="s">
        <v>2683</v>
      </c>
      <c r="E315" s="1109">
        <v>2.5154701413694223E-2</v>
      </c>
      <c r="F315" s="1109"/>
      <c r="G315" s="1112">
        <f t="shared" si="59"/>
        <v>5</v>
      </c>
      <c r="H315" s="1112"/>
      <c r="I315" s="1112"/>
      <c r="J315" s="1112">
        <v>1500000</v>
      </c>
      <c r="K315" s="1112">
        <f t="shared" si="56"/>
        <v>7500000</v>
      </c>
      <c r="L315" s="1187"/>
      <c r="M315" s="1059" t="e">
        <f>+VLOOKUP(L315,'[121]PR (2)'!$A$12:$M$253,13,FALSE)</f>
        <v>#N/A</v>
      </c>
      <c r="N315" s="1059" t="e">
        <f>+VLOOKUP(L315,'[121]PR (2)'!$A$12:$AQ$253,12,FALSE)</f>
        <v>#N/A</v>
      </c>
      <c r="T315" s="1011"/>
      <c r="U315" s="1133"/>
      <c r="V315" s="1012"/>
      <c r="AA315" s="1039"/>
      <c r="AB315" s="1039"/>
      <c r="AC315" s="1039"/>
      <c r="AD315" s="1039"/>
      <c r="AE315" s="1039"/>
      <c r="AF315" s="1039"/>
      <c r="AG315" s="1039"/>
      <c r="AH315" s="1040"/>
      <c r="AI315" s="1040"/>
      <c r="AJ315" s="1040"/>
      <c r="AL315" s="1092"/>
      <c r="AM315" s="1039"/>
    </row>
    <row r="316" spans="1:39" s="1010" customFormat="1">
      <c r="A316" s="1106">
        <f t="shared" si="58"/>
        <v>33</v>
      </c>
      <c r="B316" s="1107" t="s">
        <v>2685</v>
      </c>
      <c r="C316" s="1135"/>
      <c r="D316" s="374" t="s">
        <v>2587</v>
      </c>
      <c r="E316" s="1109">
        <v>0.06</v>
      </c>
      <c r="F316" s="1109"/>
      <c r="G316" s="1112">
        <f t="shared" si="59"/>
        <v>11</v>
      </c>
      <c r="H316" s="1112"/>
      <c r="I316" s="1112"/>
      <c r="J316" s="1112">
        <v>101600</v>
      </c>
      <c r="K316" s="1112">
        <f t="shared" si="56"/>
        <v>1117600</v>
      </c>
      <c r="L316" s="1187"/>
      <c r="M316" s="1059" t="e">
        <f>+VLOOKUP(L316,'[121]PR (2)'!$A$12:$M$253,13,FALSE)</f>
        <v>#N/A</v>
      </c>
      <c r="N316" s="1059" t="e">
        <f>+VLOOKUP(L316,'[121]PR (2)'!$A$12:$AQ$253,12,FALSE)</f>
        <v>#N/A</v>
      </c>
      <c r="T316" s="1011"/>
      <c r="U316" s="1133"/>
      <c r="V316" s="1012"/>
      <c r="AA316" s="1039"/>
      <c r="AB316" s="1039"/>
      <c r="AC316" s="1039"/>
      <c r="AD316" s="1039"/>
      <c r="AE316" s="1039"/>
      <c r="AF316" s="1039"/>
      <c r="AG316" s="1039"/>
      <c r="AH316" s="1040"/>
      <c r="AI316" s="1040"/>
      <c r="AJ316" s="1040"/>
      <c r="AL316" s="1092"/>
      <c r="AM316" s="1039"/>
    </row>
    <row r="317" spans="1:39" s="1010" customFormat="1">
      <c r="A317" s="1106">
        <f t="shared" si="58"/>
        <v>34</v>
      </c>
      <c r="B317" s="1107" t="s">
        <v>2686</v>
      </c>
      <c r="C317" s="1135"/>
      <c r="D317" s="374" t="s">
        <v>2683</v>
      </c>
      <c r="E317" s="1109">
        <v>2.5154701413694223E-2</v>
      </c>
      <c r="F317" s="1109"/>
      <c r="G317" s="1112">
        <f t="shared" si="59"/>
        <v>5</v>
      </c>
      <c r="H317" s="1112"/>
      <c r="I317" s="1112"/>
      <c r="J317" s="1112">
        <v>1500000</v>
      </c>
      <c r="K317" s="1112">
        <f t="shared" si="56"/>
        <v>7500000</v>
      </c>
      <c r="L317" s="1187"/>
      <c r="M317" s="1059" t="e">
        <f>+VLOOKUP(L317,'[121]PR (2)'!$A$12:$M$253,13,FALSE)</f>
        <v>#N/A</v>
      </c>
      <c r="N317" s="1059" t="e">
        <f>+VLOOKUP(L317,'[121]PR (2)'!$A$12:$AQ$253,12,FALSE)</f>
        <v>#N/A</v>
      </c>
      <c r="T317" s="1011"/>
      <c r="U317" s="1133"/>
      <c r="V317" s="1012"/>
      <c r="AA317" s="1039"/>
      <c r="AB317" s="1039"/>
      <c r="AC317" s="1039"/>
      <c r="AD317" s="1039"/>
      <c r="AE317" s="1039"/>
      <c r="AF317" s="1039"/>
      <c r="AG317" s="1039"/>
      <c r="AH317" s="1040"/>
      <c r="AI317" s="1040"/>
      <c r="AJ317" s="1040"/>
      <c r="AL317" s="1092"/>
      <c r="AM317" s="1039"/>
    </row>
    <row r="318" spans="1:39" s="1010" customFormat="1">
      <c r="A318" s="1106">
        <f t="shared" si="58"/>
        <v>35</v>
      </c>
      <c r="B318" s="1130" t="s">
        <v>2687</v>
      </c>
      <c r="C318" s="1131"/>
      <c r="D318" s="374" t="s">
        <v>61</v>
      </c>
      <c r="E318" s="1136">
        <v>2</v>
      </c>
      <c r="F318" s="1136"/>
      <c r="G318" s="1112">
        <f>ROUND(E318*$G$281,0)</f>
        <v>358</v>
      </c>
      <c r="H318" s="1112"/>
      <c r="I318" s="1112"/>
      <c r="J318" s="1112">
        <v>22000</v>
      </c>
      <c r="K318" s="1112">
        <f t="shared" si="56"/>
        <v>7876000</v>
      </c>
      <c r="L318" s="1186"/>
      <c r="M318" s="1059" t="e">
        <f>+VLOOKUP(L318,'[121]PR (2)'!$A$12:$M$253,13,FALSE)</f>
        <v>#N/A</v>
      </c>
      <c r="N318" s="1059" t="e">
        <f>+VLOOKUP(L318,'[121]PR (2)'!$A$12:$AQ$253,12,FALSE)</f>
        <v>#N/A</v>
      </c>
      <c r="T318" s="1011"/>
      <c r="U318" s="1133"/>
      <c r="V318" s="1012"/>
      <c r="AA318" s="1039"/>
      <c r="AB318" s="1039"/>
      <c r="AC318" s="1039"/>
      <c r="AD318" s="1039"/>
      <c r="AE318" s="1039"/>
      <c r="AF318" s="1039"/>
      <c r="AG318" s="1039"/>
      <c r="AH318" s="1040"/>
      <c r="AI318" s="1040"/>
      <c r="AJ318" s="1040"/>
      <c r="AL318" s="1092"/>
      <c r="AM318" s="1039"/>
    </row>
    <row r="319" spans="1:39" s="1010" customFormat="1">
      <c r="A319" s="1106">
        <f t="shared" si="58"/>
        <v>36</v>
      </c>
      <c r="B319" s="1107" t="s">
        <v>2688</v>
      </c>
      <c r="C319" s="1131"/>
      <c r="D319" s="374" t="s">
        <v>2587</v>
      </c>
      <c r="E319" s="1136">
        <v>32</v>
      </c>
      <c r="F319" s="1136"/>
      <c r="G319" s="1112">
        <f>+$G$281/E319</f>
        <v>5.5991249999999999</v>
      </c>
      <c r="H319" s="1112"/>
      <c r="I319" s="1112"/>
      <c r="J319" s="1112">
        <v>85000</v>
      </c>
      <c r="K319" s="1112">
        <f t="shared" si="56"/>
        <v>475925.625</v>
      </c>
      <c r="L319" s="1132" t="s">
        <v>2689</v>
      </c>
      <c r="M319" s="1059" t="e">
        <f>+VLOOKUP(L319,'[121]PR (2)'!$A$12:$M$253,13,FALSE)</f>
        <v>#N/A</v>
      </c>
      <c r="N319" s="1059" t="e">
        <f>+VLOOKUP(L319,'[121]PR (2)'!$A$12:$AQ$253,12,FALSE)</f>
        <v>#N/A</v>
      </c>
      <c r="S319" s="1010">
        <v>20</v>
      </c>
      <c r="T319" s="1011"/>
      <c r="U319" s="1133"/>
      <c r="V319" s="1012"/>
      <c r="AA319" s="1039"/>
      <c r="AB319" s="1039"/>
      <c r="AC319" s="1039"/>
      <c r="AD319" s="1039"/>
      <c r="AE319" s="1039"/>
      <c r="AF319" s="1039"/>
      <c r="AG319" s="1039"/>
      <c r="AH319" s="1040"/>
      <c r="AI319" s="1040"/>
      <c r="AJ319" s="1040"/>
      <c r="AL319" s="1092"/>
      <c r="AM319" s="1039"/>
    </row>
    <row r="320" spans="1:39" s="1010" customFormat="1">
      <c r="A320" s="1106">
        <f t="shared" si="58"/>
        <v>37</v>
      </c>
      <c r="B320" s="1107" t="s">
        <v>2690</v>
      </c>
      <c r="C320" s="1131"/>
      <c r="D320" s="374" t="s">
        <v>2587</v>
      </c>
      <c r="E320" s="1136">
        <v>20</v>
      </c>
      <c r="F320" s="1136"/>
      <c r="G320" s="1112">
        <f>+$G$281/E320</f>
        <v>8.9586000000000006</v>
      </c>
      <c r="H320" s="1112"/>
      <c r="I320" s="1112"/>
      <c r="J320" s="1112">
        <v>31200</v>
      </c>
      <c r="K320" s="1112">
        <f t="shared" si="56"/>
        <v>279508.32</v>
      </c>
      <c r="L320" s="1132" t="s">
        <v>2689</v>
      </c>
      <c r="M320" s="1059" t="e">
        <f>+VLOOKUP(L320,'[121]PR (2)'!$A$12:$M$253,13,FALSE)</f>
        <v>#N/A</v>
      </c>
      <c r="N320" s="1059" t="e">
        <f>+VLOOKUP(L320,'[121]PR (2)'!$A$12:$AQ$253,12,FALSE)</f>
        <v>#N/A</v>
      </c>
      <c r="S320" s="1010">
        <v>20</v>
      </c>
      <c r="T320" s="1011"/>
      <c r="U320" s="1133"/>
      <c r="V320" s="1012"/>
      <c r="AA320" s="1039"/>
      <c r="AB320" s="1039"/>
      <c r="AC320" s="1039"/>
      <c r="AD320" s="1039"/>
      <c r="AE320" s="1039"/>
      <c r="AF320" s="1039"/>
      <c r="AG320" s="1039"/>
      <c r="AH320" s="1040"/>
      <c r="AI320" s="1040"/>
      <c r="AJ320" s="1040"/>
      <c r="AL320" s="1092"/>
      <c r="AM320" s="1039"/>
    </row>
    <row r="321" spans="1:39" s="1010" customFormat="1">
      <c r="A321" s="1106">
        <f t="shared" si="58"/>
        <v>38</v>
      </c>
      <c r="B321" s="1107" t="s">
        <v>2691</v>
      </c>
      <c r="C321" s="1131"/>
      <c r="D321" s="374" t="s">
        <v>2587</v>
      </c>
      <c r="E321" s="1136">
        <v>20</v>
      </c>
      <c r="F321" s="1136"/>
      <c r="G321" s="1112">
        <f>+$G$281/E321</f>
        <v>8.9586000000000006</v>
      </c>
      <c r="H321" s="1112"/>
      <c r="I321" s="1112"/>
      <c r="J321" s="1112">
        <v>31200</v>
      </c>
      <c r="K321" s="1112">
        <f t="shared" si="56"/>
        <v>279508.32</v>
      </c>
      <c r="L321" s="1132" t="s">
        <v>2689</v>
      </c>
      <c r="M321" s="1059" t="e">
        <f>+VLOOKUP(L321,'[121]PR (2)'!$A$12:$M$253,13,FALSE)</f>
        <v>#N/A</v>
      </c>
      <c r="N321" s="1059" t="e">
        <f>+VLOOKUP(L321,'[121]PR (2)'!$A$12:$AQ$253,12,FALSE)</f>
        <v>#N/A</v>
      </c>
      <c r="S321" s="1010">
        <v>20</v>
      </c>
      <c r="T321" s="1011"/>
      <c r="U321" s="1133"/>
      <c r="V321" s="1012"/>
      <c r="AA321" s="1039"/>
      <c r="AB321" s="1039"/>
      <c r="AC321" s="1039"/>
      <c r="AD321" s="1039"/>
      <c r="AE321" s="1039"/>
      <c r="AF321" s="1039"/>
      <c r="AG321" s="1039"/>
      <c r="AH321" s="1040"/>
      <c r="AI321" s="1040"/>
      <c r="AJ321" s="1040"/>
      <c r="AL321" s="1092"/>
      <c r="AM321" s="1039"/>
    </row>
    <row r="322" spans="1:39" s="1010" customFormat="1">
      <c r="A322" s="1106">
        <f t="shared" si="58"/>
        <v>39</v>
      </c>
      <c r="B322" s="1107" t="s">
        <v>2692</v>
      </c>
      <c r="C322" s="1131"/>
      <c r="D322" s="374" t="s">
        <v>2587</v>
      </c>
      <c r="E322" s="1136">
        <v>20</v>
      </c>
      <c r="F322" s="1136"/>
      <c r="G322" s="1112">
        <f>+$G$281/E322</f>
        <v>8.9586000000000006</v>
      </c>
      <c r="H322" s="1112"/>
      <c r="I322" s="1112"/>
      <c r="J322" s="1112">
        <v>31200</v>
      </c>
      <c r="K322" s="1112">
        <f t="shared" si="56"/>
        <v>279508.32</v>
      </c>
      <c r="L322" s="1132" t="s">
        <v>2689</v>
      </c>
      <c r="M322" s="1059" t="e">
        <f>+VLOOKUP(L322,'[121]PR (2)'!$A$12:$M$253,13,FALSE)</f>
        <v>#N/A</v>
      </c>
      <c r="N322" s="1059" t="e">
        <f>+VLOOKUP(L322,'[121]PR (2)'!$A$12:$AQ$253,12,FALSE)</f>
        <v>#N/A</v>
      </c>
      <c r="S322" s="1010">
        <v>20</v>
      </c>
      <c r="T322" s="1011"/>
      <c r="U322" s="1133"/>
      <c r="V322" s="1012"/>
      <c r="AA322" s="1039"/>
      <c r="AB322" s="1039"/>
      <c r="AC322" s="1039"/>
      <c r="AD322" s="1039"/>
      <c r="AE322" s="1039"/>
      <c r="AF322" s="1039"/>
      <c r="AG322" s="1039"/>
      <c r="AH322" s="1040"/>
      <c r="AI322" s="1040"/>
      <c r="AJ322" s="1040"/>
      <c r="AL322" s="1092"/>
      <c r="AM322" s="1039"/>
    </row>
    <row r="323" spans="1:39" s="1010" customFormat="1">
      <c r="A323" s="1106">
        <f t="shared" si="58"/>
        <v>40</v>
      </c>
      <c r="B323" s="1107" t="s">
        <v>2693</v>
      </c>
      <c r="C323" s="1131"/>
      <c r="D323" s="374" t="s">
        <v>2587</v>
      </c>
      <c r="E323" s="1136">
        <v>10</v>
      </c>
      <c r="F323" s="1136"/>
      <c r="G323" s="1112">
        <f>+$G$281/E323</f>
        <v>17.917200000000001</v>
      </c>
      <c r="H323" s="1112"/>
      <c r="I323" s="1112"/>
      <c r="J323" s="1112">
        <v>18500</v>
      </c>
      <c r="K323" s="1112">
        <f t="shared" si="56"/>
        <v>331468.2</v>
      </c>
      <c r="L323" s="1132" t="s">
        <v>2694</v>
      </c>
      <c r="M323" s="1059" t="e">
        <f>+VLOOKUP(L323,'[121]PR (2)'!$A$12:$M$253,13,FALSE)</f>
        <v>#N/A</v>
      </c>
      <c r="N323" s="1059" t="e">
        <f>+VLOOKUP(L323,'[121]PR (2)'!$A$12:$AQ$253,12,FALSE)</f>
        <v>#N/A</v>
      </c>
      <c r="S323" s="1010">
        <v>10</v>
      </c>
      <c r="T323" s="1011"/>
      <c r="U323" s="1133"/>
      <c r="V323" s="1012"/>
      <c r="AA323" s="1039"/>
      <c r="AB323" s="1039"/>
      <c r="AC323" s="1039"/>
      <c r="AD323" s="1039"/>
      <c r="AE323" s="1039"/>
      <c r="AF323" s="1039"/>
      <c r="AG323" s="1039"/>
      <c r="AH323" s="1040"/>
      <c r="AI323" s="1040"/>
      <c r="AJ323" s="1040"/>
      <c r="AL323" s="1092"/>
      <c r="AM323" s="1039"/>
    </row>
    <row r="324" spans="1:39" s="1010" customFormat="1">
      <c r="A324" s="1106">
        <f t="shared" si="58"/>
        <v>41</v>
      </c>
      <c r="B324" s="1107" t="s">
        <v>2695</v>
      </c>
      <c r="C324" s="1131"/>
      <c r="D324" s="374" t="s">
        <v>2683</v>
      </c>
      <c r="E324" s="1136">
        <v>10</v>
      </c>
      <c r="F324" s="1136"/>
      <c r="G324" s="1112">
        <f>+S285/E324</f>
        <v>0</v>
      </c>
      <c r="H324" s="1112"/>
      <c r="I324" s="1112"/>
      <c r="J324" s="1112">
        <v>5310000</v>
      </c>
      <c r="K324" s="1112">
        <f t="shared" si="56"/>
        <v>0</v>
      </c>
      <c r="L324" s="1132" t="s">
        <v>2694</v>
      </c>
      <c r="M324" s="1059" t="e">
        <f>+VLOOKUP(L324,'[121]PR (2)'!$A$12:$M$253,13,FALSE)</f>
        <v>#N/A</v>
      </c>
      <c r="N324" s="1059" t="e">
        <f>+VLOOKUP(L324,'[121]PR (2)'!$A$12:$AQ$253,12,FALSE)</f>
        <v>#N/A</v>
      </c>
      <c r="S324" s="1010">
        <v>10</v>
      </c>
      <c r="T324" s="1011"/>
      <c r="U324" s="1133"/>
      <c r="V324" s="1012"/>
      <c r="AA324" s="1039"/>
      <c r="AB324" s="1039"/>
      <c r="AC324" s="1039"/>
      <c r="AD324" s="1039"/>
      <c r="AE324" s="1039"/>
      <c r="AF324" s="1039"/>
      <c r="AG324" s="1039"/>
      <c r="AH324" s="1040"/>
      <c r="AI324" s="1040"/>
      <c r="AJ324" s="1040"/>
      <c r="AL324" s="1092"/>
      <c r="AM324" s="1039"/>
    </row>
    <row r="325" spans="1:39" s="1010" customFormat="1">
      <c r="A325" s="1106">
        <f t="shared" si="58"/>
        <v>42</v>
      </c>
      <c r="B325" s="1107" t="s">
        <v>2696</v>
      </c>
      <c r="C325" s="1131"/>
      <c r="D325" s="374" t="s">
        <v>2587</v>
      </c>
      <c r="E325" s="1136">
        <v>1</v>
      </c>
      <c r="F325" s="1136"/>
      <c r="G325" s="1112">
        <f t="shared" ref="G325:G326" si="60">+$G$281/E325</f>
        <v>179.172</v>
      </c>
      <c r="H325" s="1112"/>
      <c r="I325" s="1112"/>
      <c r="J325" s="1112">
        <v>19300</v>
      </c>
      <c r="K325" s="1112">
        <f t="shared" si="56"/>
        <v>3458019.6</v>
      </c>
      <c r="L325" s="1132" t="s">
        <v>2697</v>
      </c>
      <c r="M325" s="1059" t="e">
        <f>+VLOOKUP(L325,'[121]PR (2)'!$A$12:$M$253,13,FALSE)</f>
        <v>#N/A</v>
      </c>
      <c r="N325" s="1059" t="e">
        <f>+VLOOKUP(L325,'[121]PR (2)'!$A$12:$AQ$253,12,FALSE)</f>
        <v>#N/A</v>
      </c>
      <c r="S325" s="1010">
        <v>1</v>
      </c>
      <c r="T325" s="1011"/>
      <c r="U325" s="1133"/>
      <c r="V325" s="1012"/>
      <c r="AA325" s="1039"/>
      <c r="AB325" s="1039"/>
      <c r="AC325" s="1039"/>
      <c r="AD325" s="1039"/>
      <c r="AE325" s="1039"/>
      <c r="AF325" s="1039"/>
      <c r="AG325" s="1039"/>
      <c r="AH325" s="1040"/>
      <c r="AI325" s="1040"/>
      <c r="AJ325" s="1040"/>
      <c r="AL325" s="1092"/>
      <c r="AM325" s="1039"/>
    </row>
    <row r="326" spans="1:39" s="1010" customFormat="1">
      <c r="A326" s="1106">
        <f t="shared" si="58"/>
        <v>43</v>
      </c>
      <c r="B326" s="1107" t="s">
        <v>2698</v>
      </c>
      <c r="C326" s="1131"/>
      <c r="D326" s="374" t="s">
        <v>2587</v>
      </c>
      <c r="E326" s="1136">
        <v>50</v>
      </c>
      <c r="F326" s="1136"/>
      <c r="G326" s="1112">
        <f t="shared" si="60"/>
        <v>3.58344</v>
      </c>
      <c r="H326" s="1112"/>
      <c r="I326" s="1112"/>
      <c r="J326" s="1112">
        <v>93400</v>
      </c>
      <c r="K326" s="1112">
        <f t="shared" ref="K326:K335" si="61">J326*G326</f>
        <v>334693.29599999997</v>
      </c>
      <c r="L326" s="1132" t="s">
        <v>2699</v>
      </c>
      <c r="M326" s="1059" t="e">
        <f>+VLOOKUP(L326,'[121]PR (2)'!$A$12:$M$253,13,FALSE)</f>
        <v>#N/A</v>
      </c>
      <c r="N326" s="1059" t="e">
        <f>+VLOOKUP(L326,'[121]PR (2)'!$A$12:$AQ$253,12,FALSE)</f>
        <v>#N/A</v>
      </c>
      <c r="S326" s="1010">
        <v>50</v>
      </c>
      <c r="T326" s="1011"/>
      <c r="U326" s="1133"/>
      <c r="V326" s="1012"/>
      <c r="AA326" s="1039"/>
      <c r="AB326" s="1039"/>
      <c r="AC326" s="1039"/>
      <c r="AD326" s="1039"/>
      <c r="AE326" s="1039"/>
      <c r="AF326" s="1039"/>
      <c r="AG326" s="1039"/>
      <c r="AH326" s="1040"/>
      <c r="AI326" s="1040"/>
      <c r="AJ326" s="1040"/>
      <c r="AL326" s="1092"/>
      <c r="AM326" s="1039"/>
    </row>
    <row r="327" spans="1:39" s="1010" customFormat="1">
      <c r="A327" s="1106">
        <f t="shared" si="58"/>
        <v>44</v>
      </c>
      <c r="B327" s="1107" t="s">
        <v>2700</v>
      </c>
      <c r="C327" s="1131"/>
      <c r="D327" s="374" t="s">
        <v>2587</v>
      </c>
      <c r="E327" s="1136">
        <v>50</v>
      </c>
      <c r="F327" s="1136"/>
      <c r="G327" s="1112">
        <f t="shared" ref="G327:G332" si="62">+$G$283/E327</f>
        <v>82.8</v>
      </c>
      <c r="H327" s="1112"/>
      <c r="I327" s="1112"/>
      <c r="J327" s="1112">
        <v>6000</v>
      </c>
      <c r="K327" s="1112">
        <f t="shared" si="61"/>
        <v>496800</v>
      </c>
      <c r="L327" s="1132" t="s">
        <v>2701</v>
      </c>
      <c r="M327" s="1059" t="e">
        <f>+VLOOKUP(L327,'[121]PR (2)'!$A$12:$M$253,13,FALSE)</f>
        <v>#N/A</v>
      </c>
      <c r="N327" s="1059" t="e">
        <f>+VLOOKUP(L327,'[121]PR (2)'!$A$12:$AQ$253,12,FALSE)</f>
        <v>#N/A</v>
      </c>
      <c r="S327" s="1010">
        <v>50</v>
      </c>
      <c r="T327" s="1011"/>
      <c r="U327" s="1133"/>
      <c r="V327" s="1012"/>
      <c r="AA327" s="1039"/>
      <c r="AB327" s="1039"/>
      <c r="AC327" s="1039"/>
      <c r="AD327" s="1039"/>
      <c r="AE327" s="1039"/>
      <c r="AF327" s="1039"/>
      <c r="AG327" s="1039"/>
      <c r="AH327" s="1040"/>
      <c r="AI327" s="1040"/>
      <c r="AJ327" s="1040"/>
      <c r="AL327" s="1092"/>
      <c r="AM327" s="1039"/>
    </row>
    <row r="328" spans="1:39" s="1010" customFormat="1">
      <c r="A328" s="1106">
        <f t="shared" si="58"/>
        <v>45</v>
      </c>
      <c r="B328" s="1107" t="s">
        <v>2702</v>
      </c>
      <c r="C328" s="1131"/>
      <c r="D328" s="374" t="s">
        <v>2587</v>
      </c>
      <c r="E328" s="1136">
        <v>100</v>
      </c>
      <c r="F328" s="1136"/>
      <c r="G328" s="1112">
        <f t="shared" si="62"/>
        <v>41.4</v>
      </c>
      <c r="H328" s="1112"/>
      <c r="I328" s="1112"/>
      <c r="J328" s="1112">
        <v>2600</v>
      </c>
      <c r="K328" s="1112">
        <f t="shared" si="61"/>
        <v>107640</v>
      </c>
      <c r="L328" s="1132" t="s">
        <v>2703</v>
      </c>
      <c r="M328" s="1059" t="e">
        <f>+VLOOKUP(L328,'[121]PR (2)'!$A$12:$M$253,13,FALSE)</f>
        <v>#N/A</v>
      </c>
      <c r="N328" s="1059" t="e">
        <f>+VLOOKUP(L328,'[121]PR (2)'!$A$12:$AQ$253,12,FALSE)</f>
        <v>#N/A</v>
      </c>
      <c r="S328" s="1010">
        <v>100</v>
      </c>
      <c r="T328" s="1011"/>
      <c r="U328" s="1133"/>
      <c r="V328" s="1012"/>
      <c r="AA328" s="1039"/>
      <c r="AB328" s="1039"/>
      <c r="AC328" s="1039"/>
      <c r="AD328" s="1039"/>
      <c r="AE328" s="1039"/>
      <c r="AF328" s="1039"/>
      <c r="AG328" s="1039"/>
      <c r="AH328" s="1040"/>
      <c r="AI328" s="1040"/>
      <c r="AJ328" s="1040"/>
      <c r="AL328" s="1092"/>
      <c r="AM328" s="1039"/>
    </row>
    <row r="329" spans="1:39" s="1010" customFormat="1">
      <c r="A329" s="1106">
        <f t="shared" si="58"/>
        <v>46</v>
      </c>
      <c r="B329" s="1107" t="s">
        <v>2704</v>
      </c>
      <c r="C329" s="1131"/>
      <c r="D329" s="374" t="s">
        <v>2587</v>
      </c>
      <c r="E329" s="1136">
        <v>50</v>
      </c>
      <c r="F329" s="1136"/>
      <c r="G329" s="1112">
        <f t="shared" si="62"/>
        <v>82.8</v>
      </c>
      <c r="H329" s="1112"/>
      <c r="I329" s="1112"/>
      <c r="J329" s="1112">
        <v>1900</v>
      </c>
      <c r="K329" s="1112">
        <f t="shared" si="61"/>
        <v>157320</v>
      </c>
      <c r="L329" s="1132" t="s">
        <v>2705</v>
      </c>
      <c r="M329" s="1059" t="e">
        <f>+VLOOKUP(L329,'[121]PR (2)'!$A$12:$M$253,13,FALSE)</f>
        <v>#N/A</v>
      </c>
      <c r="N329" s="1059" t="e">
        <f>+VLOOKUP(L329,'[121]PR (2)'!$A$12:$AQ$253,12,FALSE)</f>
        <v>#N/A</v>
      </c>
      <c r="S329" s="1010">
        <v>50</v>
      </c>
      <c r="T329" s="1011"/>
      <c r="U329" s="1133"/>
      <c r="V329" s="1012"/>
      <c r="AA329" s="1039"/>
      <c r="AB329" s="1039"/>
      <c r="AC329" s="1039"/>
      <c r="AD329" s="1039"/>
      <c r="AE329" s="1039"/>
      <c r="AF329" s="1039"/>
      <c r="AG329" s="1039"/>
      <c r="AH329" s="1040"/>
      <c r="AI329" s="1040"/>
      <c r="AJ329" s="1040"/>
      <c r="AL329" s="1092"/>
      <c r="AM329" s="1039"/>
    </row>
    <row r="330" spans="1:39" s="1010" customFormat="1">
      <c r="A330" s="1106">
        <f t="shared" si="58"/>
        <v>47</v>
      </c>
      <c r="B330" s="1107" t="s">
        <v>2706</v>
      </c>
      <c r="C330" s="1131"/>
      <c r="D330" s="374" t="s">
        <v>2587</v>
      </c>
      <c r="E330" s="1136">
        <v>150</v>
      </c>
      <c r="F330" s="1136"/>
      <c r="G330" s="1112">
        <f t="shared" si="62"/>
        <v>27.6</v>
      </c>
      <c r="H330" s="1112"/>
      <c r="I330" s="1112"/>
      <c r="J330" s="1112">
        <v>26300</v>
      </c>
      <c r="K330" s="1112">
        <f t="shared" si="61"/>
        <v>725880</v>
      </c>
      <c r="L330" s="1132" t="s">
        <v>2707</v>
      </c>
      <c r="M330" s="1059" t="e">
        <f>+VLOOKUP(L330,'[121]PR (2)'!$A$12:$M$253,13,FALSE)</f>
        <v>#N/A</v>
      </c>
      <c r="N330" s="1059" t="e">
        <f>+VLOOKUP(L330,'[121]PR (2)'!$A$12:$AQ$253,12,FALSE)</f>
        <v>#N/A</v>
      </c>
      <c r="S330" s="1010">
        <v>150</v>
      </c>
      <c r="T330" s="1011"/>
      <c r="U330" s="1133"/>
      <c r="V330" s="1012"/>
      <c r="AA330" s="1039"/>
      <c r="AB330" s="1039"/>
      <c r="AC330" s="1039"/>
      <c r="AD330" s="1039"/>
      <c r="AE330" s="1039"/>
      <c r="AF330" s="1039"/>
      <c r="AG330" s="1039"/>
      <c r="AH330" s="1040"/>
      <c r="AI330" s="1040"/>
      <c r="AJ330" s="1040"/>
      <c r="AL330" s="1092"/>
      <c r="AM330" s="1039"/>
    </row>
    <row r="331" spans="1:39" s="1010" customFormat="1">
      <c r="A331" s="1106">
        <f t="shared" si="58"/>
        <v>48</v>
      </c>
      <c r="B331" s="1107" t="s">
        <v>2708</v>
      </c>
      <c r="C331" s="1131"/>
      <c r="D331" s="374" t="s">
        <v>2587</v>
      </c>
      <c r="E331" s="1136">
        <v>150</v>
      </c>
      <c r="F331" s="1136"/>
      <c r="G331" s="1112">
        <f t="shared" si="62"/>
        <v>27.6</v>
      </c>
      <c r="H331" s="1112"/>
      <c r="I331" s="1112"/>
      <c r="J331" s="1112">
        <v>9400</v>
      </c>
      <c r="K331" s="1112">
        <f t="shared" si="61"/>
        <v>259440</v>
      </c>
      <c r="L331" s="1132" t="s">
        <v>2707</v>
      </c>
      <c r="M331" s="1059" t="e">
        <f>+VLOOKUP(L331,'[121]PR (2)'!$A$12:$M$253,13,FALSE)</f>
        <v>#N/A</v>
      </c>
      <c r="N331" s="1059" t="e">
        <f>+VLOOKUP(L331,'[121]PR (2)'!$A$12:$AQ$253,12,FALSE)</f>
        <v>#N/A</v>
      </c>
      <c r="S331" s="1010">
        <v>150</v>
      </c>
      <c r="T331" s="1011"/>
      <c r="U331" s="1133"/>
      <c r="V331" s="1012"/>
      <c r="AA331" s="1039"/>
      <c r="AB331" s="1039"/>
      <c r="AC331" s="1039"/>
      <c r="AD331" s="1039"/>
      <c r="AE331" s="1039"/>
      <c r="AF331" s="1039"/>
      <c r="AG331" s="1039"/>
      <c r="AH331" s="1040"/>
      <c r="AI331" s="1040"/>
      <c r="AJ331" s="1040"/>
      <c r="AL331" s="1092"/>
      <c r="AM331" s="1039"/>
    </row>
    <row r="332" spans="1:39" s="1010" customFormat="1">
      <c r="A332" s="1106">
        <f t="shared" si="58"/>
        <v>49</v>
      </c>
      <c r="B332" s="1107" t="s">
        <v>2709</v>
      </c>
      <c r="C332" s="1131"/>
      <c r="D332" s="374" t="s">
        <v>2587</v>
      </c>
      <c r="E332" s="1136">
        <v>300</v>
      </c>
      <c r="F332" s="1136"/>
      <c r="G332" s="1112">
        <f t="shared" si="62"/>
        <v>13.8</v>
      </c>
      <c r="H332" s="1112"/>
      <c r="I332" s="1112"/>
      <c r="J332" s="1112">
        <v>12000</v>
      </c>
      <c r="K332" s="1112">
        <f t="shared" si="61"/>
        <v>165600</v>
      </c>
      <c r="L332" s="1132" t="s">
        <v>2710</v>
      </c>
      <c r="M332" s="1059" t="e">
        <f>+VLOOKUP(L332,'[121]PR (2)'!$A$12:$M$253,13,FALSE)</f>
        <v>#N/A</v>
      </c>
      <c r="N332" s="1059" t="e">
        <f>+VLOOKUP(L332,'[121]PR (2)'!$A$12:$AQ$253,12,FALSE)</f>
        <v>#N/A</v>
      </c>
      <c r="S332" s="1010">
        <v>300</v>
      </c>
      <c r="T332" s="1011" t="s">
        <v>2711</v>
      </c>
      <c r="U332" s="1133"/>
      <c r="V332" s="1012"/>
      <c r="AA332" s="1039"/>
      <c r="AB332" s="1039"/>
      <c r="AC332" s="1039"/>
      <c r="AD332" s="1039"/>
      <c r="AE332" s="1039"/>
      <c r="AF332" s="1039"/>
      <c r="AG332" s="1039"/>
      <c r="AH332" s="1040"/>
      <c r="AI332" s="1040"/>
      <c r="AJ332" s="1040"/>
      <c r="AL332" s="1092"/>
      <c r="AM332" s="1039"/>
    </row>
    <row r="333" spans="1:39" s="1010" customFormat="1">
      <c r="A333" s="1106">
        <f t="shared" si="58"/>
        <v>50</v>
      </c>
      <c r="B333" s="1107" t="s">
        <v>2712</v>
      </c>
      <c r="C333" s="1131"/>
      <c r="D333" s="374" t="s">
        <v>2587</v>
      </c>
      <c r="E333" s="1136"/>
      <c r="F333" s="1136"/>
      <c r="G333" s="1112">
        <v>30</v>
      </c>
      <c r="H333" s="1112"/>
      <c r="I333" s="1112"/>
      <c r="J333" s="1112">
        <v>300000</v>
      </c>
      <c r="K333" s="1112">
        <f t="shared" si="61"/>
        <v>9000000</v>
      </c>
      <c r="L333" s="1132"/>
      <c r="M333" s="1059" t="e">
        <f>+VLOOKUP(L333,'[121]PR (2)'!$A$12:$M$253,13,FALSE)</f>
        <v>#N/A</v>
      </c>
      <c r="N333" s="1059" t="e">
        <f>+VLOOKUP(L333,'[121]PR (2)'!$A$12:$AQ$253,12,FALSE)</f>
        <v>#N/A</v>
      </c>
      <c r="S333" s="1010">
        <v>500</v>
      </c>
      <c r="T333" s="1011"/>
      <c r="U333" s="1133"/>
      <c r="V333" s="1012"/>
      <c r="AA333" s="1039"/>
      <c r="AB333" s="1039"/>
      <c r="AC333" s="1039"/>
      <c r="AD333" s="1039"/>
      <c r="AE333" s="1039"/>
      <c r="AF333" s="1039"/>
      <c r="AG333" s="1039"/>
      <c r="AH333" s="1040"/>
      <c r="AI333" s="1040"/>
      <c r="AJ333" s="1040"/>
      <c r="AL333" s="1092"/>
      <c r="AM333" s="1039"/>
    </row>
    <row r="334" spans="1:39" s="1010" customFormat="1">
      <c r="A334" s="1106">
        <f t="shared" si="58"/>
        <v>51</v>
      </c>
      <c r="B334" s="1107" t="s">
        <v>2713</v>
      </c>
      <c r="C334" s="1131"/>
      <c r="D334" s="374" t="s">
        <v>2587</v>
      </c>
      <c r="E334" s="1136"/>
      <c r="F334" s="1136"/>
      <c r="G334" s="1112">
        <v>10</v>
      </c>
      <c r="H334" s="1112"/>
      <c r="I334" s="1112"/>
      <c r="J334" s="1112">
        <v>400000</v>
      </c>
      <c r="K334" s="1112">
        <f t="shared" si="61"/>
        <v>4000000</v>
      </c>
      <c r="L334" s="1188"/>
      <c r="M334" s="1059" t="e">
        <f>+VLOOKUP(L334,'[121]PR (2)'!$A$12:$M$253,13,FALSE)</f>
        <v>#N/A</v>
      </c>
      <c r="N334" s="1059" t="e">
        <f>+VLOOKUP(L334,'[121]PR (2)'!$A$12:$AQ$253,12,FALSE)</f>
        <v>#N/A</v>
      </c>
      <c r="S334" s="1010">
        <v>500</v>
      </c>
      <c r="T334" s="1011"/>
      <c r="U334" s="1133"/>
      <c r="V334" s="1012"/>
      <c r="AA334" s="1039"/>
      <c r="AB334" s="1039"/>
      <c r="AC334" s="1039"/>
      <c r="AD334" s="1039"/>
      <c r="AE334" s="1039"/>
      <c r="AF334" s="1039"/>
      <c r="AG334" s="1039"/>
      <c r="AH334" s="1040"/>
      <c r="AI334" s="1040"/>
      <c r="AJ334" s="1040"/>
      <c r="AL334" s="1092"/>
      <c r="AM334" s="1039"/>
    </row>
    <row r="335" spans="1:39" s="1010" customFormat="1">
      <c r="A335" s="1106">
        <f t="shared" si="58"/>
        <v>52</v>
      </c>
      <c r="B335" s="1107" t="s">
        <v>2714</v>
      </c>
      <c r="C335" s="1131"/>
      <c r="D335" s="374" t="s">
        <v>2587</v>
      </c>
      <c r="E335" s="1136">
        <v>500</v>
      </c>
      <c r="F335" s="1136"/>
      <c r="G335" s="1112">
        <f>+$G$283/E335</f>
        <v>8.2799999999999994</v>
      </c>
      <c r="H335" s="1112"/>
      <c r="I335" s="1112"/>
      <c r="J335" s="1112">
        <v>43500</v>
      </c>
      <c r="K335" s="1112">
        <f t="shared" si="61"/>
        <v>360180</v>
      </c>
      <c r="L335" s="1188" t="s">
        <v>2715</v>
      </c>
      <c r="M335" s="1059" t="e">
        <f>+VLOOKUP(L335,'[121]PR (2)'!$A$12:$M$253,13,FALSE)</f>
        <v>#N/A</v>
      </c>
      <c r="N335" s="1059" t="e">
        <f>+VLOOKUP(L335,'[121]PR (2)'!$A$12:$AQ$253,12,FALSE)</f>
        <v>#N/A</v>
      </c>
      <c r="S335" s="1010">
        <v>500</v>
      </c>
      <c r="T335" s="1011"/>
      <c r="U335" s="1133"/>
      <c r="V335" s="1012"/>
      <c r="AA335" s="1039"/>
      <c r="AB335" s="1039"/>
      <c r="AC335" s="1039"/>
      <c r="AD335" s="1039"/>
      <c r="AE335" s="1039"/>
      <c r="AF335" s="1039"/>
      <c r="AG335" s="1039"/>
      <c r="AH335" s="1040"/>
      <c r="AI335" s="1040"/>
      <c r="AJ335" s="1040"/>
      <c r="AL335" s="1092"/>
      <c r="AM335" s="1039"/>
    </row>
    <row r="336" spans="1:39" s="1010" customFormat="1">
      <c r="A336" s="1106">
        <v>51</v>
      </c>
      <c r="B336" s="1107" t="s">
        <v>2716</v>
      </c>
      <c r="C336" s="1131"/>
      <c r="D336" s="374"/>
      <c r="E336" s="1137">
        <v>0.05</v>
      </c>
      <c r="F336" s="1137"/>
      <c r="G336" s="1110"/>
      <c r="H336" s="1110"/>
      <c r="I336" s="1110"/>
      <c r="J336" s="1112"/>
      <c r="K336" s="1138">
        <f>E336*SUM(K291:K335)</f>
        <v>12649499.58405</v>
      </c>
      <c r="L336" s="1186"/>
      <c r="M336" s="1059" t="e">
        <f>+VLOOKUP(L336,'[121]PR (2)'!$A$12:$M$253,13,FALSE)</f>
        <v>#N/A</v>
      </c>
      <c r="N336" s="1059" t="e">
        <f>+VLOOKUP(L336,'[121]PR (2)'!$A$12:$AQ$253,12,FALSE)</f>
        <v>#N/A</v>
      </c>
      <c r="T336" s="1011"/>
      <c r="U336" s="1133"/>
      <c r="V336" s="1012"/>
      <c r="AA336" s="1039"/>
      <c r="AB336" s="1039"/>
      <c r="AC336" s="1039"/>
      <c r="AD336" s="1039"/>
      <c r="AE336" s="1039"/>
      <c r="AF336" s="1039"/>
      <c r="AG336" s="1039"/>
      <c r="AH336" s="1040"/>
      <c r="AI336" s="1040"/>
      <c r="AJ336" s="1040"/>
      <c r="AL336" s="1092"/>
      <c r="AM336" s="1039"/>
    </row>
    <row r="337" spans="1:39" s="1039" customFormat="1" ht="29.5" customHeight="1">
      <c r="A337" s="1046" t="s">
        <v>2111</v>
      </c>
      <c r="B337" s="1047" t="s">
        <v>2717</v>
      </c>
      <c r="C337" s="1048"/>
      <c r="D337" s="1049" t="s">
        <v>2490</v>
      </c>
      <c r="E337" s="1050"/>
      <c r="F337" s="1050"/>
      <c r="G337" s="1051">
        <f>G281</f>
        <v>179.172</v>
      </c>
      <c r="H337" s="1051"/>
      <c r="I337" s="1051"/>
      <c r="J337" s="1052">
        <f>K337/G337</f>
        <v>2736404.1014332599</v>
      </c>
      <c r="K337" s="1052">
        <f>SUBTOTAL(9,K338:K371)</f>
        <v>490286995.662</v>
      </c>
      <c r="L337" s="1053" t="s">
        <v>2632</v>
      </c>
      <c r="M337" s="1017" t="e">
        <f>+VLOOKUP(L337,'[121]PR (2)'!$A$12:$M$253,13,FALSE)</f>
        <v>#N/A</v>
      </c>
      <c r="N337" s="1017" t="e">
        <f>+VLOOKUP(L337,'[121]PR (2)'!$A$12:$AQ$253,12,FALSE)</f>
        <v>#N/A</v>
      </c>
      <c r="P337" s="1054"/>
      <c r="Q337" s="1054"/>
      <c r="R337" s="1054"/>
      <c r="T337" s="1055" t="s">
        <v>2718</v>
      </c>
      <c r="U337" s="1042"/>
      <c r="V337" s="1042"/>
      <c r="AH337" s="1040"/>
      <c r="AI337" s="1040"/>
      <c r="AJ337" s="1040"/>
      <c r="AL337" s="1056"/>
    </row>
    <row r="338" spans="1:39" s="1141" customFormat="1" ht="18" customHeight="1">
      <c r="A338" s="1119" t="s">
        <v>2634</v>
      </c>
      <c r="B338" s="1120" t="s">
        <v>2719</v>
      </c>
      <c r="C338" s="1120"/>
      <c r="D338" s="1096"/>
      <c r="E338" s="1139"/>
      <c r="F338" s="1139"/>
      <c r="G338" s="1124"/>
      <c r="H338" s="1124"/>
      <c r="I338" s="1124"/>
      <c r="J338" s="1140"/>
      <c r="K338" s="1100">
        <f>SUBTOTAL(9,K339:K349)</f>
        <v>340356000</v>
      </c>
      <c r="L338" s="1186" t="s">
        <v>2720</v>
      </c>
      <c r="M338" s="1059" t="e">
        <f>+VLOOKUP(L338,'[121]PR (2)'!$A$12:$M$253,13,FALSE)</f>
        <v>#N/A</v>
      </c>
      <c r="N338" s="1059" t="e">
        <f>+VLOOKUP(L338,'[121]PR (2)'!$A$12:$AQ$253,12,FALSE)</f>
        <v>#N/A</v>
      </c>
      <c r="S338" s="1142"/>
      <c r="T338" s="1143"/>
      <c r="U338" s="1144"/>
      <c r="V338" s="1145"/>
      <c r="AA338" s="1039"/>
      <c r="AB338" s="1039"/>
      <c r="AC338" s="1039"/>
      <c r="AD338" s="1039"/>
      <c r="AE338" s="1039"/>
      <c r="AF338" s="1039"/>
      <c r="AG338" s="1039"/>
      <c r="AH338" s="1040"/>
      <c r="AI338" s="1040"/>
      <c r="AJ338" s="1040"/>
      <c r="AL338" s="1092"/>
      <c r="AM338" s="1039"/>
    </row>
    <row r="339" spans="1:39" s="1010" customFormat="1">
      <c r="A339" s="1106">
        <v>1</v>
      </c>
      <c r="B339" s="1146" t="s">
        <v>2721</v>
      </c>
      <c r="C339" s="1147" t="s">
        <v>2722</v>
      </c>
      <c r="D339" s="1132" t="s">
        <v>2678</v>
      </c>
      <c r="E339" s="1110"/>
      <c r="F339" s="1110"/>
      <c r="G339" s="1112">
        <v>576</v>
      </c>
      <c r="H339" s="1112"/>
      <c r="I339" s="1112"/>
      <c r="J339" s="1112">
        <v>98000</v>
      </c>
      <c r="K339" s="1112">
        <f t="shared" ref="K339:K370" si="63">+G339*J339</f>
        <v>56448000</v>
      </c>
      <c r="L339" s="1186"/>
      <c r="M339" s="1059" t="e">
        <f>+VLOOKUP(L339,'[121]PR (2)'!$A$12:$M$253,13,FALSE)</f>
        <v>#N/A</v>
      </c>
      <c r="N339" s="1059" t="e">
        <f>+VLOOKUP(L339,'[121]PR (2)'!$A$12:$AQ$253,12,FALSE)</f>
        <v>#N/A</v>
      </c>
      <c r="T339" s="1011"/>
      <c r="U339" s="1133"/>
      <c r="V339" s="1012"/>
      <c r="AA339" s="1039"/>
      <c r="AB339" s="1039"/>
      <c r="AC339" s="1039"/>
      <c r="AD339" s="1039"/>
      <c r="AE339" s="1039"/>
      <c r="AF339" s="1039"/>
      <c r="AG339" s="1039"/>
      <c r="AH339" s="1040"/>
      <c r="AI339" s="1040"/>
      <c r="AJ339" s="1040"/>
      <c r="AL339" s="1092"/>
      <c r="AM339" s="1039"/>
    </row>
    <row r="340" spans="1:39" s="1010" customFormat="1">
      <c r="A340" s="1106">
        <f>+A339+1</f>
        <v>2</v>
      </c>
      <c r="B340" s="1146" t="s">
        <v>2723</v>
      </c>
      <c r="C340" s="1147" t="s">
        <v>2724</v>
      </c>
      <c r="D340" s="1132" t="s">
        <v>2678</v>
      </c>
      <c r="E340" s="1110"/>
      <c r="F340" s="1110"/>
      <c r="G340" s="1112">
        <v>816</v>
      </c>
      <c r="H340" s="1112"/>
      <c r="I340" s="1112"/>
      <c r="J340" s="1112">
        <v>120000</v>
      </c>
      <c r="K340" s="1112">
        <f t="shared" si="63"/>
        <v>97920000</v>
      </c>
      <c r="L340" s="1186"/>
      <c r="M340" s="1059" t="e">
        <f>+VLOOKUP(L340,'[121]PR (2)'!$A$12:$M$253,13,FALSE)</f>
        <v>#N/A</v>
      </c>
      <c r="N340" s="1059" t="e">
        <f>+VLOOKUP(L340,'[121]PR (2)'!$A$12:$AQ$253,12,FALSE)</f>
        <v>#N/A</v>
      </c>
      <c r="T340" s="1011"/>
      <c r="U340" s="1133"/>
      <c r="V340" s="1012"/>
      <c r="AA340" s="1039"/>
      <c r="AB340" s="1039"/>
      <c r="AC340" s="1039"/>
      <c r="AD340" s="1039"/>
      <c r="AE340" s="1039"/>
      <c r="AF340" s="1039"/>
      <c r="AG340" s="1039"/>
      <c r="AH340" s="1040"/>
      <c r="AI340" s="1040"/>
      <c r="AJ340" s="1040"/>
      <c r="AL340" s="1092"/>
      <c r="AM340" s="1039"/>
    </row>
    <row r="341" spans="1:39" s="1010" customFormat="1">
      <c r="A341" s="1106">
        <f t="shared" ref="A341:A349" si="64">+A340+1</f>
        <v>3</v>
      </c>
      <c r="B341" s="1146" t="s">
        <v>2725</v>
      </c>
      <c r="C341" s="1147" t="s">
        <v>2726</v>
      </c>
      <c r="D341" s="1132" t="s">
        <v>2678</v>
      </c>
      <c r="E341" s="1110"/>
      <c r="F341" s="1110"/>
      <c r="G341" s="1112">
        <v>672</v>
      </c>
      <c r="H341" s="1112"/>
      <c r="I341" s="1112"/>
      <c r="J341" s="1112">
        <v>210000</v>
      </c>
      <c r="K341" s="1112">
        <f t="shared" si="63"/>
        <v>141120000</v>
      </c>
      <c r="L341" s="1186"/>
      <c r="M341" s="1059"/>
      <c r="N341" s="1059"/>
      <c r="T341" s="1011"/>
      <c r="U341" s="1133"/>
      <c r="V341" s="1012"/>
      <c r="AA341" s="1039"/>
      <c r="AB341" s="1039"/>
      <c r="AC341" s="1039"/>
      <c r="AD341" s="1039"/>
      <c r="AE341" s="1039"/>
      <c r="AF341" s="1039"/>
      <c r="AG341" s="1039"/>
      <c r="AH341" s="1040"/>
      <c r="AI341" s="1040"/>
      <c r="AJ341" s="1040"/>
      <c r="AL341" s="1092"/>
      <c r="AM341" s="1039"/>
    </row>
    <row r="342" spans="1:39" s="1010" customFormat="1">
      <c r="A342" s="1106">
        <f t="shared" si="64"/>
        <v>4</v>
      </c>
      <c r="B342" s="1146" t="s">
        <v>2727</v>
      </c>
      <c r="C342" s="1147" t="s">
        <v>2724</v>
      </c>
      <c r="D342" s="1132" t="s">
        <v>2678</v>
      </c>
      <c r="E342" s="1110"/>
      <c r="F342" s="1110"/>
      <c r="G342" s="1112">
        <v>12</v>
      </c>
      <c r="H342" s="1112"/>
      <c r="I342" s="1112"/>
      <c r="J342" s="1112">
        <v>320000</v>
      </c>
      <c r="K342" s="1112">
        <f t="shared" si="63"/>
        <v>3840000</v>
      </c>
      <c r="L342" s="1186"/>
      <c r="M342" s="1059"/>
      <c r="N342" s="1059"/>
      <c r="T342" s="1011"/>
      <c r="U342" s="1133"/>
      <c r="V342" s="1012"/>
      <c r="AA342" s="1039"/>
      <c r="AB342" s="1039"/>
      <c r="AC342" s="1039"/>
      <c r="AD342" s="1039"/>
      <c r="AE342" s="1039"/>
      <c r="AF342" s="1039"/>
      <c r="AG342" s="1039"/>
      <c r="AH342" s="1040"/>
      <c r="AI342" s="1040"/>
      <c r="AJ342" s="1040"/>
      <c r="AL342" s="1092"/>
      <c r="AM342" s="1039"/>
    </row>
    <row r="343" spans="1:39" s="1010" customFormat="1">
      <c r="A343" s="1106">
        <f t="shared" si="64"/>
        <v>5</v>
      </c>
      <c r="B343" s="1146" t="s">
        <v>2728</v>
      </c>
      <c r="C343" s="1147" t="s">
        <v>2729</v>
      </c>
      <c r="D343" s="1132" t="s">
        <v>2678</v>
      </c>
      <c r="E343" s="1110"/>
      <c r="F343" s="1110"/>
      <c r="G343" s="1112">
        <v>12</v>
      </c>
      <c r="H343" s="1112"/>
      <c r="I343" s="1112"/>
      <c r="J343" s="1112">
        <v>320000</v>
      </c>
      <c r="K343" s="1112">
        <f t="shared" si="63"/>
        <v>3840000</v>
      </c>
      <c r="L343" s="1186"/>
      <c r="M343" s="1059"/>
      <c r="N343" s="1059"/>
      <c r="T343" s="1011"/>
      <c r="U343" s="1133"/>
      <c r="V343" s="1012"/>
      <c r="AA343" s="1039"/>
      <c r="AB343" s="1039"/>
      <c r="AC343" s="1039"/>
      <c r="AD343" s="1039"/>
      <c r="AE343" s="1039"/>
      <c r="AF343" s="1039"/>
      <c r="AG343" s="1039"/>
      <c r="AH343" s="1040"/>
      <c r="AI343" s="1040"/>
      <c r="AJ343" s="1040"/>
      <c r="AL343" s="1092"/>
      <c r="AM343" s="1039"/>
    </row>
    <row r="344" spans="1:39" s="1010" customFormat="1">
      <c r="A344" s="1106">
        <f t="shared" si="64"/>
        <v>6</v>
      </c>
      <c r="B344" s="1148" t="s">
        <v>2730</v>
      </c>
      <c r="C344" s="1147"/>
      <c r="D344" s="1132" t="s">
        <v>2678</v>
      </c>
      <c r="E344" s="1110"/>
      <c r="F344" s="1110"/>
      <c r="G344" s="1112">
        <v>168</v>
      </c>
      <c r="H344" s="1112"/>
      <c r="I344" s="1112"/>
      <c r="J344" s="1112">
        <v>65000</v>
      </c>
      <c r="K344" s="1112">
        <f t="shared" si="63"/>
        <v>10920000</v>
      </c>
      <c r="L344" s="1186"/>
      <c r="M344" s="1059"/>
      <c r="N344" s="1059"/>
      <c r="T344" s="1011"/>
      <c r="U344" s="1133"/>
      <c r="V344" s="1012"/>
      <c r="AA344" s="1039"/>
      <c r="AB344" s="1039"/>
      <c r="AC344" s="1039"/>
      <c r="AD344" s="1039"/>
      <c r="AE344" s="1039"/>
      <c r="AF344" s="1039"/>
      <c r="AG344" s="1039"/>
      <c r="AH344" s="1040"/>
      <c r="AI344" s="1040"/>
      <c r="AJ344" s="1040"/>
      <c r="AL344" s="1092"/>
      <c r="AM344" s="1039"/>
    </row>
    <row r="345" spans="1:39" s="1010" customFormat="1">
      <c r="A345" s="1106">
        <f t="shared" si="64"/>
        <v>7</v>
      </c>
      <c r="B345" s="1148" t="s">
        <v>2731</v>
      </c>
      <c r="C345" s="1147"/>
      <c r="D345" s="1132" t="s">
        <v>2678</v>
      </c>
      <c r="E345" s="1110"/>
      <c r="F345" s="1110"/>
      <c r="G345" s="1112">
        <v>144</v>
      </c>
      <c r="H345" s="1112"/>
      <c r="I345" s="1112"/>
      <c r="J345" s="1112">
        <v>65000</v>
      </c>
      <c r="K345" s="1112">
        <f t="shared" si="63"/>
        <v>9360000</v>
      </c>
      <c r="L345" s="1186"/>
      <c r="M345" s="1059"/>
      <c r="N345" s="1059"/>
      <c r="T345" s="1011"/>
      <c r="U345" s="1133"/>
      <c r="V345" s="1012"/>
      <c r="AA345" s="1039"/>
      <c r="AB345" s="1039"/>
      <c r="AC345" s="1039"/>
      <c r="AD345" s="1039"/>
      <c r="AE345" s="1039"/>
      <c r="AF345" s="1039"/>
      <c r="AG345" s="1039"/>
      <c r="AH345" s="1040"/>
      <c r="AI345" s="1040"/>
      <c r="AJ345" s="1040"/>
      <c r="AL345" s="1092"/>
      <c r="AM345" s="1039"/>
    </row>
    <row r="346" spans="1:39" s="1010" customFormat="1">
      <c r="A346" s="1106">
        <f t="shared" si="64"/>
        <v>8</v>
      </c>
      <c r="B346" s="1148" t="s">
        <v>2732</v>
      </c>
      <c r="C346" s="1147"/>
      <c r="D346" s="1132" t="s">
        <v>2678</v>
      </c>
      <c r="E346" s="1110"/>
      <c r="F346" s="1110"/>
      <c r="G346" s="1112">
        <v>2.4000000000000004</v>
      </c>
      <c r="H346" s="1112"/>
      <c r="I346" s="1112"/>
      <c r="J346" s="1112">
        <v>65000</v>
      </c>
      <c r="K346" s="1112">
        <f t="shared" si="63"/>
        <v>156000.00000000003</v>
      </c>
      <c r="L346" s="1186"/>
      <c r="M346" s="1059"/>
      <c r="N346" s="1059"/>
      <c r="T346" s="1011"/>
      <c r="U346" s="1133"/>
      <c r="V346" s="1012"/>
      <c r="AA346" s="1039"/>
      <c r="AB346" s="1039"/>
      <c r="AC346" s="1039"/>
      <c r="AD346" s="1039"/>
      <c r="AE346" s="1039"/>
      <c r="AF346" s="1039"/>
      <c r="AG346" s="1039"/>
      <c r="AH346" s="1040"/>
      <c r="AI346" s="1040"/>
      <c r="AJ346" s="1040"/>
      <c r="AL346" s="1092"/>
      <c r="AM346" s="1039"/>
    </row>
    <row r="347" spans="1:39" s="1010" customFormat="1">
      <c r="A347" s="1106">
        <f t="shared" si="64"/>
        <v>9</v>
      </c>
      <c r="B347" s="1146" t="s">
        <v>2733</v>
      </c>
      <c r="C347" s="1147" t="s">
        <v>2734</v>
      </c>
      <c r="D347" s="1132" t="s">
        <v>2678</v>
      </c>
      <c r="E347" s="1110"/>
      <c r="F347" s="1110"/>
      <c r="G347" s="1112">
        <v>48</v>
      </c>
      <c r="H347" s="1112"/>
      <c r="I347" s="1112"/>
      <c r="J347" s="1112">
        <v>180000</v>
      </c>
      <c r="K347" s="1112">
        <f t="shared" si="63"/>
        <v>8640000</v>
      </c>
      <c r="L347" s="1186"/>
      <c r="M347" s="1059"/>
      <c r="N347" s="1059"/>
      <c r="T347" s="1011"/>
      <c r="U347" s="1133"/>
      <c r="V347" s="1012"/>
      <c r="AA347" s="1039"/>
      <c r="AB347" s="1039"/>
      <c r="AC347" s="1039"/>
      <c r="AD347" s="1039"/>
      <c r="AE347" s="1039"/>
      <c r="AF347" s="1039"/>
      <c r="AG347" s="1039"/>
      <c r="AH347" s="1040"/>
      <c r="AI347" s="1040"/>
      <c r="AJ347" s="1040"/>
      <c r="AL347" s="1092"/>
      <c r="AM347" s="1039"/>
    </row>
    <row r="348" spans="1:39" s="1010" customFormat="1">
      <c r="A348" s="1106">
        <f t="shared" si="64"/>
        <v>10</v>
      </c>
      <c r="B348" s="1146" t="s">
        <v>2735</v>
      </c>
      <c r="C348" s="1131"/>
      <c r="D348" s="1132" t="s">
        <v>2678</v>
      </c>
      <c r="E348" s="1110"/>
      <c r="F348" s="1110"/>
      <c r="G348" s="1112">
        <v>4.8000000000000007</v>
      </c>
      <c r="H348" s="1112"/>
      <c r="I348" s="1112"/>
      <c r="J348" s="1112">
        <v>65000</v>
      </c>
      <c r="K348" s="1112">
        <f t="shared" si="63"/>
        <v>312000.00000000006</v>
      </c>
      <c r="L348" s="1186"/>
      <c r="M348" s="1059"/>
      <c r="N348" s="1059"/>
      <c r="T348" s="1011"/>
      <c r="U348" s="1133"/>
      <c r="V348" s="1012"/>
      <c r="AA348" s="1039"/>
      <c r="AB348" s="1039"/>
      <c r="AC348" s="1039"/>
      <c r="AD348" s="1039"/>
      <c r="AE348" s="1039"/>
      <c r="AF348" s="1039"/>
      <c r="AG348" s="1039"/>
      <c r="AH348" s="1040"/>
      <c r="AI348" s="1040"/>
      <c r="AJ348" s="1040"/>
      <c r="AL348" s="1092"/>
      <c r="AM348" s="1039"/>
    </row>
    <row r="349" spans="1:39" s="1010" customFormat="1">
      <c r="A349" s="1106">
        <f t="shared" si="64"/>
        <v>11</v>
      </c>
      <c r="B349" s="1146" t="s">
        <v>2736</v>
      </c>
      <c r="C349" s="1131"/>
      <c r="D349" s="1132" t="s">
        <v>2678</v>
      </c>
      <c r="E349" s="1110"/>
      <c r="F349" s="1110"/>
      <c r="G349" s="1112">
        <v>120</v>
      </c>
      <c r="H349" s="1112"/>
      <c r="I349" s="1112"/>
      <c r="J349" s="1112">
        <v>65000</v>
      </c>
      <c r="K349" s="1112">
        <f t="shared" si="63"/>
        <v>7800000</v>
      </c>
      <c r="L349" s="1186"/>
      <c r="M349" s="1059"/>
      <c r="N349" s="1059"/>
      <c r="T349" s="1011"/>
      <c r="U349" s="1133"/>
      <c r="V349" s="1012"/>
      <c r="AA349" s="1039"/>
      <c r="AB349" s="1039"/>
      <c r="AC349" s="1039"/>
      <c r="AD349" s="1039"/>
      <c r="AE349" s="1039"/>
      <c r="AF349" s="1039"/>
      <c r="AG349" s="1039"/>
      <c r="AH349" s="1040"/>
      <c r="AI349" s="1040"/>
      <c r="AJ349" s="1040"/>
      <c r="AL349" s="1092"/>
      <c r="AM349" s="1039"/>
    </row>
    <row r="350" spans="1:39" s="1126" customFormat="1">
      <c r="A350" s="1119" t="s">
        <v>2647</v>
      </c>
      <c r="B350" s="1120" t="s">
        <v>2648</v>
      </c>
      <c r="C350" s="1149"/>
      <c r="D350" s="1122"/>
      <c r="E350" s="1150"/>
      <c r="F350" s="1150"/>
      <c r="G350" s="1124"/>
      <c r="H350" s="1124"/>
      <c r="I350" s="1124"/>
      <c r="J350" s="1140"/>
      <c r="K350" s="1100">
        <f>SUBTOTAL(9,K351:K371)</f>
        <v>149930995.662</v>
      </c>
      <c r="L350" s="1100"/>
      <c r="M350" s="1059" t="e">
        <f>+VLOOKUP(L350,'[121]PR (2)'!$A$12:$M$253,13,FALSE)</f>
        <v>#N/A</v>
      </c>
      <c r="N350" s="1059" t="e">
        <f>+VLOOKUP(L350,'[121]PR (2)'!$A$12:$AQ$253,12,FALSE)</f>
        <v>#N/A</v>
      </c>
      <c r="T350" s="1128"/>
      <c r="U350" s="1151"/>
      <c r="V350" s="1129"/>
      <c r="AA350" s="1039"/>
      <c r="AB350" s="1039"/>
      <c r="AC350" s="1039"/>
      <c r="AD350" s="1039"/>
      <c r="AE350" s="1039"/>
      <c r="AF350" s="1039"/>
      <c r="AG350" s="1039"/>
      <c r="AH350" s="1040"/>
      <c r="AI350" s="1040"/>
      <c r="AJ350" s="1040"/>
      <c r="AL350" s="1092"/>
      <c r="AM350" s="1039"/>
    </row>
    <row r="351" spans="1:39" s="1010" customFormat="1" ht="30" customHeight="1">
      <c r="A351" s="1106">
        <f>+A349+1</f>
        <v>12</v>
      </c>
      <c r="B351" s="1130" t="s">
        <v>1748</v>
      </c>
      <c r="C351" s="1131"/>
      <c r="D351" s="1132" t="s">
        <v>2620</v>
      </c>
      <c r="E351" s="1110">
        <v>0.4</v>
      </c>
      <c r="F351" s="1110"/>
      <c r="G351" s="1112">
        <f>+S351*E351</f>
        <v>1576.7136</v>
      </c>
      <c r="H351" s="1112"/>
      <c r="I351" s="1112"/>
      <c r="J351" s="1112">
        <v>27000</v>
      </c>
      <c r="K351" s="1112">
        <f t="shared" si="63"/>
        <v>42571267.200000003</v>
      </c>
      <c r="L351" s="1186" t="str">
        <f>+S351&amp;" "&amp;T351</f>
        <v>3941.784 m2 làm sạch</v>
      </c>
      <c r="M351" s="1059" t="e">
        <f>+VLOOKUP(L351,'[121]PR (2)'!$A$12:$M$253,13,FALSE)</f>
        <v>#N/A</v>
      </c>
      <c r="N351" s="1059" t="e">
        <f>+VLOOKUP(L351,'[121]PR (2)'!$A$12:$AQ$253,12,FALSE)</f>
        <v>#N/A</v>
      </c>
      <c r="S351" s="1010">
        <v>3941.7840000000001</v>
      </c>
      <c r="T351" s="1011" t="s">
        <v>2737</v>
      </c>
      <c r="U351" s="1133"/>
      <c r="V351" s="1012"/>
      <c r="AA351" s="1039"/>
      <c r="AB351" s="1039"/>
      <c r="AC351" s="1039"/>
      <c r="AD351" s="1039"/>
      <c r="AE351" s="1039"/>
      <c r="AF351" s="1039"/>
      <c r="AG351" s="1039"/>
      <c r="AH351" s="1040"/>
      <c r="AI351" s="1040"/>
      <c r="AJ351" s="1040"/>
      <c r="AL351" s="1092"/>
      <c r="AM351" s="1039"/>
    </row>
    <row r="352" spans="1:39" s="1010" customFormat="1">
      <c r="A352" s="1106">
        <f t="shared" ref="A352:A371" si="65">A351+1</f>
        <v>13</v>
      </c>
      <c r="B352" s="1130" t="s">
        <v>2738</v>
      </c>
      <c r="C352" s="1131"/>
      <c r="D352" s="1132" t="s">
        <v>2587</v>
      </c>
      <c r="E352" s="1110">
        <v>5.0309402827388446E-2</v>
      </c>
      <c r="F352" s="1110"/>
      <c r="G352" s="1112">
        <f>ROUND(E352*$G$337,0)</f>
        <v>9</v>
      </c>
      <c r="H352" s="1112"/>
      <c r="I352" s="1112"/>
      <c r="J352" s="1112">
        <v>1600000</v>
      </c>
      <c r="K352" s="1112">
        <f t="shared" si="63"/>
        <v>14400000</v>
      </c>
      <c r="L352" s="1186"/>
      <c r="M352" s="1059" t="e">
        <f>+VLOOKUP(L352,'[121]PR (2)'!$A$12:$M$253,13,FALSE)</f>
        <v>#N/A</v>
      </c>
      <c r="N352" s="1059" t="e">
        <f>+VLOOKUP(L352,'[121]PR (2)'!$A$12:$AQ$253,12,FALSE)</f>
        <v>#N/A</v>
      </c>
      <c r="T352" s="1011"/>
      <c r="U352" s="1133"/>
      <c r="V352" s="1012"/>
      <c r="AA352" s="1039"/>
      <c r="AB352" s="1039"/>
      <c r="AC352" s="1039"/>
      <c r="AD352" s="1039"/>
      <c r="AE352" s="1039"/>
      <c r="AF352" s="1039"/>
      <c r="AG352" s="1039"/>
      <c r="AH352" s="1040"/>
      <c r="AI352" s="1040"/>
      <c r="AJ352" s="1040"/>
      <c r="AL352" s="1092"/>
      <c r="AM352" s="1039"/>
    </row>
    <row r="353" spans="1:39" s="1010" customFormat="1">
      <c r="A353" s="1106">
        <f t="shared" si="65"/>
        <v>14</v>
      </c>
      <c r="B353" s="1130" t="s">
        <v>2739</v>
      </c>
      <c r="C353" s="1131"/>
      <c r="D353" s="1132" t="s">
        <v>2740</v>
      </c>
      <c r="E353" s="1109">
        <v>2.5154701413694223E-2</v>
      </c>
      <c r="F353" s="1109"/>
      <c r="G353" s="1112">
        <f t="shared" ref="G353:G361" si="66">ROUND(E353*$G$337,0)</f>
        <v>5</v>
      </c>
      <c r="H353" s="1112"/>
      <c r="I353" s="1112"/>
      <c r="J353" s="1112">
        <v>800000</v>
      </c>
      <c r="K353" s="1112">
        <f t="shared" si="63"/>
        <v>4000000</v>
      </c>
      <c r="L353" s="1186"/>
      <c r="M353" s="1059" t="e">
        <f>+VLOOKUP(L353,'[121]PR (2)'!$A$12:$M$253,13,FALSE)</f>
        <v>#N/A</v>
      </c>
      <c r="N353" s="1059" t="e">
        <f>+VLOOKUP(L353,'[121]PR (2)'!$A$12:$AQ$253,12,FALSE)</f>
        <v>#N/A</v>
      </c>
      <c r="T353" s="1011"/>
      <c r="U353" s="1133"/>
      <c r="V353" s="1012"/>
      <c r="AA353" s="1039"/>
      <c r="AB353" s="1039"/>
      <c r="AC353" s="1039"/>
      <c r="AD353" s="1039"/>
      <c r="AE353" s="1039"/>
      <c r="AF353" s="1039"/>
      <c r="AG353" s="1039"/>
      <c r="AH353" s="1040"/>
      <c r="AI353" s="1040"/>
      <c r="AJ353" s="1040"/>
      <c r="AL353" s="1092"/>
      <c r="AM353" s="1039"/>
    </row>
    <row r="354" spans="1:39" s="1010" customFormat="1">
      <c r="A354" s="1106">
        <f t="shared" si="65"/>
        <v>15</v>
      </c>
      <c r="B354" s="1130" t="s">
        <v>2741</v>
      </c>
      <c r="C354" s="1131"/>
      <c r="D354" s="1132" t="s">
        <v>2740</v>
      </c>
      <c r="E354" s="1109">
        <v>0.1257735070684711</v>
      </c>
      <c r="F354" s="1109"/>
      <c r="G354" s="1112">
        <f t="shared" si="66"/>
        <v>23</v>
      </c>
      <c r="H354" s="1112"/>
      <c r="I354" s="1112"/>
      <c r="J354" s="1112">
        <v>40000</v>
      </c>
      <c r="K354" s="1112">
        <f t="shared" si="63"/>
        <v>920000</v>
      </c>
      <c r="L354" s="1186"/>
      <c r="M354" s="1059" t="e">
        <f>+VLOOKUP(L354,'[121]PR (2)'!$A$12:$M$253,13,FALSE)</f>
        <v>#N/A</v>
      </c>
      <c r="N354" s="1059" t="e">
        <f>+VLOOKUP(L354,'[121]PR (2)'!$A$12:$AQ$253,12,FALSE)</f>
        <v>#N/A</v>
      </c>
      <c r="T354" s="1011"/>
      <c r="U354" s="1133"/>
      <c r="V354" s="1012"/>
      <c r="AA354" s="1039"/>
      <c r="AB354" s="1039"/>
      <c r="AC354" s="1039"/>
      <c r="AD354" s="1039"/>
      <c r="AE354" s="1039"/>
      <c r="AF354" s="1039"/>
      <c r="AG354" s="1039"/>
      <c r="AH354" s="1040"/>
      <c r="AI354" s="1040"/>
      <c r="AJ354" s="1040"/>
      <c r="AL354" s="1092"/>
      <c r="AM354" s="1039"/>
    </row>
    <row r="355" spans="1:39" s="1010" customFormat="1">
      <c r="A355" s="1106">
        <f t="shared" si="65"/>
        <v>16</v>
      </c>
      <c r="B355" s="1130" t="s">
        <v>2742</v>
      </c>
      <c r="C355" s="1131"/>
      <c r="D355" s="1132" t="s">
        <v>2587</v>
      </c>
      <c r="E355" s="1109">
        <v>2.5154701413694223E-2</v>
      </c>
      <c r="F355" s="1109"/>
      <c r="G355" s="1112">
        <f t="shared" si="66"/>
        <v>5</v>
      </c>
      <c r="H355" s="1112"/>
      <c r="I355" s="1112"/>
      <c r="J355" s="1112">
        <v>2500000</v>
      </c>
      <c r="K355" s="1112">
        <f t="shared" si="63"/>
        <v>12500000</v>
      </c>
      <c r="L355" s="1186"/>
      <c r="M355" s="1059" t="e">
        <f>+VLOOKUP(L355,'[121]PR (2)'!$A$12:$M$253,13,FALSE)</f>
        <v>#N/A</v>
      </c>
      <c r="N355" s="1059" t="e">
        <f>+VLOOKUP(L355,'[121]PR (2)'!$A$12:$AQ$253,12,FALSE)</f>
        <v>#N/A</v>
      </c>
      <c r="T355" s="1011"/>
      <c r="U355" s="1133"/>
      <c r="V355" s="1012"/>
      <c r="AA355" s="1039"/>
      <c r="AB355" s="1039"/>
      <c r="AC355" s="1039"/>
      <c r="AD355" s="1039"/>
      <c r="AE355" s="1039"/>
      <c r="AF355" s="1039"/>
      <c r="AG355" s="1039"/>
      <c r="AH355" s="1040"/>
      <c r="AI355" s="1040"/>
      <c r="AJ355" s="1040"/>
      <c r="AL355" s="1092"/>
      <c r="AM355" s="1039"/>
    </row>
    <row r="356" spans="1:39" s="1010" customFormat="1">
      <c r="A356" s="1106">
        <f t="shared" si="65"/>
        <v>17</v>
      </c>
      <c r="B356" s="1130" t="s">
        <v>2743</v>
      </c>
      <c r="C356" s="1131"/>
      <c r="D356" s="1132" t="s">
        <v>2587</v>
      </c>
      <c r="E356" s="1109">
        <v>0.1257735070684711</v>
      </c>
      <c r="F356" s="1109"/>
      <c r="G356" s="1112">
        <f t="shared" si="66"/>
        <v>23</v>
      </c>
      <c r="H356" s="1112"/>
      <c r="I356" s="1112"/>
      <c r="J356" s="1112">
        <v>400000</v>
      </c>
      <c r="K356" s="1112">
        <f t="shared" si="63"/>
        <v>9200000</v>
      </c>
      <c r="L356" s="1186"/>
      <c r="M356" s="1059" t="e">
        <f>+VLOOKUP(L356,'[121]PR (2)'!$A$12:$M$253,13,FALSE)</f>
        <v>#N/A</v>
      </c>
      <c r="N356" s="1059" t="e">
        <f>+VLOOKUP(L356,'[121]PR (2)'!$A$12:$AQ$253,12,FALSE)</f>
        <v>#N/A</v>
      </c>
      <c r="T356" s="1011"/>
      <c r="U356" s="1133"/>
      <c r="V356" s="1012"/>
      <c r="AA356" s="1039"/>
      <c r="AB356" s="1039"/>
      <c r="AC356" s="1039"/>
      <c r="AD356" s="1039"/>
      <c r="AE356" s="1039"/>
      <c r="AF356" s="1039"/>
      <c r="AG356" s="1039"/>
      <c r="AH356" s="1040"/>
      <c r="AI356" s="1040"/>
      <c r="AJ356" s="1040"/>
      <c r="AL356" s="1092"/>
      <c r="AM356" s="1039"/>
    </row>
    <row r="357" spans="1:39" s="1010" customFormat="1">
      <c r="A357" s="1106">
        <f t="shared" si="65"/>
        <v>18</v>
      </c>
      <c r="B357" s="1130" t="s">
        <v>2744</v>
      </c>
      <c r="C357" s="1131"/>
      <c r="D357" s="1132" t="s">
        <v>2740</v>
      </c>
      <c r="E357" s="1109">
        <v>0.1257735070684711</v>
      </c>
      <c r="F357" s="1109"/>
      <c r="G357" s="1112">
        <f t="shared" si="66"/>
        <v>23</v>
      </c>
      <c r="H357" s="1112"/>
      <c r="I357" s="1112"/>
      <c r="J357" s="1112">
        <v>350000</v>
      </c>
      <c r="K357" s="1112">
        <f t="shared" si="63"/>
        <v>8050000</v>
      </c>
      <c r="L357" s="1186"/>
      <c r="M357" s="1059" t="e">
        <f>+VLOOKUP(L357,'[121]PR (2)'!$A$12:$M$253,13,FALSE)</f>
        <v>#N/A</v>
      </c>
      <c r="N357" s="1059" t="e">
        <f>+VLOOKUP(L357,'[121]PR (2)'!$A$12:$AQ$253,12,FALSE)</f>
        <v>#N/A</v>
      </c>
      <c r="T357" s="1011"/>
      <c r="U357" s="1133"/>
      <c r="V357" s="1012"/>
      <c r="AA357" s="1039"/>
      <c r="AB357" s="1039"/>
      <c r="AC357" s="1039"/>
      <c r="AD357" s="1039"/>
      <c r="AE357" s="1039"/>
      <c r="AF357" s="1039"/>
      <c r="AG357" s="1039"/>
      <c r="AH357" s="1040"/>
      <c r="AI357" s="1040"/>
      <c r="AJ357" s="1040"/>
      <c r="AL357" s="1092"/>
      <c r="AM357" s="1039"/>
    </row>
    <row r="358" spans="1:39" s="1010" customFormat="1">
      <c r="A358" s="1106">
        <f t="shared" si="65"/>
        <v>19</v>
      </c>
      <c r="B358" s="1130" t="s">
        <v>2745</v>
      </c>
      <c r="C358" s="1131"/>
      <c r="D358" s="1132" t="s">
        <v>2746</v>
      </c>
      <c r="E358" s="1109">
        <v>1.51547014136942E-2</v>
      </c>
      <c r="F358" s="1109"/>
      <c r="G358" s="1112">
        <f t="shared" si="66"/>
        <v>3</v>
      </c>
      <c r="H358" s="1112"/>
      <c r="I358" s="1112"/>
      <c r="J358" s="1112">
        <v>5000000</v>
      </c>
      <c r="K358" s="1112">
        <f t="shared" si="63"/>
        <v>15000000</v>
      </c>
      <c r="L358" s="1186"/>
      <c r="M358" s="1059" t="e">
        <f>+VLOOKUP(L358,'[121]PR (2)'!$A$12:$M$253,13,FALSE)</f>
        <v>#N/A</v>
      </c>
      <c r="N358" s="1059" t="e">
        <f>+VLOOKUP(L358,'[121]PR (2)'!$A$12:$AQ$253,12,FALSE)</f>
        <v>#N/A</v>
      </c>
      <c r="T358" s="1011"/>
      <c r="U358" s="1133"/>
      <c r="V358" s="1012"/>
      <c r="AA358" s="1039"/>
      <c r="AB358" s="1039"/>
      <c r="AC358" s="1039"/>
      <c r="AD358" s="1039"/>
      <c r="AE358" s="1039"/>
      <c r="AF358" s="1039"/>
      <c r="AG358" s="1039"/>
      <c r="AH358" s="1040"/>
      <c r="AI358" s="1040"/>
      <c r="AJ358" s="1040"/>
      <c r="AL358" s="1092"/>
      <c r="AM358" s="1039"/>
    </row>
    <row r="359" spans="1:39" s="1010" customFormat="1">
      <c r="A359" s="1106">
        <f t="shared" si="65"/>
        <v>20</v>
      </c>
      <c r="B359" s="1130" t="s">
        <v>2747</v>
      </c>
      <c r="C359" s="1131"/>
      <c r="D359" s="1132" t="s">
        <v>2587</v>
      </c>
      <c r="E359" s="1109">
        <v>2.5154701413694198E-2</v>
      </c>
      <c r="F359" s="1109"/>
      <c r="G359" s="1112">
        <f t="shared" si="66"/>
        <v>5</v>
      </c>
      <c r="H359" s="1112"/>
      <c r="I359" s="1112"/>
      <c r="J359" s="1112">
        <v>1000000</v>
      </c>
      <c r="K359" s="1112">
        <f t="shared" si="63"/>
        <v>5000000</v>
      </c>
      <c r="L359" s="1186"/>
      <c r="M359" s="1059" t="e">
        <f>+VLOOKUP(L359,'[121]PR (2)'!$A$12:$M$253,13,FALSE)</f>
        <v>#N/A</v>
      </c>
      <c r="N359" s="1059" t="e">
        <f>+VLOOKUP(L359,'[121]PR (2)'!$A$12:$AQ$253,12,FALSE)</f>
        <v>#N/A</v>
      </c>
      <c r="T359" s="1011"/>
      <c r="U359" s="1133"/>
      <c r="V359" s="1012"/>
      <c r="AA359" s="1039"/>
      <c r="AB359" s="1039"/>
      <c r="AC359" s="1039"/>
      <c r="AD359" s="1039"/>
      <c r="AE359" s="1039"/>
      <c r="AF359" s="1039"/>
      <c r="AG359" s="1039"/>
      <c r="AH359" s="1040"/>
      <c r="AI359" s="1040"/>
      <c r="AJ359" s="1040"/>
      <c r="AL359" s="1092"/>
      <c r="AM359" s="1039"/>
    </row>
    <row r="360" spans="1:39" s="1010" customFormat="1">
      <c r="A360" s="1106">
        <f t="shared" si="65"/>
        <v>21</v>
      </c>
      <c r="B360" s="1130" t="s">
        <v>2748</v>
      </c>
      <c r="C360" s="1131"/>
      <c r="D360" s="1132" t="s">
        <v>2587</v>
      </c>
      <c r="E360" s="1109">
        <v>0.1257735070684711</v>
      </c>
      <c r="F360" s="1109"/>
      <c r="G360" s="1112">
        <f t="shared" si="66"/>
        <v>23</v>
      </c>
      <c r="H360" s="1112"/>
      <c r="I360" s="1112"/>
      <c r="J360" s="1112">
        <v>80000</v>
      </c>
      <c r="K360" s="1112">
        <f t="shared" si="63"/>
        <v>1840000</v>
      </c>
      <c r="L360" s="1186"/>
      <c r="M360" s="1059" t="e">
        <f>+VLOOKUP(L360,'[121]PR (2)'!$A$12:$M$253,13,FALSE)</f>
        <v>#N/A</v>
      </c>
      <c r="N360" s="1059" t="e">
        <f>+VLOOKUP(L360,'[121]PR (2)'!$A$12:$AQ$253,12,FALSE)</f>
        <v>#N/A</v>
      </c>
      <c r="T360" s="1011"/>
      <c r="U360" s="1133"/>
      <c r="V360" s="1012"/>
      <c r="AA360" s="1039"/>
      <c r="AB360" s="1039"/>
      <c r="AC360" s="1039"/>
      <c r="AD360" s="1039"/>
      <c r="AE360" s="1039"/>
      <c r="AF360" s="1039"/>
      <c r="AG360" s="1039"/>
      <c r="AH360" s="1040"/>
      <c r="AI360" s="1040"/>
      <c r="AJ360" s="1040"/>
      <c r="AL360" s="1092"/>
      <c r="AM360" s="1039"/>
    </row>
    <row r="361" spans="1:39" s="1010" customFormat="1">
      <c r="A361" s="1106">
        <f t="shared" si="65"/>
        <v>22</v>
      </c>
      <c r="B361" s="1130" t="s">
        <v>2749</v>
      </c>
      <c r="C361" s="1131"/>
      <c r="D361" s="1132" t="s">
        <v>2587</v>
      </c>
      <c r="E361" s="1109">
        <v>0.1257735070684711</v>
      </c>
      <c r="F361" s="1109"/>
      <c r="G361" s="1112">
        <f t="shared" si="66"/>
        <v>23</v>
      </c>
      <c r="H361" s="1112"/>
      <c r="I361" s="1112"/>
      <c r="J361" s="1112">
        <v>120000</v>
      </c>
      <c r="K361" s="1112">
        <f t="shared" si="63"/>
        <v>2760000</v>
      </c>
      <c r="L361" s="1186"/>
      <c r="M361" s="1059" t="e">
        <f>+VLOOKUP(L361,'[121]PR (2)'!$A$12:$M$253,13,FALSE)</f>
        <v>#N/A</v>
      </c>
      <c r="N361" s="1059" t="e">
        <f>+VLOOKUP(L361,'[121]PR (2)'!$A$12:$AQ$253,12,FALSE)</f>
        <v>#N/A</v>
      </c>
      <c r="T361" s="1011"/>
      <c r="U361" s="1133"/>
      <c r="V361" s="1012"/>
      <c r="AA361" s="1039"/>
      <c r="AB361" s="1039"/>
      <c r="AC361" s="1039"/>
      <c r="AD361" s="1039"/>
      <c r="AE361" s="1039"/>
      <c r="AF361" s="1039"/>
      <c r="AG361" s="1039"/>
      <c r="AH361" s="1040"/>
      <c r="AI361" s="1040"/>
      <c r="AJ361" s="1040"/>
      <c r="AL361" s="1092"/>
      <c r="AM361" s="1039"/>
    </row>
    <row r="362" spans="1:39" s="1010" customFormat="1">
      <c r="A362" s="1106">
        <f t="shared" si="65"/>
        <v>23</v>
      </c>
      <c r="B362" s="1130" t="s">
        <v>2750</v>
      </c>
      <c r="C362" s="1131"/>
      <c r="D362" s="1132" t="s">
        <v>2587</v>
      </c>
      <c r="E362" s="1109"/>
      <c r="F362" s="1109"/>
      <c r="G362" s="1112">
        <f>S351/S362</f>
        <v>197.08920000000001</v>
      </c>
      <c r="H362" s="1112"/>
      <c r="I362" s="1112"/>
      <c r="J362" s="1112">
        <v>5000</v>
      </c>
      <c r="K362" s="1112">
        <f t="shared" si="63"/>
        <v>985446</v>
      </c>
      <c r="L362" s="1188" t="s">
        <v>2751</v>
      </c>
      <c r="M362" s="1059" t="e">
        <f>+VLOOKUP(L362,'[121]PR (2)'!$A$12:$M$253,13,FALSE)</f>
        <v>#N/A</v>
      </c>
      <c r="N362" s="1059" t="e">
        <f>+VLOOKUP(L362,'[121]PR (2)'!$A$12:$AQ$253,12,FALSE)</f>
        <v>#N/A</v>
      </c>
      <c r="S362" s="1010">
        <v>20</v>
      </c>
      <c r="T362" s="1011"/>
      <c r="U362" s="1133"/>
      <c r="V362" s="1012"/>
      <c r="AA362" s="1039"/>
      <c r="AB362" s="1039"/>
      <c r="AC362" s="1039"/>
      <c r="AD362" s="1039"/>
      <c r="AE362" s="1039"/>
      <c r="AF362" s="1039"/>
      <c r="AG362" s="1039"/>
      <c r="AH362" s="1040"/>
      <c r="AI362" s="1040"/>
      <c r="AJ362" s="1040"/>
      <c r="AL362" s="1092"/>
      <c r="AM362" s="1039"/>
    </row>
    <row r="363" spans="1:39" s="1010" customFormat="1">
      <c r="A363" s="1106">
        <f t="shared" si="65"/>
        <v>24</v>
      </c>
      <c r="B363" s="1130" t="s">
        <v>2752</v>
      </c>
      <c r="C363" s="1131"/>
      <c r="D363" s="1132" t="s">
        <v>2587</v>
      </c>
      <c r="E363" s="1109"/>
      <c r="F363" s="1109"/>
      <c r="G363" s="1112">
        <f>S351/S363</f>
        <v>197.08920000000001</v>
      </c>
      <c r="H363" s="1112"/>
      <c r="I363" s="1112"/>
      <c r="J363" s="1112">
        <v>6200</v>
      </c>
      <c r="K363" s="1112">
        <f t="shared" si="63"/>
        <v>1221953.04</v>
      </c>
      <c r="L363" s="1188" t="s">
        <v>2751</v>
      </c>
      <c r="M363" s="1059" t="e">
        <f>+VLOOKUP(L363,'[121]PR (2)'!$A$12:$M$253,13,FALSE)</f>
        <v>#N/A</v>
      </c>
      <c r="N363" s="1059" t="e">
        <f>+VLOOKUP(L363,'[121]PR (2)'!$A$12:$AQ$253,12,FALSE)</f>
        <v>#N/A</v>
      </c>
      <c r="S363" s="1010">
        <v>20</v>
      </c>
      <c r="T363" s="1011"/>
      <c r="U363" s="1133"/>
      <c r="V363" s="1012"/>
      <c r="AA363" s="1039"/>
      <c r="AB363" s="1039"/>
      <c r="AC363" s="1039"/>
      <c r="AD363" s="1039"/>
      <c r="AE363" s="1039"/>
      <c r="AF363" s="1039"/>
      <c r="AG363" s="1039"/>
      <c r="AH363" s="1040"/>
      <c r="AI363" s="1040"/>
      <c r="AJ363" s="1040"/>
      <c r="AL363" s="1092"/>
      <c r="AM363" s="1039"/>
    </row>
    <row r="364" spans="1:39" s="1010" customFormat="1">
      <c r="A364" s="1106">
        <f t="shared" si="65"/>
        <v>25</v>
      </c>
      <c r="B364" s="1130" t="s">
        <v>2753</v>
      </c>
      <c r="C364" s="1131"/>
      <c r="D364" s="1132" t="s">
        <v>2587</v>
      </c>
      <c r="E364" s="1109"/>
      <c r="F364" s="1109"/>
      <c r="G364" s="1112">
        <f>S351/S364</f>
        <v>98.544600000000003</v>
      </c>
      <c r="H364" s="1112"/>
      <c r="I364" s="1112"/>
      <c r="J364" s="1112">
        <v>5000</v>
      </c>
      <c r="K364" s="1112">
        <f t="shared" si="63"/>
        <v>492723</v>
      </c>
      <c r="L364" s="1188" t="s">
        <v>2754</v>
      </c>
      <c r="M364" s="1059" t="e">
        <f>+VLOOKUP(L364,'[121]PR (2)'!$A$12:$M$253,13,FALSE)</f>
        <v>#N/A</v>
      </c>
      <c r="N364" s="1059" t="e">
        <f>+VLOOKUP(L364,'[121]PR (2)'!$A$12:$AQ$253,12,FALSE)</f>
        <v>#N/A</v>
      </c>
      <c r="S364" s="1010">
        <v>40</v>
      </c>
      <c r="T364" s="1011"/>
      <c r="U364" s="1133"/>
      <c r="V364" s="1012"/>
      <c r="AA364" s="1039"/>
      <c r="AB364" s="1039"/>
      <c r="AC364" s="1039"/>
      <c r="AD364" s="1039"/>
      <c r="AE364" s="1039"/>
      <c r="AF364" s="1039"/>
      <c r="AG364" s="1039"/>
      <c r="AH364" s="1040"/>
      <c r="AI364" s="1040"/>
      <c r="AJ364" s="1040"/>
      <c r="AL364" s="1092"/>
      <c r="AM364" s="1039"/>
    </row>
    <row r="365" spans="1:39" s="1010" customFormat="1">
      <c r="A365" s="1106">
        <f t="shared" si="65"/>
        <v>26</v>
      </c>
      <c r="B365" s="1130" t="s">
        <v>2755</v>
      </c>
      <c r="C365" s="1131"/>
      <c r="D365" s="1132" t="s">
        <v>2587</v>
      </c>
      <c r="E365" s="1109"/>
      <c r="F365" s="1109"/>
      <c r="G365" s="1112">
        <f>S351/S365</f>
        <v>197.08920000000001</v>
      </c>
      <c r="H365" s="1112"/>
      <c r="I365" s="1112"/>
      <c r="J365" s="1112">
        <v>6000</v>
      </c>
      <c r="K365" s="1112">
        <f t="shared" si="63"/>
        <v>1182535.2</v>
      </c>
      <c r="L365" s="1188" t="s">
        <v>2751</v>
      </c>
      <c r="M365" s="1059" t="e">
        <f>+VLOOKUP(L365,'[121]PR (2)'!$A$12:$M$253,13,FALSE)</f>
        <v>#N/A</v>
      </c>
      <c r="N365" s="1059" t="e">
        <f>+VLOOKUP(L365,'[121]PR (2)'!$A$12:$AQ$253,12,FALSE)</f>
        <v>#N/A</v>
      </c>
      <c r="S365" s="1010">
        <v>20</v>
      </c>
      <c r="T365" s="1011"/>
      <c r="U365" s="1133"/>
      <c r="V365" s="1012"/>
      <c r="AA365" s="1039"/>
      <c r="AB365" s="1039"/>
      <c r="AC365" s="1039"/>
      <c r="AD365" s="1039"/>
      <c r="AE365" s="1039"/>
      <c r="AF365" s="1039"/>
      <c r="AG365" s="1039"/>
      <c r="AH365" s="1040"/>
      <c r="AI365" s="1040"/>
      <c r="AJ365" s="1040"/>
      <c r="AL365" s="1092"/>
      <c r="AM365" s="1039"/>
    </row>
    <row r="366" spans="1:39" s="1010" customFormat="1">
      <c r="A366" s="1106">
        <f t="shared" si="65"/>
        <v>27</v>
      </c>
      <c r="B366" s="1130" t="s">
        <v>2756</v>
      </c>
      <c r="C366" s="1131"/>
      <c r="D366" s="1132" t="s">
        <v>2587</v>
      </c>
      <c r="E366" s="1109">
        <v>0.20154701413694201</v>
      </c>
      <c r="F366" s="1109"/>
      <c r="G366" s="1112">
        <f t="shared" ref="G366:G368" si="67">ROUND(E366*$G$337,0)</f>
        <v>36</v>
      </c>
      <c r="H366" s="1112"/>
      <c r="I366" s="1112"/>
      <c r="J366" s="1112">
        <v>170000</v>
      </c>
      <c r="K366" s="1112">
        <f t="shared" si="63"/>
        <v>6120000</v>
      </c>
      <c r="L366" s="1186"/>
      <c r="M366" s="1059" t="e">
        <f>+VLOOKUP(L366,'[121]PR (2)'!$A$12:$M$253,13,FALSE)</f>
        <v>#N/A</v>
      </c>
      <c r="N366" s="1059" t="e">
        <f>+VLOOKUP(L366,'[121]PR (2)'!$A$12:$AQ$253,12,FALSE)</f>
        <v>#N/A</v>
      </c>
      <c r="T366" s="1011"/>
      <c r="U366" s="1133"/>
      <c r="V366" s="1012"/>
      <c r="AA366" s="1039"/>
      <c r="AB366" s="1039"/>
      <c r="AC366" s="1039"/>
      <c r="AD366" s="1039"/>
      <c r="AE366" s="1039"/>
      <c r="AF366" s="1039"/>
      <c r="AG366" s="1039"/>
      <c r="AH366" s="1040"/>
      <c r="AI366" s="1040"/>
      <c r="AJ366" s="1040"/>
      <c r="AL366" s="1092"/>
      <c r="AM366" s="1039"/>
    </row>
    <row r="367" spans="1:39" s="1010" customFormat="1">
      <c r="A367" s="1106">
        <f t="shared" si="65"/>
        <v>28</v>
      </c>
      <c r="B367" s="1130" t="s">
        <v>2757</v>
      </c>
      <c r="C367" s="1131"/>
      <c r="D367" s="1132" t="s">
        <v>1725</v>
      </c>
      <c r="E367" s="1109">
        <v>1.5092820848216533</v>
      </c>
      <c r="F367" s="1109"/>
      <c r="G367" s="1112">
        <f t="shared" si="67"/>
        <v>270</v>
      </c>
      <c r="H367" s="1112"/>
      <c r="I367" s="1112"/>
      <c r="J367" s="1112">
        <v>7000</v>
      </c>
      <c r="K367" s="1112">
        <f t="shared" si="63"/>
        <v>1890000</v>
      </c>
      <c r="L367" s="1186"/>
      <c r="M367" s="1059" t="e">
        <f>+VLOOKUP(L367,'[121]PR (2)'!$A$12:$M$253,13,FALSE)</f>
        <v>#N/A</v>
      </c>
      <c r="N367" s="1059" t="e">
        <f>+VLOOKUP(L367,'[121]PR (2)'!$A$12:$AQ$253,12,FALSE)</f>
        <v>#N/A</v>
      </c>
      <c r="T367" s="1011"/>
      <c r="U367" s="1133"/>
      <c r="V367" s="1012"/>
      <c r="AA367" s="1039"/>
      <c r="AB367" s="1039"/>
      <c r="AC367" s="1039"/>
      <c r="AD367" s="1039"/>
      <c r="AE367" s="1039"/>
      <c r="AF367" s="1039"/>
      <c r="AG367" s="1039"/>
      <c r="AH367" s="1040"/>
      <c r="AI367" s="1040"/>
      <c r="AJ367" s="1040"/>
      <c r="AL367" s="1092"/>
      <c r="AM367" s="1039"/>
    </row>
    <row r="368" spans="1:39" s="1010" customFormat="1">
      <c r="A368" s="1106">
        <f t="shared" si="65"/>
        <v>29</v>
      </c>
      <c r="B368" s="1130" t="s">
        <v>2758</v>
      </c>
      <c r="C368" s="1131"/>
      <c r="D368" s="1132" t="s">
        <v>2759</v>
      </c>
      <c r="E368" s="1109">
        <v>2.0154701413694198</v>
      </c>
      <c r="F368" s="1109"/>
      <c r="G368" s="1112">
        <f t="shared" si="67"/>
        <v>361</v>
      </c>
      <c r="H368" s="1112"/>
      <c r="I368" s="1112"/>
      <c r="J368" s="1112">
        <v>20000</v>
      </c>
      <c r="K368" s="1112">
        <f t="shared" si="63"/>
        <v>7220000</v>
      </c>
      <c r="L368" s="1186"/>
      <c r="M368" s="1059" t="e">
        <f>+VLOOKUP(L368,'[121]PR (2)'!$A$12:$M$253,13,FALSE)</f>
        <v>#N/A</v>
      </c>
      <c r="N368" s="1059" t="e">
        <f>+VLOOKUP(L368,'[121]PR (2)'!$A$12:$AQ$253,12,FALSE)</f>
        <v>#N/A</v>
      </c>
      <c r="T368" s="1011"/>
      <c r="U368" s="1133"/>
      <c r="V368" s="1012"/>
      <c r="AA368" s="1039"/>
      <c r="AB368" s="1039"/>
      <c r="AC368" s="1039"/>
      <c r="AD368" s="1039"/>
      <c r="AE368" s="1039"/>
      <c r="AF368" s="1039"/>
      <c r="AG368" s="1039"/>
      <c r="AH368" s="1040"/>
      <c r="AI368" s="1040"/>
      <c r="AJ368" s="1040"/>
      <c r="AL368" s="1092"/>
      <c r="AM368" s="1039"/>
    </row>
    <row r="369" spans="1:39" s="1010" customFormat="1">
      <c r="A369" s="1106">
        <f t="shared" si="65"/>
        <v>30</v>
      </c>
      <c r="B369" s="1130" t="s">
        <v>2760</v>
      </c>
      <c r="C369" s="1131"/>
      <c r="D369" s="1132" t="s">
        <v>2587</v>
      </c>
      <c r="E369" s="1109"/>
      <c r="F369" s="1109"/>
      <c r="G369" s="1112">
        <f>35000/40</f>
        <v>875</v>
      </c>
      <c r="H369" s="1112"/>
      <c r="I369" s="1112"/>
      <c r="J369" s="1112">
        <v>3500</v>
      </c>
      <c r="K369" s="1112">
        <f t="shared" si="63"/>
        <v>3062500</v>
      </c>
      <c r="L369" s="1188" t="s">
        <v>2754</v>
      </c>
      <c r="M369" s="1059" t="e">
        <f>+VLOOKUP(L369,'[121]PR (2)'!$A$12:$M$253,13,FALSE)</f>
        <v>#N/A</v>
      </c>
      <c r="N369" s="1059" t="e">
        <f>+VLOOKUP(L369,'[121]PR (2)'!$A$12:$AQ$253,12,FALSE)</f>
        <v>#N/A</v>
      </c>
      <c r="S369" s="1010">
        <v>20</v>
      </c>
      <c r="T369" s="1011"/>
      <c r="U369" s="1133"/>
      <c r="V369" s="1012"/>
      <c r="AA369" s="1039"/>
      <c r="AB369" s="1039"/>
      <c r="AC369" s="1039"/>
      <c r="AD369" s="1039"/>
      <c r="AE369" s="1039"/>
      <c r="AF369" s="1039"/>
      <c r="AG369" s="1039"/>
      <c r="AH369" s="1040"/>
      <c r="AI369" s="1040"/>
      <c r="AJ369" s="1040"/>
      <c r="AL369" s="1092"/>
      <c r="AM369" s="1039"/>
    </row>
    <row r="370" spans="1:39" s="1010" customFormat="1">
      <c r="A370" s="1106">
        <f t="shared" si="65"/>
        <v>31</v>
      </c>
      <c r="B370" s="1130" t="s">
        <v>2761</v>
      </c>
      <c r="C370" s="1131"/>
      <c r="D370" s="1132" t="s">
        <v>2587</v>
      </c>
      <c r="E370" s="1109"/>
      <c r="F370" s="1109"/>
      <c r="G370" s="1112">
        <f>35000/40</f>
        <v>875</v>
      </c>
      <c r="H370" s="1112"/>
      <c r="I370" s="1112"/>
      <c r="J370" s="1112">
        <v>5000</v>
      </c>
      <c r="K370" s="1112">
        <f t="shared" si="63"/>
        <v>4375000</v>
      </c>
      <c r="L370" s="1188" t="s">
        <v>2754</v>
      </c>
      <c r="M370" s="1059" t="e">
        <f>+VLOOKUP(L370,'[121]PR (2)'!$A$12:$M$253,13,FALSE)</f>
        <v>#N/A</v>
      </c>
      <c r="N370" s="1059" t="e">
        <f>+VLOOKUP(L370,'[121]PR (2)'!$A$12:$AQ$253,12,FALSE)</f>
        <v>#N/A</v>
      </c>
      <c r="S370" s="1010">
        <v>40</v>
      </c>
      <c r="T370" s="1011"/>
      <c r="U370" s="1133"/>
      <c r="V370" s="1012"/>
      <c r="AA370" s="1039"/>
      <c r="AB370" s="1039"/>
      <c r="AC370" s="1039"/>
      <c r="AD370" s="1039"/>
      <c r="AE370" s="1039"/>
      <c r="AF370" s="1039"/>
      <c r="AG370" s="1039"/>
      <c r="AH370" s="1040"/>
      <c r="AI370" s="1040"/>
      <c r="AJ370" s="1040"/>
      <c r="AL370" s="1092"/>
      <c r="AM370" s="1039"/>
    </row>
    <row r="371" spans="1:39" s="1010" customFormat="1">
      <c r="A371" s="1106">
        <f t="shared" si="65"/>
        <v>32</v>
      </c>
      <c r="B371" s="1130" t="s">
        <v>2762</v>
      </c>
      <c r="C371" s="1131"/>
      <c r="D371" s="1132" t="s">
        <v>2683</v>
      </c>
      <c r="E371" s="1152">
        <v>0.05</v>
      </c>
      <c r="F371" s="1152"/>
      <c r="G371" s="1112"/>
      <c r="H371" s="1112"/>
      <c r="I371" s="1112"/>
      <c r="J371" s="1112"/>
      <c r="K371" s="1112">
        <f>SUM(K351:K370)*E371</f>
        <v>7139571.2220000001</v>
      </c>
      <c r="L371" s="1186"/>
      <c r="M371" s="1059" t="e">
        <f>+VLOOKUP(L371,'[121]PR (2)'!$A$12:$M$253,13,FALSE)</f>
        <v>#N/A</v>
      </c>
      <c r="N371" s="1059" t="e">
        <f>+VLOOKUP(L371,'[121]PR (2)'!$A$12:$AQ$253,12,FALSE)</f>
        <v>#N/A</v>
      </c>
      <c r="S371" s="1010">
        <v>20</v>
      </c>
      <c r="T371" s="1011"/>
      <c r="U371" s="1133"/>
      <c r="V371" s="1012"/>
      <c r="AA371" s="1039"/>
      <c r="AB371" s="1039"/>
      <c r="AC371" s="1039"/>
      <c r="AD371" s="1039"/>
      <c r="AE371" s="1039"/>
      <c r="AF371" s="1039"/>
      <c r="AG371" s="1039"/>
      <c r="AH371" s="1040"/>
      <c r="AI371" s="1040"/>
      <c r="AJ371" s="1040"/>
      <c r="AL371" s="1092"/>
      <c r="AM371" s="1039"/>
    </row>
    <row r="372" spans="1:39" s="1039" customFormat="1" ht="29.5" customHeight="1">
      <c r="A372" s="1046" t="s">
        <v>2116</v>
      </c>
      <c r="B372" s="1047" t="s">
        <v>2763</v>
      </c>
      <c r="C372" s="1048"/>
      <c r="D372" s="1049" t="s">
        <v>2490</v>
      </c>
      <c r="E372" s="1050"/>
      <c r="F372" s="1050"/>
      <c r="G372" s="1051">
        <f>G337</f>
        <v>179.172</v>
      </c>
      <c r="H372" s="1051"/>
      <c r="I372" s="1051"/>
      <c r="J372" s="1052">
        <f>+K372/G372</f>
        <v>24752881.353559095</v>
      </c>
      <c r="K372" s="1052">
        <f>SUBTOTAL(9,K373:K559)</f>
        <v>4435023257.8798904</v>
      </c>
      <c r="L372" s="1053" t="s">
        <v>2632</v>
      </c>
      <c r="M372" s="1017" t="e">
        <f>+VLOOKUP(L372,'[121]PR (2)'!$A$12:$M$253,13,FALSE)</f>
        <v>#N/A</v>
      </c>
      <c r="N372" s="1017" t="e">
        <f>+VLOOKUP(L372,'[121]PR (2)'!$A$12:$AQ$253,12,FALSE)</f>
        <v>#N/A</v>
      </c>
      <c r="P372" s="1054"/>
      <c r="Q372" s="1054"/>
      <c r="R372" s="1054"/>
      <c r="T372" s="1055"/>
      <c r="U372" s="1042"/>
      <c r="V372" s="1042"/>
      <c r="AH372" s="1040"/>
      <c r="AI372" s="1040"/>
      <c r="AJ372" s="1040"/>
      <c r="AL372" s="1056"/>
    </row>
    <row r="373" spans="1:39" s="1141" customFormat="1" ht="26.25" customHeight="1">
      <c r="A373" s="1119" t="s">
        <v>2634</v>
      </c>
      <c r="B373" s="1120" t="s">
        <v>2764</v>
      </c>
      <c r="C373" s="1120"/>
      <c r="D373" s="1096"/>
      <c r="E373" s="1139"/>
      <c r="F373" s="1139"/>
      <c r="G373" s="1140">
        <f>SUM(G374:G406)</f>
        <v>322410.02693599998</v>
      </c>
      <c r="H373" s="1140"/>
      <c r="I373" s="1140"/>
      <c r="J373" s="1140"/>
      <c r="K373" s="1100">
        <f>SUBTOTAL(9,K374:K539)</f>
        <v>4227979301.8798904</v>
      </c>
      <c r="L373" s="1100"/>
      <c r="M373" s="1059" t="e">
        <f>+VLOOKUP(L373,'[121]PR (2)'!$A$12:$M$253,13,FALSE)</f>
        <v>#N/A</v>
      </c>
      <c r="N373" s="1059" t="e">
        <f>+VLOOKUP(L373,'[121]PR (2)'!$A$12:$AQ$253,12,FALSE)</f>
        <v>#N/A</v>
      </c>
      <c r="S373" s="1126"/>
      <c r="T373" s="1143"/>
      <c r="U373" s="1144"/>
      <c r="V373" s="1145"/>
      <c r="AA373" s="1039"/>
      <c r="AB373" s="1039"/>
      <c r="AC373" s="1039"/>
      <c r="AD373" s="1039"/>
      <c r="AE373" s="1039"/>
      <c r="AF373" s="1039"/>
      <c r="AG373" s="1039"/>
      <c r="AH373" s="1040"/>
      <c r="AI373" s="1040"/>
      <c r="AJ373" s="1040"/>
      <c r="AL373" s="1092"/>
      <c r="AM373" s="1039"/>
    </row>
    <row r="374" spans="1:39" s="1010" customFormat="1">
      <c r="A374" s="1106">
        <v>1</v>
      </c>
      <c r="B374" s="1146" t="s">
        <v>2765</v>
      </c>
      <c r="C374" s="1153" t="s">
        <v>43</v>
      </c>
      <c r="D374" s="1147" t="s">
        <v>1725</v>
      </c>
      <c r="E374" s="1109"/>
      <c r="F374" s="1109"/>
      <c r="G374" s="1112">
        <f>SUM(G375:G404)</f>
        <v>161205.01346800005</v>
      </c>
      <c r="H374" s="1112"/>
      <c r="I374" s="1112"/>
      <c r="J374" s="1112"/>
      <c r="K374" s="1100">
        <f>SUBTOTAL(9,K375:K404)</f>
        <v>2759130645.9707994</v>
      </c>
      <c r="L374" s="1188"/>
      <c r="M374" s="1059" t="e">
        <f>+VLOOKUP(L374,'[121]PR (2)'!$A$12:$M$253,13,FALSE)</f>
        <v>#N/A</v>
      </c>
      <c r="N374" s="1059" t="e">
        <f>+VLOOKUP(L374,'[121]PR (2)'!$A$12:$AQ$253,12,FALSE)</f>
        <v>#N/A</v>
      </c>
      <c r="P374" s="1010">
        <f>G374/1000</f>
        <v>161.20501346800006</v>
      </c>
      <c r="T374" s="1011">
        <f>G374/1000</f>
        <v>161.20501346800006</v>
      </c>
      <c r="U374" s="1133"/>
      <c r="V374" s="1012"/>
      <c r="AA374" s="1039"/>
      <c r="AB374" s="1039"/>
      <c r="AC374" s="1039"/>
      <c r="AD374" s="1039"/>
      <c r="AE374" s="1039"/>
      <c r="AF374" s="1039"/>
      <c r="AG374" s="1039"/>
      <c r="AH374" s="1040"/>
      <c r="AI374" s="1040"/>
      <c r="AJ374" s="1040"/>
      <c r="AL374" s="1092"/>
      <c r="AM374" s="1039"/>
    </row>
    <row r="375" spans="1:39" s="1010" customFormat="1">
      <c r="A375" s="1106"/>
      <c r="B375" s="1057" t="str">
        <f t="shared" ref="B375:B404" si="68">AB375</f>
        <v>PL3x1500x6000</v>
      </c>
      <c r="C375" s="1058" t="str">
        <f>VLOOKUP(L375,'25-BRA-I-090'!$I:$EZ,4,0)</f>
        <v>1.0038/A36</v>
      </c>
      <c r="D375" s="1147"/>
      <c r="E375" s="1109"/>
      <c r="F375" s="184">
        <f t="shared" ref="F375:G404" si="69">AD375</f>
        <v>0</v>
      </c>
      <c r="G375" s="185">
        <f t="shared" si="69"/>
        <v>0</v>
      </c>
      <c r="H375" s="185">
        <f t="shared" ref="H375:H404" si="70">AG375</f>
        <v>0</v>
      </c>
      <c r="I375" s="185">
        <f t="shared" ref="I375:I404" si="71">AI375</f>
        <v>0</v>
      </c>
      <c r="J375" s="185" t="e">
        <f t="shared" ref="J375:J404" si="72">K375/I375</f>
        <v>#DIV/0!</v>
      </c>
      <c r="K375" s="185">
        <f t="shared" ref="K375:K404" si="73">AJ375</f>
        <v>0</v>
      </c>
      <c r="L375" s="1189" t="s">
        <v>1028</v>
      </c>
      <c r="M375" s="1059"/>
      <c r="N375" s="1059"/>
      <c r="T375" s="1011"/>
      <c r="U375" s="1133"/>
      <c r="V375" s="1012"/>
      <c r="AA375" s="1039" t="str">
        <f>VLOOKUP(L375,'25-BRA-I-090'!$I:$EZ,2,0)</f>
        <v>Tôn tấm</v>
      </c>
      <c r="AB375" s="1039" t="str">
        <f>VLOOKUP(L375,'25-BRA-I-090'!$I:$EZ,3,0)</f>
        <v>PL3x1500x6000</v>
      </c>
      <c r="AC375" s="1039" t="s">
        <v>2620</v>
      </c>
      <c r="AD375" s="1039">
        <f>SUMIFS('25-BRA-I-090'!$CS:$CS,'25-BRA-I-090'!$I:$I,L375)</f>
        <v>0</v>
      </c>
      <c r="AE375" s="1039">
        <f>SUMIFS('25-BRA-I-090'!$CT:$CT,'25-BRA-I-090'!$I:$I,L375)</f>
        <v>0</v>
      </c>
      <c r="AF375" s="1039">
        <f>SUMIFS('25-BRA-I-090'!$CW:$CW,'25-BRA-I-090'!$I:$I,L375)</f>
        <v>0</v>
      </c>
      <c r="AG375" s="1039">
        <f>SUMIFS('25-BRA-I-090'!$CX:$CX,'25-BRA-I-090'!$I:$I,L375)</f>
        <v>0</v>
      </c>
      <c r="AH375" s="1040">
        <f>SUMIFS('25-BRA-I-090'!$DJ:$DJ,'25-BRA-I-090'!$I:$I,L375)+SUMIFS('25-BRA-I-090'!$EC:$EC,'25-BRA-I-090'!$I:$I,L375)</f>
        <v>0</v>
      </c>
      <c r="AI375" s="1040">
        <f>SUMIFS('25-BRA-I-090'!$DK:$DK,'25-BRA-I-090'!$I:$I,L375)+SUMIFS('25-BRA-I-090'!$ED:$ED,'25-BRA-I-090'!$I:$I,L375)</f>
        <v>0</v>
      </c>
      <c r="AJ375" s="1040">
        <f>SUMIFS('25-BRA-I-090'!$DO:$DO,'25-BRA-I-090'!$I:$I,L375)+26400*SUMIFS('25-BRA-I-090'!$EF:$EF,'25-BRA-I-090'!$I:$I,L375)</f>
        <v>0</v>
      </c>
      <c r="AL375" s="1092"/>
      <c r="AM375" s="1039"/>
    </row>
    <row r="376" spans="1:39" s="1010" customFormat="1">
      <c r="A376" s="1106"/>
      <c r="B376" s="1057" t="str">
        <f t="shared" si="68"/>
        <v>PL8x2000x12000</v>
      </c>
      <c r="C376" s="1058" t="str">
        <f>VLOOKUP(L376,'25-BRA-I-090'!$I:$EZ,4,0)</f>
        <v>1.0038/A36</v>
      </c>
      <c r="D376" s="1147"/>
      <c r="E376" s="1109"/>
      <c r="F376" s="184">
        <f t="shared" si="69"/>
        <v>0</v>
      </c>
      <c r="G376" s="185">
        <f t="shared" si="69"/>
        <v>0</v>
      </c>
      <c r="H376" s="185">
        <f t="shared" si="70"/>
        <v>0</v>
      </c>
      <c r="I376" s="185">
        <f t="shared" si="71"/>
        <v>0</v>
      </c>
      <c r="J376" s="185" t="e">
        <f t="shared" si="72"/>
        <v>#DIV/0!</v>
      </c>
      <c r="K376" s="185">
        <f t="shared" si="73"/>
        <v>0</v>
      </c>
      <c r="L376" s="1189" t="s">
        <v>1029</v>
      </c>
      <c r="M376" s="1059"/>
      <c r="N376" s="1059"/>
      <c r="T376" s="1011"/>
      <c r="U376" s="1133"/>
      <c r="V376" s="1012"/>
      <c r="AA376" s="1039" t="str">
        <f>VLOOKUP(L376,'25-BRA-I-090'!$I:$EZ,2,0)</f>
        <v>Tôn tấm</v>
      </c>
      <c r="AB376" s="1039" t="str">
        <f>VLOOKUP(L376,'25-BRA-I-090'!$I:$EZ,3,0)</f>
        <v>PL8x2000x12000</v>
      </c>
      <c r="AC376" s="1039" t="s">
        <v>2620</v>
      </c>
      <c r="AD376" s="1039">
        <f>SUMIFS('25-BRA-I-090'!$CS:$CS,'25-BRA-I-090'!$I:$I,L376)</f>
        <v>0</v>
      </c>
      <c r="AE376" s="1039">
        <f>SUMIFS('25-BRA-I-090'!$CT:$CT,'25-BRA-I-090'!$I:$I,L376)</f>
        <v>0</v>
      </c>
      <c r="AF376" s="1039">
        <f>SUMIFS('25-BRA-I-090'!$CW:$CW,'25-BRA-I-090'!$I:$I,L376)</f>
        <v>0</v>
      </c>
      <c r="AG376" s="1039">
        <f>SUMIFS('25-BRA-I-090'!$CX:$CX,'25-BRA-I-090'!$I:$I,L376)</f>
        <v>0</v>
      </c>
      <c r="AH376" s="1040">
        <f>SUMIFS('25-BRA-I-090'!$DJ:$DJ,'25-BRA-I-090'!$I:$I,L376)+SUMIFS('25-BRA-I-090'!$EC:$EC,'25-BRA-I-090'!$I:$I,L376)</f>
        <v>0</v>
      </c>
      <c r="AI376" s="1040">
        <f>SUMIFS('25-BRA-I-090'!$DK:$DK,'25-BRA-I-090'!$I:$I,L376)+SUMIFS('25-BRA-I-090'!$ED:$ED,'25-BRA-I-090'!$I:$I,L376)</f>
        <v>0</v>
      </c>
      <c r="AJ376" s="1040">
        <f>SUMIFS('25-BRA-I-090'!$DO:$DO,'25-BRA-I-090'!$I:$I,L376)+26400*SUMIFS('25-BRA-I-090'!$EF:$EF,'25-BRA-I-090'!$I:$I,L376)</f>
        <v>0</v>
      </c>
      <c r="AL376" s="1092"/>
      <c r="AM376" s="1039"/>
    </row>
    <row r="377" spans="1:39" s="1010" customFormat="1">
      <c r="A377" s="1106"/>
      <c r="B377" s="1057" t="str">
        <f t="shared" si="68"/>
        <v>PL10x2000x12000</v>
      </c>
      <c r="C377" s="1058" t="str">
        <f>VLOOKUP(L377,'25-BRA-I-090'!$I:$EZ,4,0)</f>
        <v>1.0038/A36</v>
      </c>
      <c r="D377" s="1147"/>
      <c r="E377" s="1109"/>
      <c r="F377" s="184">
        <f t="shared" si="69"/>
        <v>48</v>
      </c>
      <c r="G377" s="185">
        <f t="shared" si="69"/>
        <v>3768</v>
      </c>
      <c r="H377" s="185">
        <f t="shared" si="70"/>
        <v>0</v>
      </c>
      <c r="I377" s="185">
        <f t="shared" si="71"/>
        <v>3768</v>
      </c>
      <c r="J377" s="185">
        <f t="shared" si="72"/>
        <v>13409.090000000002</v>
      </c>
      <c r="K377" s="185">
        <f t="shared" si="73"/>
        <v>50525451.120000005</v>
      </c>
      <c r="L377" s="1189" t="s">
        <v>1030</v>
      </c>
      <c r="M377" s="1059"/>
      <c r="N377" s="1059"/>
      <c r="T377" s="1011"/>
      <c r="U377" s="1133"/>
      <c r="V377" s="1012"/>
      <c r="AA377" s="1039" t="str">
        <f>VLOOKUP(L377,'25-BRA-I-090'!$I:$EZ,2,0)</f>
        <v>Tôn tấm</v>
      </c>
      <c r="AB377" s="1039" t="str">
        <f>VLOOKUP(L377,'25-BRA-I-090'!$I:$EZ,3,0)</f>
        <v>PL10x2000x12000</v>
      </c>
      <c r="AC377" s="1039" t="s">
        <v>2620</v>
      </c>
      <c r="AD377" s="1039">
        <f>SUMIFS('25-BRA-I-090'!$CS:$CS,'25-BRA-I-090'!$I:$I,L377)</f>
        <v>48</v>
      </c>
      <c r="AE377" s="1039">
        <f>SUMIFS('25-BRA-I-090'!$CT:$CT,'25-BRA-I-090'!$I:$I,L377)</f>
        <v>3768</v>
      </c>
      <c r="AF377" s="1039">
        <f>SUMIFS('25-BRA-I-090'!$CW:$CW,'25-BRA-I-090'!$I:$I,L377)</f>
        <v>0</v>
      </c>
      <c r="AG377" s="1039">
        <f>SUMIFS('25-BRA-I-090'!$CX:$CX,'25-BRA-I-090'!$I:$I,L377)</f>
        <v>0</v>
      </c>
      <c r="AH377" s="1040">
        <f>SUMIFS('25-BRA-I-090'!$DJ:$DJ,'25-BRA-I-090'!$I:$I,L377)+SUMIFS('25-BRA-I-090'!$EC:$EC,'25-BRA-I-090'!$I:$I,L377)</f>
        <v>48</v>
      </c>
      <c r="AI377" s="1040">
        <f>SUMIFS('25-BRA-I-090'!$DK:$DK,'25-BRA-I-090'!$I:$I,L377)+SUMIFS('25-BRA-I-090'!$ED:$ED,'25-BRA-I-090'!$I:$I,L377)</f>
        <v>3768</v>
      </c>
      <c r="AJ377" s="1040">
        <f>SUMIFS('25-BRA-I-090'!$DO:$DO,'25-BRA-I-090'!$I:$I,L377)+26400*SUMIFS('25-BRA-I-090'!$EF:$EF,'25-BRA-I-090'!$I:$I,L377)</f>
        <v>50525451.120000005</v>
      </c>
      <c r="AL377" s="1092"/>
      <c r="AM377" s="1039"/>
    </row>
    <row r="378" spans="1:39" s="1010" customFormat="1">
      <c r="A378" s="1106"/>
      <c r="B378" s="1057" t="str">
        <f t="shared" si="68"/>
        <v>PL12x2000x12000</v>
      </c>
      <c r="C378" s="1058" t="str">
        <f>VLOOKUP(L378,'25-BRA-I-090'!$I:$EZ,4,0)</f>
        <v>1.0038/A36</v>
      </c>
      <c r="D378" s="1147"/>
      <c r="E378" s="1109"/>
      <c r="F378" s="184">
        <f t="shared" si="69"/>
        <v>48</v>
      </c>
      <c r="G378" s="185">
        <f t="shared" si="69"/>
        <v>4521.5999999999995</v>
      </c>
      <c r="H378" s="185">
        <f t="shared" si="70"/>
        <v>0</v>
      </c>
      <c r="I378" s="185">
        <f t="shared" si="71"/>
        <v>4521.8</v>
      </c>
      <c r="J378" s="185">
        <f t="shared" si="72"/>
        <v>13409.100052191605</v>
      </c>
      <c r="K378" s="185">
        <f t="shared" si="73"/>
        <v>60633268.616000004</v>
      </c>
      <c r="L378" s="1189" t="s">
        <v>1031</v>
      </c>
      <c r="M378" s="1059"/>
      <c r="N378" s="1059"/>
      <c r="T378" s="1011"/>
      <c r="U378" s="1133"/>
      <c r="V378" s="1012"/>
      <c r="AA378" s="1039" t="str">
        <f>VLOOKUP(L378,'25-BRA-I-090'!$I:$EZ,2,0)</f>
        <v>Tôn tấm</v>
      </c>
      <c r="AB378" s="1039" t="str">
        <f>VLOOKUP(L378,'25-BRA-I-090'!$I:$EZ,3,0)</f>
        <v>PL12x2000x12000</v>
      </c>
      <c r="AC378" s="1039" t="s">
        <v>2620</v>
      </c>
      <c r="AD378" s="1039">
        <f>SUMIFS('25-BRA-I-090'!$CS:$CS,'25-BRA-I-090'!$I:$I,L378)</f>
        <v>48</v>
      </c>
      <c r="AE378" s="1039">
        <f>SUMIFS('25-BRA-I-090'!$CT:$CT,'25-BRA-I-090'!$I:$I,L378)</f>
        <v>4521.5999999999995</v>
      </c>
      <c r="AF378" s="1039">
        <f>SUMIFS('25-BRA-I-090'!$CW:$CW,'25-BRA-I-090'!$I:$I,L378)</f>
        <v>0</v>
      </c>
      <c r="AG378" s="1039">
        <f>SUMIFS('25-BRA-I-090'!$CX:$CX,'25-BRA-I-090'!$I:$I,L378)</f>
        <v>0</v>
      </c>
      <c r="AH378" s="1040">
        <f>SUMIFS('25-BRA-I-090'!$DJ:$DJ,'25-BRA-I-090'!$I:$I,L378)+SUMIFS('25-BRA-I-090'!$EC:$EC,'25-BRA-I-090'!$I:$I,L378)</f>
        <v>48</v>
      </c>
      <c r="AI378" s="1040">
        <f>SUMIFS('25-BRA-I-090'!$DK:$DK,'25-BRA-I-090'!$I:$I,L378)+SUMIFS('25-BRA-I-090'!$ED:$ED,'25-BRA-I-090'!$I:$I,L378)</f>
        <v>4521.8</v>
      </c>
      <c r="AJ378" s="1040">
        <f>SUMIFS('25-BRA-I-090'!$DO:$DO,'25-BRA-I-090'!$I:$I,L378)+26400*SUMIFS('25-BRA-I-090'!$EF:$EF,'25-BRA-I-090'!$I:$I,L378)</f>
        <v>60633268.616000004</v>
      </c>
      <c r="AL378" s="1092"/>
      <c r="AM378" s="1039"/>
    </row>
    <row r="379" spans="1:39" s="1010" customFormat="1">
      <c r="A379" s="1106"/>
      <c r="B379" s="1057" t="str">
        <f t="shared" si="68"/>
        <v>PL15x2000x12000</v>
      </c>
      <c r="C379" s="1058" t="str">
        <f>VLOOKUP(L379,'25-BRA-I-090'!$I:$EZ,4,0)</f>
        <v>1.0038/A36</v>
      </c>
      <c r="D379" s="1147"/>
      <c r="E379" s="1109"/>
      <c r="F379" s="184">
        <f t="shared" si="69"/>
        <v>60</v>
      </c>
      <c r="G379" s="185">
        <f t="shared" si="69"/>
        <v>7065</v>
      </c>
      <c r="H379" s="185">
        <f t="shared" si="70"/>
        <v>0</v>
      </c>
      <c r="I379" s="185">
        <f t="shared" si="71"/>
        <v>7535.8</v>
      </c>
      <c r="J379" s="185">
        <f t="shared" si="72"/>
        <v>13418.16855861355</v>
      </c>
      <c r="K379" s="185">
        <f t="shared" si="73"/>
        <v>101116634.624</v>
      </c>
      <c r="L379" s="1189" t="s">
        <v>1032</v>
      </c>
      <c r="M379" s="1059"/>
      <c r="N379" s="1059"/>
      <c r="T379" s="1011"/>
      <c r="U379" s="1133"/>
      <c r="V379" s="1012"/>
      <c r="AA379" s="1039" t="str">
        <f>VLOOKUP(L379,'25-BRA-I-090'!$I:$EZ,2,0)</f>
        <v>Tôn tấm</v>
      </c>
      <c r="AB379" s="1039" t="str">
        <f>VLOOKUP(L379,'25-BRA-I-090'!$I:$EZ,3,0)</f>
        <v>PL15x2000x12000</v>
      </c>
      <c r="AC379" s="1039" t="s">
        <v>2620</v>
      </c>
      <c r="AD379" s="1039">
        <f>SUMIFS('25-BRA-I-090'!$CS:$CS,'25-BRA-I-090'!$I:$I,L379)</f>
        <v>60</v>
      </c>
      <c r="AE379" s="1039">
        <f>SUMIFS('25-BRA-I-090'!$CT:$CT,'25-BRA-I-090'!$I:$I,L379)</f>
        <v>7065</v>
      </c>
      <c r="AF379" s="1039">
        <f>SUMIFS('25-BRA-I-090'!$CW:$CW,'25-BRA-I-090'!$I:$I,L379)</f>
        <v>0</v>
      </c>
      <c r="AG379" s="1039">
        <f>SUMIFS('25-BRA-I-090'!$CX:$CX,'25-BRA-I-090'!$I:$I,L379)</f>
        <v>0</v>
      </c>
      <c r="AH379" s="1040">
        <f>SUMIFS('25-BRA-I-090'!$DJ:$DJ,'25-BRA-I-090'!$I:$I,L379)+SUMIFS('25-BRA-I-090'!$EC:$EC,'25-BRA-I-090'!$I:$I,L379)</f>
        <v>60</v>
      </c>
      <c r="AI379" s="1040">
        <f>SUMIFS('25-BRA-I-090'!$DK:$DK,'25-BRA-I-090'!$I:$I,L379)+SUMIFS('25-BRA-I-090'!$ED:$ED,'25-BRA-I-090'!$I:$I,L379)</f>
        <v>7535.8</v>
      </c>
      <c r="AJ379" s="1040">
        <f>SUMIFS('25-BRA-I-090'!$DO:$DO,'25-BRA-I-090'!$I:$I,L379)+26400*SUMIFS('25-BRA-I-090'!$EF:$EF,'25-BRA-I-090'!$I:$I,L379)</f>
        <v>101116634.624</v>
      </c>
      <c r="AL379" s="1092"/>
      <c r="AM379" s="1039"/>
    </row>
    <row r="380" spans="1:39" s="1010" customFormat="1">
      <c r="A380" s="1106"/>
      <c r="B380" s="1057" t="str">
        <f t="shared" si="68"/>
        <v>PL20x2000x12000</v>
      </c>
      <c r="C380" s="1058" t="str">
        <f>VLOOKUP(L380,'25-BRA-I-090'!$I:$EZ,4,0)</f>
        <v>1.0038/A36</v>
      </c>
      <c r="D380" s="1147"/>
      <c r="E380" s="1109"/>
      <c r="F380" s="184">
        <f t="shared" si="69"/>
        <v>72</v>
      </c>
      <c r="G380" s="185">
        <f t="shared" si="69"/>
        <v>11304</v>
      </c>
      <c r="H380" s="185">
        <f t="shared" si="70"/>
        <v>0</v>
      </c>
      <c r="I380" s="185">
        <f t="shared" si="71"/>
        <v>11304</v>
      </c>
      <c r="J380" s="185">
        <f t="shared" si="72"/>
        <v>13939.393333333333</v>
      </c>
      <c r="K380" s="185">
        <f t="shared" si="73"/>
        <v>157570902.24000001</v>
      </c>
      <c r="L380" s="1189" t="s">
        <v>1034</v>
      </c>
      <c r="M380" s="1059"/>
      <c r="N380" s="1059"/>
      <c r="T380" s="1011"/>
      <c r="U380" s="1133"/>
      <c r="V380" s="1012"/>
      <c r="AA380" s="1039" t="str">
        <f>VLOOKUP(L380,'25-BRA-I-090'!$I:$EZ,2,0)</f>
        <v>Tôn tấm</v>
      </c>
      <c r="AB380" s="1039" t="str">
        <f>VLOOKUP(L380,'25-BRA-I-090'!$I:$EZ,3,0)</f>
        <v>PL20x2000x12000</v>
      </c>
      <c r="AC380" s="1039" t="s">
        <v>2620</v>
      </c>
      <c r="AD380" s="1039">
        <f>SUMIFS('25-BRA-I-090'!$CS:$CS,'25-BRA-I-090'!$I:$I,L380)</f>
        <v>72</v>
      </c>
      <c r="AE380" s="1039">
        <f>SUMIFS('25-BRA-I-090'!$CT:$CT,'25-BRA-I-090'!$I:$I,L380)</f>
        <v>11304</v>
      </c>
      <c r="AF380" s="1039">
        <f>SUMIFS('25-BRA-I-090'!$CW:$CW,'25-BRA-I-090'!$I:$I,L380)</f>
        <v>0</v>
      </c>
      <c r="AG380" s="1039">
        <f>SUMIFS('25-BRA-I-090'!$CX:$CX,'25-BRA-I-090'!$I:$I,L380)</f>
        <v>0</v>
      </c>
      <c r="AH380" s="1040">
        <f>SUMIFS('25-BRA-I-090'!$DJ:$DJ,'25-BRA-I-090'!$I:$I,L380)+SUMIFS('25-BRA-I-090'!$EC:$EC,'25-BRA-I-090'!$I:$I,L380)</f>
        <v>72</v>
      </c>
      <c r="AI380" s="1040">
        <f>SUMIFS('25-BRA-I-090'!$DK:$DK,'25-BRA-I-090'!$I:$I,L380)+SUMIFS('25-BRA-I-090'!$ED:$ED,'25-BRA-I-090'!$I:$I,L380)</f>
        <v>11304</v>
      </c>
      <c r="AJ380" s="1040">
        <f>SUMIFS('25-BRA-I-090'!$DO:$DO,'25-BRA-I-090'!$I:$I,L380)+26400*SUMIFS('25-BRA-I-090'!$EF:$EF,'25-BRA-I-090'!$I:$I,L380)</f>
        <v>157570902.24000001</v>
      </c>
      <c r="AL380" s="1092"/>
      <c r="AM380" s="1039"/>
    </row>
    <row r="381" spans="1:39" s="1010" customFormat="1">
      <c r="A381" s="1106"/>
      <c r="B381" s="1057" t="str">
        <f t="shared" si="68"/>
        <v>PL25x2000x12000</v>
      </c>
      <c r="C381" s="1058" t="str">
        <f>VLOOKUP(L381,'25-BRA-I-090'!$I:$EZ,4,0)</f>
        <v>1.0038/A36</v>
      </c>
      <c r="D381" s="1147"/>
      <c r="E381" s="1109"/>
      <c r="F381" s="184">
        <f t="shared" si="69"/>
        <v>0</v>
      </c>
      <c r="G381" s="185">
        <f t="shared" si="69"/>
        <v>0</v>
      </c>
      <c r="H381" s="185">
        <f t="shared" si="70"/>
        <v>0</v>
      </c>
      <c r="I381" s="185">
        <f t="shared" si="71"/>
        <v>0</v>
      </c>
      <c r="J381" s="185" t="e">
        <f t="shared" si="72"/>
        <v>#DIV/0!</v>
      </c>
      <c r="K381" s="185">
        <f t="shared" si="73"/>
        <v>0</v>
      </c>
      <c r="L381" s="1189" t="s">
        <v>1035</v>
      </c>
      <c r="M381" s="1059"/>
      <c r="N381" s="1059"/>
      <c r="T381" s="1011"/>
      <c r="U381" s="1133"/>
      <c r="V381" s="1012"/>
      <c r="AA381" s="1039" t="str">
        <f>VLOOKUP(L381,'25-BRA-I-090'!$I:$EZ,2,0)</f>
        <v>Tôn tấm</v>
      </c>
      <c r="AB381" s="1039" t="str">
        <f>VLOOKUP(L381,'25-BRA-I-090'!$I:$EZ,3,0)</f>
        <v>PL25x2000x12000</v>
      </c>
      <c r="AC381" s="1039" t="s">
        <v>2620</v>
      </c>
      <c r="AD381" s="1039">
        <f>SUMIFS('25-BRA-I-090'!$CS:$CS,'25-BRA-I-090'!$I:$I,L381)</f>
        <v>0</v>
      </c>
      <c r="AE381" s="1039">
        <f>SUMIFS('25-BRA-I-090'!$CT:$CT,'25-BRA-I-090'!$I:$I,L381)</f>
        <v>0</v>
      </c>
      <c r="AF381" s="1039">
        <f>SUMIFS('25-BRA-I-090'!$CW:$CW,'25-BRA-I-090'!$I:$I,L381)</f>
        <v>0</v>
      </c>
      <c r="AG381" s="1039">
        <f>SUMIFS('25-BRA-I-090'!$CX:$CX,'25-BRA-I-090'!$I:$I,L381)</f>
        <v>0</v>
      </c>
      <c r="AH381" s="1040">
        <f>SUMIFS('25-BRA-I-090'!$DJ:$DJ,'25-BRA-I-090'!$I:$I,L381)+SUMIFS('25-BRA-I-090'!$EC:$EC,'25-BRA-I-090'!$I:$I,L381)</f>
        <v>0</v>
      </c>
      <c r="AI381" s="1040">
        <f>SUMIFS('25-BRA-I-090'!$DK:$DK,'25-BRA-I-090'!$I:$I,L381)+SUMIFS('25-BRA-I-090'!$ED:$ED,'25-BRA-I-090'!$I:$I,L381)</f>
        <v>0</v>
      </c>
      <c r="AJ381" s="1040">
        <f>SUMIFS('25-BRA-I-090'!$DO:$DO,'25-BRA-I-090'!$I:$I,L381)+26400*SUMIFS('25-BRA-I-090'!$EF:$EF,'25-BRA-I-090'!$I:$I,L381)</f>
        <v>0</v>
      </c>
      <c r="AL381" s="1092"/>
      <c r="AM381" s="1039"/>
    </row>
    <row r="382" spans="1:39" s="1010" customFormat="1">
      <c r="A382" s="1106"/>
      <c r="B382" s="1057" t="str">
        <f t="shared" si="68"/>
        <v>PL30x2000x12000</v>
      </c>
      <c r="C382" s="1058" t="str">
        <f>VLOOKUP(L382,'25-BRA-I-090'!$I:$EZ,4,0)</f>
        <v>1.0038/A36</v>
      </c>
      <c r="D382" s="1147"/>
      <c r="E382" s="1109"/>
      <c r="F382" s="184">
        <f t="shared" si="69"/>
        <v>48</v>
      </c>
      <c r="G382" s="185">
        <f t="shared" si="69"/>
        <v>11304</v>
      </c>
      <c r="H382" s="185">
        <f t="shared" si="70"/>
        <v>0</v>
      </c>
      <c r="I382" s="185">
        <f t="shared" si="71"/>
        <v>11304</v>
      </c>
      <c r="J382" s="185">
        <f t="shared" si="72"/>
        <v>12809.918181818182</v>
      </c>
      <c r="K382" s="185">
        <f t="shared" si="73"/>
        <v>144803315.12727273</v>
      </c>
      <c r="L382" s="1189" t="s">
        <v>1037</v>
      </c>
      <c r="M382" s="1059"/>
      <c r="N382" s="1059"/>
      <c r="T382" s="1011"/>
      <c r="U382" s="1133"/>
      <c r="V382" s="1012"/>
      <c r="AA382" s="1039" t="str">
        <f>VLOOKUP(L382,'25-BRA-I-090'!$I:$EZ,2,0)</f>
        <v>Tôn tấm</v>
      </c>
      <c r="AB382" s="1039" t="str">
        <f>VLOOKUP(L382,'25-BRA-I-090'!$I:$EZ,3,0)</f>
        <v>PL30x2000x12000</v>
      </c>
      <c r="AC382" s="1039" t="s">
        <v>2620</v>
      </c>
      <c r="AD382" s="1039">
        <f>SUMIFS('25-BRA-I-090'!$CS:$CS,'25-BRA-I-090'!$I:$I,L382)</f>
        <v>48</v>
      </c>
      <c r="AE382" s="1039">
        <f>SUMIFS('25-BRA-I-090'!$CT:$CT,'25-BRA-I-090'!$I:$I,L382)</f>
        <v>11304</v>
      </c>
      <c r="AF382" s="1039">
        <f>SUMIFS('25-BRA-I-090'!$CW:$CW,'25-BRA-I-090'!$I:$I,L382)</f>
        <v>0</v>
      </c>
      <c r="AG382" s="1039">
        <f>SUMIFS('25-BRA-I-090'!$CX:$CX,'25-BRA-I-090'!$I:$I,L382)</f>
        <v>0</v>
      </c>
      <c r="AH382" s="1040">
        <f>SUMIFS('25-BRA-I-090'!$DJ:$DJ,'25-BRA-I-090'!$I:$I,L382)+SUMIFS('25-BRA-I-090'!$EC:$EC,'25-BRA-I-090'!$I:$I,L382)</f>
        <v>48</v>
      </c>
      <c r="AI382" s="1040">
        <f>SUMIFS('25-BRA-I-090'!$DK:$DK,'25-BRA-I-090'!$I:$I,L382)+SUMIFS('25-BRA-I-090'!$ED:$ED,'25-BRA-I-090'!$I:$I,L382)</f>
        <v>11304</v>
      </c>
      <c r="AJ382" s="1040">
        <f>SUMIFS('25-BRA-I-090'!$DO:$DO,'25-BRA-I-090'!$I:$I,L382)+26400*SUMIFS('25-BRA-I-090'!$EF:$EF,'25-BRA-I-090'!$I:$I,L382)</f>
        <v>144803315.12727273</v>
      </c>
      <c r="AL382" s="1092"/>
      <c r="AM382" s="1039"/>
    </row>
    <row r="383" spans="1:39" s="1010" customFormat="1">
      <c r="A383" s="1106"/>
      <c r="B383" s="1057" t="str">
        <f t="shared" si="68"/>
        <v>PL35x2000x3000</v>
      </c>
      <c r="C383" s="1058" t="str">
        <f>VLOOKUP(L383,'25-BRA-I-090'!$I:$EZ,4,0)</f>
        <v>1.0038/A36</v>
      </c>
      <c r="D383" s="1147"/>
      <c r="E383" s="1109"/>
      <c r="F383" s="184">
        <f t="shared" si="69"/>
        <v>6</v>
      </c>
      <c r="G383" s="185">
        <f t="shared" si="69"/>
        <v>1648.5</v>
      </c>
      <c r="H383" s="185">
        <f t="shared" si="70"/>
        <v>1648.5</v>
      </c>
      <c r="I383" s="185">
        <f t="shared" si="71"/>
        <v>0</v>
      </c>
      <c r="J383" s="185" t="e">
        <f t="shared" si="72"/>
        <v>#DIV/0!</v>
      </c>
      <c r="K383" s="185">
        <f t="shared" si="73"/>
        <v>0</v>
      </c>
      <c r="L383" s="1189" t="s">
        <v>1039</v>
      </c>
      <c r="M383" s="1059"/>
      <c r="N383" s="1059"/>
      <c r="T383" s="1011"/>
      <c r="U383" s="1133"/>
      <c r="V383" s="1012"/>
      <c r="AA383" s="1039" t="str">
        <f>VLOOKUP(L383,'25-BRA-I-090'!$I:$EZ,2,0)</f>
        <v>Tôn tấm</v>
      </c>
      <c r="AB383" s="1039" t="str">
        <f>VLOOKUP(L383,'25-BRA-I-090'!$I:$EZ,3,0)</f>
        <v>PL35x2000x3000</v>
      </c>
      <c r="AC383" s="1039" t="s">
        <v>2620</v>
      </c>
      <c r="AD383" s="1039">
        <f>SUMIFS('25-BRA-I-090'!$CS:$CS,'25-BRA-I-090'!$I:$I,L383)</f>
        <v>6</v>
      </c>
      <c r="AE383" s="1039">
        <f>SUMIFS('25-BRA-I-090'!$CT:$CT,'25-BRA-I-090'!$I:$I,L383)</f>
        <v>1648.5</v>
      </c>
      <c r="AF383" s="1039">
        <f>SUMIFS('25-BRA-I-090'!$CW:$CW,'25-BRA-I-090'!$I:$I,L383)</f>
        <v>6</v>
      </c>
      <c r="AG383" s="1039">
        <f>SUMIFS('25-BRA-I-090'!$CX:$CX,'25-BRA-I-090'!$I:$I,L383)</f>
        <v>1648.5</v>
      </c>
      <c r="AH383" s="1040">
        <f>SUMIFS('25-BRA-I-090'!$DJ:$DJ,'25-BRA-I-090'!$I:$I,L383)+SUMIFS('25-BRA-I-090'!$EC:$EC,'25-BRA-I-090'!$I:$I,L383)</f>
        <v>0</v>
      </c>
      <c r="AI383" s="1040">
        <f>SUMIFS('25-BRA-I-090'!$DK:$DK,'25-BRA-I-090'!$I:$I,L383)+SUMIFS('25-BRA-I-090'!$ED:$ED,'25-BRA-I-090'!$I:$I,L383)</f>
        <v>0</v>
      </c>
      <c r="AJ383" s="1040">
        <f>SUMIFS('25-BRA-I-090'!$DO:$DO,'25-BRA-I-090'!$I:$I,L383)+26400*SUMIFS('25-BRA-I-090'!$EF:$EF,'25-BRA-I-090'!$I:$I,L383)</f>
        <v>0</v>
      </c>
      <c r="AL383" s="1092"/>
      <c r="AM383" s="1039"/>
    </row>
    <row r="384" spans="1:39" s="1010" customFormat="1" ht="30">
      <c r="A384" s="1106"/>
      <c r="B384" s="1057" t="str">
        <f t="shared" si="68"/>
        <v>HEA120(H114x120x5x8)-L12000</v>
      </c>
      <c r="C384" s="1058" t="str">
        <f>VLOOKUP(L384,'25-BRA-I-090'!$I:$EZ,4,0)</f>
        <v>1.0038/A36</v>
      </c>
      <c r="D384" s="1147"/>
      <c r="E384" s="1109"/>
      <c r="F384" s="184">
        <f t="shared" si="69"/>
        <v>158</v>
      </c>
      <c r="G384" s="185">
        <f t="shared" si="69"/>
        <v>3144.2</v>
      </c>
      <c r="H384" s="185">
        <f t="shared" si="70"/>
        <v>0</v>
      </c>
      <c r="I384" s="185">
        <f t="shared" si="71"/>
        <v>3688.8</v>
      </c>
      <c r="J384" s="185">
        <f t="shared" si="72"/>
        <v>17566.567121557146</v>
      </c>
      <c r="K384" s="185">
        <f t="shared" si="73"/>
        <v>64799552.798</v>
      </c>
      <c r="L384" s="1189" t="s">
        <v>1041</v>
      </c>
      <c r="M384" s="1059"/>
      <c r="N384" s="1059"/>
      <c r="T384" s="1011"/>
      <c r="U384" s="1133"/>
      <c r="V384" s="1012"/>
      <c r="AA384" s="1039" t="str">
        <f>VLOOKUP(L384,'25-BRA-I-090'!$I:$EZ,2,0)</f>
        <v>Thép hình-H</v>
      </c>
      <c r="AB384" s="1039" t="str">
        <f>VLOOKUP(L384,'25-BRA-I-090'!$I:$EZ,3,0)</f>
        <v>HEA120(H114x120x5x8)-L12000</v>
      </c>
      <c r="AC384" s="1039" t="s">
        <v>2620</v>
      </c>
      <c r="AD384" s="1039">
        <f>SUMIFS('25-BRA-I-090'!$CS:$CS,'25-BRA-I-090'!$I:$I,L384)</f>
        <v>158</v>
      </c>
      <c r="AE384" s="1039">
        <f>SUMIFS('25-BRA-I-090'!$CT:$CT,'25-BRA-I-090'!$I:$I,L384)</f>
        <v>3144.2</v>
      </c>
      <c r="AF384" s="1039">
        <f>SUMIFS('25-BRA-I-090'!$CW:$CW,'25-BRA-I-090'!$I:$I,L384)</f>
        <v>0</v>
      </c>
      <c r="AG384" s="1039">
        <f>SUMIFS('25-BRA-I-090'!$CX:$CX,'25-BRA-I-090'!$I:$I,L384)</f>
        <v>0</v>
      </c>
      <c r="AH384" s="1040">
        <f>SUMIFS('25-BRA-I-090'!$DJ:$DJ,'25-BRA-I-090'!$I:$I,L384)+SUMIFS('25-BRA-I-090'!$EC:$EC,'25-BRA-I-090'!$I:$I,L384)</f>
        <v>156</v>
      </c>
      <c r="AI384" s="1040">
        <f>SUMIFS('25-BRA-I-090'!$DK:$DK,'25-BRA-I-090'!$I:$I,L384)+SUMIFS('25-BRA-I-090'!$ED:$ED,'25-BRA-I-090'!$I:$I,L384)</f>
        <v>3688.8</v>
      </c>
      <c r="AJ384" s="1040">
        <f>SUMIFS('25-BRA-I-090'!$DO:$DO,'25-BRA-I-090'!$I:$I,L384)+26400*SUMIFS('25-BRA-I-090'!$EF:$EF,'25-BRA-I-090'!$I:$I,L384)</f>
        <v>64799552.798</v>
      </c>
      <c r="AL384" s="1092"/>
      <c r="AM384" s="1039"/>
    </row>
    <row r="385" spans="1:39" s="1010" customFormat="1" ht="30">
      <c r="A385" s="1106"/>
      <c r="B385" s="1057" t="str">
        <f t="shared" si="68"/>
        <v>HEA180(171x180x6x9.5)-L12000</v>
      </c>
      <c r="C385" s="1058" t="str">
        <f>VLOOKUP(L385,'25-BRA-I-090'!$I:$EZ,4,0)</f>
        <v>1.0038/A36</v>
      </c>
      <c r="D385" s="1147"/>
      <c r="E385" s="1109"/>
      <c r="F385" s="184">
        <f t="shared" si="69"/>
        <v>307.26525200000003</v>
      </c>
      <c r="G385" s="185">
        <f t="shared" si="69"/>
        <v>10938.642971199999</v>
      </c>
      <c r="H385" s="185">
        <f t="shared" si="70"/>
        <v>427.20000000000005</v>
      </c>
      <c r="I385" s="185">
        <f t="shared" si="71"/>
        <v>14970.4</v>
      </c>
      <c r="J385" s="185">
        <f t="shared" si="72"/>
        <v>17592.721936888793</v>
      </c>
      <c r="K385" s="185">
        <f t="shared" si="73"/>
        <v>263370084.484</v>
      </c>
      <c r="L385" s="1189" t="s">
        <v>1042</v>
      </c>
      <c r="M385" s="1059"/>
      <c r="N385" s="1059"/>
      <c r="T385" s="1011"/>
      <c r="U385" s="1133"/>
      <c r="V385" s="1012"/>
      <c r="AA385" s="1039" t="str">
        <f>VLOOKUP(L385,'25-BRA-I-090'!$I:$EZ,2,0)</f>
        <v>Thép hình-H</v>
      </c>
      <c r="AB385" s="1039" t="str">
        <f>VLOOKUP(L385,'25-BRA-I-090'!$I:$EZ,3,0)</f>
        <v>HEA180(171x180x6x9.5)-L12000</v>
      </c>
      <c r="AC385" s="1039" t="s">
        <v>2620</v>
      </c>
      <c r="AD385" s="1039">
        <f>SUMIFS('25-BRA-I-090'!$CS:$CS,'25-BRA-I-090'!$I:$I,L385)</f>
        <v>307.26525200000003</v>
      </c>
      <c r="AE385" s="1039">
        <f>SUMIFS('25-BRA-I-090'!$CT:$CT,'25-BRA-I-090'!$I:$I,L385)</f>
        <v>10938.642971199999</v>
      </c>
      <c r="AF385" s="1039">
        <f>SUMIFS('25-BRA-I-090'!$CW:$CW,'25-BRA-I-090'!$I:$I,L385)</f>
        <v>12</v>
      </c>
      <c r="AG385" s="1039">
        <f>SUMIFS('25-BRA-I-090'!$CX:$CX,'25-BRA-I-090'!$I:$I,L385)</f>
        <v>427.20000000000005</v>
      </c>
      <c r="AH385" s="1040">
        <f>SUMIFS('25-BRA-I-090'!$DJ:$DJ,'25-BRA-I-090'!$I:$I,L385)+SUMIFS('25-BRA-I-090'!$EC:$EC,'25-BRA-I-090'!$I:$I,L385)</f>
        <v>300</v>
      </c>
      <c r="AI385" s="1040">
        <f>SUMIFS('25-BRA-I-090'!$DK:$DK,'25-BRA-I-090'!$I:$I,L385)+SUMIFS('25-BRA-I-090'!$ED:$ED,'25-BRA-I-090'!$I:$I,L385)</f>
        <v>14970.4</v>
      </c>
      <c r="AJ385" s="1040">
        <f>SUMIFS('25-BRA-I-090'!$DO:$DO,'25-BRA-I-090'!$I:$I,L385)+26400*SUMIFS('25-BRA-I-090'!$EF:$EF,'25-BRA-I-090'!$I:$I,L385)</f>
        <v>263370084.484</v>
      </c>
      <c r="AL385" s="1092"/>
      <c r="AM385" s="1039"/>
    </row>
    <row r="386" spans="1:39" s="1010" customFormat="1" ht="30">
      <c r="A386" s="1106"/>
      <c r="B386" s="1057" t="str">
        <f t="shared" si="68"/>
        <v>HEA220(H210x220x7x11)-L12000</v>
      </c>
      <c r="C386" s="1058" t="str">
        <f>VLOOKUP(L386,'25-BRA-I-090'!$I:$EZ,4,0)</f>
        <v>1.0038/A36</v>
      </c>
      <c r="D386" s="1147"/>
      <c r="E386" s="1109"/>
      <c r="F386" s="184">
        <f t="shared" si="69"/>
        <v>260.25319999999999</v>
      </c>
      <c r="G386" s="185">
        <f t="shared" si="69"/>
        <v>13142.786600000001</v>
      </c>
      <c r="H386" s="185">
        <f t="shared" si="70"/>
        <v>909</v>
      </c>
      <c r="I386" s="185">
        <f t="shared" si="71"/>
        <v>17304</v>
      </c>
      <c r="J386" s="185">
        <f t="shared" si="72"/>
        <v>17545.833245492369</v>
      </c>
      <c r="K386" s="185">
        <f t="shared" si="73"/>
        <v>303613098.47999996</v>
      </c>
      <c r="L386" s="1189" t="s">
        <v>1044</v>
      </c>
      <c r="M386" s="1059"/>
      <c r="N386" s="1059"/>
      <c r="T386" s="1011"/>
      <c r="U386" s="1133"/>
      <c r="V386" s="1012"/>
      <c r="AA386" s="1039" t="str">
        <f>VLOOKUP(L386,'25-BRA-I-090'!$I:$EZ,2,0)</f>
        <v>Thép hình-H</v>
      </c>
      <c r="AB386" s="1039" t="str">
        <f>VLOOKUP(L386,'25-BRA-I-090'!$I:$EZ,3,0)</f>
        <v>HEA220(H210x220x7x11)-L12000</v>
      </c>
      <c r="AC386" s="1039" t="s">
        <v>2620</v>
      </c>
      <c r="AD386" s="1039">
        <f>SUMIFS('25-BRA-I-090'!$CS:$CS,'25-BRA-I-090'!$I:$I,L386)</f>
        <v>260.25319999999999</v>
      </c>
      <c r="AE386" s="1039">
        <f>SUMIFS('25-BRA-I-090'!$CT:$CT,'25-BRA-I-090'!$I:$I,L386)</f>
        <v>13142.786600000001</v>
      </c>
      <c r="AF386" s="1039">
        <f>SUMIFS('25-BRA-I-090'!$CW:$CW,'25-BRA-I-090'!$I:$I,L386)</f>
        <v>18</v>
      </c>
      <c r="AG386" s="1039">
        <f>SUMIFS('25-BRA-I-090'!$CX:$CX,'25-BRA-I-090'!$I:$I,L386)</f>
        <v>909</v>
      </c>
      <c r="AH386" s="1040">
        <f>SUMIFS('25-BRA-I-090'!$DJ:$DJ,'25-BRA-I-090'!$I:$I,L386)+SUMIFS('25-BRA-I-090'!$EC:$EC,'25-BRA-I-090'!$I:$I,L386)</f>
        <v>240</v>
      </c>
      <c r="AI386" s="1040">
        <f>SUMIFS('25-BRA-I-090'!$DK:$DK,'25-BRA-I-090'!$I:$I,L386)+SUMIFS('25-BRA-I-090'!$ED:$ED,'25-BRA-I-090'!$I:$I,L386)</f>
        <v>17304</v>
      </c>
      <c r="AJ386" s="1040">
        <f>SUMIFS('25-BRA-I-090'!$DO:$DO,'25-BRA-I-090'!$I:$I,L386)+26400*SUMIFS('25-BRA-I-090'!$EF:$EF,'25-BRA-I-090'!$I:$I,L386)</f>
        <v>303613098.47999996</v>
      </c>
      <c r="AL386" s="1092"/>
      <c r="AM386" s="1039"/>
    </row>
    <row r="387" spans="1:39" s="1010" customFormat="1" ht="45">
      <c r="A387" s="1106"/>
      <c r="B387" s="1057" t="str">
        <f t="shared" si="68"/>
        <v>HEA260(H250x260x7.5x12.5)-L12000</v>
      </c>
      <c r="C387" s="1058" t="str">
        <f>VLOOKUP(L387,'25-BRA-I-090'!$I:$EZ,4,0)</f>
        <v>1.0038/A36</v>
      </c>
      <c r="D387" s="1147"/>
      <c r="E387" s="1109"/>
      <c r="F387" s="184">
        <f t="shared" si="69"/>
        <v>61.68</v>
      </c>
      <c r="G387" s="185">
        <f t="shared" si="69"/>
        <v>4200.4079999999994</v>
      </c>
      <c r="H387" s="185">
        <f t="shared" si="70"/>
        <v>0</v>
      </c>
      <c r="I387" s="185">
        <f t="shared" si="71"/>
        <v>5191.3999999999996</v>
      </c>
      <c r="J387" s="185">
        <f t="shared" si="72"/>
        <v>17591.092374696615</v>
      </c>
      <c r="K387" s="185">
        <f t="shared" si="73"/>
        <v>91322396.953999996</v>
      </c>
      <c r="L387" s="1189" t="s">
        <v>1046</v>
      </c>
      <c r="M387" s="1059"/>
      <c r="N387" s="1059"/>
      <c r="T387" s="1011"/>
      <c r="U387" s="1133"/>
      <c r="V387" s="1012"/>
      <c r="AA387" s="1039" t="str">
        <f>VLOOKUP(L387,'25-BRA-I-090'!$I:$EZ,2,0)</f>
        <v>Thép hình-H</v>
      </c>
      <c r="AB387" s="1039" t="str">
        <f>VLOOKUP(L387,'25-BRA-I-090'!$I:$EZ,3,0)</f>
        <v>HEA260(H250x260x7.5x12.5)-L12000</v>
      </c>
      <c r="AC387" s="1039" t="s">
        <v>2620</v>
      </c>
      <c r="AD387" s="1039">
        <f>SUMIFS('25-BRA-I-090'!$CS:$CS,'25-BRA-I-090'!$I:$I,L387)</f>
        <v>61.68</v>
      </c>
      <c r="AE387" s="1039">
        <f>SUMIFS('25-BRA-I-090'!$CT:$CT,'25-BRA-I-090'!$I:$I,L387)</f>
        <v>4200.4079999999994</v>
      </c>
      <c r="AF387" s="1039">
        <f>SUMIFS('25-BRA-I-090'!$CW:$CW,'25-BRA-I-090'!$I:$I,L387)</f>
        <v>0</v>
      </c>
      <c r="AG387" s="1039">
        <f>SUMIFS('25-BRA-I-090'!$CX:$CX,'25-BRA-I-090'!$I:$I,L387)</f>
        <v>0</v>
      </c>
      <c r="AH387" s="1040">
        <f>SUMIFS('25-BRA-I-090'!$DJ:$DJ,'25-BRA-I-090'!$I:$I,L387)+SUMIFS('25-BRA-I-090'!$EC:$EC,'25-BRA-I-090'!$I:$I,L387)</f>
        <v>72</v>
      </c>
      <c r="AI387" s="1040">
        <f>SUMIFS('25-BRA-I-090'!$DK:$DK,'25-BRA-I-090'!$I:$I,L387)+SUMIFS('25-BRA-I-090'!$ED:$ED,'25-BRA-I-090'!$I:$I,L387)</f>
        <v>5191.3999999999996</v>
      </c>
      <c r="AJ387" s="1040">
        <f>SUMIFS('25-BRA-I-090'!$DO:$DO,'25-BRA-I-090'!$I:$I,L387)+26400*SUMIFS('25-BRA-I-090'!$EF:$EF,'25-BRA-I-090'!$I:$I,L387)</f>
        <v>91322396.953999996</v>
      </c>
      <c r="AL387" s="1092"/>
      <c r="AM387" s="1039"/>
    </row>
    <row r="388" spans="1:39" s="1010" customFormat="1" ht="30">
      <c r="A388" s="1106"/>
      <c r="B388" s="1057" t="str">
        <f t="shared" si="68"/>
        <v>HEB140(H140x140x7x12)-L12000</v>
      </c>
      <c r="C388" s="1058" t="str">
        <f>VLOOKUP(L388,'25-BRA-I-090'!$I:$EZ,4,0)</f>
        <v>1.0038/A36</v>
      </c>
      <c r="D388" s="1147"/>
      <c r="E388" s="1109"/>
      <c r="F388" s="184">
        <f t="shared" si="69"/>
        <v>92.047200000000004</v>
      </c>
      <c r="G388" s="185">
        <f t="shared" si="69"/>
        <v>3101.9906400000004</v>
      </c>
      <c r="H388" s="185">
        <f t="shared" si="70"/>
        <v>68.990640000000127</v>
      </c>
      <c r="I388" s="185">
        <f t="shared" si="71"/>
        <v>2818</v>
      </c>
      <c r="J388" s="185">
        <f t="shared" si="72"/>
        <v>17594.227828246982</v>
      </c>
      <c r="K388" s="185">
        <f t="shared" si="73"/>
        <v>49580534.019999996</v>
      </c>
      <c r="L388" s="1189" t="s">
        <v>1048</v>
      </c>
      <c r="M388" s="1059"/>
      <c r="N388" s="1059"/>
      <c r="T388" s="1011"/>
      <c r="U388" s="1133"/>
      <c r="V388" s="1012"/>
      <c r="AA388" s="1039" t="str">
        <f>VLOOKUP(L388,'25-BRA-I-090'!$I:$EZ,2,0)</f>
        <v>Thép hình-H</v>
      </c>
      <c r="AB388" s="1039" t="str">
        <f>VLOOKUP(L388,'25-BRA-I-090'!$I:$EZ,3,0)</f>
        <v>HEB140(H140x140x7x12)-L12000</v>
      </c>
      <c r="AC388" s="1039" t="s">
        <v>2620</v>
      </c>
      <c r="AD388" s="1039">
        <f>SUMIFS('25-BRA-I-090'!$CS:$CS,'25-BRA-I-090'!$I:$I,L388)</f>
        <v>92.047200000000004</v>
      </c>
      <c r="AE388" s="1039">
        <f>SUMIFS('25-BRA-I-090'!$CT:$CT,'25-BRA-I-090'!$I:$I,L388)</f>
        <v>3101.9906400000004</v>
      </c>
      <c r="AF388" s="1039">
        <f>SUMIFS('25-BRA-I-090'!$CW:$CW,'25-BRA-I-090'!$I:$I,L388)</f>
        <v>2.0472000000000037</v>
      </c>
      <c r="AG388" s="1039">
        <f>SUMIFS('25-BRA-I-090'!$CX:$CX,'25-BRA-I-090'!$I:$I,L388)</f>
        <v>68.990640000000127</v>
      </c>
      <c r="AH388" s="1040">
        <f>SUMIFS('25-BRA-I-090'!$DJ:$DJ,'25-BRA-I-090'!$I:$I,L388)+SUMIFS('25-BRA-I-090'!$EC:$EC,'25-BRA-I-090'!$I:$I,L388)</f>
        <v>90</v>
      </c>
      <c r="AI388" s="1040">
        <f>SUMIFS('25-BRA-I-090'!$DK:$DK,'25-BRA-I-090'!$I:$I,L388)+SUMIFS('25-BRA-I-090'!$ED:$ED,'25-BRA-I-090'!$I:$I,L388)</f>
        <v>2818</v>
      </c>
      <c r="AJ388" s="1040">
        <f>SUMIFS('25-BRA-I-090'!$DO:$DO,'25-BRA-I-090'!$I:$I,L388)+26400*SUMIFS('25-BRA-I-090'!$EF:$EF,'25-BRA-I-090'!$I:$I,L388)</f>
        <v>49580534.019999996</v>
      </c>
      <c r="AL388" s="1092"/>
      <c r="AM388" s="1039"/>
    </row>
    <row r="389" spans="1:39" s="1010" customFormat="1" ht="30">
      <c r="A389" s="1106"/>
      <c r="B389" s="1057" t="str">
        <f t="shared" si="68"/>
        <v>HEB220(H220x220x9.5x16)-L12000</v>
      </c>
      <c r="C389" s="1058" t="str">
        <f>VLOOKUP(L389,'25-BRA-I-090'!$I:$EZ,4,0)</f>
        <v>1.0038/A36</v>
      </c>
      <c r="D389" s="1147"/>
      <c r="E389" s="1109"/>
      <c r="F389" s="184">
        <f t="shared" si="69"/>
        <v>56.594160000000009</v>
      </c>
      <c r="G389" s="185">
        <f t="shared" si="69"/>
        <v>4040.8230240000012</v>
      </c>
      <c r="H389" s="185">
        <f t="shared" si="70"/>
        <v>0</v>
      </c>
      <c r="I389" s="185">
        <f t="shared" si="71"/>
        <v>4344</v>
      </c>
      <c r="J389" s="185">
        <f t="shared" si="72"/>
        <v>17636.36</v>
      </c>
      <c r="K389" s="185">
        <f t="shared" si="73"/>
        <v>76612347.840000004</v>
      </c>
      <c r="L389" s="1189" t="s">
        <v>1049</v>
      </c>
      <c r="M389" s="1059"/>
      <c r="N389" s="1059"/>
      <c r="T389" s="1011"/>
      <c r="U389" s="1133"/>
      <c r="V389" s="1012"/>
      <c r="AA389" s="1039" t="str">
        <f>VLOOKUP(L389,'25-BRA-I-090'!$I:$EZ,2,0)</f>
        <v>Thép hình-H</v>
      </c>
      <c r="AB389" s="1039" t="str">
        <f>VLOOKUP(L389,'25-BRA-I-090'!$I:$EZ,3,0)</f>
        <v>HEB220(H220x220x9.5x16)-L12000</v>
      </c>
      <c r="AC389" s="1039" t="s">
        <v>2620</v>
      </c>
      <c r="AD389" s="1039">
        <f>SUMIFS('25-BRA-I-090'!$CS:$CS,'25-BRA-I-090'!$I:$I,L389)</f>
        <v>56.594160000000009</v>
      </c>
      <c r="AE389" s="1039">
        <f>SUMIFS('25-BRA-I-090'!$CT:$CT,'25-BRA-I-090'!$I:$I,L389)</f>
        <v>4040.8230240000012</v>
      </c>
      <c r="AF389" s="1039">
        <f>SUMIFS('25-BRA-I-090'!$CW:$CW,'25-BRA-I-090'!$I:$I,L389)</f>
        <v>0</v>
      </c>
      <c r="AG389" s="1039">
        <f>SUMIFS('25-BRA-I-090'!$CX:$CX,'25-BRA-I-090'!$I:$I,L389)</f>
        <v>0</v>
      </c>
      <c r="AH389" s="1040">
        <f>SUMIFS('25-BRA-I-090'!$DJ:$DJ,'25-BRA-I-090'!$I:$I,L389)+SUMIFS('25-BRA-I-090'!$EC:$EC,'25-BRA-I-090'!$I:$I,L389)</f>
        <v>60</v>
      </c>
      <c r="AI389" s="1040">
        <f>SUMIFS('25-BRA-I-090'!$DK:$DK,'25-BRA-I-090'!$I:$I,L389)+SUMIFS('25-BRA-I-090'!$ED:$ED,'25-BRA-I-090'!$I:$I,L389)</f>
        <v>4344</v>
      </c>
      <c r="AJ389" s="1040">
        <f>SUMIFS('25-BRA-I-090'!$DO:$DO,'25-BRA-I-090'!$I:$I,L389)+26400*SUMIFS('25-BRA-I-090'!$EF:$EF,'25-BRA-I-090'!$I:$I,L389)</f>
        <v>76612347.840000004</v>
      </c>
      <c r="AL389" s="1092"/>
      <c r="AM389" s="1039"/>
    </row>
    <row r="390" spans="1:39" s="1010" customFormat="1" ht="30">
      <c r="A390" s="1106"/>
      <c r="B390" s="1057" t="str">
        <f t="shared" si="68"/>
        <v>HEB300(H300x300x11x19)-L12000</v>
      </c>
      <c r="C390" s="1058" t="str">
        <f>VLOOKUP(L390,'25-BRA-I-090'!$I:$EZ,4,0)</f>
        <v>1.0038/A36</v>
      </c>
      <c r="D390" s="1147"/>
      <c r="E390" s="1109"/>
      <c r="F390" s="184">
        <f t="shared" si="69"/>
        <v>108</v>
      </c>
      <c r="G390" s="185">
        <f t="shared" si="69"/>
        <v>12636</v>
      </c>
      <c r="H390" s="185">
        <f t="shared" si="70"/>
        <v>0</v>
      </c>
      <c r="I390" s="185">
        <f t="shared" si="71"/>
        <v>3288</v>
      </c>
      <c r="J390" s="185">
        <f t="shared" si="72"/>
        <v>14545.45</v>
      </c>
      <c r="K390" s="185">
        <f t="shared" si="73"/>
        <v>47825439.600000001</v>
      </c>
      <c r="L390" s="1189" t="s">
        <v>1051</v>
      </c>
      <c r="M390" s="1059"/>
      <c r="N390" s="1059"/>
      <c r="T390" s="1011"/>
      <c r="U390" s="1133"/>
      <c r="V390" s="1012"/>
      <c r="AA390" s="1039" t="str">
        <f>VLOOKUP(L390,'25-BRA-I-090'!$I:$EZ,2,0)</f>
        <v>Thép hình-H</v>
      </c>
      <c r="AB390" s="1039" t="str">
        <f>VLOOKUP(L390,'25-BRA-I-090'!$I:$EZ,3,0)</f>
        <v>HEB300(H300x300x11x19)-L12000</v>
      </c>
      <c r="AC390" s="1039" t="s">
        <v>2620</v>
      </c>
      <c r="AD390" s="1039">
        <f>SUMIFS('25-BRA-I-090'!$CS:$CS,'25-BRA-I-090'!$I:$I,L390)</f>
        <v>108</v>
      </c>
      <c r="AE390" s="1039">
        <f>SUMIFS('25-BRA-I-090'!$CT:$CT,'25-BRA-I-090'!$I:$I,L390)</f>
        <v>12636</v>
      </c>
      <c r="AF390" s="1039">
        <f>SUMIFS('25-BRA-I-090'!$CW:$CW,'25-BRA-I-090'!$I:$I,L390)</f>
        <v>0</v>
      </c>
      <c r="AG390" s="1039">
        <f>SUMIFS('25-BRA-I-090'!$CX:$CX,'25-BRA-I-090'!$I:$I,L390)</f>
        <v>0</v>
      </c>
      <c r="AH390" s="1040">
        <f>SUMIFS('25-BRA-I-090'!$DJ:$DJ,'25-BRA-I-090'!$I:$I,L390)+SUMIFS('25-BRA-I-090'!$EC:$EC,'25-BRA-I-090'!$I:$I,L390)</f>
        <v>24</v>
      </c>
      <c r="AI390" s="1040">
        <f>SUMIFS('25-BRA-I-090'!$DK:$DK,'25-BRA-I-090'!$I:$I,L390)+SUMIFS('25-BRA-I-090'!$ED:$ED,'25-BRA-I-090'!$I:$I,L390)</f>
        <v>3288</v>
      </c>
      <c r="AJ390" s="1040">
        <f>SUMIFS('25-BRA-I-090'!$DO:$DO,'25-BRA-I-090'!$I:$I,L390)+26400*SUMIFS('25-BRA-I-090'!$EF:$EF,'25-BRA-I-090'!$I:$I,L390)</f>
        <v>47825439.600000001</v>
      </c>
      <c r="AL390" s="1092"/>
      <c r="AM390" s="1039"/>
    </row>
    <row r="391" spans="1:39" s="1010" customFormat="1" ht="30">
      <c r="A391" s="1106"/>
      <c r="B391" s="1057" t="str">
        <f t="shared" si="68"/>
        <v>HW350(H350x350x12x19)-L12000</v>
      </c>
      <c r="C391" s="1058" t="str">
        <f>VLOOKUP(L391,'25-BRA-I-090'!$I:$EZ,4,0)</f>
        <v>1.0038/A36</v>
      </c>
      <c r="D391" s="1147"/>
      <c r="E391" s="1109"/>
      <c r="F391" s="184">
        <f t="shared" si="69"/>
        <v>76.524000000000001</v>
      </c>
      <c r="G391" s="185">
        <f t="shared" si="69"/>
        <v>10323.087600000001</v>
      </c>
      <c r="H391" s="185">
        <f t="shared" si="70"/>
        <v>0</v>
      </c>
      <c r="I391" s="185">
        <f t="shared" si="71"/>
        <v>11436</v>
      </c>
      <c r="J391" s="185">
        <f t="shared" si="72"/>
        <v>14482.971511017837</v>
      </c>
      <c r="K391" s="185">
        <f t="shared" si="73"/>
        <v>165627262.19999999</v>
      </c>
      <c r="L391" s="1189" t="s">
        <v>1052</v>
      </c>
      <c r="M391" s="1059"/>
      <c r="N391" s="1059"/>
      <c r="T391" s="1011"/>
      <c r="U391" s="1133"/>
      <c r="V391" s="1012"/>
      <c r="AA391" s="1039" t="str">
        <f>VLOOKUP(L391,'25-BRA-I-090'!$I:$EZ,2,0)</f>
        <v>Thép hình-H</v>
      </c>
      <c r="AB391" s="1039" t="str">
        <f>VLOOKUP(L391,'25-BRA-I-090'!$I:$EZ,3,0)</f>
        <v>HW350(H350x350x12x19)-L12000</v>
      </c>
      <c r="AC391" s="1039" t="s">
        <v>2620</v>
      </c>
      <c r="AD391" s="1039">
        <f>SUMIFS('25-BRA-I-090'!$CS:$CS,'25-BRA-I-090'!$I:$I,L391)</f>
        <v>76.524000000000001</v>
      </c>
      <c r="AE391" s="1039">
        <f>SUMIFS('25-BRA-I-090'!$CT:$CT,'25-BRA-I-090'!$I:$I,L391)</f>
        <v>10323.087600000001</v>
      </c>
      <c r="AF391" s="1039">
        <f>SUMIFS('25-BRA-I-090'!$CW:$CW,'25-BRA-I-090'!$I:$I,L391)</f>
        <v>0</v>
      </c>
      <c r="AG391" s="1039">
        <f>SUMIFS('25-BRA-I-090'!$CX:$CX,'25-BRA-I-090'!$I:$I,L391)</f>
        <v>0</v>
      </c>
      <c r="AH391" s="1040">
        <f>SUMIFS('25-BRA-I-090'!$DJ:$DJ,'25-BRA-I-090'!$I:$I,L391)+SUMIFS('25-BRA-I-090'!$EC:$EC,'25-BRA-I-090'!$I:$I,L391)</f>
        <v>84</v>
      </c>
      <c r="AI391" s="1040">
        <f>SUMIFS('25-BRA-I-090'!$DK:$DK,'25-BRA-I-090'!$I:$I,L391)+SUMIFS('25-BRA-I-090'!$ED:$ED,'25-BRA-I-090'!$I:$I,L391)</f>
        <v>11436</v>
      </c>
      <c r="AJ391" s="1040">
        <f>SUMIFS('25-BRA-I-090'!$DO:$DO,'25-BRA-I-090'!$I:$I,L391)+26400*SUMIFS('25-BRA-I-090'!$EF:$EF,'25-BRA-I-090'!$I:$I,L391)</f>
        <v>165627262.19999999</v>
      </c>
      <c r="AL391" s="1092"/>
      <c r="AM391" s="1039"/>
    </row>
    <row r="392" spans="1:39" s="1010" customFormat="1" ht="30">
      <c r="A392" s="1106"/>
      <c r="B392" s="1057" t="str">
        <f t="shared" si="68"/>
        <v>UNP100(C100x50x6x8.5)-L12000</v>
      </c>
      <c r="C392" s="1058" t="str">
        <f>VLOOKUP(L392,'25-BRA-I-090'!$I:$EZ,4,0)</f>
        <v>1.0038/A36</v>
      </c>
      <c r="D392" s="1147"/>
      <c r="E392" s="1109"/>
      <c r="F392" s="184">
        <f t="shared" si="69"/>
        <v>37.111200000000004</v>
      </c>
      <c r="G392" s="185">
        <f t="shared" si="69"/>
        <v>393.37872000000004</v>
      </c>
      <c r="H392" s="185">
        <f t="shared" si="70"/>
        <v>11.778720000000039</v>
      </c>
      <c r="I392" s="185">
        <f t="shared" si="71"/>
        <v>482.4</v>
      </c>
      <c r="J392" s="185">
        <f t="shared" si="72"/>
        <v>17636.36</v>
      </c>
      <c r="K392" s="185">
        <f t="shared" si="73"/>
        <v>8507780.0639999993</v>
      </c>
      <c r="L392" s="1189" t="s">
        <v>1054</v>
      </c>
      <c r="M392" s="1059"/>
      <c r="N392" s="1059"/>
      <c r="T392" s="1011"/>
      <c r="U392" s="1133"/>
      <c r="V392" s="1012"/>
      <c r="AA392" s="1039" t="str">
        <f>VLOOKUP(L392,'25-BRA-I-090'!$I:$EZ,2,0)</f>
        <v>Thép hình-C</v>
      </c>
      <c r="AB392" s="1039" t="str">
        <f>VLOOKUP(L392,'25-BRA-I-090'!$I:$EZ,3,0)</f>
        <v>UNP100(C100x50x6x8.5)-L12000</v>
      </c>
      <c r="AC392" s="1039" t="s">
        <v>2620</v>
      </c>
      <c r="AD392" s="1039">
        <f>SUMIFS('25-BRA-I-090'!$CS:$CS,'25-BRA-I-090'!$I:$I,L392)</f>
        <v>37.111200000000004</v>
      </c>
      <c r="AE392" s="1039">
        <f>SUMIFS('25-BRA-I-090'!$CT:$CT,'25-BRA-I-090'!$I:$I,L392)</f>
        <v>393.37872000000004</v>
      </c>
      <c r="AF392" s="1039">
        <f>SUMIFS('25-BRA-I-090'!$CW:$CW,'25-BRA-I-090'!$I:$I,L392)</f>
        <v>1.1112000000000037</v>
      </c>
      <c r="AG392" s="1039">
        <f>SUMIFS('25-BRA-I-090'!$CX:$CX,'25-BRA-I-090'!$I:$I,L392)</f>
        <v>11.778720000000039</v>
      </c>
      <c r="AH392" s="1040">
        <f>SUMIFS('25-BRA-I-090'!$DJ:$DJ,'25-BRA-I-090'!$I:$I,L392)+SUMIFS('25-BRA-I-090'!$EC:$EC,'25-BRA-I-090'!$I:$I,L392)</f>
        <v>36</v>
      </c>
      <c r="AI392" s="1040">
        <f>SUMIFS('25-BRA-I-090'!$DK:$DK,'25-BRA-I-090'!$I:$I,L392)+SUMIFS('25-BRA-I-090'!$ED:$ED,'25-BRA-I-090'!$I:$I,L392)</f>
        <v>482.4</v>
      </c>
      <c r="AJ392" s="1040">
        <f>SUMIFS('25-BRA-I-090'!$DO:$DO,'25-BRA-I-090'!$I:$I,L392)+26400*SUMIFS('25-BRA-I-090'!$EF:$EF,'25-BRA-I-090'!$I:$I,L392)</f>
        <v>8507780.0639999993</v>
      </c>
      <c r="AL392" s="1092"/>
      <c r="AM392" s="1039"/>
    </row>
    <row r="393" spans="1:39" s="1010" customFormat="1" ht="30">
      <c r="A393" s="1106"/>
      <c r="B393" s="1057" t="str">
        <f t="shared" si="68"/>
        <v>UNP200(C200x75x8.5x11.5)-L12000</v>
      </c>
      <c r="C393" s="1058" t="str">
        <f>VLOOKUP(L393,'25-BRA-I-090'!$I:$EZ,4,0)</f>
        <v>1.0038/A36</v>
      </c>
      <c r="D393" s="1147"/>
      <c r="E393" s="1109"/>
      <c r="F393" s="184">
        <f t="shared" si="69"/>
        <v>381.5</v>
      </c>
      <c r="G393" s="185">
        <f t="shared" si="69"/>
        <v>9651.9499999999989</v>
      </c>
      <c r="H393" s="185">
        <f t="shared" si="70"/>
        <v>0</v>
      </c>
      <c r="I393" s="185">
        <f t="shared" si="71"/>
        <v>11637.919999999998</v>
      </c>
      <c r="J393" s="185">
        <f t="shared" si="72"/>
        <v>17636.361561962964</v>
      </c>
      <c r="K393" s="185">
        <f t="shared" si="73"/>
        <v>205250564.94919997</v>
      </c>
      <c r="L393" s="1189" t="s">
        <v>1056</v>
      </c>
      <c r="M393" s="1059"/>
      <c r="N393" s="1059"/>
      <c r="T393" s="1011"/>
      <c r="U393" s="1133"/>
      <c r="V393" s="1012"/>
      <c r="AA393" s="1039" t="str">
        <f>VLOOKUP(L393,'25-BRA-I-090'!$I:$EZ,2,0)</f>
        <v>Thép hình-C</v>
      </c>
      <c r="AB393" s="1039" t="str">
        <f>VLOOKUP(L393,'25-BRA-I-090'!$I:$EZ,3,0)</f>
        <v>UNP200(C200x75x8.5x11.5)-L12000</v>
      </c>
      <c r="AC393" s="1039" t="s">
        <v>2620</v>
      </c>
      <c r="AD393" s="1039">
        <f>SUMIFS('25-BRA-I-090'!$CS:$CS,'25-BRA-I-090'!$I:$I,L393)</f>
        <v>381.5</v>
      </c>
      <c r="AE393" s="1039">
        <f>SUMIFS('25-BRA-I-090'!$CT:$CT,'25-BRA-I-090'!$I:$I,L393)</f>
        <v>9651.9499999999989</v>
      </c>
      <c r="AF393" s="1039">
        <f>SUMIFS('25-BRA-I-090'!$CW:$CW,'25-BRA-I-090'!$I:$I,L393)</f>
        <v>0</v>
      </c>
      <c r="AG393" s="1039">
        <f>SUMIFS('25-BRA-I-090'!$CX:$CX,'25-BRA-I-090'!$I:$I,L393)</f>
        <v>0</v>
      </c>
      <c r="AH393" s="1040">
        <f>SUMIFS('25-BRA-I-090'!$DJ:$DJ,'25-BRA-I-090'!$I:$I,L393)+SUMIFS('25-BRA-I-090'!$EC:$EC,'25-BRA-I-090'!$I:$I,L393)</f>
        <v>384</v>
      </c>
      <c r="AI393" s="1040">
        <f>SUMIFS('25-BRA-I-090'!$DK:$DK,'25-BRA-I-090'!$I:$I,L393)+SUMIFS('25-BRA-I-090'!$ED:$ED,'25-BRA-I-090'!$I:$I,L393)</f>
        <v>11637.919999999998</v>
      </c>
      <c r="AJ393" s="1040">
        <f>SUMIFS('25-BRA-I-090'!$DO:$DO,'25-BRA-I-090'!$I:$I,L393)+26400*SUMIFS('25-BRA-I-090'!$EF:$EF,'25-BRA-I-090'!$I:$I,L393)</f>
        <v>205250564.94919997</v>
      </c>
      <c r="AL393" s="1092"/>
      <c r="AM393" s="1039"/>
    </row>
    <row r="394" spans="1:39" s="1010" customFormat="1" ht="30">
      <c r="A394" s="1106"/>
      <c r="B394" s="1057" t="str">
        <f t="shared" si="68"/>
        <v>UNP220(C220x80x9x12.5)-L12000</v>
      </c>
      <c r="C394" s="1058" t="str">
        <f>VLOOKUP(L394,'25-BRA-I-090'!$I:$EZ,4,0)</f>
        <v>1.0038/A36</v>
      </c>
      <c r="D394" s="1147"/>
      <c r="E394" s="1109"/>
      <c r="F394" s="184">
        <f t="shared" si="69"/>
        <v>888.75739999999996</v>
      </c>
      <c r="G394" s="185">
        <f t="shared" si="69"/>
        <v>26129.467559999997</v>
      </c>
      <c r="H394" s="185">
        <f t="shared" si="70"/>
        <v>0</v>
      </c>
      <c r="I394" s="185">
        <f t="shared" si="71"/>
        <v>30724.800000000003</v>
      </c>
      <c r="J394" s="185">
        <f t="shared" si="72"/>
        <v>17785.010135135133</v>
      </c>
      <c r="K394" s="185">
        <f t="shared" si="73"/>
        <v>546440879.39999998</v>
      </c>
      <c r="L394" s="1189" t="s">
        <v>1057</v>
      </c>
      <c r="M394" s="1059"/>
      <c r="N394" s="1059"/>
      <c r="T394" s="1011"/>
      <c r="U394" s="1133"/>
      <c r="V394" s="1012"/>
      <c r="AA394" s="1039" t="str">
        <f>VLOOKUP(L394,'25-BRA-I-090'!$I:$EZ,2,0)</f>
        <v>Thép hình-C</v>
      </c>
      <c r="AB394" s="1039" t="str">
        <f>VLOOKUP(L394,'25-BRA-I-090'!$I:$EZ,3,0)</f>
        <v>UNP220(C220x80x9x12.5)-L12000</v>
      </c>
      <c r="AC394" s="1039" t="s">
        <v>2620</v>
      </c>
      <c r="AD394" s="1039">
        <f>SUMIFS('25-BRA-I-090'!$CS:$CS,'25-BRA-I-090'!$I:$I,L394)</f>
        <v>888.75739999999996</v>
      </c>
      <c r="AE394" s="1039">
        <f>SUMIFS('25-BRA-I-090'!$CT:$CT,'25-BRA-I-090'!$I:$I,L394)</f>
        <v>26129.467559999997</v>
      </c>
      <c r="AF394" s="1039">
        <f>SUMIFS('25-BRA-I-090'!$CW:$CW,'25-BRA-I-090'!$I:$I,L394)</f>
        <v>0</v>
      </c>
      <c r="AG394" s="1039">
        <f>SUMIFS('25-BRA-I-090'!$CX:$CX,'25-BRA-I-090'!$I:$I,L394)</f>
        <v>0</v>
      </c>
      <c r="AH394" s="1040">
        <f>SUMIFS('25-BRA-I-090'!$DJ:$DJ,'25-BRA-I-090'!$I:$I,L394)+SUMIFS('25-BRA-I-090'!$EC:$EC,'25-BRA-I-090'!$I:$I,L394)</f>
        <v>888</v>
      </c>
      <c r="AI394" s="1040">
        <f>SUMIFS('25-BRA-I-090'!$DK:$DK,'25-BRA-I-090'!$I:$I,L394)+SUMIFS('25-BRA-I-090'!$ED:$ED,'25-BRA-I-090'!$I:$I,L394)</f>
        <v>30724.800000000003</v>
      </c>
      <c r="AJ394" s="1040">
        <f>SUMIFS('25-BRA-I-090'!$DO:$DO,'25-BRA-I-090'!$I:$I,L394)+26400*SUMIFS('25-BRA-I-090'!$EF:$EF,'25-BRA-I-090'!$I:$I,L394)</f>
        <v>546440879.39999998</v>
      </c>
      <c r="AL394" s="1092"/>
      <c r="AM394" s="1039"/>
    </row>
    <row r="395" spans="1:39" s="1010" customFormat="1" ht="30">
      <c r="A395" s="1106"/>
      <c r="B395" s="1057" t="str">
        <f t="shared" si="68"/>
        <v>UNP240(C240x85x9.5x13)-L12000</v>
      </c>
      <c r="C395" s="1058" t="str">
        <f>VLOOKUP(L395,'25-BRA-I-090'!$I:$EZ,4,0)</f>
        <v>1.0038/A36</v>
      </c>
      <c r="D395" s="1147"/>
      <c r="E395" s="1109"/>
      <c r="F395" s="184">
        <f t="shared" si="69"/>
        <v>48</v>
      </c>
      <c r="G395" s="185">
        <f t="shared" si="69"/>
        <v>1593.6000000000001</v>
      </c>
      <c r="H395" s="185">
        <f t="shared" si="70"/>
        <v>0</v>
      </c>
      <c r="I395" s="185">
        <f t="shared" si="71"/>
        <v>1660.8</v>
      </c>
      <c r="J395" s="185">
        <f t="shared" si="72"/>
        <v>18000</v>
      </c>
      <c r="K395" s="185">
        <f t="shared" si="73"/>
        <v>29894400</v>
      </c>
      <c r="L395" s="1189" t="s">
        <v>1059</v>
      </c>
      <c r="M395" s="1059"/>
      <c r="N395" s="1059"/>
      <c r="T395" s="1011"/>
      <c r="U395" s="1133"/>
      <c r="V395" s="1012"/>
      <c r="AA395" s="1039" t="str">
        <f>VLOOKUP(L395,'25-BRA-I-090'!$I:$EZ,2,0)</f>
        <v>Thép hình-C</v>
      </c>
      <c r="AB395" s="1039" t="str">
        <f>VLOOKUP(L395,'25-BRA-I-090'!$I:$EZ,3,0)</f>
        <v>UNP240(C240x85x9.5x13)-L12000</v>
      </c>
      <c r="AC395" s="1039" t="s">
        <v>2620</v>
      </c>
      <c r="AD395" s="1039">
        <f>SUMIFS('25-BRA-I-090'!$CS:$CS,'25-BRA-I-090'!$I:$I,L395)</f>
        <v>48</v>
      </c>
      <c r="AE395" s="1039">
        <f>SUMIFS('25-BRA-I-090'!$CT:$CT,'25-BRA-I-090'!$I:$I,L395)</f>
        <v>1593.6000000000001</v>
      </c>
      <c r="AF395" s="1039">
        <f>SUMIFS('25-BRA-I-090'!$CW:$CW,'25-BRA-I-090'!$I:$I,L395)</f>
        <v>0</v>
      </c>
      <c r="AG395" s="1039">
        <f>SUMIFS('25-BRA-I-090'!$CX:$CX,'25-BRA-I-090'!$I:$I,L395)</f>
        <v>0</v>
      </c>
      <c r="AH395" s="1040">
        <f>SUMIFS('25-BRA-I-090'!$DJ:$DJ,'25-BRA-I-090'!$I:$I,L395)+SUMIFS('25-BRA-I-090'!$EC:$EC,'25-BRA-I-090'!$I:$I,L395)</f>
        <v>48</v>
      </c>
      <c r="AI395" s="1040">
        <f>SUMIFS('25-BRA-I-090'!$DK:$DK,'25-BRA-I-090'!$I:$I,L395)+SUMIFS('25-BRA-I-090'!$ED:$ED,'25-BRA-I-090'!$I:$I,L395)</f>
        <v>1660.8</v>
      </c>
      <c r="AJ395" s="1040">
        <f>SUMIFS('25-BRA-I-090'!$DO:$DO,'25-BRA-I-090'!$I:$I,L395)+26400*SUMIFS('25-BRA-I-090'!$EF:$EF,'25-BRA-I-090'!$I:$I,L395)</f>
        <v>29894400</v>
      </c>
      <c r="AL395" s="1092"/>
      <c r="AM395" s="1039"/>
    </row>
    <row r="396" spans="1:39" s="1010" customFormat="1" ht="30">
      <c r="A396" s="1106"/>
      <c r="B396" s="1057" t="str">
        <f t="shared" si="68"/>
        <v>UNP260(C260x90x10x14)-L12000</v>
      </c>
      <c r="C396" s="1058" t="str">
        <f>VLOOKUP(L396,'25-BRA-I-090'!$I:$EZ,4,0)</f>
        <v>1.0038/A36</v>
      </c>
      <c r="D396" s="1147"/>
      <c r="E396" s="1109"/>
      <c r="F396" s="184">
        <f t="shared" si="69"/>
        <v>24</v>
      </c>
      <c r="G396" s="185">
        <f t="shared" si="69"/>
        <v>909.59999999999991</v>
      </c>
      <c r="H396" s="185">
        <f t="shared" si="70"/>
        <v>0</v>
      </c>
      <c r="I396" s="185">
        <f t="shared" si="71"/>
        <v>914.2</v>
      </c>
      <c r="J396" s="185">
        <f t="shared" si="72"/>
        <v>17772.774721067599</v>
      </c>
      <c r="K396" s="185">
        <f t="shared" si="73"/>
        <v>16247870.65</v>
      </c>
      <c r="L396" s="1189" t="s">
        <v>1061</v>
      </c>
      <c r="M396" s="1059"/>
      <c r="N396" s="1059"/>
      <c r="T396" s="1011"/>
      <c r="U396" s="1133"/>
      <c r="V396" s="1012"/>
      <c r="AA396" s="1039" t="str">
        <f>VLOOKUP(L396,'25-BRA-I-090'!$I:$EZ,2,0)</f>
        <v>Thép hình-C</v>
      </c>
      <c r="AB396" s="1039" t="str">
        <f>VLOOKUP(L396,'25-BRA-I-090'!$I:$EZ,3,0)</f>
        <v>UNP260(C260x90x10x14)-L12000</v>
      </c>
      <c r="AC396" s="1039" t="s">
        <v>2620</v>
      </c>
      <c r="AD396" s="1039">
        <f>SUMIFS('25-BRA-I-090'!$CS:$CS,'25-BRA-I-090'!$I:$I,L396)</f>
        <v>24</v>
      </c>
      <c r="AE396" s="1039">
        <f>SUMIFS('25-BRA-I-090'!$CT:$CT,'25-BRA-I-090'!$I:$I,L396)</f>
        <v>909.59999999999991</v>
      </c>
      <c r="AF396" s="1039">
        <f>SUMIFS('25-BRA-I-090'!$CW:$CW,'25-BRA-I-090'!$I:$I,L396)</f>
        <v>0</v>
      </c>
      <c r="AG396" s="1039">
        <f>SUMIFS('25-BRA-I-090'!$CX:$CX,'25-BRA-I-090'!$I:$I,L396)</f>
        <v>0</v>
      </c>
      <c r="AH396" s="1040">
        <f>SUMIFS('25-BRA-I-090'!$DJ:$DJ,'25-BRA-I-090'!$I:$I,L396)+SUMIFS('25-BRA-I-090'!$EC:$EC,'25-BRA-I-090'!$I:$I,L396)</f>
        <v>24</v>
      </c>
      <c r="AI396" s="1040">
        <f>SUMIFS('25-BRA-I-090'!$DK:$DK,'25-BRA-I-090'!$I:$I,L396)+SUMIFS('25-BRA-I-090'!$ED:$ED,'25-BRA-I-090'!$I:$I,L396)</f>
        <v>914.2</v>
      </c>
      <c r="AJ396" s="1040">
        <f>SUMIFS('25-BRA-I-090'!$DO:$DO,'25-BRA-I-090'!$I:$I,L396)+26400*SUMIFS('25-BRA-I-090'!$EF:$EF,'25-BRA-I-090'!$I:$I,L396)</f>
        <v>16247870.65</v>
      </c>
      <c r="AL396" s="1092"/>
      <c r="AM396" s="1039"/>
    </row>
    <row r="397" spans="1:39" s="1010" customFormat="1" ht="30">
      <c r="A397" s="1106"/>
      <c r="B397" s="1057" t="str">
        <f t="shared" si="68"/>
        <v>UPE360(H360x110x12x17)-L12000</v>
      </c>
      <c r="C397" s="1058" t="str">
        <f>VLOOKUP(L397,'25-BRA-I-090'!$I:$EZ,4,0)</f>
        <v>1.0038/A36</v>
      </c>
      <c r="D397" s="1147"/>
      <c r="E397" s="1109"/>
      <c r="F397" s="184">
        <f t="shared" si="69"/>
        <v>0</v>
      </c>
      <c r="G397" s="185">
        <f t="shared" si="69"/>
        <v>0</v>
      </c>
      <c r="H397" s="185">
        <f t="shared" si="70"/>
        <v>0</v>
      </c>
      <c r="I397" s="185">
        <f t="shared" si="71"/>
        <v>0</v>
      </c>
      <c r="J397" s="185" t="e">
        <f t="shared" si="72"/>
        <v>#DIV/0!</v>
      </c>
      <c r="K397" s="185">
        <f t="shared" si="73"/>
        <v>0</v>
      </c>
      <c r="L397" s="1189" t="s">
        <v>1062</v>
      </c>
      <c r="M397" s="1059"/>
      <c r="N397" s="1059"/>
      <c r="T397" s="1011"/>
      <c r="U397" s="1133"/>
      <c r="V397" s="1012"/>
      <c r="AA397" s="1039" t="str">
        <f>VLOOKUP(L397,'25-BRA-I-090'!$I:$EZ,2,0)</f>
        <v>Thép hình-C</v>
      </c>
      <c r="AB397" s="1039" t="str">
        <f>VLOOKUP(L397,'25-BRA-I-090'!$I:$EZ,3,0)</f>
        <v>UPE360(H360x110x12x17)-L12000</v>
      </c>
      <c r="AC397" s="1039" t="s">
        <v>2620</v>
      </c>
      <c r="AD397" s="1039">
        <f>SUMIFS('25-BRA-I-090'!$CS:$CS,'25-BRA-I-090'!$I:$I,L397)</f>
        <v>0</v>
      </c>
      <c r="AE397" s="1039">
        <f>SUMIFS('25-BRA-I-090'!$CT:$CT,'25-BRA-I-090'!$I:$I,L397)</f>
        <v>0</v>
      </c>
      <c r="AF397" s="1039">
        <f>SUMIFS('25-BRA-I-090'!$CW:$CW,'25-BRA-I-090'!$I:$I,L397)</f>
        <v>0</v>
      </c>
      <c r="AG397" s="1039">
        <f>SUMIFS('25-BRA-I-090'!$CX:$CX,'25-BRA-I-090'!$I:$I,L397)</f>
        <v>0</v>
      </c>
      <c r="AH397" s="1040">
        <f>SUMIFS('25-BRA-I-090'!$DJ:$DJ,'25-BRA-I-090'!$I:$I,L397)+SUMIFS('25-BRA-I-090'!$EC:$EC,'25-BRA-I-090'!$I:$I,L397)</f>
        <v>0</v>
      </c>
      <c r="AI397" s="1040">
        <f>SUMIFS('25-BRA-I-090'!$DK:$DK,'25-BRA-I-090'!$I:$I,L397)+SUMIFS('25-BRA-I-090'!$ED:$ED,'25-BRA-I-090'!$I:$I,L397)</f>
        <v>0</v>
      </c>
      <c r="AJ397" s="1040">
        <f>SUMIFS('25-BRA-I-090'!$DO:$DO,'25-BRA-I-090'!$I:$I,L397)+26400*SUMIFS('25-BRA-I-090'!$EF:$EF,'25-BRA-I-090'!$I:$I,L397)</f>
        <v>0</v>
      </c>
      <c r="AL397" s="1092"/>
      <c r="AM397" s="1039"/>
    </row>
    <row r="398" spans="1:39" s="1010" customFormat="1" ht="30">
      <c r="A398" s="1106"/>
      <c r="B398" s="1057" t="str">
        <f t="shared" si="68"/>
        <v>UPN120(C120x55x7x9)-L12000</v>
      </c>
      <c r="C398" s="1058" t="str">
        <f>VLOOKUP(L398,'25-BRA-I-090'!$I:$EZ,4,0)</f>
        <v>1.0038/A36</v>
      </c>
      <c r="D398" s="1147"/>
      <c r="E398" s="1109"/>
      <c r="F398" s="184">
        <f t="shared" si="69"/>
        <v>279.51280000000003</v>
      </c>
      <c r="G398" s="185">
        <f t="shared" si="69"/>
        <v>1922.0202400000003</v>
      </c>
      <c r="H398" s="185">
        <f t="shared" si="70"/>
        <v>113.22024000000017</v>
      </c>
      <c r="I398" s="185">
        <f t="shared" si="71"/>
        <v>3698.4</v>
      </c>
      <c r="J398" s="185">
        <f t="shared" si="72"/>
        <v>17577.070869565217</v>
      </c>
      <c r="K398" s="185">
        <f t="shared" si="73"/>
        <v>65007038.904000007</v>
      </c>
      <c r="L398" s="1189" t="s">
        <v>1064</v>
      </c>
      <c r="M398" s="1059"/>
      <c r="N398" s="1059"/>
      <c r="T398" s="1011"/>
      <c r="U398" s="1133"/>
      <c r="V398" s="1012"/>
      <c r="AA398" s="1039" t="str">
        <f>VLOOKUP(L398,'25-BRA-I-090'!$I:$EZ,2,0)</f>
        <v>Thép hình-C</v>
      </c>
      <c r="AB398" s="1039" t="str">
        <f>VLOOKUP(L398,'25-BRA-I-090'!$I:$EZ,3,0)</f>
        <v>UPN120(C120x55x7x9)-L12000</v>
      </c>
      <c r="AC398" s="1039" t="s">
        <v>2620</v>
      </c>
      <c r="AD398" s="1039">
        <f>SUMIFS('25-BRA-I-090'!$CS:$CS,'25-BRA-I-090'!$I:$I,L398)</f>
        <v>279.51280000000003</v>
      </c>
      <c r="AE398" s="1039">
        <f>SUMIFS('25-BRA-I-090'!$CT:$CT,'25-BRA-I-090'!$I:$I,L398)</f>
        <v>1922.0202400000003</v>
      </c>
      <c r="AF398" s="1039">
        <f>SUMIFS('25-BRA-I-090'!$CW:$CW,'25-BRA-I-090'!$I:$I,L398)</f>
        <v>8.5128000000000128</v>
      </c>
      <c r="AG398" s="1039">
        <f>SUMIFS('25-BRA-I-090'!$CX:$CX,'25-BRA-I-090'!$I:$I,L398)</f>
        <v>113.22024000000017</v>
      </c>
      <c r="AH398" s="1040">
        <f>SUMIFS('25-BRA-I-090'!$DJ:$DJ,'25-BRA-I-090'!$I:$I,L398)+SUMIFS('25-BRA-I-090'!$EC:$EC,'25-BRA-I-090'!$I:$I,L398)</f>
        <v>276</v>
      </c>
      <c r="AI398" s="1040">
        <f>SUMIFS('25-BRA-I-090'!$DK:$DK,'25-BRA-I-090'!$I:$I,L398)+SUMIFS('25-BRA-I-090'!$ED:$ED,'25-BRA-I-090'!$I:$I,L398)</f>
        <v>3698.4</v>
      </c>
      <c r="AJ398" s="1040">
        <f>SUMIFS('25-BRA-I-090'!$DO:$DO,'25-BRA-I-090'!$I:$I,L398)+26400*SUMIFS('25-BRA-I-090'!$EF:$EF,'25-BRA-I-090'!$I:$I,L398)</f>
        <v>65007038.904000007</v>
      </c>
      <c r="AL398" s="1092"/>
      <c r="AM398" s="1039"/>
    </row>
    <row r="399" spans="1:39" s="1010" customFormat="1" ht="30">
      <c r="A399" s="1106"/>
      <c r="B399" s="1057" t="str">
        <f t="shared" si="68"/>
        <v>UPN160(C160x65x7.5x10.5)-L12000</v>
      </c>
      <c r="C399" s="1058" t="str">
        <f>VLOOKUP(L399,'25-BRA-I-090'!$I:$EZ,4,0)</f>
        <v>1.0038/A36</v>
      </c>
      <c r="D399" s="1147"/>
      <c r="E399" s="1109"/>
      <c r="F399" s="184">
        <f t="shared" si="69"/>
        <v>26.6112</v>
      </c>
      <c r="G399" s="185">
        <f t="shared" si="69"/>
        <v>500.29056000000003</v>
      </c>
      <c r="H399" s="185">
        <f t="shared" si="70"/>
        <v>0</v>
      </c>
      <c r="I399" s="185">
        <f t="shared" si="71"/>
        <v>864</v>
      </c>
      <c r="J399" s="185">
        <f t="shared" si="72"/>
        <v>17272.73</v>
      </c>
      <c r="K399" s="185">
        <f t="shared" si="73"/>
        <v>14923638.719999999</v>
      </c>
      <c r="L399" s="1189" t="s">
        <v>1065</v>
      </c>
      <c r="M399" s="1059"/>
      <c r="N399" s="1059"/>
      <c r="T399" s="1011"/>
      <c r="U399" s="1133"/>
      <c r="V399" s="1012"/>
      <c r="AA399" s="1039" t="str">
        <f>VLOOKUP(L399,'25-BRA-I-090'!$I:$EZ,2,0)</f>
        <v>Thép hình-C</v>
      </c>
      <c r="AB399" s="1039" t="str">
        <f>VLOOKUP(L399,'25-BRA-I-090'!$I:$EZ,3,0)</f>
        <v>UPN160(C160x65x7.5x10.5)-L12000</v>
      </c>
      <c r="AC399" s="1039" t="s">
        <v>2620</v>
      </c>
      <c r="AD399" s="1039">
        <f>SUMIFS('25-BRA-I-090'!$CS:$CS,'25-BRA-I-090'!$I:$I,L399)</f>
        <v>26.6112</v>
      </c>
      <c r="AE399" s="1039">
        <f>SUMIFS('25-BRA-I-090'!$CT:$CT,'25-BRA-I-090'!$I:$I,L399)</f>
        <v>500.29056000000003</v>
      </c>
      <c r="AF399" s="1039">
        <f>SUMIFS('25-BRA-I-090'!$CW:$CW,'25-BRA-I-090'!$I:$I,L399)</f>
        <v>0</v>
      </c>
      <c r="AG399" s="1039">
        <f>SUMIFS('25-BRA-I-090'!$CX:$CX,'25-BRA-I-090'!$I:$I,L399)</f>
        <v>0</v>
      </c>
      <c r="AH399" s="1040">
        <f>SUMIFS('25-BRA-I-090'!$DJ:$DJ,'25-BRA-I-090'!$I:$I,L399)+SUMIFS('25-BRA-I-090'!$EC:$EC,'25-BRA-I-090'!$I:$I,L399)</f>
        <v>36</v>
      </c>
      <c r="AI399" s="1040">
        <f>SUMIFS('25-BRA-I-090'!$DK:$DK,'25-BRA-I-090'!$I:$I,L399)+SUMIFS('25-BRA-I-090'!$ED:$ED,'25-BRA-I-090'!$I:$I,L399)</f>
        <v>864</v>
      </c>
      <c r="AJ399" s="1040">
        <f>SUMIFS('25-BRA-I-090'!$DO:$DO,'25-BRA-I-090'!$I:$I,L399)+26400*SUMIFS('25-BRA-I-090'!$EF:$EF,'25-BRA-I-090'!$I:$I,L399)</f>
        <v>14923638.719999999</v>
      </c>
      <c r="AL399" s="1092"/>
      <c r="AM399" s="1039"/>
    </row>
    <row r="400" spans="1:39" s="1010" customFormat="1" ht="30">
      <c r="A400" s="1106"/>
      <c r="B400" s="1057" t="str">
        <f t="shared" si="68"/>
        <v>L150x150x10-L6000</v>
      </c>
      <c r="C400" s="1058" t="str">
        <f>VLOOKUP(L400,'25-BRA-I-090'!$I:$EZ,4,0)</f>
        <v>1.0038/A36</v>
      </c>
      <c r="D400" s="1147"/>
      <c r="E400" s="1109"/>
      <c r="F400" s="184">
        <f t="shared" si="69"/>
        <v>9</v>
      </c>
      <c r="G400" s="185">
        <f t="shared" si="69"/>
        <v>207</v>
      </c>
      <c r="H400" s="185">
        <f t="shared" si="70"/>
        <v>138</v>
      </c>
      <c r="I400" s="185">
        <f t="shared" si="71"/>
        <v>138</v>
      </c>
      <c r="J400" s="185">
        <f t="shared" si="72"/>
        <v>15909.09</v>
      </c>
      <c r="K400" s="185">
        <f t="shared" si="73"/>
        <v>2195454.42</v>
      </c>
      <c r="L400" s="1189" t="s">
        <v>1066</v>
      </c>
      <c r="M400" s="1059"/>
      <c r="N400" s="1059"/>
      <c r="T400" s="1011"/>
      <c r="U400" s="1133"/>
      <c r="V400" s="1012"/>
      <c r="AA400" s="1039" t="str">
        <f>VLOOKUP(L400,'25-BRA-I-090'!$I:$EZ,2,0)</f>
        <v>Thép hình-L</v>
      </c>
      <c r="AB400" s="1039" t="str">
        <f>VLOOKUP(L400,'25-BRA-I-090'!$I:$EZ,3,0)</f>
        <v>L150x150x10-L6000</v>
      </c>
      <c r="AC400" s="1039" t="s">
        <v>2620</v>
      </c>
      <c r="AD400" s="1039">
        <f>SUMIFS('25-BRA-I-090'!$CS:$CS,'25-BRA-I-090'!$I:$I,L400)</f>
        <v>9</v>
      </c>
      <c r="AE400" s="1039">
        <f>SUMIFS('25-BRA-I-090'!$CT:$CT,'25-BRA-I-090'!$I:$I,L400)</f>
        <v>207</v>
      </c>
      <c r="AF400" s="1039">
        <f>SUMIFS('25-BRA-I-090'!$CW:$CW,'25-BRA-I-090'!$I:$I,L400)</f>
        <v>6</v>
      </c>
      <c r="AG400" s="1039">
        <f>SUMIFS('25-BRA-I-090'!$CX:$CX,'25-BRA-I-090'!$I:$I,L400)</f>
        <v>138</v>
      </c>
      <c r="AH400" s="1040">
        <f>SUMIFS('25-BRA-I-090'!$DJ:$DJ,'25-BRA-I-090'!$I:$I,L400)+SUMIFS('25-BRA-I-090'!$EC:$EC,'25-BRA-I-090'!$I:$I,L400)</f>
        <v>6</v>
      </c>
      <c r="AI400" s="1040">
        <f>SUMIFS('25-BRA-I-090'!$DK:$DK,'25-BRA-I-090'!$I:$I,L400)+SUMIFS('25-BRA-I-090'!$ED:$ED,'25-BRA-I-090'!$I:$I,L400)</f>
        <v>138</v>
      </c>
      <c r="AJ400" s="1040">
        <f>SUMIFS('25-BRA-I-090'!$DO:$DO,'25-BRA-I-090'!$I:$I,L400)+26400*SUMIFS('25-BRA-I-090'!$EF:$EF,'25-BRA-I-090'!$I:$I,L400)</f>
        <v>2195454.42</v>
      </c>
      <c r="AL400" s="1092"/>
      <c r="AM400" s="1039"/>
    </row>
    <row r="401" spans="1:39" s="1010" customFormat="1">
      <c r="A401" s="1106"/>
      <c r="B401" s="1057" t="str">
        <f t="shared" si="68"/>
        <v>L75x75x6-L12000</v>
      </c>
      <c r="C401" s="1058" t="str">
        <f>VLOOKUP(L401,'25-BRA-I-090'!$I:$EZ,4,0)</f>
        <v>1.0038/A36</v>
      </c>
      <c r="D401" s="1147"/>
      <c r="E401" s="1109"/>
      <c r="F401" s="184">
        <f t="shared" si="69"/>
        <v>74.406312000000014</v>
      </c>
      <c r="G401" s="185">
        <f t="shared" si="69"/>
        <v>513.40355280000006</v>
      </c>
      <c r="H401" s="185">
        <f t="shared" si="70"/>
        <v>0</v>
      </c>
      <c r="I401" s="185">
        <f t="shared" si="71"/>
        <v>581.18000000000006</v>
      </c>
      <c r="J401" s="185">
        <f t="shared" si="72"/>
        <v>14065.910453904125</v>
      </c>
      <c r="K401" s="185">
        <f t="shared" si="73"/>
        <v>8174825.8376000002</v>
      </c>
      <c r="L401" s="1189" t="s">
        <v>1068</v>
      </c>
      <c r="M401" s="1059"/>
      <c r="N401" s="1059"/>
      <c r="T401" s="1011"/>
      <c r="U401" s="1133"/>
      <c r="V401" s="1012"/>
      <c r="AA401" s="1039" t="str">
        <f>VLOOKUP(L401,'25-BRA-I-090'!$I:$EZ,2,0)</f>
        <v>Thép hình-L</v>
      </c>
      <c r="AB401" s="1039" t="str">
        <f>VLOOKUP(L401,'25-BRA-I-090'!$I:$EZ,3,0)</f>
        <v>L75x75x6-L12000</v>
      </c>
      <c r="AC401" s="1039" t="s">
        <v>2620</v>
      </c>
      <c r="AD401" s="1039">
        <f>SUMIFS('25-BRA-I-090'!$CS:$CS,'25-BRA-I-090'!$I:$I,L401)</f>
        <v>74.406312000000014</v>
      </c>
      <c r="AE401" s="1039">
        <f>SUMIFS('25-BRA-I-090'!$CT:$CT,'25-BRA-I-090'!$I:$I,L401)</f>
        <v>513.40355280000006</v>
      </c>
      <c r="AF401" s="1039">
        <f>SUMIFS('25-BRA-I-090'!$CW:$CW,'25-BRA-I-090'!$I:$I,L401)</f>
        <v>0</v>
      </c>
      <c r="AG401" s="1039">
        <f>SUMIFS('25-BRA-I-090'!$CX:$CX,'25-BRA-I-090'!$I:$I,L401)</f>
        <v>0</v>
      </c>
      <c r="AH401" s="1040">
        <f>SUMIFS('25-BRA-I-090'!$DJ:$DJ,'25-BRA-I-090'!$I:$I,L401)+SUMIFS('25-BRA-I-090'!$EC:$EC,'25-BRA-I-090'!$I:$I,L401)</f>
        <v>78</v>
      </c>
      <c r="AI401" s="1040">
        <f>SUMIFS('25-BRA-I-090'!$DK:$DK,'25-BRA-I-090'!$I:$I,L401)+SUMIFS('25-BRA-I-090'!$ED:$ED,'25-BRA-I-090'!$I:$I,L401)</f>
        <v>581.18000000000006</v>
      </c>
      <c r="AJ401" s="1040">
        <f>SUMIFS('25-BRA-I-090'!$DO:$DO,'25-BRA-I-090'!$I:$I,L401)+26400*SUMIFS('25-BRA-I-090'!$EF:$EF,'25-BRA-I-090'!$I:$I,L401)</f>
        <v>8174825.8376000002</v>
      </c>
      <c r="AL401" s="1092"/>
      <c r="AM401" s="1039"/>
    </row>
    <row r="402" spans="1:39" s="1010" customFormat="1">
      <c r="A402" s="1106"/>
      <c r="B402" s="1057" t="str">
        <f t="shared" si="68"/>
        <v>L80x80x8-L12000</v>
      </c>
      <c r="C402" s="1058" t="str">
        <f>VLOOKUP(L402,'25-BRA-I-090'!$I:$EZ,4,0)</f>
        <v>1.0038/A36</v>
      </c>
      <c r="D402" s="1147"/>
      <c r="E402" s="1109"/>
      <c r="F402" s="184">
        <f t="shared" si="69"/>
        <v>39.840000000000003</v>
      </c>
      <c r="G402" s="185">
        <f t="shared" si="69"/>
        <v>382.464</v>
      </c>
      <c r="H402" s="185">
        <f t="shared" si="70"/>
        <v>0</v>
      </c>
      <c r="I402" s="185">
        <f t="shared" si="71"/>
        <v>405</v>
      </c>
      <c r="J402" s="185">
        <f t="shared" si="72"/>
        <v>14065.320518518518</v>
      </c>
      <c r="K402" s="185">
        <f t="shared" si="73"/>
        <v>5696454.8099999996</v>
      </c>
      <c r="L402" s="1189" t="s">
        <v>1070</v>
      </c>
      <c r="M402" s="1059"/>
      <c r="N402" s="1059"/>
      <c r="T402" s="1011"/>
      <c r="U402" s="1133"/>
      <c r="V402" s="1012"/>
      <c r="AA402" s="1039" t="str">
        <f>VLOOKUP(L402,'25-BRA-I-090'!$I:$EZ,2,0)</f>
        <v>Thép hình-L</v>
      </c>
      <c r="AB402" s="1039" t="str">
        <f>VLOOKUP(L402,'25-BRA-I-090'!$I:$EZ,3,0)</f>
        <v>L80x80x8-L12000</v>
      </c>
      <c r="AC402" s="1039" t="s">
        <v>2620</v>
      </c>
      <c r="AD402" s="1039">
        <f>SUMIFS('25-BRA-I-090'!$CS:$CS,'25-BRA-I-090'!$I:$I,L402)</f>
        <v>39.840000000000003</v>
      </c>
      <c r="AE402" s="1039">
        <f>SUMIFS('25-BRA-I-090'!$CT:$CT,'25-BRA-I-090'!$I:$I,L402)</f>
        <v>382.464</v>
      </c>
      <c r="AF402" s="1039">
        <f>SUMIFS('25-BRA-I-090'!$CW:$CW,'25-BRA-I-090'!$I:$I,L402)</f>
        <v>0</v>
      </c>
      <c r="AG402" s="1039">
        <f>SUMIFS('25-BRA-I-090'!$CX:$CX,'25-BRA-I-090'!$I:$I,L402)</f>
        <v>0</v>
      </c>
      <c r="AH402" s="1040">
        <f>SUMIFS('25-BRA-I-090'!$DJ:$DJ,'25-BRA-I-090'!$I:$I,L402)+SUMIFS('25-BRA-I-090'!$EC:$EC,'25-BRA-I-090'!$I:$I,L402)</f>
        <v>42</v>
      </c>
      <c r="AI402" s="1040">
        <f>SUMIFS('25-BRA-I-090'!$DK:$DK,'25-BRA-I-090'!$I:$I,L402)+SUMIFS('25-BRA-I-090'!$ED:$ED,'25-BRA-I-090'!$I:$I,L402)</f>
        <v>405</v>
      </c>
      <c r="AJ402" s="1040">
        <f>SUMIFS('25-BRA-I-090'!$DO:$DO,'25-BRA-I-090'!$I:$I,L402)+26400*SUMIFS('25-BRA-I-090'!$EF:$EF,'25-BRA-I-090'!$I:$I,L402)</f>
        <v>5696454.8099999996</v>
      </c>
      <c r="AL402" s="1092"/>
      <c r="AM402" s="1039"/>
    </row>
    <row r="403" spans="1:39" s="1010" customFormat="1" ht="30">
      <c r="A403" s="1106"/>
      <c r="B403" s="1057" t="str">
        <f t="shared" si="68"/>
        <v>HEA200(H190x200x6.5x10)-L12000</v>
      </c>
      <c r="C403" s="1058" t="str">
        <f>VLOOKUP(L403,'25-BRA-I-090'!$I:$EZ,4,0)</f>
        <v>1.0038/A36</v>
      </c>
      <c r="D403" s="1147"/>
      <c r="E403" s="1109"/>
      <c r="F403" s="184">
        <f t="shared" si="69"/>
        <v>406</v>
      </c>
      <c r="G403" s="185">
        <f t="shared" si="69"/>
        <v>17133.2</v>
      </c>
      <c r="H403" s="185">
        <f t="shared" si="70"/>
        <v>3544.8</v>
      </c>
      <c r="I403" s="185">
        <f t="shared" si="71"/>
        <v>15260.400000000001</v>
      </c>
      <c r="J403" s="185">
        <f t="shared" si="72"/>
        <v>17454.547324626303</v>
      </c>
      <c r="K403" s="185">
        <f t="shared" si="73"/>
        <v>266363373.99272728</v>
      </c>
      <c r="L403" s="1189" t="s">
        <v>1667</v>
      </c>
      <c r="M403" s="1059"/>
      <c r="N403" s="1059"/>
      <c r="T403" s="1011"/>
      <c r="U403" s="1133"/>
      <c r="V403" s="1012"/>
      <c r="AA403" s="1039" t="str">
        <f>VLOOKUP(L403,'25-BRA-I-090'!$I:$EZ,2,0)</f>
        <v>Thép hình-H</v>
      </c>
      <c r="AB403" s="1039" t="str">
        <f>VLOOKUP(L403,'25-BRA-I-090'!$I:$EZ,3,0)</f>
        <v>HEA200(H190x200x6.5x10)-L12000</v>
      </c>
      <c r="AC403" s="1039" t="s">
        <v>2620</v>
      </c>
      <c r="AD403" s="1039">
        <f>SUMIFS('25-BRA-I-090'!$CS:$CS,'25-BRA-I-090'!$I:$I,L403)</f>
        <v>406</v>
      </c>
      <c r="AE403" s="1039">
        <f>SUMIFS('25-BRA-I-090'!$CT:$CT,'25-BRA-I-090'!$I:$I,L403)</f>
        <v>17133.2</v>
      </c>
      <c r="AF403" s="1039">
        <f>SUMIFS('25-BRA-I-090'!$CW:$CW,'25-BRA-I-090'!$I:$I,L403)</f>
        <v>84</v>
      </c>
      <c r="AG403" s="1039">
        <f>SUMIFS('25-BRA-I-090'!$CX:$CX,'25-BRA-I-090'!$I:$I,L403)</f>
        <v>3544.8</v>
      </c>
      <c r="AH403" s="1040">
        <f>SUMIFS('25-BRA-I-090'!$DJ:$DJ,'25-BRA-I-090'!$I:$I,L403)+SUMIFS('25-BRA-I-090'!$EC:$EC,'25-BRA-I-090'!$I:$I,L403)</f>
        <v>324</v>
      </c>
      <c r="AI403" s="1040">
        <f>SUMIFS('25-BRA-I-090'!$DK:$DK,'25-BRA-I-090'!$I:$I,L403)+SUMIFS('25-BRA-I-090'!$ED:$ED,'25-BRA-I-090'!$I:$I,L403)</f>
        <v>15260.400000000001</v>
      </c>
      <c r="AJ403" s="1040">
        <f>SUMIFS('25-BRA-I-090'!$DO:$DO,'25-BRA-I-090'!$I:$I,L403)+26400*SUMIFS('25-BRA-I-090'!$EF:$EF,'25-BRA-I-090'!$I:$I,L403)</f>
        <v>266363373.99272728</v>
      </c>
      <c r="AL403" s="1092"/>
      <c r="AM403" s="1039"/>
    </row>
    <row r="404" spans="1:39" s="1010" customFormat="1" ht="30">
      <c r="A404" s="1106"/>
      <c r="B404" s="1057" t="str">
        <f t="shared" si="68"/>
        <v>HEA160(H152x160x6x9)</v>
      </c>
      <c r="C404" s="1058" t="str">
        <f>VLOOKUP(L404,'25-BRA-I-090'!$I:$EZ,4,0)</f>
        <v>1.0038/A36</v>
      </c>
      <c r="D404" s="1147"/>
      <c r="E404" s="1109"/>
      <c r="F404" s="184">
        <f t="shared" si="69"/>
        <v>24</v>
      </c>
      <c r="G404" s="185">
        <f t="shared" si="69"/>
        <v>729.59999999999991</v>
      </c>
      <c r="H404" s="185">
        <f t="shared" si="70"/>
        <v>0</v>
      </c>
      <c r="I404" s="185">
        <f t="shared" si="71"/>
        <v>746.40000000000009</v>
      </c>
      <c r="J404" s="185">
        <f t="shared" si="72"/>
        <v>17454.55</v>
      </c>
      <c r="K404" s="185">
        <f t="shared" si="73"/>
        <v>13028076.120000001</v>
      </c>
      <c r="L404" s="1189" t="s">
        <v>1776</v>
      </c>
      <c r="M404" s="1059"/>
      <c r="N404" s="1059"/>
      <c r="T404" s="1011"/>
      <c r="U404" s="1133"/>
      <c r="V404" s="1012"/>
      <c r="AA404" s="1039" t="str">
        <f>VLOOKUP(L404,'25-BRA-I-090'!$I:$EZ,2,0)</f>
        <v>Thép hình-H</v>
      </c>
      <c r="AB404" s="1039" t="str">
        <f>VLOOKUP(L404,'25-BRA-I-090'!$I:$EZ,3,0)</f>
        <v>HEA160(H152x160x6x9)</v>
      </c>
      <c r="AC404" s="1039" t="s">
        <v>2620</v>
      </c>
      <c r="AD404" s="1039">
        <f>SUMIFS('25-BRA-I-090'!$CS:$CS,'25-BRA-I-090'!$I:$I,L404)</f>
        <v>24</v>
      </c>
      <c r="AE404" s="1039">
        <f>SUMIFS('25-BRA-I-090'!$CT:$CT,'25-BRA-I-090'!$I:$I,L404)</f>
        <v>729.59999999999991</v>
      </c>
      <c r="AF404" s="1039">
        <f>SUMIFS('25-BRA-I-090'!$CW:$CW,'25-BRA-I-090'!$I:$I,L404)</f>
        <v>0</v>
      </c>
      <c r="AG404" s="1039">
        <f>SUMIFS('25-BRA-I-090'!$CX:$CX,'25-BRA-I-090'!$I:$I,L404)</f>
        <v>0</v>
      </c>
      <c r="AH404" s="1040">
        <f>SUMIFS('25-BRA-I-090'!$DJ:$DJ,'25-BRA-I-090'!$I:$I,L404)+SUMIFS('25-BRA-I-090'!$EC:$EC,'25-BRA-I-090'!$I:$I,L404)</f>
        <v>24</v>
      </c>
      <c r="AI404" s="1040">
        <f>SUMIFS('25-BRA-I-090'!$DK:$DK,'25-BRA-I-090'!$I:$I,L404)+SUMIFS('25-BRA-I-090'!$ED:$ED,'25-BRA-I-090'!$I:$I,L404)</f>
        <v>746.40000000000009</v>
      </c>
      <c r="AJ404" s="1040">
        <f>SUMIFS('25-BRA-I-090'!$DO:$DO,'25-BRA-I-090'!$I:$I,L404)+26400*SUMIFS('25-BRA-I-090'!$EF:$EF,'25-BRA-I-090'!$I:$I,L404)</f>
        <v>13028076.120000001</v>
      </c>
      <c r="AL404" s="1092"/>
      <c r="AM404" s="1039"/>
    </row>
    <row r="405" spans="1:39" s="1010" customFormat="1">
      <c r="A405" s="1106"/>
      <c r="B405" s="1146"/>
      <c r="C405" s="1153"/>
      <c r="D405" s="1147"/>
      <c r="E405" s="1109"/>
      <c r="F405" s="1109"/>
      <c r="G405" s="1112"/>
      <c r="H405" s="1112"/>
      <c r="I405" s="1112"/>
      <c r="J405" s="1112"/>
      <c r="K405" s="1112"/>
      <c r="L405" s="1022"/>
      <c r="M405" s="1059"/>
      <c r="N405" s="1059"/>
      <c r="T405" s="1011"/>
      <c r="U405" s="1133"/>
      <c r="V405" s="1012"/>
      <c r="AA405" s="1039"/>
      <c r="AB405" s="1039"/>
      <c r="AC405" s="1039"/>
      <c r="AD405" s="1039"/>
      <c r="AE405" s="1039"/>
      <c r="AF405" s="1039"/>
      <c r="AG405" s="1039"/>
      <c r="AH405" s="1040"/>
      <c r="AI405" s="1040"/>
      <c r="AJ405" s="1040"/>
      <c r="AL405" s="1092"/>
      <c r="AM405" s="1039"/>
    </row>
    <row r="406" spans="1:39" s="1010" customFormat="1">
      <c r="A406" s="1106">
        <f>+A374+1</f>
        <v>2</v>
      </c>
      <c r="B406" s="1146" t="s">
        <v>2766</v>
      </c>
      <c r="C406" s="1153"/>
      <c r="D406" s="1147" t="s">
        <v>2767</v>
      </c>
      <c r="E406" s="1109"/>
      <c r="F406" s="1109"/>
      <c r="G406" s="1112"/>
      <c r="H406" s="1112"/>
      <c r="I406" s="1112"/>
      <c r="J406" s="1112"/>
      <c r="K406" s="1100">
        <f>SUBTOTAL(9,K407:K539)</f>
        <v>1468848655.909091</v>
      </c>
      <c r="L406" s="1022"/>
      <c r="M406" s="1059"/>
      <c r="N406" s="1059"/>
      <c r="T406" s="1011"/>
      <c r="U406" s="1133"/>
      <c r="V406" s="1012"/>
      <c r="AA406" s="1039"/>
      <c r="AB406" s="1039"/>
      <c r="AC406" s="1039"/>
      <c r="AD406" s="1039"/>
      <c r="AE406" s="1039"/>
      <c r="AF406" s="1039"/>
      <c r="AG406" s="1039"/>
      <c r="AH406" s="1040"/>
      <c r="AI406" s="1040"/>
      <c r="AJ406" s="1040"/>
      <c r="AL406" s="1092"/>
      <c r="AM406" s="1039"/>
    </row>
    <row r="407" spans="1:39" s="1010" customFormat="1" ht="31">
      <c r="A407" s="1106"/>
      <c r="B407" s="1057" t="str">
        <f t="shared" ref="B407:B470" si="74">AB407</f>
        <v>Thùng gỗ</v>
      </c>
      <c r="C407" s="1058" t="str">
        <f>VLOOKUP(L407,'25-BRA-I-090'!$I:$EZ,4,0)</f>
        <v>Gỗ có dấu khử trùng 
( ISPM 15)</v>
      </c>
      <c r="D407" s="374" t="str">
        <f t="shared" ref="D407:D470" si="75">AC407</f>
        <v>pcs</v>
      </c>
      <c r="E407" s="183"/>
      <c r="F407" s="184">
        <f t="shared" ref="F407:H470" si="76">AD407</f>
        <v>10</v>
      </c>
      <c r="G407" s="185">
        <f t="shared" si="76"/>
        <v>0</v>
      </c>
      <c r="H407" s="185">
        <f t="shared" si="76"/>
        <v>0</v>
      </c>
      <c r="I407" s="185">
        <f t="shared" ref="I407:I470" si="77">AH407</f>
        <v>10</v>
      </c>
      <c r="J407" s="185">
        <f t="shared" ref="J407:J470" si="78">K407/I407</f>
        <v>2100000</v>
      </c>
      <c r="K407" s="185">
        <f t="shared" ref="K407:K470" si="79">AJ407</f>
        <v>21000000</v>
      </c>
      <c r="L407" s="1190" t="s">
        <v>343</v>
      </c>
      <c r="M407" s="1059"/>
      <c r="N407" s="1059"/>
      <c r="T407" s="1011"/>
      <c r="U407" s="1133"/>
      <c r="V407" s="1012"/>
      <c r="AA407" s="1039" t="str">
        <f>VLOOKUP(L407,'25-BRA-I-090'!$I:$EZ,2,0)</f>
        <v>Thùng gỗ</v>
      </c>
      <c r="AB407" s="1039" t="str">
        <f>VLOOKUP(L407,'25-BRA-I-090'!$I:$EZ,3,0)</f>
        <v>Thùng gỗ</v>
      </c>
      <c r="AC407" s="1039" t="str">
        <f>VLOOKUP(L407,'25-BRA-I-090'!$I:$EZ,5,0)</f>
        <v>pcs</v>
      </c>
      <c r="AD407" s="1039">
        <f>SUMIFS('25-BRA-I-090'!$CS:$CS,'25-BRA-I-090'!$I:$I,L407)</f>
        <v>10</v>
      </c>
      <c r="AE407" s="1039">
        <f>SUMIFS('25-BRA-I-090'!$CT:$CT,'25-BRA-I-090'!$I:$I,L407)</f>
        <v>0</v>
      </c>
      <c r="AF407" s="1039">
        <f>SUMIFS('25-BRA-I-090'!$CW:$CW,'25-BRA-I-090'!$I:$I,L407)</f>
        <v>0</v>
      </c>
      <c r="AG407" s="1039">
        <f>SUMIFS('25-BRA-I-090'!$CX:$CX,'25-BRA-I-090'!$I:$I,L407)</f>
        <v>0</v>
      </c>
      <c r="AH407" s="1040">
        <f>SUMIFS('25-BRA-I-090'!$DJ:$DJ,'25-BRA-I-090'!$I:$I,L407)+SUMIFS('25-BRA-I-090'!$EC:$EC,'25-BRA-I-090'!$I:$I,L407)</f>
        <v>10</v>
      </c>
      <c r="AI407" s="1040">
        <f>SUMIFS('25-BRA-I-090'!$DK:$DK,'25-BRA-I-090'!$I:$I,L407)+SUMIFS('25-BRA-I-090'!$ED:$ED,'25-BRA-I-090'!$I:$I,L407)</f>
        <v>0</v>
      </c>
      <c r="AJ407" s="1040">
        <f>SUMIFS('25-BRA-I-090'!$DO:$DO,'25-BRA-I-090'!$I:$I,L407)+26400*SUMIFS('25-BRA-I-090'!$EF:$EF,'25-BRA-I-090'!$I:$I,L407)</f>
        <v>21000000</v>
      </c>
      <c r="AL407" s="1092"/>
      <c r="AM407" s="1039"/>
    </row>
    <row r="408" spans="1:39" s="1010" customFormat="1">
      <c r="A408" s="1106"/>
      <c r="B408" s="1057" t="str">
        <f t="shared" si="74"/>
        <v>Mút xốp 5mm</v>
      </c>
      <c r="C408" s="1058" t="str">
        <f>VLOOKUP(L408,'25-BRA-I-090'!$I:$EZ,4,0)</f>
        <v>mút xốp chèn kiện</v>
      </c>
      <c r="D408" s="374" t="str">
        <f t="shared" si="75"/>
        <v>m2</v>
      </c>
      <c r="E408" s="183"/>
      <c r="F408" s="184">
        <f t="shared" si="76"/>
        <v>200</v>
      </c>
      <c r="G408" s="185">
        <f t="shared" si="76"/>
        <v>0</v>
      </c>
      <c r="H408" s="185">
        <f t="shared" si="76"/>
        <v>200</v>
      </c>
      <c r="I408" s="185">
        <f t="shared" si="77"/>
        <v>0</v>
      </c>
      <c r="J408" s="185" t="e">
        <f t="shared" si="78"/>
        <v>#DIV/0!</v>
      </c>
      <c r="K408" s="185">
        <f t="shared" si="79"/>
        <v>0</v>
      </c>
      <c r="L408" s="1190" t="s">
        <v>346</v>
      </c>
      <c r="M408" s="1059"/>
      <c r="N408" s="1059"/>
      <c r="T408" s="1011"/>
      <c r="U408" s="1133"/>
      <c r="V408" s="1012"/>
      <c r="AA408" s="1039" t="str">
        <f>VLOOKUP(L408,'25-BRA-I-090'!$I:$EZ,2,0)</f>
        <v xml:space="preserve">Mút xốp </v>
      </c>
      <c r="AB408" s="1039" t="str">
        <f>VLOOKUP(L408,'25-BRA-I-090'!$I:$EZ,3,0)</f>
        <v>Mút xốp 5mm</v>
      </c>
      <c r="AC408" s="1039" t="str">
        <f>VLOOKUP(L408,'25-BRA-I-090'!$I:$EZ,5,0)</f>
        <v>m2</v>
      </c>
      <c r="AD408" s="1039">
        <f>SUMIFS('25-BRA-I-090'!$CS:$CS,'25-BRA-I-090'!$I:$I,L408)</f>
        <v>200</v>
      </c>
      <c r="AE408" s="1039">
        <f>SUMIFS('25-BRA-I-090'!$CT:$CT,'25-BRA-I-090'!$I:$I,L408)</f>
        <v>0</v>
      </c>
      <c r="AF408" s="1039">
        <f>SUMIFS('25-BRA-I-090'!$CW:$CW,'25-BRA-I-090'!$I:$I,L408)</f>
        <v>200</v>
      </c>
      <c r="AG408" s="1039">
        <f>SUMIFS('25-BRA-I-090'!$CX:$CX,'25-BRA-I-090'!$I:$I,L408)</f>
        <v>0</v>
      </c>
      <c r="AH408" s="1040">
        <f>SUMIFS('25-BRA-I-090'!$DJ:$DJ,'25-BRA-I-090'!$I:$I,L408)+SUMIFS('25-BRA-I-090'!$EC:$EC,'25-BRA-I-090'!$I:$I,L408)</f>
        <v>0</v>
      </c>
      <c r="AI408" s="1040">
        <f>SUMIFS('25-BRA-I-090'!$DK:$DK,'25-BRA-I-090'!$I:$I,L408)+SUMIFS('25-BRA-I-090'!$ED:$ED,'25-BRA-I-090'!$I:$I,L408)</f>
        <v>0</v>
      </c>
      <c r="AJ408" s="1040">
        <f>SUMIFS('25-BRA-I-090'!$DO:$DO,'25-BRA-I-090'!$I:$I,L408)+26400*SUMIFS('25-BRA-I-090'!$EF:$EF,'25-BRA-I-090'!$I:$I,L408)</f>
        <v>0</v>
      </c>
      <c r="AL408" s="1092"/>
      <c r="AM408" s="1039"/>
    </row>
    <row r="409" spans="1:39" s="1010" customFormat="1" ht="30">
      <c r="A409" s="1106"/>
      <c r="B409" s="1057" t="str">
        <f t="shared" si="74"/>
        <v>Bolt-M16x50-ISO4017-10.9-Galv</v>
      </c>
      <c r="C409" s="1058">
        <f>VLOOKUP(L409,'25-BRA-I-090'!$I:$EZ,4,0)</f>
        <v>0</v>
      </c>
      <c r="D409" s="374" t="str">
        <f t="shared" si="75"/>
        <v>Pcs</v>
      </c>
      <c r="E409" s="183"/>
      <c r="F409" s="184">
        <f t="shared" si="76"/>
        <v>32</v>
      </c>
      <c r="G409" s="185">
        <f t="shared" si="76"/>
        <v>0</v>
      </c>
      <c r="H409" s="185">
        <f t="shared" si="76"/>
        <v>32</v>
      </c>
      <c r="I409" s="185">
        <f t="shared" si="77"/>
        <v>0</v>
      </c>
      <c r="J409" s="185" t="e">
        <f t="shared" si="78"/>
        <v>#DIV/0!</v>
      </c>
      <c r="K409" s="185">
        <f t="shared" si="79"/>
        <v>0</v>
      </c>
      <c r="L409" s="1190" t="s">
        <v>1072</v>
      </c>
      <c r="M409" s="1059"/>
      <c r="N409" s="1059"/>
      <c r="T409" s="1011"/>
      <c r="U409" s="1133"/>
      <c r="V409" s="1012"/>
      <c r="AA409" s="1039" t="str">
        <f>VLOOKUP(L409,'25-BRA-I-090'!$I:$EZ,2,0)</f>
        <v>Bu lông</v>
      </c>
      <c r="AB409" s="1039" t="str">
        <f>VLOOKUP(L409,'25-BRA-I-090'!$I:$EZ,3,0)</f>
        <v>Bolt-M16x50-ISO4017-10.9-Galv</v>
      </c>
      <c r="AC409" s="1039" t="str">
        <f>VLOOKUP(L409,'25-BRA-I-090'!$I:$EZ,5,0)</f>
        <v>Pcs</v>
      </c>
      <c r="AD409" s="1039">
        <f>SUMIFS('25-BRA-I-090'!$CS:$CS,'25-BRA-I-090'!$I:$I,L409)</f>
        <v>32</v>
      </c>
      <c r="AE409" s="1039">
        <f>SUMIFS('25-BRA-I-090'!$CT:$CT,'25-BRA-I-090'!$I:$I,L409)</f>
        <v>0</v>
      </c>
      <c r="AF409" s="1039">
        <f>SUMIFS('25-BRA-I-090'!$CW:$CW,'25-BRA-I-090'!$I:$I,L409)</f>
        <v>32</v>
      </c>
      <c r="AG409" s="1039">
        <f>SUMIFS('25-BRA-I-090'!$CX:$CX,'25-BRA-I-090'!$I:$I,L409)</f>
        <v>0</v>
      </c>
      <c r="AH409" s="1040">
        <f>SUMIFS('25-BRA-I-090'!$DJ:$DJ,'25-BRA-I-090'!$I:$I,L409)+SUMIFS('25-BRA-I-090'!$EC:$EC,'25-BRA-I-090'!$I:$I,L409)</f>
        <v>0</v>
      </c>
      <c r="AI409" s="1040">
        <f>SUMIFS('25-BRA-I-090'!$DK:$DK,'25-BRA-I-090'!$I:$I,L409)+SUMIFS('25-BRA-I-090'!$ED:$ED,'25-BRA-I-090'!$I:$I,L409)</f>
        <v>0</v>
      </c>
      <c r="AJ409" s="1040">
        <f>SUMIFS('25-BRA-I-090'!$DO:$DO,'25-BRA-I-090'!$I:$I,L409)+26400*SUMIFS('25-BRA-I-090'!$EF:$EF,'25-BRA-I-090'!$I:$I,L409)</f>
        <v>0</v>
      </c>
      <c r="AL409" s="1092"/>
      <c r="AM409" s="1039"/>
    </row>
    <row r="410" spans="1:39" s="1010" customFormat="1" ht="30">
      <c r="A410" s="1106"/>
      <c r="B410" s="1057" t="str">
        <f t="shared" si="74"/>
        <v>Bolt-M16x50-ISO4017-8.8-Galv</v>
      </c>
      <c r="C410" s="1058">
        <f>VLOOKUP(L410,'25-BRA-I-090'!$I:$EZ,4,0)</f>
        <v>0</v>
      </c>
      <c r="D410" s="374" t="str">
        <f t="shared" si="75"/>
        <v>Pcs</v>
      </c>
      <c r="E410" s="183"/>
      <c r="F410" s="184">
        <f t="shared" si="76"/>
        <v>1124</v>
      </c>
      <c r="G410" s="185">
        <f t="shared" si="76"/>
        <v>0</v>
      </c>
      <c r="H410" s="185">
        <f t="shared" si="76"/>
        <v>272</v>
      </c>
      <c r="I410" s="185">
        <f t="shared" si="77"/>
        <v>852</v>
      </c>
      <c r="J410" s="185">
        <f t="shared" si="78"/>
        <v>4757.7464788732395</v>
      </c>
      <c r="K410" s="185">
        <f t="shared" si="79"/>
        <v>4053600</v>
      </c>
      <c r="L410" s="1190" t="s">
        <v>1075</v>
      </c>
      <c r="M410" s="1059"/>
      <c r="N410" s="1059"/>
      <c r="T410" s="1011"/>
      <c r="U410" s="1133"/>
      <c r="V410" s="1012"/>
      <c r="AA410" s="1039" t="str">
        <f>VLOOKUP(L410,'25-BRA-I-090'!$I:$EZ,2,0)</f>
        <v>Bu lông</v>
      </c>
      <c r="AB410" s="1039" t="str">
        <f>VLOOKUP(L410,'25-BRA-I-090'!$I:$EZ,3,0)</f>
        <v>Bolt-M16x50-ISO4017-8.8-Galv</v>
      </c>
      <c r="AC410" s="1039" t="str">
        <f>VLOOKUP(L410,'25-BRA-I-090'!$I:$EZ,5,0)</f>
        <v>Pcs</v>
      </c>
      <c r="AD410" s="1039">
        <f>SUMIFS('25-BRA-I-090'!$CS:$CS,'25-BRA-I-090'!$I:$I,L410)</f>
        <v>1124</v>
      </c>
      <c r="AE410" s="1039">
        <f>SUMIFS('25-BRA-I-090'!$CT:$CT,'25-BRA-I-090'!$I:$I,L410)</f>
        <v>0</v>
      </c>
      <c r="AF410" s="1039">
        <f>SUMIFS('25-BRA-I-090'!$CW:$CW,'25-BRA-I-090'!$I:$I,L410)</f>
        <v>272</v>
      </c>
      <c r="AG410" s="1039">
        <f>SUMIFS('25-BRA-I-090'!$CX:$CX,'25-BRA-I-090'!$I:$I,L410)</f>
        <v>0</v>
      </c>
      <c r="AH410" s="1040">
        <f>SUMIFS('25-BRA-I-090'!$DJ:$DJ,'25-BRA-I-090'!$I:$I,L410)+SUMIFS('25-BRA-I-090'!$EC:$EC,'25-BRA-I-090'!$I:$I,L410)</f>
        <v>852</v>
      </c>
      <c r="AI410" s="1040">
        <f>SUMIFS('25-BRA-I-090'!$DK:$DK,'25-BRA-I-090'!$I:$I,L410)+SUMIFS('25-BRA-I-090'!$ED:$ED,'25-BRA-I-090'!$I:$I,L410)</f>
        <v>0</v>
      </c>
      <c r="AJ410" s="1040">
        <f>SUMIFS('25-BRA-I-090'!$DO:$DO,'25-BRA-I-090'!$I:$I,L410)+26400*SUMIFS('25-BRA-I-090'!$EF:$EF,'25-BRA-I-090'!$I:$I,L410)</f>
        <v>4053600</v>
      </c>
      <c r="AL410" s="1092"/>
      <c r="AM410" s="1039"/>
    </row>
    <row r="411" spans="1:39" s="1010" customFormat="1" ht="30">
      <c r="A411" s="1106"/>
      <c r="B411" s="1057" t="str">
        <f t="shared" si="74"/>
        <v>Bolt-M16x60-ISO4017-8.8-Galv</v>
      </c>
      <c r="C411" s="1058">
        <f>VLOOKUP(L411,'25-BRA-I-090'!$I:$EZ,4,0)</f>
        <v>0</v>
      </c>
      <c r="D411" s="374" t="str">
        <f t="shared" si="75"/>
        <v>Pcs</v>
      </c>
      <c r="E411" s="183"/>
      <c r="F411" s="184">
        <f t="shared" si="76"/>
        <v>868</v>
      </c>
      <c r="G411" s="185">
        <f t="shared" si="76"/>
        <v>0</v>
      </c>
      <c r="H411" s="185">
        <f t="shared" si="76"/>
        <v>392</v>
      </c>
      <c r="I411" s="185">
        <f t="shared" si="77"/>
        <v>476</v>
      </c>
      <c r="J411" s="185">
        <f t="shared" si="78"/>
        <v>5765.6302521008402</v>
      </c>
      <c r="K411" s="185">
        <f t="shared" si="79"/>
        <v>2744440</v>
      </c>
      <c r="L411" s="1190" t="s">
        <v>1076</v>
      </c>
      <c r="M411" s="1059"/>
      <c r="N411" s="1059"/>
      <c r="T411" s="1011"/>
      <c r="U411" s="1133"/>
      <c r="V411" s="1012"/>
      <c r="AA411" s="1039" t="str">
        <f>VLOOKUP(L411,'25-BRA-I-090'!$I:$EZ,2,0)</f>
        <v>Bu lông</v>
      </c>
      <c r="AB411" s="1039" t="str">
        <f>VLOOKUP(L411,'25-BRA-I-090'!$I:$EZ,3,0)</f>
        <v>Bolt-M16x60-ISO4017-8.8-Galv</v>
      </c>
      <c r="AC411" s="1039" t="str">
        <f>VLOOKUP(L411,'25-BRA-I-090'!$I:$EZ,5,0)</f>
        <v>Pcs</v>
      </c>
      <c r="AD411" s="1039">
        <f>SUMIFS('25-BRA-I-090'!$CS:$CS,'25-BRA-I-090'!$I:$I,L411)</f>
        <v>868</v>
      </c>
      <c r="AE411" s="1039">
        <f>SUMIFS('25-BRA-I-090'!$CT:$CT,'25-BRA-I-090'!$I:$I,L411)</f>
        <v>0</v>
      </c>
      <c r="AF411" s="1039">
        <f>SUMIFS('25-BRA-I-090'!$CW:$CW,'25-BRA-I-090'!$I:$I,L411)</f>
        <v>392</v>
      </c>
      <c r="AG411" s="1039">
        <f>SUMIFS('25-BRA-I-090'!$CX:$CX,'25-BRA-I-090'!$I:$I,L411)</f>
        <v>0</v>
      </c>
      <c r="AH411" s="1040">
        <f>SUMIFS('25-BRA-I-090'!$DJ:$DJ,'25-BRA-I-090'!$I:$I,L411)+SUMIFS('25-BRA-I-090'!$EC:$EC,'25-BRA-I-090'!$I:$I,L411)</f>
        <v>476</v>
      </c>
      <c r="AI411" s="1040">
        <f>SUMIFS('25-BRA-I-090'!$DK:$DK,'25-BRA-I-090'!$I:$I,L411)+SUMIFS('25-BRA-I-090'!$ED:$ED,'25-BRA-I-090'!$I:$I,L411)</f>
        <v>0</v>
      </c>
      <c r="AJ411" s="1040">
        <f>SUMIFS('25-BRA-I-090'!$DO:$DO,'25-BRA-I-090'!$I:$I,L411)+26400*SUMIFS('25-BRA-I-090'!$EF:$EF,'25-BRA-I-090'!$I:$I,L411)</f>
        <v>2744440</v>
      </c>
      <c r="AL411" s="1092"/>
      <c r="AM411" s="1039"/>
    </row>
    <row r="412" spans="1:39" s="1010" customFormat="1" ht="30">
      <c r="A412" s="1106"/>
      <c r="B412" s="1057" t="str">
        <f t="shared" si="74"/>
        <v>Bolt-M16x70-ISO4017-10.9-Galv</v>
      </c>
      <c r="C412" s="1058">
        <f>VLOOKUP(L412,'25-BRA-I-090'!$I:$EZ,4,0)</f>
        <v>0</v>
      </c>
      <c r="D412" s="374" t="str">
        <f t="shared" si="75"/>
        <v>Pcs</v>
      </c>
      <c r="E412" s="183"/>
      <c r="F412" s="184">
        <f t="shared" si="76"/>
        <v>32</v>
      </c>
      <c r="G412" s="185">
        <f t="shared" si="76"/>
        <v>0</v>
      </c>
      <c r="H412" s="185">
        <f t="shared" si="76"/>
        <v>0</v>
      </c>
      <c r="I412" s="185">
        <f t="shared" si="77"/>
        <v>32</v>
      </c>
      <c r="J412" s="185">
        <f t="shared" si="78"/>
        <v>13000</v>
      </c>
      <c r="K412" s="185">
        <f t="shared" si="79"/>
        <v>416000</v>
      </c>
      <c r="L412" s="1190" t="s">
        <v>1077</v>
      </c>
      <c r="M412" s="1059"/>
      <c r="N412" s="1059"/>
      <c r="T412" s="1011"/>
      <c r="U412" s="1133"/>
      <c r="V412" s="1012"/>
      <c r="AA412" s="1039" t="str">
        <f>VLOOKUP(L412,'25-BRA-I-090'!$I:$EZ,2,0)</f>
        <v>Bu lông</v>
      </c>
      <c r="AB412" s="1039" t="str">
        <f>VLOOKUP(L412,'25-BRA-I-090'!$I:$EZ,3,0)</f>
        <v>Bolt-M16x70-ISO4017-10.9-Galv</v>
      </c>
      <c r="AC412" s="1039" t="str">
        <f>VLOOKUP(L412,'25-BRA-I-090'!$I:$EZ,5,0)</f>
        <v>Pcs</v>
      </c>
      <c r="AD412" s="1039">
        <f>SUMIFS('25-BRA-I-090'!$CS:$CS,'25-BRA-I-090'!$I:$I,L412)</f>
        <v>32</v>
      </c>
      <c r="AE412" s="1039">
        <f>SUMIFS('25-BRA-I-090'!$CT:$CT,'25-BRA-I-090'!$I:$I,L412)</f>
        <v>0</v>
      </c>
      <c r="AF412" s="1039">
        <f>SUMIFS('25-BRA-I-090'!$CW:$CW,'25-BRA-I-090'!$I:$I,L412)</f>
        <v>0</v>
      </c>
      <c r="AG412" s="1039">
        <f>SUMIFS('25-BRA-I-090'!$CX:$CX,'25-BRA-I-090'!$I:$I,L412)</f>
        <v>0</v>
      </c>
      <c r="AH412" s="1040">
        <f>SUMIFS('25-BRA-I-090'!$DJ:$DJ,'25-BRA-I-090'!$I:$I,L412)+SUMIFS('25-BRA-I-090'!$EC:$EC,'25-BRA-I-090'!$I:$I,L412)</f>
        <v>32</v>
      </c>
      <c r="AI412" s="1040">
        <f>SUMIFS('25-BRA-I-090'!$DK:$DK,'25-BRA-I-090'!$I:$I,L412)+SUMIFS('25-BRA-I-090'!$ED:$ED,'25-BRA-I-090'!$I:$I,L412)</f>
        <v>0</v>
      </c>
      <c r="AJ412" s="1040">
        <f>SUMIFS('25-BRA-I-090'!$DO:$DO,'25-BRA-I-090'!$I:$I,L412)+26400*SUMIFS('25-BRA-I-090'!$EF:$EF,'25-BRA-I-090'!$I:$I,L412)</f>
        <v>416000</v>
      </c>
      <c r="AL412" s="1092"/>
      <c r="AM412" s="1039"/>
    </row>
    <row r="413" spans="1:39" s="1010" customFormat="1" ht="30">
      <c r="A413" s="1106"/>
      <c r="B413" s="1057" t="str">
        <f t="shared" si="74"/>
        <v>Bolt-M16x70-ISO4017-8.8-Galv</v>
      </c>
      <c r="C413" s="1058">
        <f>VLOOKUP(L413,'25-BRA-I-090'!$I:$EZ,4,0)</f>
        <v>0</v>
      </c>
      <c r="D413" s="374" t="str">
        <f t="shared" si="75"/>
        <v>Pcs</v>
      </c>
      <c r="E413" s="183"/>
      <c r="F413" s="184">
        <f t="shared" si="76"/>
        <v>112</v>
      </c>
      <c r="G413" s="185">
        <f t="shared" si="76"/>
        <v>0</v>
      </c>
      <c r="H413" s="185">
        <f t="shared" si="76"/>
        <v>64</v>
      </c>
      <c r="I413" s="185">
        <f t="shared" si="77"/>
        <v>48</v>
      </c>
      <c r="J413" s="185">
        <f t="shared" si="78"/>
        <v>5850</v>
      </c>
      <c r="K413" s="185">
        <f t="shared" si="79"/>
        <v>280800</v>
      </c>
      <c r="L413" s="1190" t="s">
        <v>1079</v>
      </c>
      <c r="M413" s="1059"/>
      <c r="N413" s="1059"/>
      <c r="T413" s="1011"/>
      <c r="U413" s="1133"/>
      <c r="V413" s="1012"/>
      <c r="AA413" s="1039" t="str">
        <f>VLOOKUP(L413,'25-BRA-I-090'!$I:$EZ,2,0)</f>
        <v>Bu lông</v>
      </c>
      <c r="AB413" s="1039" t="str">
        <f>VLOOKUP(L413,'25-BRA-I-090'!$I:$EZ,3,0)</f>
        <v>Bolt-M16x70-ISO4017-8.8-Galv</v>
      </c>
      <c r="AC413" s="1039" t="str">
        <f>VLOOKUP(L413,'25-BRA-I-090'!$I:$EZ,5,0)</f>
        <v>Pcs</v>
      </c>
      <c r="AD413" s="1039">
        <f>SUMIFS('25-BRA-I-090'!$CS:$CS,'25-BRA-I-090'!$I:$I,L413)</f>
        <v>112</v>
      </c>
      <c r="AE413" s="1039">
        <f>SUMIFS('25-BRA-I-090'!$CT:$CT,'25-BRA-I-090'!$I:$I,L413)</f>
        <v>0</v>
      </c>
      <c r="AF413" s="1039">
        <f>SUMIFS('25-BRA-I-090'!$CW:$CW,'25-BRA-I-090'!$I:$I,L413)</f>
        <v>64</v>
      </c>
      <c r="AG413" s="1039">
        <f>SUMIFS('25-BRA-I-090'!$CX:$CX,'25-BRA-I-090'!$I:$I,L413)</f>
        <v>0</v>
      </c>
      <c r="AH413" s="1040">
        <f>SUMIFS('25-BRA-I-090'!$DJ:$DJ,'25-BRA-I-090'!$I:$I,L413)+SUMIFS('25-BRA-I-090'!$EC:$EC,'25-BRA-I-090'!$I:$I,L413)</f>
        <v>48</v>
      </c>
      <c r="AI413" s="1040">
        <f>SUMIFS('25-BRA-I-090'!$DK:$DK,'25-BRA-I-090'!$I:$I,L413)+SUMIFS('25-BRA-I-090'!$ED:$ED,'25-BRA-I-090'!$I:$I,L413)</f>
        <v>0</v>
      </c>
      <c r="AJ413" s="1040">
        <f>SUMIFS('25-BRA-I-090'!$DO:$DO,'25-BRA-I-090'!$I:$I,L413)+26400*SUMIFS('25-BRA-I-090'!$EF:$EF,'25-BRA-I-090'!$I:$I,L413)</f>
        <v>280800</v>
      </c>
      <c r="AL413" s="1092"/>
      <c r="AM413" s="1039"/>
    </row>
    <row r="414" spans="1:39" s="1010" customFormat="1" ht="30">
      <c r="A414" s="1106"/>
      <c r="B414" s="1057" t="str">
        <f t="shared" si="74"/>
        <v>Bolt-M16x80-ISO4017-8.8-Galv</v>
      </c>
      <c r="C414" s="1058">
        <f>VLOOKUP(L414,'25-BRA-I-090'!$I:$EZ,4,0)</f>
        <v>0</v>
      </c>
      <c r="D414" s="374" t="str">
        <f t="shared" si="75"/>
        <v>Pcs</v>
      </c>
      <c r="E414" s="183"/>
      <c r="F414" s="184">
        <f t="shared" si="76"/>
        <v>84</v>
      </c>
      <c r="G414" s="185">
        <f t="shared" si="76"/>
        <v>0</v>
      </c>
      <c r="H414" s="185">
        <f t="shared" si="76"/>
        <v>23</v>
      </c>
      <c r="I414" s="185">
        <f t="shared" si="77"/>
        <v>61</v>
      </c>
      <c r="J414" s="185">
        <f t="shared" si="78"/>
        <v>7672.1311475409839</v>
      </c>
      <c r="K414" s="185">
        <f t="shared" si="79"/>
        <v>468000</v>
      </c>
      <c r="L414" s="1190" t="s">
        <v>1080</v>
      </c>
      <c r="M414" s="1059"/>
      <c r="N414" s="1059"/>
      <c r="T414" s="1011"/>
      <c r="U414" s="1133"/>
      <c r="V414" s="1012"/>
      <c r="AA414" s="1039" t="str">
        <f>VLOOKUP(L414,'25-BRA-I-090'!$I:$EZ,2,0)</f>
        <v>Bu lông</v>
      </c>
      <c r="AB414" s="1039" t="str">
        <f>VLOOKUP(L414,'25-BRA-I-090'!$I:$EZ,3,0)</f>
        <v>Bolt-M16x80-ISO4017-8.8-Galv</v>
      </c>
      <c r="AC414" s="1039" t="str">
        <f>VLOOKUP(L414,'25-BRA-I-090'!$I:$EZ,5,0)</f>
        <v>Pcs</v>
      </c>
      <c r="AD414" s="1039">
        <f>SUMIFS('25-BRA-I-090'!$CS:$CS,'25-BRA-I-090'!$I:$I,L414)</f>
        <v>84</v>
      </c>
      <c r="AE414" s="1039">
        <f>SUMIFS('25-BRA-I-090'!$CT:$CT,'25-BRA-I-090'!$I:$I,L414)</f>
        <v>0</v>
      </c>
      <c r="AF414" s="1039">
        <f>SUMIFS('25-BRA-I-090'!$CW:$CW,'25-BRA-I-090'!$I:$I,L414)</f>
        <v>23</v>
      </c>
      <c r="AG414" s="1039">
        <f>SUMIFS('25-BRA-I-090'!$CX:$CX,'25-BRA-I-090'!$I:$I,L414)</f>
        <v>0</v>
      </c>
      <c r="AH414" s="1040">
        <f>SUMIFS('25-BRA-I-090'!$DJ:$DJ,'25-BRA-I-090'!$I:$I,L414)+SUMIFS('25-BRA-I-090'!$EC:$EC,'25-BRA-I-090'!$I:$I,L414)</f>
        <v>61</v>
      </c>
      <c r="AI414" s="1040">
        <f>SUMIFS('25-BRA-I-090'!$DK:$DK,'25-BRA-I-090'!$I:$I,L414)+SUMIFS('25-BRA-I-090'!$ED:$ED,'25-BRA-I-090'!$I:$I,L414)</f>
        <v>0</v>
      </c>
      <c r="AJ414" s="1040">
        <f>SUMIFS('25-BRA-I-090'!$DO:$DO,'25-BRA-I-090'!$I:$I,L414)+26400*SUMIFS('25-BRA-I-090'!$EF:$EF,'25-BRA-I-090'!$I:$I,L414)</f>
        <v>468000</v>
      </c>
      <c r="AL414" s="1092"/>
      <c r="AM414" s="1039"/>
    </row>
    <row r="415" spans="1:39" s="1010" customFormat="1" ht="30">
      <c r="A415" s="1106"/>
      <c r="B415" s="1057" t="str">
        <f t="shared" si="74"/>
        <v>Bolt-M16x90-ISO4017-8.8-Galv</v>
      </c>
      <c r="C415" s="1058">
        <f>VLOOKUP(L415,'25-BRA-I-090'!$I:$EZ,4,0)</f>
        <v>0</v>
      </c>
      <c r="D415" s="374" t="str">
        <f t="shared" si="75"/>
        <v>Pcs</v>
      </c>
      <c r="E415" s="183"/>
      <c r="F415" s="184">
        <f t="shared" si="76"/>
        <v>56</v>
      </c>
      <c r="G415" s="185">
        <f t="shared" si="76"/>
        <v>0</v>
      </c>
      <c r="H415" s="185">
        <f t="shared" si="76"/>
        <v>24</v>
      </c>
      <c r="I415" s="185">
        <f t="shared" si="77"/>
        <v>32</v>
      </c>
      <c r="J415" s="185">
        <f t="shared" si="78"/>
        <v>8072.5</v>
      </c>
      <c r="K415" s="185">
        <f t="shared" si="79"/>
        <v>258320</v>
      </c>
      <c r="L415" s="1190" t="s">
        <v>1081</v>
      </c>
      <c r="M415" s="1059"/>
      <c r="N415" s="1059"/>
      <c r="T415" s="1011"/>
      <c r="U415" s="1133"/>
      <c r="V415" s="1012"/>
      <c r="AA415" s="1039" t="str">
        <f>VLOOKUP(L415,'25-BRA-I-090'!$I:$EZ,2,0)</f>
        <v>Bu lông</v>
      </c>
      <c r="AB415" s="1039" t="str">
        <f>VLOOKUP(L415,'25-BRA-I-090'!$I:$EZ,3,0)</f>
        <v>Bolt-M16x90-ISO4017-8.8-Galv</v>
      </c>
      <c r="AC415" s="1039" t="str">
        <f>VLOOKUP(L415,'25-BRA-I-090'!$I:$EZ,5,0)</f>
        <v>Pcs</v>
      </c>
      <c r="AD415" s="1039">
        <f>SUMIFS('25-BRA-I-090'!$CS:$CS,'25-BRA-I-090'!$I:$I,L415)</f>
        <v>56</v>
      </c>
      <c r="AE415" s="1039">
        <f>SUMIFS('25-BRA-I-090'!$CT:$CT,'25-BRA-I-090'!$I:$I,L415)</f>
        <v>0</v>
      </c>
      <c r="AF415" s="1039">
        <f>SUMIFS('25-BRA-I-090'!$CW:$CW,'25-BRA-I-090'!$I:$I,L415)</f>
        <v>24</v>
      </c>
      <c r="AG415" s="1039">
        <f>SUMIFS('25-BRA-I-090'!$CX:$CX,'25-BRA-I-090'!$I:$I,L415)</f>
        <v>0</v>
      </c>
      <c r="AH415" s="1040">
        <f>SUMIFS('25-BRA-I-090'!$DJ:$DJ,'25-BRA-I-090'!$I:$I,L415)+SUMIFS('25-BRA-I-090'!$EC:$EC,'25-BRA-I-090'!$I:$I,L415)</f>
        <v>32</v>
      </c>
      <c r="AI415" s="1040">
        <f>SUMIFS('25-BRA-I-090'!$DK:$DK,'25-BRA-I-090'!$I:$I,L415)+SUMIFS('25-BRA-I-090'!$ED:$ED,'25-BRA-I-090'!$I:$I,L415)</f>
        <v>0</v>
      </c>
      <c r="AJ415" s="1040">
        <f>SUMIFS('25-BRA-I-090'!$DO:$DO,'25-BRA-I-090'!$I:$I,L415)+26400*SUMIFS('25-BRA-I-090'!$EF:$EF,'25-BRA-I-090'!$I:$I,L415)</f>
        <v>258320</v>
      </c>
      <c r="AL415" s="1092"/>
      <c r="AM415" s="1039"/>
    </row>
    <row r="416" spans="1:39" s="1010" customFormat="1" ht="30">
      <c r="A416" s="1106"/>
      <c r="B416" s="1057" t="str">
        <f t="shared" si="74"/>
        <v>Bolt-M20x100-ISO4017-8.8-Galv</v>
      </c>
      <c r="C416" s="1058">
        <f>VLOOKUP(L416,'25-BRA-I-090'!$I:$EZ,4,0)</f>
        <v>0</v>
      </c>
      <c r="D416" s="374" t="str">
        <f t="shared" si="75"/>
        <v>Pcs</v>
      </c>
      <c r="E416" s="183"/>
      <c r="F416" s="184">
        <f t="shared" si="76"/>
        <v>40</v>
      </c>
      <c r="G416" s="185">
        <f t="shared" si="76"/>
        <v>0</v>
      </c>
      <c r="H416" s="185">
        <f t="shared" si="76"/>
        <v>0</v>
      </c>
      <c r="I416" s="185">
        <f t="shared" si="77"/>
        <v>40</v>
      </c>
      <c r="J416" s="185">
        <f t="shared" si="78"/>
        <v>18140</v>
      </c>
      <c r="K416" s="185">
        <f t="shared" si="79"/>
        <v>725600</v>
      </c>
      <c r="L416" s="1190" t="s">
        <v>1083</v>
      </c>
      <c r="M416" s="1059"/>
      <c r="N416" s="1059"/>
      <c r="T416" s="1011"/>
      <c r="U416" s="1133"/>
      <c r="V416" s="1012"/>
      <c r="AA416" s="1039" t="str">
        <f>VLOOKUP(L416,'25-BRA-I-090'!$I:$EZ,2,0)</f>
        <v>Bu lông</v>
      </c>
      <c r="AB416" s="1039" t="str">
        <f>VLOOKUP(L416,'25-BRA-I-090'!$I:$EZ,3,0)</f>
        <v>Bolt-M20x100-ISO4017-8.8-Galv</v>
      </c>
      <c r="AC416" s="1039" t="str">
        <f>VLOOKUP(L416,'25-BRA-I-090'!$I:$EZ,5,0)</f>
        <v>Pcs</v>
      </c>
      <c r="AD416" s="1039">
        <f>SUMIFS('25-BRA-I-090'!$CS:$CS,'25-BRA-I-090'!$I:$I,L416)</f>
        <v>40</v>
      </c>
      <c r="AE416" s="1039">
        <f>SUMIFS('25-BRA-I-090'!$CT:$CT,'25-BRA-I-090'!$I:$I,L416)</f>
        <v>0</v>
      </c>
      <c r="AF416" s="1039">
        <f>SUMIFS('25-BRA-I-090'!$CW:$CW,'25-BRA-I-090'!$I:$I,L416)</f>
        <v>0</v>
      </c>
      <c r="AG416" s="1039">
        <f>SUMIFS('25-BRA-I-090'!$CX:$CX,'25-BRA-I-090'!$I:$I,L416)</f>
        <v>0</v>
      </c>
      <c r="AH416" s="1040">
        <f>SUMIFS('25-BRA-I-090'!$DJ:$DJ,'25-BRA-I-090'!$I:$I,L416)+SUMIFS('25-BRA-I-090'!$EC:$EC,'25-BRA-I-090'!$I:$I,L416)</f>
        <v>40</v>
      </c>
      <c r="AI416" s="1040">
        <f>SUMIFS('25-BRA-I-090'!$DK:$DK,'25-BRA-I-090'!$I:$I,L416)+SUMIFS('25-BRA-I-090'!$ED:$ED,'25-BRA-I-090'!$I:$I,L416)</f>
        <v>0</v>
      </c>
      <c r="AJ416" s="1040">
        <f>SUMIFS('25-BRA-I-090'!$DO:$DO,'25-BRA-I-090'!$I:$I,L416)+26400*SUMIFS('25-BRA-I-090'!$EF:$EF,'25-BRA-I-090'!$I:$I,L416)</f>
        <v>725600</v>
      </c>
      <c r="AL416" s="1092"/>
      <c r="AM416" s="1039"/>
    </row>
    <row r="417" spans="1:39" s="1010" customFormat="1" ht="30">
      <c r="A417" s="1106"/>
      <c r="B417" s="1057" t="str">
        <f t="shared" si="74"/>
        <v>Bolt-M20x110-ISO4017-8.8-Galv</v>
      </c>
      <c r="C417" s="1058">
        <f>VLOOKUP(L417,'25-BRA-I-090'!$I:$EZ,4,0)</f>
        <v>0</v>
      </c>
      <c r="D417" s="374" t="str">
        <f t="shared" si="75"/>
        <v>Pcs</v>
      </c>
      <c r="E417" s="183"/>
      <c r="F417" s="184">
        <f t="shared" si="76"/>
        <v>256</v>
      </c>
      <c r="G417" s="185">
        <f t="shared" si="76"/>
        <v>0</v>
      </c>
      <c r="H417" s="185">
        <f t="shared" si="76"/>
        <v>0</v>
      </c>
      <c r="I417" s="185">
        <f t="shared" si="77"/>
        <v>256</v>
      </c>
      <c r="J417" s="185">
        <f t="shared" si="78"/>
        <v>19500</v>
      </c>
      <c r="K417" s="185">
        <f t="shared" si="79"/>
        <v>4992000</v>
      </c>
      <c r="L417" s="1190" t="s">
        <v>1084</v>
      </c>
      <c r="M417" s="1059"/>
      <c r="N417" s="1059"/>
      <c r="T417" s="1011"/>
      <c r="U417" s="1133"/>
      <c r="V417" s="1012"/>
      <c r="AA417" s="1039" t="str">
        <f>VLOOKUP(L417,'25-BRA-I-090'!$I:$EZ,2,0)</f>
        <v>Bu lông</v>
      </c>
      <c r="AB417" s="1039" t="str">
        <f>VLOOKUP(L417,'25-BRA-I-090'!$I:$EZ,3,0)</f>
        <v>Bolt-M20x110-ISO4017-8.8-Galv</v>
      </c>
      <c r="AC417" s="1039" t="str">
        <f>VLOOKUP(L417,'25-BRA-I-090'!$I:$EZ,5,0)</f>
        <v>Pcs</v>
      </c>
      <c r="AD417" s="1039">
        <f>SUMIFS('25-BRA-I-090'!$CS:$CS,'25-BRA-I-090'!$I:$I,L417)</f>
        <v>256</v>
      </c>
      <c r="AE417" s="1039">
        <f>SUMIFS('25-BRA-I-090'!$CT:$CT,'25-BRA-I-090'!$I:$I,L417)</f>
        <v>0</v>
      </c>
      <c r="AF417" s="1039">
        <f>SUMIFS('25-BRA-I-090'!$CW:$CW,'25-BRA-I-090'!$I:$I,L417)</f>
        <v>0</v>
      </c>
      <c r="AG417" s="1039">
        <f>SUMIFS('25-BRA-I-090'!$CX:$CX,'25-BRA-I-090'!$I:$I,L417)</f>
        <v>0</v>
      </c>
      <c r="AH417" s="1040">
        <f>SUMIFS('25-BRA-I-090'!$DJ:$DJ,'25-BRA-I-090'!$I:$I,L417)+SUMIFS('25-BRA-I-090'!$EC:$EC,'25-BRA-I-090'!$I:$I,L417)</f>
        <v>256</v>
      </c>
      <c r="AI417" s="1040">
        <f>SUMIFS('25-BRA-I-090'!$DK:$DK,'25-BRA-I-090'!$I:$I,L417)+SUMIFS('25-BRA-I-090'!$ED:$ED,'25-BRA-I-090'!$I:$I,L417)</f>
        <v>0</v>
      </c>
      <c r="AJ417" s="1040">
        <f>SUMIFS('25-BRA-I-090'!$DO:$DO,'25-BRA-I-090'!$I:$I,L417)+26400*SUMIFS('25-BRA-I-090'!$EF:$EF,'25-BRA-I-090'!$I:$I,L417)</f>
        <v>4992000</v>
      </c>
      <c r="AL417" s="1092"/>
      <c r="AM417" s="1039"/>
    </row>
    <row r="418" spans="1:39" s="1010" customFormat="1" ht="30">
      <c r="A418" s="1106"/>
      <c r="B418" s="1057" t="str">
        <f t="shared" si="74"/>
        <v>Bolt-M20x130-ISO4017-8.8-Galv</v>
      </c>
      <c r="C418" s="1058">
        <f>VLOOKUP(L418,'25-BRA-I-090'!$I:$EZ,4,0)</f>
        <v>0</v>
      </c>
      <c r="D418" s="374" t="str">
        <f t="shared" si="75"/>
        <v>Pcs</v>
      </c>
      <c r="E418" s="183"/>
      <c r="F418" s="184">
        <f t="shared" si="76"/>
        <v>32</v>
      </c>
      <c r="G418" s="185">
        <f t="shared" si="76"/>
        <v>0</v>
      </c>
      <c r="H418" s="185">
        <f t="shared" si="76"/>
        <v>0</v>
      </c>
      <c r="I418" s="185">
        <f t="shared" si="77"/>
        <v>32</v>
      </c>
      <c r="J418" s="185">
        <f t="shared" si="78"/>
        <v>22100</v>
      </c>
      <c r="K418" s="185">
        <f t="shared" si="79"/>
        <v>707200</v>
      </c>
      <c r="L418" s="1190" t="s">
        <v>1085</v>
      </c>
      <c r="M418" s="1059"/>
      <c r="N418" s="1059"/>
      <c r="T418" s="1011"/>
      <c r="U418" s="1133"/>
      <c r="V418" s="1012"/>
      <c r="AA418" s="1039" t="str">
        <f>VLOOKUP(L418,'25-BRA-I-090'!$I:$EZ,2,0)</f>
        <v>Bu lông</v>
      </c>
      <c r="AB418" s="1039" t="str">
        <f>VLOOKUP(L418,'25-BRA-I-090'!$I:$EZ,3,0)</f>
        <v>Bolt-M20x130-ISO4017-8.8-Galv</v>
      </c>
      <c r="AC418" s="1039" t="str">
        <f>VLOOKUP(L418,'25-BRA-I-090'!$I:$EZ,5,0)</f>
        <v>Pcs</v>
      </c>
      <c r="AD418" s="1039">
        <f>SUMIFS('25-BRA-I-090'!$CS:$CS,'25-BRA-I-090'!$I:$I,L418)</f>
        <v>32</v>
      </c>
      <c r="AE418" s="1039">
        <f>SUMIFS('25-BRA-I-090'!$CT:$CT,'25-BRA-I-090'!$I:$I,L418)</f>
        <v>0</v>
      </c>
      <c r="AF418" s="1039">
        <f>SUMIFS('25-BRA-I-090'!$CW:$CW,'25-BRA-I-090'!$I:$I,L418)</f>
        <v>0</v>
      </c>
      <c r="AG418" s="1039">
        <f>SUMIFS('25-BRA-I-090'!$CX:$CX,'25-BRA-I-090'!$I:$I,L418)</f>
        <v>0</v>
      </c>
      <c r="AH418" s="1040">
        <f>SUMIFS('25-BRA-I-090'!$DJ:$DJ,'25-BRA-I-090'!$I:$I,L418)+SUMIFS('25-BRA-I-090'!$EC:$EC,'25-BRA-I-090'!$I:$I,L418)</f>
        <v>32</v>
      </c>
      <c r="AI418" s="1040">
        <f>SUMIFS('25-BRA-I-090'!$DK:$DK,'25-BRA-I-090'!$I:$I,L418)+SUMIFS('25-BRA-I-090'!$ED:$ED,'25-BRA-I-090'!$I:$I,L418)</f>
        <v>0</v>
      </c>
      <c r="AJ418" s="1040">
        <f>SUMIFS('25-BRA-I-090'!$DO:$DO,'25-BRA-I-090'!$I:$I,L418)+26400*SUMIFS('25-BRA-I-090'!$EF:$EF,'25-BRA-I-090'!$I:$I,L418)</f>
        <v>707200</v>
      </c>
      <c r="AL418" s="1092"/>
      <c r="AM418" s="1039"/>
    </row>
    <row r="419" spans="1:39" s="1010" customFormat="1" ht="30">
      <c r="A419" s="1106"/>
      <c r="B419" s="1057" t="str">
        <f t="shared" si="74"/>
        <v>Bolt-M20x50-ISO4017-8.8-Galv</v>
      </c>
      <c r="C419" s="1058">
        <f>VLOOKUP(L419,'25-BRA-I-090'!$I:$EZ,4,0)</f>
        <v>0</v>
      </c>
      <c r="D419" s="374" t="str">
        <f t="shared" si="75"/>
        <v>Pcs</v>
      </c>
      <c r="E419" s="183"/>
      <c r="F419" s="184">
        <f t="shared" si="76"/>
        <v>256</v>
      </c>
      <c r="G419" s="185">
        <f t="shared" si="76"/>
        <v>0</v>
      </c>
      <c r="H419" s="185">
        <f t="shared" si="76"/>
        <v>208</v>
      </c>
      <c r="I419" s="185">
        <f t="shared" si="77"/>
        <v>48</v>
      </c>
      <c r="J419" s="185">
        <f t="shared" si="78"/>
        <v>8150</v>
      </c>
      <c r="K419" s="185">
        <f t="shared" si="79"/>
        <v>391200</v>
      </c>
      <c r="L419" s="1190" t="s">
        <v>1087</v>
      </c>
      <c r="M419" s="1059"/>
      <c r="N419" s="1059"/>
      <c r="T419" s="1011"/>
      <c r="U419" s="1133"/>
      <c r="V419" s="1012"/>
      <c r="AA419" s="1039" t="str">
        <f>VLOOKUP(L419,'25-BRA-I-090'!$I:$EZ,2,0)</f>
        <v>Bu lông</v>
      </c>
      <c r="AB419" s="1039" t="str">
        <f>VLOOKUP(L419,'25-BRA-I-090'!$I:$EZ,3,0)</f>
        <v>Bolt-M20x50-ISO4017-8.8-Galv</v>
      </c>
      <c r="AC419" s="1039" t="str">
        <f>VLOOKUP(L419,'25-BRA-I-090'!$I:$EZ,5,0)</f>
        <v>Pcs</v>
      </c>
      <c r="AD419" s="1039">
        <f>SUMIFS('25-BRA-I-090'!$CS:$CS,'25-BRA-I-090'!$I:$I,L419)</f>
        <v>256</v>
      </c>
      <c r="AE419" s="1039">
        <f>SUMIFS('25-BRA-I-090'!$CT:$CT,'25-BRA-I-090'!$I:$I,L419)</f>
        <v>0</v>
      </c>
      <c r="AF419" s="1039">
        <f>SUMIFS('25-BRA-I-090'!$CW:$CW,'25-BRA-I-090'!$I:$I,L419)</f>
        <v>208</v>
      </c>
      <c r="AG419" s="1039">
        <f>SUMIFS('25-BRA-I-090'!$CX:$CX,'25-BRA-I-090'!$I:$I,L419)</f>
        <v>0</v>
      </c>
      <c r="AH419" s="1040">
        <f>SUMIFS('25-BRA-I-090'!$DJ:$DJ,'25-BRA-I-090'!$I:$I,L419)+SUMIFS('25-BRA-I-090'!$EC:$EC,'25-BRA-I-090'!$I:$I,L419)</f>
        <v>48</v>
      </c>
      <c r="AI419" s="1040">
        <f>SUMIFS('25-BRA-I-090'!$DK:$DK,'25-BRA-I-090'!$I:$I,L419)+SUMIFS('25-BRA-I-090'!$ED:$ED,'25-BRA-I-090'!$I:$I,L419)</f>
        <v>0</v>
      </c>
      <c r="AJ419" s="1040">
        <f>SUMIFS('25-BRA-I-090'!$DO:$DO,'25-BRA-I-090'!$I:$I,L419)+26400*SUMIFS('25-BRA-I-090'!$EF:$EF,'25-BRA-I-090'!$I:$I,L419)</f>
        <v>391200</v>
      </c>
      <c r="AL419" s="1092"/>
      <c r="AM419" s="1039"/>
    </row>
    <row r="420" spans="1:39" s="1010" customFormat="1" ht="30">
      <c r="A420" s="1106"/>
      <c r="B420" s="1057" t="str">
        <f t="shared" si="74"/>
        <v>Bolt-M20x55-ISO4017-8.8-Galv</v>
      </c>
      <c r="C420" s="1058">
        <f>VLOOKUP(L420,'25-BRA-I-090'!$I:$EZ,4,0)</f>
        <v>0</v>
      </c>
      <c r="D420" s="374" t="str">
        <f t="shared" si="75"/>
        <v>Pcs</v>
      </c>
      <c r="E420" s="183"/>
      <c r="F420" s="184">
        <f t="shared" si="76"/>
        <v>549</v>
      </c>
      <c r="G420" s="185">
        <f t="shared" si="76"/>
        <v>0</v>
      </c>
      <c r="H420" s="185">
        <f t="shared" si="76"/>
        <v>64</v>
      </c>
      <c r="I420" s="185">
        <f t="shared" si="77"/>
        <v>485</v>
      </c>
      <c r="J420" s="185">
        <f t="shared" si="78"/>
        <v>11097.484536082475</v>
      </c>
      <c r="K420" s="185">
        <f t="shared" si="79"/>
        <v>5382280</v>
      </c>
      <c r="L420" s="1190" t="s">
        <v>1088</v>
      </c>
      <c r="M420" s="1059"/>
      <c r="N420" s="1059"/>
      <c r="T420" s="1011"/>
      <c r="U420" s="1133"/>
      <c r="V420" s="1012"/>
      <c r="AA420" s="1039" t="str">
        <f>VLOOKUP(L420,'25-BRA-I-090'!$I:$EZ,2,0)</f>
        <v>Bu lông</v>
      </c>
      <c r="AB420" s="1039" t="str">
        <f>VLOOKUP(L420,'25-BRA-I-090'!$I:$EZ,3,0)</f>
        <v>Bolt-M20x55-ISO4017-8.8-Galv</v>
      </c>
      <c r="AC420" s="1039" t="str">
        <f>VLOOKUP(L420,'25-BRA-I-090'!$I:$EZ,5,0)</f>
        <v>Pcs</v>
      </c>
      <c r="AD420" s="1039">
        <f>SUMIFS('25-BRA-I-090'!$CS:$CS,'25-BRA-I-090'!$I:$I,L420)</f>
        <v>549</v>
      </c>
      <c r="AE420" s="1039">
        <f>SUMIFS('25-BRA-I-090'!$CT:$CT,'25-BRA-I-090'!$I:$I,L420)</f>
        <v>0</v>
      </c>
      <c r="AF420" s="1039">
        <f>SUMIFS('25-BRA-I-090'!$CW:$CW,'25-BRA-I-090'!$I:$I,L420)</f>
        <v>64</v>
      </c>
      <c r="AG420" s="1039">
        <f>SUMIFS('25-BRA-I-090'!$CX:$CX,'25-BRA-I-090'!$I:$I,L420)</f>
        <v>0</v>
      </c>
      <c r="AH420" s="1040">
        <f>SUMIFS('25-BRA-I-090'!$DJ:$DJ,'25-BRA-I-090'!$I:$I,L420)+SUMIFS('25-BRA-I-090'!$EC:$EC,'25-BRA-I-090'!$I:$I,L420)</f>
        <v>485</v>
      </c>
      <c r="AI420" s="1040">
        <f>SUMIFS('25-BRA-I-090'!$DK:$DK,'25-BRA-I-090'!$I:$I,L420)+SUMIFS('25-BRA-I-090'!$ED:$ED,'25-BRA-I-090'!$I:$I,L420)</f>
        <v>0</v>
      </c>
      <c r="AJ420" s="1040">
        <f>SUMIFS('25-BRA-I-090'!$DO:$DO,'25-BRA-I-090'!$I:$I,L420)+26400*SUMIFS('25-BRA-I-090'!$EF:$EF,'25-BRA-I-090'!$I:$I,L420)</f>
        <v>5382280</v>
      </c>
      <c r="AL420" s="1092"/>
      <c r="AM420" s="1039"/>
    </row>
    <row r="421" spans="1:39" s="1010" customFormat="1" ht="30">
      <c r="A421" s="1106"/>
      <c r="B421" s="1057" t="str">
        <f t="shared" si="74"/>
        <v>Bolt-M20x60-ISO4017-10.9-Galv</v>
      </c>
      <c r="C421" s="1058">
        <f>VLOOKUP(L421,'25-BRA-I-090'!$I:$EZ,4,0)</f>
        <v>0</v>
      </c>
      <c r="D421" s="374" t="str">
        <f t="shared" si="75"/>
        <v>Pcs</v>
      </c>
      <c r="E421" s="183"/>
      <c r="F421" s="184">
        <f t="shared" si="76"/>
        <v>16</v>
      </c>
      <c r="G421" s="185">
        <f t="shared" si="76"/>
        <v>0</v>
      </c>
      <c r="H421" s="185">
        <f t="shared" si="76"/>
        <v>0</v>
      </c>
      <c r="I421" s="185">
        <f t="shared" si="77"/>
        <v>16</v>
      </c>
      <c r="J421" s="185">
        <f t="shared" si="78"/>
        <v>19600</v>
      </c>
      <c r="K421" s="185">
        <f t="shared" si="79"/>
        <v>313600</v>
      </c>
      <c r="L421" s="1190" t="s">
        <v>1089</v>
      </c>
      <c r="M421" s="1059"/>
      <c r="N421" s="1059"/>
      <c r="T421" s="1011"/>
      <c r="U421" s="1133"/>
      <c r="V421" s="1012"/>
      <c r="AA421" s="1039" t="str">
        <f>VLOOKUP(L421,'25-BRA-I-090'!$I:$EZ,2,0)</f>
        <v>Bu lông</v>
      </c>
      <c r="AB421" s="1039" t="str">
        <f>VLOOKUP(L421,'25-BRA-I-090'!$I:$EZ,3,0)</f>
        <v>Bolt-M20x60-ISO4017-10.9-Galv</v>
      </c>
      <c r="AC421" s="1039" t="str">
        <f>VLOOKUP(L421,'25-BRA-I-090'!$I:$EZ,5,0)</f>
        <v>Pcs</v>
      </c>
      <c r="AD421" s="1039">
        <f>SUMIFS('25-BRA-I-090'!$CS:$CS,'25-BRA-I-090'!$I:$I,L421)</f>
        <v>16</v>
      </c>
      <c r="AE421" s="1039">
        <f>SUMIFS('25-BRA-I-090'!$CT:$CT,'25-BRA-I-090'!$I:$I,L421)</f>
        <v>0</v>
      </c>
      <c r="AF421" s="1039">
        <f>SUMIFS('25-BRA-I-090'!$CW:$CW,'25-BRA-I-090'!$I:$I,L421)</f>
        <v>0</v>
      </c>
      <c r="AG421" s="1039">
        <f>SUMIFS('25-BRA-I-090'!$CX:$CX,'25-BRA-I-090'!$I:$I,L421)</f>
        <v>0</v>
      </c>
      <c r="AH421" s="1040">
        <f>SUMIFS('25-BRA-I-090'!$DJ:$DJ,'25-BRA-I-090'!$I:$I,L421)+SUMIFS('25-BRA-I-090'!$EC:$EC,'25-BRA-I-090'!$I:$I,L421)</f>
        <v>16</v>
      </c>
      <c r="AI421" s="1040">
        <f>SUMIFS('25-BRA-I-090'!$DK:$DK,'25-BRA-I-090'!$I:$I,L421)+SUMIFS('25-BRA-I-090'!$ED:$ED,'25-BRA-I-090'!$I:$I,L421)</f>
        <v>0</v>
      </c>
      <c r="AJ421" s="1040">
        <f>SUMIFS('25-BRA-I-090'!$DO:$DO,'25-BRA-I-090'!$I:$I,L421)+26400*SUMIFS('25-BRA-I-090'!$EF:$EF,'25-BRA-I-090'!$I:$I,L421)</f>
        <v>313600</v>
      </c>
      <c r="AL421" s="1092"/>
      <c r="AM421" s="1039"/>
    </row>
    <row r="422" spans="1:39" s="1010" customFormat="1" ht="30">
      <c r="A422" s="1106"/>
      <c r="B422" s="1057" t="str">
        <f t="shared" si="74"/>
        <v>Bolt-M20x60-ISO4017-8.8-Galv</v>
      </c>
      <c r="C422" s="1058">
        <f>VLOOKUP(L422,'25-BRA-I-090'!$I:$EZ,4,0)</f>
        <v>0</v>
      </c>
      <c r="D422" s="374" t="str">
        <f t="shared" si="75"/>
        <v>Pcs</v>
      </c>
      <c r="E422" s="183"/>
      <c r="F422" s="184">
        <f t="shared" si="76"/>
        <v>616</v>
      </c>
      <c r="G422" s="185">
        <f t="shared" si="76"/>
        <v>0</v>
      </c>
      <c r="H422" s="185">
        <f t="shared" si="76"/>
        <v>36</v>
      </c>
      <c r="I422" s="185">
        <f t="shared" si="77"/>
        <v>580</v>
      </c>
      <c r="J422" s="185">
        <f t="shared" si="78"/>
        <v>10986.068965517241</v>
      </c>
      <c r="K422" s="185">
        <f t="shared" si="79"/>
        <v>6371920</v>
      </c>
      <c r="L422" s="1190" t="s">
        <v>1091</v>
      </c>
      <c r="M422" s="1059"/>
      <c r="N422" s="1059"/>
      <c r="T422" s="1011"/>
      <c r="U422" s="1133"/>
      <c r="V422" s="1012"/>
      <c r="AA422" s="1039" t="str">
        <f>VLOOKUP(L422,'25-BRA-I-090'!$I:$EZ,2,0)</f>
        <v>Bu lông</v>
      </c>
      <c r="AB422" s="1039" t="str">
        <f>VLOOKUP(L422,'25-BRA-I-090'!$I:$EZ,3,0)</f>
        <v>Bolt-M20x60-ISO4017-8.8-Galv</v>
      </c>
      <c r="AC422" s="1039" t="str">
        <f>VLOOKUP(L422,'25-BRA-I-090'!$I:$EZ,5,0)</f>
        <v>Pcs</v>
      </c>
      <c r="AD422" s="1039">
        <f>SUMIFS('25-BRA-I-090'!$CS:$CS,'25-BRA-I-090'!$I:$I,L422)</f>
        <v>616</v>
      </c>
      <c r="AE422" s="1039">
        <f>SUMIFS('25-BRA-I-090'!$CT:$CT,'25-BRA-I-090'!$I:$I,L422)</f>
        <v>0</v>
      </c>
      <c r="AF422" s="1039">
        <f>SUMIFS('25-BRA-I-090'!$CW:$CW,'25-BRA-I-090'!$I:$I,L422)</f>
        <v>36</v>
      </c>
      <c r="AG422" s="1039">
        <f>SUMIFS('25-BRA-I-090'!$CX:$CX,'25-BRA-I-090'!$I:$I,L422)</f>
        <v>0</v>
      </c>
      <c r="AH422" s="1040">
        <f>SUMIFS('25-BRA-I-090'!$DJ:$DJ,'25-BRA-I-090'!$I:$I,L422)+SUMIFS('25-BRA-I-090'!$EC:$EC,'25-BRA-I-090'!$I:$I,L422)</f>
        <v>580</v>
      </c>
      <c r="AI422" s="1040">
        <f>SUMIFS('25-BRA-I-090'!$DK:$DK,'25-BRA-I-090'!$I:$I,L422)+SUMIFS('25-BRA-I-090'!$ED:$ED,'25-BRA-I-090'!$I:$I,L422)</f>
        <v>0</v>
      </c>
      <c r="AJ422" s="1040">
        <f>SUMIFS('25-BRA-I-090'!$DO:$DO,'25-BRA-I-090'!$I:$I,L422)+26400*SUMIFS('25-BRA-I-090'!$EF:$EF,'25-BRA-I-090'!$I:$I,L422)</f>
        <v>6371920</v>
      </c>
      <c r="AL422" s="1092"/>
      <c r="AM422" s="1039"/>
    </row>
    <row r="423" spans="1:39" s="1010" customFormat="1" ht="30">
      <c r="A423" s="1106"/>
      <c r="B423" s="1057" t="str">
        <f t="shared" si="74"/>
        <v>Bolt-M20x65-ISO4017-8.8-Galv</v>
      </c>
      <c r="C423" s="1058">
        <f>VLOOKUP(L423,'25-BRA-I-090'!$I:$EZ,4,0)</f>
        <v>0</v>
      </c>
      <c r="D423" s="374" t="str">
        <f t="shared" si="75"/>
        <v>Pcs</v>
      </c>
      <c r="E423" s="183"/>
      <c r="F423" s="184">
        <f t="shared" si="76"/>
        <v>4</v>
      </c>
      <c r="G423" s="185">
        <f t="shared" si="76"/>
        <v>0</v>
      </c>
      <c r="H423" s="185">
        <f t="shared" si="76"/>
        <v>4</v>
      </c>
      <c r="I423" s="185">
        <f t="shared" si="77"/>
        <v>0</v>
      </c>
      <c r="J423" s="185" t="e">
        <f t="shared" si="78"/>
        <v>#DIV/0!</v>
      </c>
      <c r="K423" s="185">
        <f t="shared" si="79"/>
        <v>0</v>
      </c>
      <c r="L423" s="1190" t="s">
        <v>1093</v>
      </c>
      <c r="M423" s="1059"/>
      <c r="N423" s="1059"/>
      <c r="T423" s="1011"/>
      <c r="U423" s="1133"/>
      <c r="V423" s="1012"/>
      <c r="AA423" s="1039" t="str">
        <f>VLOOKUP(L423,'25-BRA-I-090'!$I:$EZ,2,0)</f>
        <v>Bu lông</v>
      </c>
      <c r="AB423" s="1039" t="str">
        <f>VLOOKUP(L423,'25-BRA-I-090'!$I:$EZ,3,0)</f>
        <v>Bolt-M20x65-ISO4017-8.8-Galv</v>
      </c>
      <c r="AC423" s="1039" t="str">
        <f>VLOOKUP(L423,'25-BRA-I-090'!$I:$EZ,5,0)</f>
        <v>Pcs</v>
      </c>
      <c r="AD423" s="1039">
        <f>SUMIFS('25-BRA-I-090'!$CS:$CS,'25-BRA-I-090'!$I:$I,L423)</f>
        <v>4</v>
      </c>
      <c r="AE423" s="1039">
        <f>SUMIFS('25-BRA-I-090'!$CT:$CT,'25-BRA-I-090'!$I:$I,L423)</f>
        <v>0</v>
      </c>
      <c r="AF423" s="1039">
        <f>SUMIFS('25-BRA-I-090'!$CW:$CW,'25-BRA-I-090'!$I:$I,L423)</f>
        <v>4</v>
      </c>
      <c r="AG423" s="1039">
        <f>SUMIFS('25-BRA-I-090'!$CX:$CX,'25-BRA-I-090'!$I:$I,L423)</f>
        <v>0</v>
      </c>
      <c r="AH423" s="1040">
        <f>SUMIFS('25-BRA-I-090'!$DJ:$DJ,'25-BRA-I-090'!$I:$I,L423)+SUMIFS('25-BRA-I-090'!$EC:$EC,'25-BRA-I-090'!$I:$I,L423)</f>
        <v>0</v>
      </c>
      <c r="AI423" s="1040">
        <f>SUMIFS('25-BRA-I-090'!$DK:$DK,'25-BRA-I-090'!$I:$I,L423)+SUMIFS('25-BRA-I-090'!$ED:$ED,'25-BRA-I-090'!$I:$I,L423)</f>
        <v>0</v>
      </c>
      <c r="AJ423" s="1040">
        <f>SUMIFS('25-BRA-I-090'!$DO:$DO,'25-BRA-I-090'!$I:$I,L423)+26400*SUMIFS('25-BRA-I-090'!$EF:$EF,'25-BRA-I-090'!$I:$I,L423)</f>
        <v>0</v>
      </c>
      <c r="AL423" s="1092"/>
      <c r="AM423" s="1039"/>
    </row>
    <row r="424" spans="1:39" s="1010" customFormat="1" ht="30">
      <c r="A424" s="1106"/>
      <c r="B424" s="1057" t="str">
        <f t="shared" si="74"/>
        <v>Bolt-M20x70-ISO4017-8.8-Galv</v>
      </c>
      <c r="C424" s="1058">
        <f>VLOOKUP(L424,'25-BRA-I-090'!$I:$EZ,4,0)</f>
        <v>0</v>
      </c>
      <c r="D424" s="374" t="str">
        <f t="shared" si="75"/>
        <v>Pcs</v>
      </c>
      <c r="E424" s="183"/>
      <c r="F424" s="184">
        <f t="shared" si="76"/>
        <v>464</v>
      </c>
      <c r="G424" s="185">
        <f t="shared" si="76"/>
        <v>0</v>
      </c>
      <c r="H424" s="185">
        <f t="shared" si="76"/>
        <v>0</v>
      </c>
      <c r="I424" s="185">
        <f t="shared" si="77"/>
        <v>464</v>
      </c>
      <c r="J424" s="185">
        <f t="shared" si="78"/>
        <v>12367.931034482759</v>
      </c>
      <c r="K424" s="185">
        <f t="shared" si="79"/>
        <v>5738720</v>
      </c>
      <c r="L424" s="1190" t="s">
        <v>1094</v>
      </c>
      <c r="M424" s="1059"/>
      <c r="N424" s="1059"/>
      <c r="T424" s="1011"/>
      <c r="U424" s="1133"/>
      <c r="V424" s="1012"/>
      <c r="AA424" s="1039" t="str">
        <f>VLOOKUP(L424,'25-BRA-I-090'!$I:$EZ,2,0)</f>
        <v>Bu lông</v>
      </c>
      <c r="AB424" s="1039" t="str">
        <f>VLOOKUP(L424,'25-BRA-I-090'!$I:$EZ,3,0)</f>
        <v>Bolt-M20x70-ISO4017-8.8-Galv</v>
      </c>
      <c r="AC424" s="1039" t="str">
        <f>VLOOKUP(L424,'25-BRA-I-090'!$I:$EZ,5,0)</f>
        <v>Pcs</v>
      </c>
      <c r="AD424" s="1039">
        <f>SUMIFS('25-BRA-I-090'!$CS:$CS,'25-BRA-I-090'!$I:$I,L424)</f>
        <v>464</v>
      </c>
      <c r="AE424" s="1039">
        <f>SUMIFS('25-BRA-I-090'!$CT:$CT,'25-BRA-I-090'!$I:$I,L424)</f>
        <v>0</v>
      </c>
      <c r="AF424" s="1039">
        <f>SUMIFS('25-BRA-I-090'!$CW:$CW,'25-BRA-I-090'!$I:$I,L424)</f>
        <v>0</v>
      </c>
      <c r="AG424" s="1039">
        <f>SUMIFS('25-BRA-I-090'!$CX:$CX,'25-BRA-I-090'!$I:$I,L424)</f>
        <v>0</v>
      </c>
      <c r="AH424" s="1040">
        <f>SUMIFS('25-BRA-I-090'!$DJ:$DJ,'25-BRA-I-090'!$I:$I,L424)+SUMIFS('25-BRA-I-090'!$EC:$EC,'25-BRA-I-090'!$I:$I,L424)</f>
        <v>464</v>
      </c>
      <c r="AI424" s="1040">
        <f>SUMIFS('25-BRA-I-090'!$DK:$DK,'25-BRA-I-090'!$I:$I,L424)+SUMIFS('25-BRA-I-090'!$ED:$ED,'25-BRA-I-090'!$I:$I,L424)</f>
        <v>0</v>
      </c>
      <c r="AJ424" s="1040">
        <f>SUMIFS('25-BRA-I-090'!$DO:$DO,'25-BRA-I-090'!$I:$I,L424)+26400*SUMIFS('25-BRA-I-090'!$EF:$EF,'25-BRA-I-090'!$I:$I,L424)</f>
        <v>5738720</v>
      </c>
      <c r="AL424" s="1092"/>
      <c r="AM424" s="1039"/>
    </row>
    <row r="425" spans="1:39" s="1010" customFormat="1" ht="30">
      <c r="A425" s="1106"/>
      <c r="B425" s="1057" t="str">
        <f t="shared" si="74"/>
        <v>Bolt-M20x80-ISO4017-8.8-Galv</v>
      </c>
      <c r="C425" s="1058">
        <f>VLOOKUP(L425,'25-BRA-I-090'!$I:$EZ,4,0)</f>
        <v>0</v>
      </c>
      <c r="D425" s="374" t="str">
        <f t="shared" si="75"/>
        <v>Pcs</v>
      </c>
      <c r="E425" s="183"/>
      <c r="F425" s="184">
        <f t="shared" si="76"/>
        <v>164</v>
      </c>
      <c r="G425" s="185">
        <f t="shared" si="76"/>
        <v>0</v>
      </c>
      <c r="H425" s="185">
        <f t="shared" si="76"/>
        <v>100</v>
      </c>
      <c r="I425" s="185">
        <f t="shared" si="77"/>
        <v>64</v>
      </c>
      <c r="J425" s="185">
        <f t="shared" si="78"/>
        <v>15470</v>
      </c>
      <c r="K425" s="185">
        <f t="shared" si="79"/>
        <v>990080</v>
      </c>
      <c r="L425" s="1190" t="s">
        <v>1096</v>
      </c>
      <c r="M425" s="1059"/>
      <c r="N425" s="1059"/>
      <c r="T425" s="1011"/>
      <c r="U425" s="1133"/>
      <c r="V425" s="1012"/>
      <c r="AA425" s="1039" t="str">
        <f>VLOOKUP(L425,'25-BRA-I-090'!$I:$EZ,2,0)</f>
        <v>Bu lông</v>
      </c>
      <c r="AB425" s="1039" t="str">
        <f>VLOOKUP(L425,'25-BRA-I-090'!$I:$EZ,3,0)</f>
        <v>Bolt-M20x80-ISO4017-8.8-Galv</v>
      </c>
      <c r="AC425" s="1039" t="str">
        <f>VLOOKUP(L425,'25-BRA-I-090'!$I:$EZ,5,0)</f>
        <v>Pcs</v>
      </c>
      <c r="AD425" s="1039">
        <f>SUMIFS('25-BRA-I-090'!$CS:$CS,'25-BRA-I-090'!$I:$I,L425)</f>
        <v>164</v>
      </c>
      <c r="AE425" s="1039">
        <f>SUMIFS('25-BRA-I-090'!$CT:$CT,'25-BRA-I-090'!$I:$I,L425)</f>
        <v>0</v>
      </c>
      <c r="AF425" s="1039">
        <f>SUMIFS('25-BRA-I-090'!$CW:$CW,'25-BRA-I-090'!$I:$I,L425)</f>
        <v>100</v>
      </c>
      <c r="AG425" s="1039">
        <f>SUMIFS('25-BRA-I-090'!$CX:$CX,'25-BRA-I-090'!$I:$I,L425)</f>
        <v>0</v>
      </c>
      <c r="AH425" s="1040">
        <f>SUMIFS('25-BRA-I-090'!$DJ:$DJ,'25-BRA-I-090'!$I:$I,L425)+SUMIFS('25-BRA-I-090'!$EC:$EC,'25-BRA-I-090'!$I:$I,L425)</f>
        <v>64</v>
      </c>
      <c r="AI425" s="1040">
        <f>SUMIFS('25-BRA-I-090'!$DK:$DK,'25-BRA-I-090'!$I:$I,L425)+SUMIFS('25-BRA-I-090'!$ED:$ED,'25-BRA-I-090'!$I:$I,L425)</f>
        <v>0</v>
      </c>
      <c r="AJ425" s="1040">
        <f>SUMIFS('25-BRA-I-090'!$DO:$DO,'25-BRA-I-090'!$I:$I,L425)+26400*SUMIFS('25-BRA-I-090'!$EF:$EF,'25-BRA-I-090'!$I:$I,L425)</f>
        <v>990080</v>
      </c>
      <c r="AL425" s="1092"/>
      <c r="AM425" s="1039"/>
    </row>
    <row r="426" spans="1:39" s="1010" customFormat="1" ht="30">
      <c r="A426" s="1106"/>
      <c r="B426" s="1057" t="str">
        <f t="shared" si="74"/>
        <v>Bolt-M24x100-ISO4017-8.8-Galv</v>
      </c>
      <c r="C426" s="1058">
        <f>VLOOKUP(L426,'25-BRA-I-090'!$I:$EZ,4,0)</f>
        <v>0</v>
      </c>
      <c r="D426" s="374" t="str">
        <f t="shared" si="75"/>
        <v>Pcs</v>
      </c>
      <c r="E426" s="183"/>
      <c r="F426" s="184">
        <f t="shared" si="76"/>
        <v>576</v>
      </c>
      <c r="G426" s="185">
        <f t="shared" si="76"/>
        <v>0</v>
      </c>
      <c r="H426" s="185">
        <f t="shared" si="76"/>
        <v>126</v>
      </c>
      <c r="I426" s="185">
        <f t="shared" si="77"/>
        <v>450</v>
      </c>
      <c r="J426" s="185">
        <f t="shared" si="78"/>
        <v>19664</v>
      </c>
      <c r="K426" s="185">
        <f t="shared" si="79"/>
        <v>8848800</v>
      </c>
      <c r="L426" s="1190" t="s">
        <v>1097</v>
      </c>
      <c r="M426" s="1059"/>
      <c r="N426" s="1059"/>
      <c r="T426" s="1011"/>
      <c r="U426" s="1133"/>
      <c r="V426" s="1012"/>
      <c r="AA426" s="1039" t="str">
        <f>VLOOKUP(L426,'25-BRA-I-090'!$I:$EZ,2,0)</f>
        <v>Bu lông</v>
      </c>
      <c r="AB426" s="1039" t="str">
        <f>VLOOKUP(L426,'25-BRA-I-090'!$I:$EZ,3,0)</f>
        <v>Bolt-M24x100-ISO4017-8.8-Galv</v>
      </c>
      <c r="AC426" s="1039" t="str">
        <f>VLOOKUP(L426,'25-BRA-I-090'!$I:$EZ,5,0)</f>
        <v>Pcs</v>
      </c>
      <c r="AD426" s="1039">
        <f>SUMIFS('25-BRA-I-090'!$CS:$CS,'25-BRA-I-090'!$I:$I,L426)</f>
        <v>576</v>
      </c>
      <c r="AE426" s="1039">
        <f>SUMIFS('25-BRA-I-090'!$CT:$CT,'25-BRA-I-090'!$I:$I,L426)</f>
        <v>0</v>
      </c>
      <c r="AF426" s="1039">
        <f>SUMIFS('25-BRA-I-090'!$CW:$CW,'25-BRA-I-090'!$I:$I,L426)</f>
        <v>126</v>
      </c>
      <c r="AG426" s="1039">
        <f>SUMIFS('25-BRA-I-090'!$CX:$CX,'25-BRA-I-090'!$I:$I,L426)</f>
        <v>0</v>
      </c>
      <c r="AH426" s="1040">
        <f>SUMIFS('25-BRA-I-090'!$DJ:$DJ,'25-BRA-I-090'!$I:$I,L426)+SUMIFS('25-BRA-I-090'!$EC:$EC,'25-BRA-I-090'!$I:$I,L426)</f>
        <v>450</v>
      </c>
      <c r="AI426" s="1040">
        <f>SUMIFS('25-BRA-I-090'!$DK:$DK,'25-BRA-I-090'!$I:$I,L426)+SUMIFS('25-BRA-I-090'!$ED:$ED,'25-BRA-I-090'!$I:$I,L426)</f>
        <v>0</v>
      </c>
      <c r="AJ426" s="1040">
        <f>SUMIFS('25-BRA-I-090'!$DO:$DO,'25-BRA-I-090'!$I:$I,L426)+26400*SUMIFS('25-BRA-I-090'!$EF:$EF,'25-BRA-I-090'!$I:$I,L426)</f>
        <v>8848800</v>
      </c>
      <c r="AL426" s="1092"/>
      <c r="AM426" s="1039"/>
    </row>
    <row r="427" spans="1:39" s="1010" customFormat="1" ht="30">
      <c r="A427" s="1106"/>
      <c r="B427" s="1057" t="str">
        <f t="shared" si="74"/>
        <v>Bolt-M24x110-ISO4017-10.9-Galv</v>
      </c>
      <c r="C427" s="1058">
        <f>VLOOKUP(L427,'25-BRA-I-090'!$I:$EZ,4,0)</f>
        <v>0</v>
      </c>
      <c r="D427" s="374" t="str">
        <f t="shared" si="75"/>
        <v>Pcs</v>
      </c>
      <c r="E427" s="183"/>
      <c r="F427" s="184">
        <f t="shared" si="76"/>
        <v>96</v>
      </c>
      <c r="G427" s="185">
        <f t="shared" si="76"/>
        <v>0</v>
      </c>
      <c r="H427" s="185">
        <f t="shared" si="76"/>
        <v>0</v>
      </c>
      <c r="I427" s="185">
        <f t="shared" si="77"/>
        <v>96</v>
      </c>
      <c r="J427" s="185">
        <f t="shared" si="78"/>
        <v>42300</v>
      </c>
      <c r="K427" s="185">
        <f t="shared" si="79"/>
        <v>4060800</v>
      </c>
      <c r="L427" s="1190" t="s">
        <v>1099</v>
      </c>
      <c r="M427" s="1059"/>
      <c r="N427" s="1059"/>
      <c r="T427" s="1011"/>
      <c r="U427" s="1133"/>
      <c r="V427" s="1012"/>
      <c r="AA427" s="1039" t="str">
        <f>VLOOKUP(L427,'25-BRA-I-090'!$I:$EZ,2,0)</f>
        <v>Bu lông</v>
      </c>
      <c r="AB427" s="1039" t="str">
        <f>VLOOKUP(L427,'25-BRA-I-090'!$I:$EZ,3,0)</f>
        <v>Bolt-M24x110-ISO4017-10.9-Galv</v>
      </c>
      <c r="AC427" s="1039" t="str">
        <f>VLOOKUP(L427,'25-BRA-I-090'!$I:$EZ,5,0)</f>
        <v>Pcs</v>
      </c>
      <c r="AD427" s="1039">
        <f>SUMIFS('25-BRA-I-090'!$CS:$CS,'25-BRA-I-090'!$I:$I,L427)</f>
        <v>96</v>
      </c>
      <c r="AE427" s="1039">
        <f>SUMIFS('25-BRA-I-090'!$CT:$CT,'25-BRA-I-090'!$I:$I,L427)</f>
        <v>0</v>
      </c>
      <c r="AF427" s="1039">
        <f>SUMIFS('25-BRA-I-090'!$CW:$CW,'25-BRA-I-090'!$I:$I,L427)</f>
        <v>0</v>
      </c>
      <c r="AG427" s="1039">
        <f>SUMIFS('25-BRA-I-090'!$CX:$CX,'25-BRA-I-090'!$I:$I,L427)</f>
        <v>0</v>
      </c>
      <c r="AH427" s="1040">
        <f>SUMIFS('25-BRA-I-090'!$DJ:$DJ,'25-BRA-I-090'!$I:$I,L427)+SUMIFS('25-BRA-I-090'!$EC:$EC,'25-BRA-I-090'!$I:$I,L427)</f>
        <v>96</v>
      </c>
      <c r="AI427" s="1040">
        <f>SUMIFS('25-BRA-I-090'!$DK:$DK,'25-BRA-I-090'!$I:$I,L427)+SUMIFS('25-BRA-I-090'!$ED:$ED,'25-BRA-I-090'!$I:$I,L427)</f>
        <v>0</v>
      </c>
      <c r="AJ427" s="1040">
        <f>SUMIFS('25-BRA-I-090'!$DO:$DO,'25-BRA-I-090'!$I:$I,L427)+26400*SUMIFS('25-BRA-I-090'!$EF:$EF,'25-BRA-I-090'!$I:$I,L427)</f>
        <v>4060800</v>
      </c>
      <c r="AL427" s="1092"/>
      <c r="AM427" s="1039"/>
    </row>
    <row r="428" spans="1:39" s="1010" customFormat="1" ht="30">
      <c r="A428" s="1106"/>
      <c r="B428" s="1057" t="str">
        <f t="shared" si="74"/>
        <v>Bolt-M24x110-ISO4017-8.8-Galv</v>
      </c>
      <c r="C428" s="1058">
        <f>VLOOKUP(L428,'25-BRA-I-090'!$I:$EZ,4,0)</f>
        <v>0</v>
      </c>
      <c r="D428" s="374" t="str">
        <f t="shared" si="75"/>
        <v>Pcs</v>
      </c>
      <c r="E428" s="183"/>
      <c r="F428" s="184">
        <f t="shared" si="76"/>
        <v>200</v>
      </c>
      <c r="G428" s="185">
        <f t="shared" si="76"/>
        <v>0</v>
      </c>
      <c r="H428" s="185">
        <f t="shared" si="76"/>
        <v>0</v>
      </c>
      <c r="I428" s="185">
        <f t="shared" si="77"/>
        <v>200</v>
      </c>
      <c r="J428" s="185">
        <f t="shared" si="78"/>
        <v>26336</v>
      </c>
      <c r="K428" s="185">
        <f t="shared" si="79"/>
        <v>5267200</v>
      </c>
      <c r="L428" s="1190" t="s">
        <v>1101</v>
      </c>
      <c r="M428" s="1059"/>
      <c r="N428" s="1059"/>
      <c r="T428" s="1011"/>
      <c r="U428" s="1133"/>
      <c r="V428" s="1012"/>
      <c r="AA428" s="1039" t="str">
        <f>VLOOKUP(L428,'25-BRA-I-090'!$I:$EZ,2,0)</f>
        <v>Bu lông</v>
      </c>
      <c r="AB428" s="1039" t="str">
        <f>VLOOKUP(L428,'25-BRA-I-090'!$I:$EZ,3,0)</f>
        <v>Bolt-M24x110-ISO4017-8.8-Galv</v>
      </c>
      <c r="AC428" s="1039" t="str">
        <f>VLOOKUP(L428,'25-BRA-I-090'!$I:$EZ,5,0)</f>
        <v>Pcs</v>
      </c>
      <c r="AD428" s="1039">
        <f>SUMIFS('25-BRA-I-090'!$CS:$CS,'25-BRA-I-090'!$I:$I,L428)</f>
        <v>200</v>
      </c>
      <c r="AE428" s="1039">
        <f>SUMIFS('25-BRA-I-090'!$CT:$CT,'25-BRA-I-090'!$I:$I,L428)</f>
        <v>0</v>
      </c>
      <c r="AF428" s="1039">
        <f>SUMIFS('25-BRA-I-090'!$CW:$CW,'25-BRA-I-090'!$I:$I,L428)</f>
        <v>0</v>
      </c>
      <c r="AG428" s="1039">
        <f>SUMIFS('25-BRA-I-090'!$CX:$CX,'25-BRA-I-090'!$I:$I,L428)</f>
        <v>0</v>
      </c>
      <c r="AH428" s="1040">
        <f>SUMIFS('25-BRA-I-090'!$DJ:$DJ,'25-BRA-I-090'!$I:$I,L428)+SUMIFS('25-BRA-I-090'!$EC:$EC,'25-BRA-I-090'!$I:$I,L428)</f>
        <v>200</v>
      </c>
      <c r="AI428" s="1040">
        <f>SUMIFS('25-BRA-I-090'!$DK:$DK,'25-BRA-I-090'!$I:$I,L428)+SUMIFS('25-BRA-I-090'!$ED:$ED,'25-BRA-I-090'!$I:$I,L428)</f>
        <v>0</v>
      </c>
      <c r="AJ428" s="1040">
        <f>SUMIFS('25-BRA-I-090'!$DO:$DO,'25-BRA-I-090'!$I:$I,L428)+26400*SUMIFS('25-BRA-I-090'!$EF:$EF,'25-BRA-I-090'!$I:$I,L428)</f>
        <v>5267200</v>
      </c>
      <c r="AL428" s="1092"/>
      <c r="AM428" s="1039"/>
    </row>
    <row r="429" spans="1:39" s="1010" customFormat="1" ht="30">
      <c r="A429" s="1106"/>
      <c r="B429" s="1057" t="str">
        <f t="shared" si="74"/>
        <v>Bolt-M24x120-ISO4017-8.8-Galv</v>
      </c>
      <c r="C429" s="1058">
        <f>VLOOKUP(L429,'25-BRA-I-090'!$I:$EZ,4,0)</f>
        <v>0</v>
      </c>
      <c r="D429" s="374" t="str">
        <f t="shared" si="75"/>
        <v>Pcs</v>
      </c>
      <c r="E429" s="183"/>
      <c r="F429" s="184">
        <f t="shared" si="76"/>
        <v>192</v>
      </c>
      <c r="G429" s="185">
        <f t="shared" si="76"/>
        <v>0</v>
      </c>
      <c r="H429" s="185">
        <f t="shared" si="76"/>
        <v>0</v>
      </c>
      <c r="I429" s="185">
        <f t="shared" si="77"/>
        <v>192</v>
      </c>
      <c r="J429" s="185">
        <f t="shared" si="78"/>
        <v>31400</v>
      </c>
      <c r="K429" s="185">
        <f t="shared" si="79"/>
        <v>6028800</v>
      </c>
      <c r="L429" s="1190" t="s">
        <v>1103</v>
      </c>
      <c r="M429" s="1059"/>
      <c r="N429" s="1059"/>
      <c r="T429" s="1011"/>
      <c r="U429" s="1133"/>
      <c r="V429" s="1012"/>
      <c r="AA429" s="1039" t="str">
        <f>VLOOKUP(L429,'25-BRA-I-090'!$I:$EZ,2,0)</f>
        <v>Bu lông</v>
      </c>
      <c r="AB429" s="1039" t="str">
        <f>VLOOKUP(L429,'25-BRA-I-090'!$I:$EZ,3,0)</f>
        <v>Bolt-M24x120-ISO4017-8.8-Galv</v>
      </c>
      <c r="AC429" s="1039" t="str">
        <f>VLOOKUP(L429,'25-BRA-I-090'!$I:$EZ,5,0)</f>
        <v>Pcs</v>
      </c>
      <c r="AD429" s="1039">
        <f>SUMIFS('25-BRA-I-090'!$CS:$CS,'25-BRA-I-090'!$I:$I,L429)</f>
        <v>192</v>
      </c>
      <c r="AE429" s="1039">
        <f>SUMIFS('25-BRA-I-090'!$CT:$CT,'25-BRA-I-090'!$I:$I,L429)</f>
        <v>0</v>
      </c>
      <c r="AF429" s="1039">
        <f>SUMIFS('25-BRA-I-090'!$CW:$CW,'25-BRA-I-090'!$I:$I,L429)</f>
        <v>0</v>
      </c>
      <c r="AG429" s="1039">
        <f>SUMIFS('25-BRA-I-090'!$CX:$CX,'25-BRA-I-090'!$I:$I,L429)</f>
        <v>0</v>
      </c>
      <c r="AH429" s="1040">
        <f>SUMIFS('25-BRA-I-090'!$DJ:$DJ,'25-BRA-I-090'!$I:$I,L429)+SUMIFS('25-BRA-I-090'!$EC:$EC,'25-BRA-I-090'!$I:$I,L429)</f>
        <v>192</v>
      </c>
      <c r="AI429" s="1040">
        <f>SUMIFS('25-BRA-I-090'!$DK:$DK,'25-BRA-I-090'!$I:$I,L429)+SUMIFS('25-BRA-I-090'!$ED:$ED,'25-BRA-I-090'!$I:$I,L429)</f>
        <v>0</v>
      </c>
      <c r="AJ429" s="1040">
        <f>SUMIFS('25-BRA-I-090'!$DO:$DO,'25-BRA-I-090'!$I:$I,L429)+26400*SUMIFS('25-BRA-I-090'!$EF:$EF,'25-BRA-I-090'!$I:$I,L429)</f>
        <v>6028800</v>
      </c>
      <c r="AL429" s="1092"/>
      <c r="AM429" s="1039"/>
    </row>
    <row r="430" spans="1:39" s="1010" customFormat="1" ht="30">
      <c r="A430" s="1106"/>
      <c r="B430" s="1057" t="str">
        <f t="shared" si="74"/>
        <v>Bolt-M24x90-ISO4017-8.8-Galv</v>
      </c>
      <c r="C430" s="1058">
        <f>VLOOKUP(L430,'25-BRA-I-090'!$I:$EZ,4,0)</f>
        <v>0</v>
      </c>
      <c r="D430" s="374" t="str">
        <f t="shared" si="75"/>
        <v>Pcs</v>
      </c>
      <c r="E430" s="183"/>
      <c r="F430" s="184">
        <f t="shared" si="76"/>
        <v>200</v>
      </c>
      <c r="G430" s="185">
        <f t="shared" si="76"/>
        <v>0</v>
      </c>
      <c r="H430" s="185">
        <f t="shared" si="76"/>
        <v>80</v>
      </c>
      <c r="I430" s="185">
        <f t="shared" si="77"/>
        <v>120</v>
      </c>
      <c r="J430" s="185">
        <f t="shared" si="78"/>
        <v>17900</v>
      </c>
      <c r="K430" s="185">
        <f t="shared" si="79"/>
        <v>2148000</v>
      </c>
      <c r="L430" s="1190" t="s">
        <v>1105</v>
      </c>
      <c r="M430" s="1059"/>
      <c r="N430" s="1059"/>
      <c r="T430" s="1011"/>
      <c r="U430" s="1133"/>
      <c r="V430" s="1012"/>
      <c r="AA430" s="1039" t="str">
        <f>VLOOKUP(L430,'25-BRA-I-090'!$I:$EZ,2,0)</f>
        <v>Bu lông</v>
      </c>
      <c r="AB430" s="1039" t="str">
        <f>VLOOKUP(L430,'25-BRA-I-090'!$I:$EZ,3,0)</f>
        <v>Bolt-M24x90-ISO4017-8.8-Galv</v>
      </c>
      <c r="AC430" s="1039" t="str">
        <f>VLOOKUP(L430,'25-BRA-I-090'!$I:$EZ,5,0)</f>
        <v>Pcs</v>
      </c>
      <c r="AD430" s="1039">
        <f>SUMIFS('25-BRA-I-090'!$CS:$CS,'25-BRA-I-090'!$I:$I,L430)</f>
        <v>200</v>
      </c>
      <c r="AE430" s="1039">
        <f>SUMIFS('25-BRA-I-090'!$CT:$CT,'25-BRA-I-090'!$I:$I,L430)</f>
        <v>0</v>
      </c>
      <c r="AF430" s="1039">
        <f>SUMIFS('25-BRA-I-090'!$CW:$CW,'25-BRA-I-090'!$I:$I,L430)</f>
        <v>80</v>
      </c>
      <c r="AG430" s="1039">
        <f>SUMIFS('25-BRA-I-090'!$CX:$CX,'25-BRA-I-090'!$I:$I,L430)</f>
        <v>0</v>
      </c>
      <c r="AH430" s="1040">
        <f>SUMIFS('25-BRA-I-090'!$DJ:$DJ,'25-BRA-I-090'!$I:$I,L430)+SUMIFS('25-BRA-I-090'!$EC:$EC,'25-BRA-I-090'!$I:$I,L430)</f>
        <v>120</v>
      </c>
      <c r="AI430" s="1040">
        <f>SUMIFS('25-BRA-I-090'!$DK:$DK,'25-BRA-I-090'!$I:$I,L430)+SUMIFS('25-BRA-I-090'!$ED:$ED,'25-BRA-I-090'!$I:$I,L430)</f>
        <v>0</v>
      </c>
      <c r="AJ430" s="1040">
        <f>SUMIFS('25-BRA-I-090'!$DO:$DO,'25-BRA-I-090'!$I:$I,L430)+26400*SUMIFS('25-BRA-I-090'!$EF:$EF,'25-BRA-I-090'!$I:$I,L430)</f>
        <v>2148000</v>
      </c>
      <c r="AL430" s="1092"/>
      <c r="AM430" s="1039"/>
    </row>
    <row r="431" spans="1:39" s="1010" customFormat="1" ht="30">
      <c r="A431" s="1106"/>
      <c r="B431" s="1057" t="str">
        <f t="shared" si="74"/>
        <v>Bolt-M30x100-ISO4017-8.8-Galv</v>
      </c>
      <c r="C431" s="1058">
        <f>VLOOKUP(L431,'25-BRA-I-090'!$I:$EZ,4,0)</f>
        <v>0</v>
      </c>
      <c r="D431" s="374" t="str">
        <f t="shared" si="75"/>
        <v>Pcs</v>
      </c>
      <c r="E431" s="183"/>
      <c r="F431" s="184">
        <f t="shared" si="76"/>
        <v>32</v>
      </c>
      <c r="G431" s="185">
        <f t="shared" si="76"/>
        <v>0</v>
      </c>
      <c r="H431" s="185">
        <f t="shared" si="76"/>
        <v>32</v>
      </c>
      <c r="I431" s="185">
        <f t="shared" si="77"/>
        <v>0</v>
      </c>
      <c r="J431" s="185" t="e">
        <f t="shared" si="78"/>
        <v>#DIV/0!</v>
      </c>
      <c r="K431" s="185">
        <f t="shared" si="79"/>
        <v>0</v>
      </c>
      <c r="L431" s="1190" t="s">
        <v>1107</v>
      </c>
      <c r="M431" s="1059"/>
      <c r="N431" s="1059"/>
      <c r="T431" s="1011"/>
      <c r="U431" s="1133"/>
      <c r="V431" s="1012"/>
      <c r="AA431" s="1039" t="str">
        <f>VLOOKUP(L431,'25-BRA-I-090'!$I:$EZ,2,0)</f>
        <v>Bu lông</v>
      </c>
      <c r="AB431" s="1039" t="str">
        <f>VLOOKUP(L431,'25-BRA-I-090'!$I:$EZ,3,0)</f>
        <v>Bolt-M30x100-ISO4017-8.8-Galv</v>
      </c>
      <c r="AC431" s="1039" t="str">
        <f>VLOOKUP(L431,'25-BRA-I-090'!$I:$EZ,5,0)</f>
        <v>Pcs</v>
      </c>
      <c r="AD431" s="1039">
        <f>SUMIFS('25-BRA-I-090'!$CS:$CS,'25-BRA-I-090'!$I:$I,L431)</f>
        <v>32</v>
      </c>
      <c r="AE431" s="1039">
        <f>SUMIFS('25-BRA-I-090'!$CT:$CT,'25-BRA-I-090'!$I:$I,L431)</f>
        <v>0</v>
      </c>
      <c r="AF431" s="1039">
        <f>SUMIFS('25-BRA-I-090'!$CW:$CW,'25-BRA-I-090'!$I:$I,L431)</f>
        <v>32</v>
      </c>
      <c r="AG431" s="1039">
        <f>SUMIFS('25-BRA-I-090'!$CX:$CX,'25-BRA-I-090'!$I:$I,L431)</f>
        <v>0</v>
      </c>
      <c r="AH431" s="1040">
        <f>SUMIFS('25-BRA-I-090'!$DJ:$DJ,'25-BRA-I-090'!$I:$I,L431)+SUMIFS('25-BRA-I-090'!$EC:$EC,'25-BRA-I-090'!$I:$I,L431)</f>
        <v>0</v>
      </c>
      <c r="AI431" s="1040">
        <f>SUMIFS('25-BRA-I-090'!$DK:$DK,'25-BRA-I-090'!$I:$I,L431)+SUMIFS('25-BRA-I-090'!$ED:$ED,'25-BRA-I-090'!$I:$I,L431)</f>
        <v>0</v>
      </c>
      <c r="AJ431" s="1040">
        <f>SUMIFS('25-BRA-I-090'!$DO:$DO,'25-BRA-I-090'!$I:$I,L431)+26400*SUMIFS('25-BRA-I-090'!$EF:$EF,'25-BRA-I-090'!$I:$I,L431)</f>
        <v>0</v>
      </c>
      <c r="AL431" s="1092"/>
      <c r="AM431" s="1039"/>
    </row>
    <row r="432" spans="1:39" s="1010" customFormat="1" ht="30">
      <c r="A432" s="1106"/>
      <c r="B432" s="1057" t="str">
        <f t="shared" si="74"/>
        <v>Bolt-M30x120-ISO4017-8.8-Galv</v>
      </c>
      <c r="C432" s="1058">
        <f>VLOOKUP(L432,'25-BRA-I-090'!$I:$EZ,4,0)</f>
        <v>0</v>
      </c>
      <c r="D432" s="374" t="str">
        <f t="shared" si="75"/>
        <v>Pcs</v>
      </c>
      <c r="E432" s="183"/>
      <c r="F432" s="184">
        <f t="shared" si="76"/>
        <v>416</v>
      </c>
      <c r="G432" s="185">
        <f t="shared" si="76"/>
        <v>0</v>
      </c>
      <c r="H432" s="185">
        <f t="shared" si="76"/>
        <v>0</v>
      </c>
      <c r="I432" s="185">
        <f t="shared" si="77"/>
        <v>416</v>
      </c>
      <c r="J432" s="185">
        <f t="shared" si="78"/>
        <v>51969.230769230766</v>
      </c>
      <c r="K432" s="185">
        <f t="shared" si="79"/>
        <v>21619200</v>
      </c>
      <c r="L432" s="1190" t="s">
        <v>1109</v>
      </c>
      <c r="M432" s="1059"/>
      <c r="N432" s="1059"/>
      <c r="T432" s="1011"/>
      <c r="U432" s="1133"/>
      <c r="V432" s="1012"/>
      <c r="AA432" s="1039" t="str">
        <f>VLOOKUP(L432,'25-BRA-I-090'!$I:$EZ,2,0)</f>
        <v>Bu lông</v>
      </c>
      <c r="AB432" s="1039" t="str">
        <f>VLOOKUP(L432,'25-BRA-I-090'!$I:$EZ,3,0)</f>
        <v>Bolt-M30x120-ISO4017-8.8-Galv</v>
      </c>
      <c r="AC432" s="1039" t="str">
        <f>VLOOKUP(L432,'25-BRA-I-090'!$I:$EZ,5,0)</f>
        <v>Pcs</v>
      </c>
      <c r="AD432" s="1039">
        <f>SUMIFS('25-BRA-I-090'!$CS:$CS,'25-BRA-I-090'!$I:$I,L432)</f>
        <v>416</v>
      </c>
      <c r="AE432" s="1039">
        <f>SUMIFS('25-BRA-I-090'!$CT:$CT,'25-BRA-I-090'!$I:$I,L432)</f>
        <v>0</v>
      </c>
      <c r="AF432" s="1039">
        <f>SUMIFS('25-BRA-I-090'!$CW:$CW,'25-BRA-I-090'!$I:$I,L432)</f>
        <v>0</v>
      </c>
      <c r="AG432" s="1039">
        <f>SUMIFS('25-BRA-I-090'!$CX:$CX,'25-BRA-I-090'!$I:$I,L432)</f>
        <v>0</v>
      </c>
      <c r="AH432" s="1040">
        <f>SUMIFS('25-BRA-I-090'!$DJ:$DJ,'25-BRA-I-090'!$I:$I,L432)+SUMIFS('25-BRA-I-090'!$EC:$EC,'25-BRA-I-090'!$I:$I,L432)</f>
        <v>416</v>
      </c>
      <c r="AI432" s="1040">
        <f>SUMIFS('25-BRA-I-090'!$DK:$DK,'25-BRA-I-090'!$I:$I,L432)+SUMIFS('25-BRA-I-090'!$ED:$ED,'25-BRA-I-090'!$I:$I,L432)</f>
        <v>0</v>
      </c>
      <c r="AJ432" s="1040">
        <f>SUMIFS('25-BRA-I-090'!$DO:$DO,'25-BRA-I-090'!$I:$I,L432)+26400*SUMIFS('25-BRA-I-090'!$EF:$EF,'25-BRA-I-090'!$I:$I,L432)</f>
        <v>21619200</v>
      </c>
      <c r="AL432" s="1092"/>
      <c r="AM432" s="1039"/>
    </row>
    <row r="433" spans="1:39" s="1010" customFormat="1" ht="30">
      <c r="A433" s="1106"/>
      <c r="B433" s="1057" t="str">
        <f t="shared" si="74"/>
        <v>Bolt-M36x120-ISO4017-8.8-Galv</v>
      </c>
      <c r="C433" s="1058">
        <f>VLOOKUP(L433,'25-BRA-I-090'!$I:$EZ,4,0)</f>
        <v>0</v>
      </c>
      <c r="D433" s="374" t="str">
        <f t="shared" si="75"/>
        <v>Pcs</v>
      </c>
      <c r="E433" s="183"/>
      <c r="F433" s="184">
        <f t="shared" si="76"/>
        <v>64</v>
      </c>
      <c r="G433" s="185">
        <f t="shared" si="76"/>
        <v>0</v>
      </c>
      <c r="H433" s="185">
        <f t="shared" si="76"/>
        <v>0</v>
      </c>
      <c r="I433" s="185">
        <f t="shared" si="77"/>
        <v>64</v>
      </c>
      <c r="J433" s="185">
        <f t="shared" si="78"/>
        <v>84000</v>
      </c>
      <c r="K433" s="185">
        <f t="shared" si="79"/>
        <v>5376000</v>
      </c>
      <c r="L433" s="1190" t="s">
        <v>1111</v>
      </c>
      <c r="M433" s="1059"/>
      <c r="N433" s="1059"/>
      <c r="T433" s="1011"/>
      <c r="U433" s="1133"/>
      <c r="V433" s="1012"/>
      <c r="AA433" s="1039" t="str">
        <f>VLOOKUP(L433,'25-BRA-I-090'!$I:$EZ,2,0)</f>
        <v>Bu lông</v>
      </c>
      <c r="AB433" s="1039" t="str">
        <f>VLOOKUP(L433,'25-BRA-I-090'!$I:$EZ,3,0)</f>
        <v>Bolt-M36x120-ISO4017-8.8-Galv</v>
      </c>
      <c r="AC433" s="1039" t="str">
        <f>VLOOKUP(L433,'25-BRA-I-090'!$I:$EZ,5,0)</f>
        <v>Pcs</v>
      </c>
      <c r="AD433" s="1039">
        <f>SUMIFS('25-BRA-I-090'!$CS:$CS,'25-BRA-I-090'!$I:$I,L433)</f>
        <v>64</v>
      </c>
      <c r="AE433" s="1039">
        <f>SUMIFS('25-BRA-I-090'!$CT:$CT,'25-BRA-I-090'!$I:$I,L433)</f>
        <v>0</v>
      </c>
      <c r="AF433" s="1039">
        <f>SUMIFS('25-BRA-I-090'!$CW:$CW,'25-BRA-I-090'!$I:$I,L433)</f>
        <v>0</v>
      </c>
      <c r="AG433" s="1039">
        <f>SUMIFS('25-BRA-I-090'!$CX:$CX,'25-BRA-I-090'!$I:$I,L433)</f>
        <v>0</v>
      </c>
      <c r="AH433" s="1040">
        <f>SUMIFS('25-BRA-I-090'!$DJ:$DJ,'25-BRA-I-090'!$I:$I,L433)+SUMIFS('25-BRA-I-090'!$EC:$EC,'25-BRA-I-090'!$I:$I,L433)</f>
        <v>64</v>
      </c>
      <c r="AI433" s="1040">
        <f>SUMIFS('25-BRA-I-090'!$DK:$DK,'25-BRA-I-090'!$I:$I,L433)+SUMIFS('25-BRA-I-090'!$ED:$ED,'25-BRA-I-090'!$I:$I,L433)</f>
        <v>0</v>
      </c>
      <c r="AJ433" s="1040">
        <f>SUMIFS('25-BRA-I-090'!$DO:$DO,'25-BRA-I-090'!$I:$I,L433)+26400*SUMIFS('25-BRA-I-090'!$EF:$EF,'25-BRA-I-090'!$I:$I,L433)</f>
        <v>5376000</v>
      </c>
      <c r="AL433" s="1092"/>
      <c r="AM433" s="1039"/>
    </row>
    <row r="434" spans="1:39" s="1010" customFormat="1" ht="30">
      <c r="A434" s="1106"/>
      <c r="B434" s="1057" t="str">
        <f t="shared" si="74"/>
        <v>Nut-M16-ISO4032-8.0-Galv</v>
      </c>
      <c r="C434" s="1058">
        <f>VLOOKUP(L434,'25-BRA-I-090'!$I:$EZ,4,0)</f>
        <v>0</v>
      </c>
      <c r="D434" s="374" t="str">
        <f t="shared" si="75"/>
        <v>Pcs</v>
      </c>
      <c r="E434" s="183"/>
      <c r="F434" s="184">
        <f t="shared" si="76"/>
        <v>1774</v>
      </c>
      <c r="G434" s="185">
        <f t="shared" si="76"/>
        <v>0</v>
      </c>
      <c r="H434" s="185">
        <f t="shared" si="76"/>
        <v>384</v>
      </c>
      <c r="I434" s="185">
        <f t="shared" si="77"/>
        <v>1390</v>
      </c>
      <c r="J434" s="185">
        <f t="shared" si="78"/>
        <v>1616.2446043165467</v>
      </c>
      <c r="K434" s="185">
        <f t="shared" si="79"/>
        <v>2246580</v>
      </c>
      <c r="L434" s="1190" t="s">
        <v>1113</v>
      </c>
      <c r="M434" s="1059"/>
      <c r="N434" s="1059"/>
      <c r="T434" s="1011"/>
      <c r="U434" s="1133"/>
      <c r="V434" s="1012"/>
      <c r="AA434" s="1039" t="str">
        <f>VLOOKUP(L434,'25-BRA-I-090'!$I:$EZ,2,0)</f>
        <v>Ốc</v>
      </c>
      <c r="AB434" s="1039" t="str">
        <f>VLOOKUP(L434,'25-BRA-I-090'!$I:$EZ,3,0)</f>
        <v>Nut-M16-ISO4032-8.0-Galv</v>
      </c>
      <c r="AC434" s="1039" t="str">
        <f>VLOOKUP(L434,'25-BRA-I-090'!$I:$EZ,5,0)</f>
        <v>Pcs</v>
      </c>
      <c r="AD434" s="1039">
        <f>SUMIFS('25-BRA-I-090'!$CS:$CS,'25-BRA-I-090'!$I:$I,L434)</f>
        <v>1774</v>
      </c>
      <c r="AE434" s="1039">
        <f>SUMIFS('25-BRA-I-090'!$CT:$CT,'25-BRA-I-090'!$I:$I,L434)</f>
        <v>0</v>
      </c>
      <c r="AF434" s="1039">
        <f>SUMIFS('25-BRA-I-090'!$CW:$CW,'25-BRA-I-090'!$I:$I,L434)</f>
        <v>384</v>
      </c>
      <c r="AG434" s="1039">
        <f>SUMIFS('25-BRA-I-090'!$CX:$CX,'25-BRA-I-090'!$I:$I,L434)</f>
        <v>0</v>
      </c>
      <c r="AH434" s="1040">
        <f>SUMIFS('25-BRA-I-090'!$DJ:$DJ,'25-BRA-I-090'!$I:$I,L434)+SUMIFS('25-BRA-I-090'!$EC:$EC,'25-BRA-I-090'!$I:$I,L434)</f>
        <v>1390</v>
      </c>
      <c r="AI434" s="1040">
        <f>SUMIFS('25-BRA-I-090'!$DK:$DK,'25-BRA-I-090'!$I:$I,L434)+SUMIFS('25-BRA-I-090'!$ED:$ED,'25-BRA-I-090'!$I:$I,L434)</f>
        <v>0</v>
      </c>
      <c r="AJ434" s="1040">
        <f>SUMIFS('25-BRA-I-090'!$DO:$DO,'25-BRA-I-090'!$I:$I,L434)+26400*SUMIFS('25-BRA-I-090'!$EF:$EF,'25-BRA-I-090'!$I:$I,L434)</f>
        <v>2246580</v>
      </c>
      <c r="AL434" s="1092"/>
      <c r="AM434" s="1039"/>
    </row>
    <row r="435" spans="1:39" s="1010" customFormat="1" ht="30">
      <c r="A435" s="1106"/>
      <c r="B435" s="1057" t="str">
        <f t="shared" si="74"/>
        <v>Nut-M16-ISO4032-8.0-tZn</v>
      </c>
      <c r="C435" s="1058">
        <f>VLOOKUP(L435,'25-BRA-I-090'!$I:$EZ,4,0)</f>
        <v>0</v>
      </c>
      <c r="D435" s="374" t="str">
        <f t="shared" si="75"/>
        <v>Pcs</v>
      </c>
      <c r="E435" s="183"/>
      <c r="F435" s="184">
        <f t="shared" si="76"/>
        <v>568</v>
      </c>
      <c r="G435" s="185">
        <f t="shared" si="76"/>
        <v>0</v>
      </c>
      <c r="H435" s="185">
        <f t="shared" si="76"/>
        <v>568</v>
      </c>
      <c r="I435" s="185">
        <f t="shared" si="77"/>
        <v>0</v>
      </c>
      <c r="J435" s="185" t="e">
        <f t="shared" si="78"/>
        <v>#DIV/0!</v>
      </c>
      <c r="K435" s="185">
        <f t="shared" si="79"/>
        <v>0</v>
      </c>
      <c r="L435" s="1190" t="s">
        <v>1115</v>
      </c>
      <c r="M435" s="1059"/>
      <c r="N435" s="1059"/>
      <c r="T435" s="1011"/>
      <c r="U435" s="1133"/>
      <c r="V435" s="1012"/>
      <c r="AA435" s="1039" t="str">
        <f>VLOOKUP(L435,'25-BRA-I-090'!$I:$EZ,2,0)</f>
        <v>Ốc</v>
      </c>
      <c r="AB435" s="1039" t="str">
        <f>VLOOKUP(L435,'25-BRA-I-090'!$I:$EZ,3,0)</f>
        <v>Nut-M16-ISO4032-8.0-tZn</v>
      </c>
      <c r="AC435" s="1039" t="str">
        <f>VLOOKUP(L435,'25-BRA-I-090'!$I:$EZ,5,0)</f>
        <v>Pcs</v>
      </c>
      <c r="AD435" s="1039">
        <f>SUMIFS('25-BRA-I-090'!$CS:$CS,'25-BRA-I-090'!$I:$I,L435)</f>
        <v>568</v>
      </c>
      <c r="AE435" s="1039">
        <f>SUMIFS('25-BRA-I-090'!$CT:$CT,'25-BRA-I-090'!$I:$I,L435)</f>
        <v>0</v>
      </c>
      <c r="AF435" s="1039">
        <f>SUMIFS('25-BRA-I-090'!$CW:$CW,'25-BRA-I-090'!$I:$I,L435)</f>
        <v>568</v>
      </c>
      <c r="AG435" s="1039">
        <f>SUMIFS('25-BRA-I-090'!$CX:$CX,'25-BRA-I-090'!$I:$I,L435)</f>
        <v>0</v>
      </c>
      <c r="AH435" s="1040">
        <f>SUMIFS('25-BRA-I-090'!$DJ:$DJ,'25-BRA-I-090'!$I:$I,L435)+SUMIFS('25-BRA-I-090'!$EC:$EC,'25-BRA-I-090'!$I:$I,L435)</f>
        <v>0</v>
      </c>
      <c r="AI435" s="1040">
        <f>SUMIFS('25-BRA-I-090'!$DK:$DK,'25-BRA-I-090'!$I:$I,L435)+SUMIFS('25-BRA-I-090'!$ED:$ED,'25-BRA-I-090'!$I:$I,L435)</f>
        <v>0</v>
      </c>
      <c r="AJ435" s="1040">
        <f>SUMIFS('25-BRA-I-090'!$DO:$DO,'25-BRA-I-090'!$I:$I,L435)+26400*SUMIFS('25-BRA-I-090'!$EF:$EF,'25-BRA-I-090'!$I:$I,L435)</f>
        <v>0</v>
      </c>
      <c r="AL435" s="1092"/>
      <c r="AM435" s="1039"/>
    </row>
    <row r="436" spans="1:39" s="1010" customFormat="1" ht="30">
      <c r="A436" s="1106"/>
      <c r="B436" s="1057" t="str">
        <f t="shared" si="74"/>
        <v>Nut-M20-ISO4032-8.0-Galv</v>
      </c>
      <c r="C436" s="1058">
        <f>VLOOKUP(L436,'25-BRA-I-090'!$I:$EZ,4,0)</f>
        <v>0</v>
      </c>
      <c r="D436" s="374" t="str">
        <f t="shared" si="75"/>
        <v>Pcs</v>
      </c>
      <c r="E436" s="183"/>
      <c r="F436" s="184">
        <f t="shared" si="76"/>
        <v>1717</v>
      </c>
      <c r="G436" s="185">
        <f t="shared" si="76"/>
        <v>0</v>
      </c>
      <c r="H436" s="185">
        <f t="shared" si="76"/>
        <v>336</v>
      </c>
      <c r="I436" s="185">
        <f t="shared" si="77"/>
        <v>1381</v>
      </c>
      <c r="J436" s="185">
        <f t="shared" si="78"/>
        <v>3467.9362780593774</v>
      </c>
      <c r="K436" s="185">
        <f t="shared" si="79"/>
        <v>4789220</v>
      </c>
      <c r="L436" s="1190" t="s">
        <v>1117</v>
      </c>
      <c r="M436" s="1059"/>
      <c r="N436" s="1059"/>
      <c r="T436" s="1011"/>
      <c r="U436" s="1133"/>
      <c r="V436" s="1012"/>
      <c r="AA436" s="1039" t="str">
        <f>VLOOKUP(L436,'25-BRA-I-090'!$I:$EZ,2,0)</f>
        <v>Ốc</v>
      </c>
      <c r="AB436" s="1039" t="str">
        <f>VLOOKUP(L436,'25-BRA-I-090'!$I:$EZ,3,0)</f>
        <v>Nut-M20-ISO4032-8.0-Galv</v>
      </c>
      <c r="AC436" s="1039" t="str">
        <f>VLOOKUP(L436,'25-BRA-I-090'!$I:$EZ,5,0)</f>
        <v>Pcs</v>
      </c>
      <c r="AD436" s="1039">
        <f>SUMIFS('25-BRA-I-090'!$CS:$CS,'25-BRA-I-090'!$I:$I,L436)</f>
        <v>1717</v>
      </c>
      <c r="AE436" s="1039">
        <f>SUMIFS('25-BRA-I-090'!$CT:$CT,'25-BRA-I-090'!$I:$I,L436)</f>
        <v>0</v>
      </c>
      <c r="AF436" s="1039">
        <f>SUMIFS('25-BRA-I-090'!$CW:$CW,'25-BRA-I-090'!$I:$I,L436)</f>
        <v>336</v>
      </c>
      <c r="AG436" s="1039">
        <f>SUMIFS('25-BRA-I-090'!$CX:$CX,'25-BRA-I-090'!$I:$I,L436)</f>
        <v>0</v>
      </c>
      <c r="AH436" s="1040">
        <f>SUMIFS('25-BRA-I-090'!$DJ:$DJ,'25-BRA-I-090'!$I:$I,L436)+SUMIFS('25-BRA-I-090'!$EC:$EC,'25-BRA-I-090'!$I:$I,L436)</f>
        <v>1381</v>
      </c>
      <c r="AI436" s="1040">
        <f>SUMIFS('25-BRA-I-090'!$DK:$DK,'25-BRA-I-090'!$I:$I,L436)+SUMIFS('25-BRA-I-090'!$ED:$ED,'25-BRA-I-090'!$I:$I,L436)</f>
        <v>0</v>
      </c>
      <c r="AJ436" s="1040">
        <f>SUMIFS('25-BRA-I-090'!$DO:$DO,'25-BRA-I-090'!$I:$I,L436)+26400*SUMIFS('25-BRA-I-090'!$EF:$EF,'25-BRA-I-090'!$I:$I,L436)</f>
        <v>4789220</v>
      </c>
      <c r="AL436" s="1092"/>
      <c r="AM436" s="1039"/>
    </row>
    <row r="437" spans="1:39" s="1010" customFormat="1" ht="30">
      <c r="A437" s="1106"/>
      <c r="B437" s="1057" t="str">
        <f t="shared" si="74"/>
        <v>Nut-M20-ISO4032-8.0-tZn</v>
      </c>
      <c r="C437" s="1058">
        <f>VLOOKUP(L437,'25-BRA-I-090'!$I:$EZ,4,0)</f>
        <v>0</v>
      </c>
      <c r="D437" s="374" t="str">
        <f t="shared" si="75"/>
        <v>Pcs</v>
      </c>
      <c r="E437" s="183"/>
      <c r="F437" s="184">
        <f t="shared" si="76"/>
        <v>792</v>
      </c>
      <c r="G437" s="185">
        <f t="shared" si="76"/>
        <v>0</v>
      </c>
      <c r="H437" s="185">
        <f t="shared" si="76"/>
        <v>0</v>
      </c>
      <c r="I437" s="185">
        <f t="shared" si="77"/>
        <v>792</v>
      </c>
      <c r="J437" s="185">
        <f t="shared" si="78"/>
        <v>4232.0202020202023</v>
      </c>
      <c r="K437" s="185">
        <f t="shared" si="79"/>
        <v>3351760</v>
      </c>
      <c r="L437" s="1190" t="s">
        <v>1119</v>
      </c>
      <c r="M437" s="1059"/>
      <c r="N437" s="1059"/>
      <c r="T437" s="1011"/>
      <c r="U437" s="1133"/>
      <c r="V437" s="1012"/>
      <c r="AA437" s="1039" t="str">
        <f>VLOOKUP(L437,'25-BRA-I-090'!$I:$EZ,2,0)</f>
        <v>Ốc</v>
      </c>
      <c r="AB437" s="1039" t="str">
        <f>VLOOKUP(L437,'25-BRA-I-090'!$I:$EZ,3,0)</f>
        <v>Nut-M20-ISO4032-8.0-tZn</v>
      </c>
      <c r="AC437" s="1039" t="str">
        <f>VLOOKUP(L437,'25-BRA-I-090'!$I:$EZ,5,0)</f>
        <v>Pcs</v>
      </c>
      <c r="AD437" s="1039">
        <f>SUMIFS('25-BRA-I-090'!$CS:$CS,'25-BRA-I-090'!$I:$I,L437)</f>
        <v>792</v>
      </c>
      <c r="AE437" s="1039">
        <f>SUMIFS('25-BRA-I-090'!$CT:$CT,'25-BRA-I-090'!$I:$I,L437)</f>
        <v>0</v>
      </c>
      <c r="AF437" s="1039">
        <f>SUMIFS('25-BRA-I-090'!$CW:$CW,'25-BRA-I-090'!$I:$I,L437)</f>
        <v>0</v>
      </c>
      <c r="AG437" s="1039">
        <f>SUMIFS('25-BRA-I-090'!$CX:$CX,'25-BRA-I-090'!$I:$I,L437)</f>
        <v>0</v>
      </c>
      <c r="AH437" s="1040">
        <f>SUMIFS('25-BRA-I-090'!$DJ:$DJ,'25-BRA-I-090'!$I:$I,L437)+SUMIFS('25-BRA-I-090'!$EC:$EC,'25-BRA-I-090'!$I:$I,L437)</f>
        <v>792</v>
      </c>
      <c r="AI437" s="1040">
        <f>SUMIFS('25-BRA-I-090'!$DK:$DK,'25-BRA-I-090'!$I:$I,L437)+SUMIFS('25-BRA-I-090'!$ED:$ED,'25-BRA-I-090'!$I:$I,L437)</f>
        <v>0</v>
      </c>
      <c r="AJ437" s="1040">
        <f>SUMIFS('25-BRA-I-090'!$DO:$DO,'25-BRA-I-090'!$I:$I,L437)+26400*SUMIFS('25-BRA-I-090'!$EF:$EF,'25-BRA-I-090'!$I:$I,L437)</f>
        <v>3351760</v>
      </c>
      <c r="AL437" s="1092"/>
      <c r="AM437" s="1039"/>
    </row>
    <row r="438" spans="1:39" s="1010" customFormat="1" ht="30">
      <c r="A438" s="1106"/>
      <c r="B438" s="1057" t="str">
        <f t="shared" si="74"/>
        <v>Nut-M24-ISO4032-8.0-Galv</v>
      </c>
      <c r="C438" s="1058">
        <f>VLOOKUP(L438,'25-BRA-I-090'!$I:$EZ,4,0)</f>
        <v>0</v>
      </c>
      <c r="D438" s="374" t="str">
        <f t="shared" si="75"/>
        <v>Pcs</v>
      </c>
      <c r="E438" s="183"/>
      <c r="F438" s="184">
        <f t="shared" si="76"/>
        <v>600</v>
      </c>
      <c r="G438" s="185">
        <f t="shared" si="76"/>
        <v>0</v>
      </c>
      <c r="H438" s="185">
        <f t="shared" si="76"/>
        <v>0</v>
      </c>
      <c r="I438" s="185">
        <f t="shared" si="77"/>
        <v>600</v>
      </c>
      <c r="J438" s="185">
        <f t="shared" si="78"/>
        <v>6043.5</v>
      </c>
      <c r="K438" s="185">
        <f t="shared" si="79"/>
        <v>3626100</v>
      </c>
      <c r="L438" s="1190" t="s">
        <v>1121</v>
      </c>
      <c r="M438" s="1059"/>
      <c r="N438" s="1059"/>
      <c r="T438" s="1011"/>
      <c r="U438" s="1133"/>
      <c r="V438" s="1012"/>
      <c r="AA438" s="1039" t="str">
        <f>VLOOKUP(L438,'25-BRA-I-090'!$I:$EZ,2,0)</f>
        <v>Ốc</v>
      </c>
      <c r="AB438" s="1039" t="str">
        <f>VLOOKUP(L438,'25-BRA-I-090'!$I:$EZ,3,0)</f>
        <v>Nut-M24-ISO4032-8.0-Galv</v>
      </c>
      <c r="AC438" s="1039" t="str">
        <f>VLOOKUP(L438,'25-BRA-I-090'!$I:$EZ,5,0)</f>
        <v>Pcs</v>
      </c>
      <c r="AD438" s="1039">
        <f>SUMIFS('25-BRA-I-090'!$CS:$CS,'25-BRA-I-090'!$I:$I,L438)</f>
        <v>600</v>
      </c>
      <c r="AE438" s="1039">
        <f>SUMIFS('25-BRA-I-090'!$CT:$CT,'25-BRA-I-090'!$I:$I,L438)</f>
        <v>0</v>
      </c>
      <c r="AF438" s="1039">
        <f>SUMIFS('25-BRA-I-090'!$CW:$CW,'25-BRA-I-090'!$I:$I,L438)</f>
        <v>0</v>
      </c>
      <c r="AG438" s="1039">
        <f>SUMIFS('25-BRA-I-090'!$CX:$CX,'25-BRA-I-090'!$I:$I,L438)</f>
        <v>0</v>
      </c>
      <c r="AH438" s="1040">
        <f>SUMIFS('25-BRA-I-090'!$DJ:$DJ,'25-BRA-I-090'!$I:$I,L438)+SUMIFS('25-BRA-I-090'!$EC:$EC,'25-BRA-I-090'!$I:$I,L438)</f>
        <v>600</v>
      </c>
      <c r="AI438" s="1040">
        <f>SUMIFS('25-BRA-I-090'!$DK:$DK,'25-BRA-I-090'!$I:$I,L438)+SUMIFS('25-BRA-I-090'!$ED:$ED,'25-BRA-I-090'!$I:$I,L438)</f>
        <v>0</v>
      </c>
      <c r="AJ438" s="1040">
        <f>SUMIFS('25-BRA-I-090'!$DO:$DO,'25-BRA-I-090'!$I:$I,L438)+26400*SUMIFS('25-BRA-I-090'!$EF:$EF,'25-BRA-I-090'!$I:$I,L438)</f>
        <v>3626100</v>
      </c>
      <c r="AL438" s="1092"/>
      <c r="AM438" s="1039"/>
    </row>
    <row r="439" spans="1:39" s="1010" customFormat="1" ht="30">
      <c r="A439" s="1106"/>
      <c r="B439" s="1057" t="str">
        <f t="shared" si="74"/>
        <v>Nut-M24-ISO4032-8.0-tZn</v>
      </c>
      <c r="C439" s="1058">
        <f>VLOOKUP(L439,'25-BRA-I-090'!$I:$EZ,4,0)</f>
        <v>0</v>
      </c>
      <c r="D439" s="374" t="str">
        <f t="shared" si="75"/>
        <v>Pcs</v>
      </c>
      <c r="E439" s="183"/>
      <c r="F439" s="184">
        <f t="shared" si="76"/>
        <v>664</v>
      </c>
      <c r="G439" s="185">
        <f t="shared" si="76"/>
        <v>0</v>
      </c>
      <c r="H439" s="185">
        <f t="shared" si="76"/>
        <v>0</v>
      </c>
      <c r="I439" s="185">
        <f t="shared" si="77"/>
        <v>664</v>
      </c>
      <c r="J439" s="185">
        <f t="shared" si="78"/>
        <v>7150</v>
      </c>
      <c r="K439" s="185">
        <f t="shared" si="79"/>
        <v>4747600</v>
      </c>
      <c r="L439" s="1190" t="s">
        <v>1123</v>
      </c>
      <c r="M439" s="1059"/>
      <c r="N439" s="1059"/>
      <c r="T439" s="1011"/>
      <c r="U439" s="1133"/>
      <c r="V439" s="1012"/>
      <c r="AA439" s="1039" t="str">
        <f>VLOOKUP(L439,'25-BRA-I-090'!$I:$EZ,2,0)</f>
        <v>Ốc</v>
      </c>
      <c r="AB439" s="1039" t="str">
        <f>VLOOKUP(L439,'25-BRA-I-090'!$I:$EZ,3,0)</f>
        <v>Nut-M24-ISO4032-8.0-tZn</v>
      </c>
      <c r="AC439" s="1039" t="str">
        <f>VLOOKUP(L439,'25-BRA-I-090'!$I:$EZ,5,0)</f>
        <v>Pcs</v>
      </c>
      <c r="AD439" s="1039">
        <f>SUMIFS('25-BRA-I-090'!$CS:$CS,'25-BRA-I-090'!$I:$I,L439)</f>
        <v>664</v>
      </c>
      <c r="AE439" s="1039">
        <f>SUMIFS('25-BRA-I-090'!$CT:$CT,'25-BRA-I-090'!$I:$I,L439)</f>
        <v>0</v>
      </c>
      <c r="AF439" s="1039">
        <f>SUMIFS('25-BRA-I-090'!$CW:$CW,'25-BRA-I-090'!$I:$I,L439)</f>
        <v>0</v>
      </c>
      <c r="AG439" s="1039">
        <f>SUMIFS('25-BRA-I-090'!$CX:$CX,'25-BRA-I-090'!$I:$I,L439)</f>
        <v>0</v>
      </c>
      <c r="AH439" s="1040">
        <f>SUMIFS('25-BRA-I-090'!$DJ:$DJ,'25-BRA-I-090'!$I:$I,L439)+SUMIFS('25-BRA-I-090'!$EC:$EC,'25-BRA-I-090'!$I:$I,L439)</f>
        <v>664</v>
      </c>
      <c r="AI439" s="1040">
        <f>SUMIFS('25-BRA-I-090'!$DK:$DK,'25-BRA-I-090'!$I:$I,L439)+SUMIFS('25-BRA-I-090'!$ED:$ED,'25-BRA-I-090'!$I:$I,L439)</f>
        <v>0</v>
      </c>
      <c r="AJ439" s="1040">
        <f>SUMIFS('25-BRA-I-090'!$DO:$DO,'25-BRA-I-090'!$I:$I,L439)+26400*SUMIFS('25-BRA-I-090'!$EF:$EF,'25-BRA-I-090'!$I:$I,L439)</f>
        <v>4747600</v>
      </c>
      <c r="AL439" s="1092"/>
      <c r="AM439" s="1039"/>
    </row>
    <row r="440" spans="1:39" s="1010" customFormat="1" ht="30">
      <c r="A440" s="1106"/>
      <c r="B440" s="1057" t="str">
        <f t="shared" si="74"/>
        <v>Nut-M30-ISO4032-8.0-tZn</v>
      </c>
      <c r="C440" s="1058">
        <f>VLOOKUP(L440,'25-BRA-I-090'!$I:$EZ,4,0)</f>
        <v>0</v>
      </c>
      <c r="D440" s="374" t="str">
        <f t="shared" si="75"/>
        <v>Pcs</v>
      </c>
      <c r="E440" s="183"/>
      <c r="F440" s="184">
        <f t="shared" si="76"/>
        <v>352</v>
      </c>
      <c r="G440" s="185">
        <f t="shared" si="76"/>
        <v>0</v>
      </c>
      <c r="H440" s="185">
        <f t="shared" si="76"/>
        <v>0</v>
      </c>
      <c r="I440" s="185">
        <f t="shared" si="77"/>
        <v>352</v>
      </c>
      <c r="J440" s="185">
        <f t="shared" si="78"/>
        <v>15610</v>
      </c>
      <c r="K440" s="185">
        <f t="shared" si="79"/>
        <v>5494720</v>
      </c>
      <c r="L440" s="1190" t="s">
        <v>1125</v>
      </c>
      <c r="M440" s="1059"/>
      <c r="N440" s="1059"/>
      <c r="T440" s="1011"/>
      <c r="U440" s="1133"/>
      <c r="V440" s="1012"/>
      <c r="AA440" s="1039" t="str">
        <f>VLOOKUP(L440,'25-BRA-I-090'!$I:$EZ,2,0)</f>
        <v>Ốc</v>
      </c>
      <c r="AB440" s="1039" t="str">
        <f>VLOOKUP(L440,'25-BRA-I-090'!$I:$EZ,3,0)</f>
        <v>Nut-M30-ISO4032-8.0-tZn</v>
      </c>
      <c r="AC440" s="1039" t="str">
        <f>VLOOKUP(L440,'25-BRA-I-090'!$I:$EZ,5,0)</f>
        <v>Pcs</v>
      </c>
      <c r="AD440" s="1039">
        <f>SUMIFS('25-BRA-I-090'!$CS:$CS,'25-BRA-I-090'!$I:$I,L440)</f>
        <v>352</v>
      </c>
      <c r="AE440" s="1039">
        <f>SUMIFS('25-BRA-I-090'!$CT:$CT,'25-BRA-I-090'!$I:$I,L440)</f>
        <v>0</v>
      </c>
      <c r="AF440" s="1039">
        <f>SUMIFS('25-BRA-I-090'!$CW:$CW,'25-BRA-I-090'!$I:$I,L440)</f>
        <v>0</v>
      </c>
      <c r="AG440" s="1039">
        <f>SUMIFS('25-BRA-I-090'!$CX:$CX,'25-BRA-I-090'!$I:$I,L440)</f>
        <v>0</v>
      </c>
      <c r="AH440" s="1040">
        <f>SUMIFS('25-BRA-I-090'!$DJ:$DJ,'25-BRA-I-090'!$I:$I,L440)+SUMIFS('25-BRA-I-090'!$EC:$EC,'25-BRA-I-090'!$I:$I,L440)</f>
        <v>352</v>
      </c>
      <c r="AI440" s="1040">
        <f>SUMIFS('25-BRA-I-090'!$DK:$DK,'25-BRA-I-090'!$I:$I,L440)+SUMIFS('25-BRA-I-090'!$ED:$ED,'25-BRA-I-090'!$I:$I,L440)</f>
        <v>0</v>
      </c>
      <c r="AJ440" s="1040">
        <f>SUMIFS('25-BRA-I-090'!$DO:$DO,'25-BRA-I-090'!$I:$I,L440)+26400*SUMIFS('25-BRA-I-090'!$EF:$EF,'25-BRA-I-090'!$I:$I,L440)</f>
        <v>5494720</v>
      </c>
      <c r="AL440" s="1092"/>
      <c r="AM440" s="1039"/>
    </row>
    <row r="441" spans="1:39" s="1010" customFormat="1" ht="30">
      <c r="A441" s="1106"/>
      <c r="B441" s="1057" t="str">
        <f t="shared" si="74"/>
        <v>Nut-M36-ISO4032-8.0-tZn</v>
      </c>
      <c r="C441" s="1058">
        <f>VLOOKUP(L441,'25-BRA-I-090'!$I:$EZ,4,0)</f>
        <v>0</v>
      </c>
      <c r="D441" s="374" t="str">
        <f t="shared" si="75"/>
        <v>Pcs</v>
      </c>
      <c r="E441" s="183"/>
      <c r="F441" s="184">
        <f t="shared" si="76"/>
        <v>64</v>
      </c>
      <c r="G441" s="185">
        <f t="shared" si="76"/>
        <v>0</v>
      </c>
      <c r="H441" s="185">
        <f t="shared" si="76"/>
        <v>0</v>
      </c>
      <c r="I441" s="185">
        <f t="shared" si="77"/>
        <v>64</v>
      </c>
      <c r="J441" s="185">
        <f t="shared" si="78"/>
        <v>15610</v>
      </c>
      <c r="K441" s="185">
        <f t="shared" si="79"/>
        <v>999040</v>
      </c>
      <c r="L441" s="1190" t="s">
        <v>1127</v>
      </c>
      <c r="M441" s="1059"/>
      <c r="N441" s="1059"/>
      <c r="T441" s="1011"/>
      <c r="U441" s="1133"/>
      <c r="V441" s="1012"/>
      <c r="AA441" s="1039" t="str">
        <f>VLOOKUP(L441,'25-BRA-I-090'!$I:$EZ,2,0)</f>
        <v>Ốc</v>
      </c>
      <c r="AB441" s="1039" t="str">
        <f>VLOOKUP(L441,'25-BRA-I-090'!$I:$EZ,3,0)</f>
        <v>Nut-M36-ISO4032-8.0-tZn</v>
      </c>
      <c r="AC441" s="1039" t="str">
        <f>VLOOKUP(L441,'25-BRA-I-090'!$I:$EZ,5,0)</f>
        <v>Pcs</v>
      </c>
      <c r="AD441" s="1039">
        <f>SUMIFS('25-BRA-I-090'!$CS:$CS,'25-BRA-I-090'!$I:$I,L441)</f>
        <v>64</v>
      </c>
      <c r="AE441" s="1039">
        <f>SUMIFS('25-BRA-I-090'!$CT:$CT,'25-BRA-I-090'!$I:$I,L441)</f>
        <v>0</v>
      </c>
      <c r="AF441" s="1039">
        <f>SUMIFS('25-BRA-I-090'!$CW:$CW,'25-BRA-I-090'!$I:$I,L441)</f>
        <v>0</v>
      </c>
      <c r="AG441" s="1039">
        <f>SUMIFS('25-BRA-I-090'!$CX:$CX,'25-BRA-I-090'!$I:$I,L441)</f>
        <v>0</v>
      </c>
      <c r="AH441" s="1040">
        <f>SUMIFS('25-BRA-I-090'!$DJ:$DJ,'25-BRA-I-090'!$I:$I,L441)+SUMIFS('25-BRA-I-090'!$EC:$EC,'25-BRA-I-090'!$I:$I,L441)</f>
        <v>64</v>
      </c>
      <c r="AI441" s="1040">
        <f>SUMIFS('25-BRA-I-090'!$DK:$DK,'25-BRA-I-090'!$I:$I,L441)+SUMIFS('25-BRA-I-090'!$ED:$ED,'25-BRA-I-090'!$I:$I,L441)</f>
        <v>0</v>
      </c>
      <c r="AJ441" s="1040">
        <f>SUMIFS('25-BRA-I-090'!$DO:$DO,'25-BRA-I-090'!$I:$I,L441)+26400*SUMIFS('25-BRA-I-090'!$EF:$EF,'25-BRA-I-090'!$I:$I,L441)</f>
        <v>999040</v>
      </c>
      <c r="AL441" s="1092"/>
      <c r="AM441" s="1039"/>
    </row>
    <row r="442" spans="1:39" s="1010" customFormat="1" ht="30">
      <c r="A442" s="1106"/>
      <c r="B442" s="1057" t="str">
        <f t="shared" si="74"/>
        <v>Washer-M16-DIN434-St-Galv</v>
      </c>
      <c r="C442" s="1058">
        <f>VLOOKUP(L442,'25-BRA-I-090'!$I:$EZ,4,0)</f>
        <v>0</v>
      </c>
      <c r="D442" s="374" t="str">
        <f t="shared" si="75"/>
        <v>Pcs</v>
      </c>
      <c r="E442" s="183"/>
      <c r="F442" s="184">
        <f t="shared" si="76"/>
        <v>192</v>
      </c>
      <c r="G442" s="185">
        <f t="shared" si="76"/>
        <v>0</v>
      </c>
      <c r="H442" s="185">
        <f t="shared" si="76"/>
        <v>192</v>
      </c>
      <c r="I442" s="185">
        <f t="shared" si="77"/>
        <v>0</v>
      </c>
      <c r="J442" s="185" t="e">
        <f t="shared" si="78"/>
        <v>#DIV/0!</v>
      </c>
      <c r="K442" s="185">
        <f t="shared" si="79"/>
        <v>0</v>
      </c>
      <c r="L442" s="1190" t="s">
        <v>1129</v>
      </c>
      <c r="M442" s="1059"/>
      <c r="N442" s="1059"/>
      <c r="T442" s="1011"/>
      <c r="U442" s="1133"/>
      <c r="V442" s="1012"/>
      <c r="AA442" s="1039" t="str">
        <f>VLOOKUP(L442,'25-BRA-I-090'!$I:$EZ,2,0)</f>
        <v>Đệm</v>
      </c>
      <c r="AB442" s="1039" t="str">
        <f>VLOOKUP(L442,'25-BRA-I-090'!$I:$EZ,3,0)</f>
        <v>Washer-M16-DIN434-St-Galv</v>
      </c>
      <c r="AC442" s="1039" t="str">
        <f>VLOOKUP(L442,'25-BRA-I-090'!$I:$EZ,5,0)</f>
        <v>Pcs</v>
      </c>
      <c r="AD442" s="1039">
        <f>SUMIFS('25-BRA-I-090'!$CS:$CS,'25-BRA-I-090'!$I:$I,L442)</f>
        <v>192</v>
      </c>
      <c r="AE442" s="1039">
        <f>SUMIFS('25-BRA-I-090'!$CT:$CT,'25-BRA-I-090'!$I:$I,L442)</f>
        <v>0</v>
      </c>
      <c r="AF442" s="1039">
        <f>SUMIFS('25-BRA-I-090'!$CW:$CW,'25-BRA-I-090'!$I:$I,L442)</f>
        <v>192</v>
      </c>
      <c r="AG442" s="1039">
        <f>SUMIFS('25-BRA-I-090'!$CX:$CX,'25-BRA-I-090'!$I:$I,L442)</f>
        <v>0</v>
      </c>
      <c r="AH442" s="1040">
        <f>SUMIFS('25-BRA-I-090'!$DJ:$DJ,'25-BRA-I-090'!$I:$I,L442)+SUMIFS('25-BRA-I-090'!$EC:$EC,'25-BRA-I-090'!$I:$I,L442)</f>
        <v>0</v>
      </c>
      <c r="AI442" s="1040">
        <f>SUMIFS('25-BRA-I-090'!$DK:$DK,'25-BRA-I-090'!$I:$I,L442)+SUMIFS('25-BRA-I-090'!$ED:$ED,'25-BRA-I-090'!$I:$I,L442)</f>
        <v>0</v>
      </c>
      <c r="AJ442" s="1040">
        <f>SUMIFS('25-BRA-I-090'!$DO:$DO,'25-BRA-I-090'!$I:$I,L442)+26400*SUMIFS('25-BRA-I-090'!$EF:$EF,'25-BRA-I-090'!$I:$I,L442)</f>
        <v>0</v>
      </c>
      <c r="AL442" s="1092"/>
      <c r="AM442" s="1039"/>
    </row>
    <row r="443" spans="1:39" s="1010" customFormat="1" ht="45">
      <c r="A443" s="1106"/>
      <c r="B443" s="1057" t="str">
        <f t="shared" si="74"/>
        <v>Washer-M16-ISO7089-St-200HV-Galv</v>
      </c>
      <c r="C443" s="1058">
        <f>VLOOKUP(L443,'25-BRA-I-090'!$I:$EZ,4,0)</f>
        <v>0</v>
      </c>
      <c r="D443" s="374" t="str">
        <f t="shared" si="75"/>
        <v>Pcs</v>
      </c>
      <c r="E443" s="183"/>
      <c r="F443" s="184">
        <f t="shared" si="76"/>
        <v>704</v>
      </c>
      <c r="G443" s="185">
        <f t="shared" si="76"/>
        <v>0</v>
      </c>
      <c r="H443" s="185">
        <f t="shared" si="76"/>
        <v>576</v>
      </c>
      <c r="I443" s="185">
        <f t="shared" si="77"/>
        <v>128</v>
      </c>
      <c r="J443" s="185">
        <f t="shared" si="78"/>
        <v>710</v>
      </c>
      <c r="K443" s="185">
        <f t="shared" si="79"/>
        <v>90880</v>
      </c>
      <c r="L443" s="1190" t="s">
        <v>1131</v>
      </c>
      <c r="M443" s="1059"/>
      <c r="N443" s="1059"/>
      <c r="T443" s="1011"/>
      <c r="U443" s="1133"/>
      <c r="V443" s="1012"/>
      <c r="AA443" s="1039" t="str">
        <f>VLOOKUP(L443,'25-BRA-I-090'!$I:$EZ,2,0)</f>
        <v>Đệm</v>
      </c>
      <c r="AB443" s="1039" t="str">
        <f>VLOOKUP(L443,'25-BRA-I-090'!$I:$EZ,3,0)</f>
        <v>Washer-M16-ISO7089-St-200HV-Galv</v>
      </c>
      <c r="AC443" s="1039" t="str">
        <f>VLOOKUP(L443,'25-BRA-I-090'!$I:$EZ,5,0)</f>
        <v>Pcs</v>
      </c>
      <c r="AD443" s="1039">
        <f>SUMIFS('25-BRA-I-090'!$CS:$CS,'25-BRA-I-090'!$I:$I,L443)</f>
        <v>704</v>
      </c>
      <c r="AE443" s="1039">
        <f>SUMIFS('25-BRA-I-090'!$CT:$CT,'25-BRA-I-090'!$I:$I,L443)</f>
        <v>0</v>
      </c>
      <c r="AF443" s="1039">
        <f>SUMIFS('25-BRA-I-090'!$CW:$CW,'25-BRA-I-090'!$I:$I,L443)</f>
        <v>576</v>
      </c>
      <c r="AG443" s="1039">
        <f>SUMIFS('25-BRA-I-090'!$CX:$CX,'25-BRA-I-090'!$I:$I,L443)</f>
        <v>0</v>
      </c>
      <c r="AH443" s="1040">
        <f>SUMIFS('25-BRA-I-090'!$DJ:$DJ,'25-BRA-I-090'!$I:$I,L443)+SUMIFS('25-BRA-I-090'!$EC:$EC,'25-BRA-I-090'!$I:$I,L443)</f>
        <v>128</v>
      </c>
      <c r="AI443" s="1040">
        <f>SUMIFS('25-BRA-I-090'!$DK:$DK,'25-BRA-I-090'!$I:$I,L443)+SUMIFS('25-BRA-I-090'!$ED:$ED,'25-BRA-I-090'!$I:$I,L443)</f>
        <v>0</v>
      </c>
      <c r="AJ443" s="1040">
        <f>SUMIFS('25-BRA-I-090'!$DO:$DO,'25-BRA-I-090'!$I:$I,L443)+26400*SUMIFS('25-BRA-I-090'!$EF:$EF,'25-BRA-I-090'!$I:$I,L443)</f>
        <v>90880</v>
      </c>
      <c r="AL443" s="1092"/>
      <c r="AM443" s="1039"/>
    </row>
    <row r="444" spans="1:39" s="1010" customFormat="1" ht="45">
      <c r="A444" s="1106"/>
      <c r="B444" s="1057" t="str">
        <f t="shared" si="74"/>
        <v>Washer-M16-ISO7089-St-200HV-tZn</v>
      </c>
      <c r="C444" s="1058">
        <f>VLOOKUP(L444,'25-BRA-I-090'!$I:$EZ,4,0)</f>
        <v>0</v>
      </c>
      <c r="D444" s="374" t="str">
        <f t="shared" si="75"/>
        <v>Pcs</v>
      </c>
      <c r="E444" s="183"/>
      <c r="F444" s="184">
        <f t="shared" si="76"/>
        <v>1128</v>
      </c>
      <c r="G444" s="185">
        <f t="shared" si="76"/>
        <v>0</v>
      </c>
      <c r="H444" s="185">
        <f t="shared" si="76"/>
        <v>1128</v>
      </c>
      <c r="I444" s="185">
        <f t="shared" si="77"/>
        <v>0</v>
      </c>
      <c r="J444" s="185" t="e">
        <f t="shared" si="78"/>
        <v>#DIV/0!</v>
      </c>
      <c r="K444" s="185">
        <f t="shared" si="79"/>
        <v>0</v>
      </c>
      <c r="L444" s="1190" t="s">
        <v>1133</v>
      </c>
      <c r="M444" s="1059"/>
      <c r="N444" s="1059"/>
      <c r="T444" s="1011"/>
      <c r="U444" s="1133"/>
      <c r="V444" s="1012"/>
      <c r="AA444" s="1039" t="str">
        <f>VLOOKUP(L444,'25-BRA-I-090'!$I:$EZ,2,0)</f>
        <v>Đệm</v>
      </c>
      <c r="AB444" s="1039" t="str">
        <f>VLOOKUP(L444,'25-BRA-I-090'!$I:$EZ,3,0)</f>
        <v>Washer-M16-ISO7089-St-200HV-tZn</v>
      </c>
      <c r="AC444" s="1039" t="str">
        <f>VLOOKUP(L444,'25-BRA-I-090'!$I:$EZ,5,0)</f>
        <v>Pcs</v>
      </c>
      <c r="AD444" s="1039">
        <f>SUMIFS('25-BRA-I-090'!$CS:$CS,'25-BRA-I-090'!$I:$I,L444)</f>
        <v>1128</v>
      </c>
      <c r="AE444" s="1039">
        <f>SUMIFS('25-BRA-I-090'!$CT:$CT,'25-BRA-I-090'!$I:$I,L444)</f>
        <v>0</v>
      </c>
      <c r="AF444" s="1039">
        <f>SUMIFS('25-BRA-I-090'!$CW:$CW,'25-BRA-I-090'!$I:$I,L444)</f>
        <v>1128</v>
      </c>
      <c r="AG444" s="1039">
        <f>SUMIFS('25-BRA-I-090'!$CX:$CX,'25-BRA-I-090'!$I:$I,L444)</f>
        <v>0</v>
      </c>
      <c r="AH444" s="1040">
        <f>SUMIFS('25-BRA-I-090'!$DJ:$DJ,'25-BRA-I-090'!$I:$I,L444)+SUMIFS('25-BRA-I-090'!$EC:$EC,'25-BRA-I-090'!$I:$I,L444)</f>
        <v>0</v>
      </c>
      <c r="AI444" s="1040">
        <f>SUMIFS('25-BRA-I-090'!$DK:$DK,'25-BRA-I-090'!$I:$I,L444)+SUMIFS('25-BRA-I-090'!$ED:$ED,'25-BRA-I-090'!$I:$I,L444)</f>
        <v>0</v>
      </c>
      <c r="AJ444" s="1040">
        <f>SUMIFS('25-BRA-I-090'!$DO:$DO,'25-BRA-I-090'!$I:$I,L444)+26400*SUMIFS('25-BRA-I-090'!$EF:$EF,'25-BRA-I-090'!$I:$I,L444)</f>
        <v>0</v>
      </c>
      <c r="AL444" s="1092"/>
      <c r="AM444" s="1039"/>
    </row>
    <row r="445" spans="1:39" s="1010" customFormat="1" ht="45">
      <c r="A445" s="1106"/>
      <c r="B445" s="1057" t="str">
        <f t="shared" si="74"/>
        <v>Washer-M16-ISO7093A-St-200HV-tZn</v>
      </c>
      <c r="C445" s="1058">
        <f>VLOOKUP(L445,'25-BRA-I-090'!$I:$EZ,4,0)</f>
        <v>0</v>
      </c>
      <c r="D445" s="374" t="str">
        <f t="shared" si="75"/>
        <v>Pcs</v>
      </c>
      <c r="E445" s="183"/>
      <c r="F445" s="184">
        <f t="shared" si="76"/>
        <v>96</v>
      </c>
      <c r="G445" s="185">
        <f t="shared" si="76"/>
        <v>0</v>
      </c>
      <c r="H445" s="185">
        <f t="shared" si="76"/>
        <v>32</v>
      </c>
      <c r="I445" s="185">
        <f t="shared" si="77"/>
        <v>64</v>
      </c>
      <c r="J445" s="185">
        <f t="shared" si="78"/>
        <v>10020</v>
      </c>
      <c r="K445" s="185">
        <f t="shared" si="79"/>
        <v>641280</v>
      </c>
      <c r="L445" s="1190" t="s">
        <v>1135</v>
      </c>
      <c r="M445" s="1059"/>
      <c r="N445" s="1059"/>
      <c r="T445" s="1011"/>
      <c r="U445" s="1133"/>
      <c r="V445" s="1012"/>
      <c r="AA445" s="1039" t="str">
        <f>VLOOKUP(L445,'25-BRA-I-090'!$I:$EZ,2,0)</f>
        <v>Đệm</v>
      </c>
      <c r="AB445" s="1039" t="str">
        <f>VLOOKUP(L445,'25-BRA-I-090'!$I:$EZ,3,0)</f>
        <v>Washer-M16-ISO7093A-St-200HV-tZn</v>
      </c>
      <c r="AC445" s="1039" t="str">
        <f>VLOOKUP(L445,'25-BRA-I-090'!$I:$EZ,5,0)</f>
        <v>Pcs</v>
      </c>
      <c r="AD445" s="1039">
        <f>SUMIFS('25-BRA-I-090'!$CS:$CS,'25-BRA-I-090'!$I:$I,L445)</f>
        <v>96</v>
      </c>
      <c r="AE445" s="1039">
        <f>SUMIFS('25-BRA-I-090'!$CT:$CT,'25-BRA-I-090'!$I:$I,L445)</f>
        <v>0</v>
      </c>
      <c r="AF445" s="1039">
        <f>SUMIFS('25-BRA-I-090'!$CW:$CW,'25-BRA-I-090'!$I:$I,L445)</f>
        <v>32</v>
      </c>
      <c r="AG445" s="1039">
        <f>SUMIFS('25-BRA-I-090'!$CX:$CX,'25-BRA-I-090'!$I:$I,L445)</f>
        <v>0</v>
      </c>
      <c r="AH445" s="1040">
        <f>SUMIFS('25-BRA-I-090'!$DJ:$DJ,'25-BRA-I-090'!$I:$I,L445)+SUMIFS('25-BRA-I-090'!$EC:$EC,'25-BRA-I-090'!$I:$I,L445)</f>
        <v>64</v>
      </c>
      <c r="AI445" s="1040">
        <f>SUMIFS('25-BRA-I-090'!$DK:$DK,'25-BRA-I-090'!$I:$I,L445)+SUMIFS('25-BRA-I-090'!$ED:$ED,'25-BRA-I-090'!$I:$I,L445)</f>
        <v>0</v>
      </c>
      <c r="AJ445" s="1040">
        <f>SUMIFS('25-BRA-I-090'!$DO:$DO,'25-BRA-I-090'!$I:$I,L445)+26400*SUMIFS('25-BRA-I-090'!$EF:$EF,'25-BRA-I-090'!$I:$I,L445)</f>
        <v>641280</v>
      </c>
      <c r="AL445" s="1092"/>
      <c r="AM445" s="1039"/>
    </row>
    <row r="446" spans="1:39" s="1010" customFormat="1" ht="45">
      <c r="A446" s="1106"/>
      <c r="B446" s="1057" t="str">
        <f t="shared" si="74"/>
        <v>Washer-M20-ISO7089-St-200HV-Galv</v>
      </c>
      <c r="C446" s="1058">
        <f>VLOOKUP(L446,'25-BRA-I-090'!$I:$EZ,4,0)</f>
        <v>0</v>
      </c>
      <c r="D446" s="374" t="str">
        <f t="shared" si="75"/>
        <v>Pcs</v>
      </c>
      <c r="E446" s="183"/>
      <c r="F446" s="184">
        <f t="shared" si="76"/>
        <v>1760</v>
      </c>
      <c r="G446" s="185">
        <f t="shared" si="76"/>
        <v>0</v>
      </c>
      <c r="H446" s="185">
        <f t="shared" si="76"/>
        <v>734</v>
      </c>
      <c r="I446" s="185">
        <f t="shared" si="77"/>
        <v>1026</v>
      </c>
      <c r="J446" s="185">
        <f t="shared" si="78"/>
        <v>2060</v>
      </c>
      <c r="K446" s="185">
        <f t="shared" si="79"/>
        <v>2113560</v>
      </c>
      <c r="L446" s="1190" t="s">
        <v>1137</v>
      </c>
      <c r="M446" s="1059"/>
      <c r="N446" s="1059"/>
      <c r="T446" s="1011"/>
      <c r="U446" s="1133"/>
      <c r="V446" s="1012"/>
      <c r="AA446" s="1039" t="str">
        <f>VLOOKUP(L446,'25-BRA-I-090'!$I:$EZ,2,0)</f>
        <v>Đệm</v>
      </c>
      <c r="AB446" s="1039" t="str">
        <f>VLOOKUP(L446,'25-BRA-I-090'!$I:$EZ,3,0)</f>
        <v>Washer-M20-ISO7089-St-200HV-Galv</v>
      </c>
      <c r="AC446" s="1039" t="str">
        <f>VLOOKUP(L446,'25-BRA-I-090'!$I:$EZ,5,0)</f>
        <v>Pcs</v>
      </c>
      <c r="AD446" s="1039">
        <f>SUMIFS('25-BRA-I-090'!$CS:$CS,'25-BRA-I-090'!$I:$I,L446)</f>
        <v>1760</v>
      </c>
      <c r="AE446" s="1039">
        <f>SUMIFS('25-BRA-I-090'!$CT:$CT,'25-BRA-I-090'!$I:$I,L446)</f>
        <v>0</v>
      </c>
      <c r="AF446" s="1039">
        <f>SUMIFS('25-BRA-I-090'!$CW:$CW,'25-BRA-I-090'!$I:$I,L446)</f>
        <v>734</v>
      </c>
      <c r="AG446" s="1039">
        <f>SUMIFS('25-BRA-I-090'!$CX:$CX,'25-BRA-I-090'!$I:$I,L446)</f>
        <v>0</v>
      </c>
      <c r="AH446" s="1040">
        <f>SUMIFS('25-BRA-I-090'!$DJ:$DJ,'25-BRA-I-090'!$I:$I,L446)+SUMIFS('25-BRA-I-090'!$EC:$EC,'25-BRA-I-090'!$I:$I,L446)</f>
        <v>1026</v>
      </c>
      <c r="AI446" s="1040">
        <f>SUMIFS('25-BRA-I-090'!$DK:$DK,'25-BRA-I-090'!$I:$I,L446)+SUMIFS('25-BRA-I-090'!$ED:$ED,'25-BRA-I-090'!$I:$I,L446)</f>
        <v>0</v>
      </c>
      <c r="AJ446" s="1040">
        <f>SUMIFS('25-BRA-I-090'!$DO:$DO,'25-BRA-I-090'!$I:$I,L446)+26400*SUMIFS('25-BRA-I-090'!$EF:$EF,'25-BRA-I-090'!$I:$I,L446)</f>
        <v>2113560</v>
      </c>
      <c r="AL446" s="1092"/>
      <c r="AM446" s="1039"/>
    </row>
    <row r="447" spans="1:39" s="1010" customFormat="1" ht="45">
      <c r="A447" s="1106"/>
      <c r="B447" s="1057" t="str">
        <f t="shared" si="74"/>
        <v>Washer-M20-ISO7089-St-200HV-tZn</v>
      </c>
      <c r="C447" s="1058">
        <f>VLOOKUP(L447,'25-BRA-I-090'!$I:$EZ,4,0)</f>
        <v>0</v>
      </c>
      <c r="D447" s="374" t="str">
        <f t="shared" si="75"/>
        <v>Pcs</v>
      </c>
      <c r="E447" s="183"/>
      <c r="F447" s="184">
        <f t="shared" si="76"/>
        <v>1580</v>
      </c>
      <c r="G447" s="185">
        <f t="shared" si="76"/>
        <v>0</v>
      </c>
      <c r="H447" s="185">
        <f t="shared" si="76"/>
        <v>0</v>
      </c>
      <c r="I447" s="185">
        <f t="shared" si="77"/>
        <v>1580</v>
      </c>
      <c r="J447" s="185">
        <f t="shared" si="78"/>
        <v>2060</v>
      </c>
      <c r="K447" s="185">
        <f t="shared" si="79"/>
        <v>3254800</v>
      </c>
      <c r="L447" s="1190" t="s">
        <v>1139</v>
      </c>
      <c r="M447" s="1059"/>
      <c r="N447" s="1059"/>
      <c r="T447" s="1011"/>
      <c r="U447" s="1133"/>
      <c r="V447" s="1012"/>
      <c r="AA447" s="1039" t="str">
        <f>VLOOKUP(L447,'25-BRA-I-090'!$I:$EZ,2,0)</f>
        <v>Đệm</v>
      </c>
      <c r="AB447" s="1039" t="str">
        <f>VLOOKUP(L447,'25-BRA-I-090'!$I:$EZ,3,0)</f>
        <v>Washer-M20-ISO7089-St-200HV-tZn</v>
      </c>
      <c r="AC447" s="1039" t="str">
        <f>VLOOKUP(L447,'25-BRA-I-090'!$I:$EZ,5,0)</f>
        <v>Pcs</v>
      </c>
      <c r="AD447" s="1039">
        <f>SUMIFS('25-BRA-I-090'!$CS:$CS,'25-BRA-I-090'!$I:$I,L447)</f>
        <v>1580</v>
      </c>
      <c r="AE447" s="1039">
        <f>SUMIFS('25-BRA-I-090'!$CT:$CT,'25-BRA-I-090'!$I:$I,L447)</f>
        <v>0</v>
      </c>
      <c r="AF447" s="1039">
        <f>SUMIFS('25-BRA-I-090'!$CW:$CW,'25-BRA-I-090'!$I:$I,L447)</f>
        <v>0</v>
      </c>
      <c r="AG447" s="1039">
        <f>SUMIFS('25-BRA-I-090'!$CX:$CX,'25-BRA-I-090'!$I:$I,L447)</f>
        <v>0</v>
      </c>
      <c r="AH447" s="1040">
        <f>SUMIFS('25-BRA-I-090'!$DJ:$DJ,'25-BRA-I-090'!$I:$I,L447)+SUMIFS('25-BRA-I-090'!$EC:$EC,'25-BRA-I-090'!$I:$I,L447)</f>
        <v>1580</v>
      </c>
      <c r="AI447" s="1040">
        <f>SUMIFS('25-BRA-I-090'!$DK:$DK,'25-BRA-I-090'!$I:$I,L447)+SUMIFS('25-BRA-I-090'!$ED:$ED,'25-BRA-I-090'!$I:$I,L447)</f>
        <v>0</v>
      </c>
      <c r="AJ447" s="1040">
        <f>SUMIFS('25-BRA-I-090'!$DO:$DO,'25-BRA-I-090'!$I:$I,L447)+26400*SUMIFS('25-BRA-I-090'!$EF:$EF,'25-BRA-I-090'!$I:$I,L447)</f>
        <v>3254800</v>
      </c>
      <c r="AL447" s="1092"/>
      <c r="AM447" s="1039"/>
    </row>
    <row r="448" spans="1:39" s="1010" customFormat="1" ht="30">
      <c r="A448" s="1106"/>
      <c r="B448" s="1057" t="str">
        <f t="shared" si="74"/>
        <v>Washer-M20-ISO7089-St-Galv</v>
      </c>
      <c r="C448" s="1058">
        <f>VLOOKUP(L448,'25-BRA-I-090'!$I:$EZ,4,0)</f>
        <v>0</v>
      </c>
      <c r="D448" s="374" t="str">
        <f t="shared" si="75"/>
        <v>Pcs</v>
      </c>
      <c r="E448" s="183"/>
      <c r="F448" s="184">
        <f t="shared" si="76"/>
        <v>32</v>
      </c>
      <c r="G448" s="185">
        <f t="shared" si="76"/>
        <v>0</v>
      </c>
      <c r="H448" s="185">
        <f t="shared" si="76"/>
        <v>0</v>
      </c>
      <c r="I448" s="185">
        <f t="shared" si="77"/>
        <v>32</v>
      </c>
      <c r="J448" s="185">
        <f t="shared" si="78"/>
        <v>2060</v>
      </c>
      <c r="K448" s="185">
        <f t="shared" si="79"/>
        <v>65920</v>
      </c>
      <c r="L448" s="1190" t="s">
        <v>1141</v>
      </c>
      <c r="M448" s="1059"/>
      <c r="N448" s="1059"/>
      <c r="T448" s="1011"/>
      <c r="U448" s="1133"/>
      <c r="V448" s="1012"/>
      <c r="AA448" s="1039" t="str">
        <f>VLOOKUP(L448,'25-BRA-I-090'!$I:$EZ,2,0)</f>
        <v>Đệm</v>
      </c>
      <c r="AB448" s="1039" t="str">
        <f>VLOOKUP(L448,'25-BRA-I-090'!$I:$EZ,3,0)</f>
        <v>Washer-M20-ISO7089-St-Galv</v>
      </c>
      <c r="AC448" s="1039" t="str">
        <f>VLOOKUP(L448,'25-BRA-I-090'!$I:$EZ,5,0)</f>
        <v>Pcs</v>
      </c>
      <c r="AD448" s="1039">
        <f>SUMIFS('25-BRA-I-090'!$CS:$CS,'25-BRA-I-090'!$I:$I,L448)</f>
        <v>32</v>
      </c>
      <c r="AE448" s="1039">
        <f>SUMIFS('25-BRA-I-090'!$CT:$CT,'25-BRA-I-090'!$I:$I,L448)</f>
        <v>0</v>
      </c>
      <c r="AF448" s="1039">
        <f>SUMIFS('25-BRA-I-090'!$CW:$CW,'25-BRA-I-090'!$I:$I,L448)</f>
        <v>0</v>
      </c>
      <c r="AG448" s="1039">
        <f>SUMIFS('25-BRA-I-090'!$CX:$CX,'25-BRA-I-090'!$I:$I,L448)</f>
        <v>0</v>
      </c>
      <c r="AH448" s="1040">
        <f>SUMIFS('25-BRA-I-090'!$DJ:$DJ,'25-BRA-I-090'!$I:$I,L448)+SUMIFS('25-BRA-I-090'!$EC:$EC,'25-BRA-I-090'!$I:$I,L448)</f>
        <v>32</v>
      </c>
      <c r="AI448" s="1040">
        <f>SUMIFS('25-BRA-I-090'!$DK:$DK,'25-BRA-I-090'!$I:$I,L448)+SUMIFS('25-BRA-I-090'!$ED:$ED,'25-BRA-I-090'!$I:$I,L448)</f>
        <v>0</v>
      </c>
      <c r="AJ448" s="1040">
        <f>SUMIFS('25-BRA-I-090'!$DO:$DO,'25-BRA-I-090'!$I:$I,L448)+26400*SUMIFS('25-BRA-I-090'!$EF:$EF,'25-BRA-I-090'!$I:$I,L448)</f>
        <v>65920</v>
      </c>
      <c r="AL448" s="1092"/>
      <c r="AM448" s="1039"/>
    </row>
    <row r="449" spans="1:39" s="1010" customFormat="1" ht="30">
      <c r="A449" s="1106"/>
      <c r="B449" s="1057" t="str">
        <f t="shared" si="74"/>
        <v>Washer-M24-DIN434-St-Galv</v>
      </c>
      <c r="C449" s="1058">
        <f>VLOOKUP(L449,'25-BRA-I-090'!$I:$EZ,4,0)</f>
        <v>0</v>
      </c>
      <c r="D449" s="374" t="str">
        <f t="shared" si="75"/>
        <v>Pcs</v>
      </c>
      <c r="E449" s="183"/>
      <c r="F449" s="184">
        <f t="shared" si="76"/>
        <v>4</v>
      </c>
      <c r="G449" s="185">
        <f t="shared" si="76"/>
        <v>0</v>
      </c>
      <c r="H449" s="185">
        <f t="shared" si="76"/>
        <v>0</v>
      </c>
      <c r="I449" s="185">
        <f t="shared" si="77"/>
        <v>4</v>
      </c>
      <c r="J449" s="185">
        <f t="shared" si="78"/>
        <v>15360</v>
      </c>
      <c r="K449" s="185">
        <f t="shared" si="79"/>
        <v>61440</v>
      </c>
      <c r="L449" s="1190" t="s">
        <v>1142</v>
      </c>
      <c r="M449" s="1059"/>
      <c r="N449" s="1059"/>
      <c r="T449" s="1011"/>
      <c r="U449" s="1133"/>
      <c r="V449" s="1012"/>
      <c r="AA449" s="1039" t="str">
        <f>VLOOKUP(L449,'25-BRA-I-090'!$I:$EZ,2,0)</f>
        <v>Đệm</v>
      </c>
      <c r="AB449" s="1039" t="str">
        <f>VLOOKUP(L449,'25-BRA-I-090'!$I:$EZ,3,0)</f>
        <v>Washer-M24-DIN434-St-Galv</v>
      </c>
      <c r="AC449" s="1039" t="str">
        <f>VLOOKUP(L449,'25-BRA-I-090'!$I:$EZ,5,0)</f>
        <v>Pcs</v>
      </c>
      <c r="AD449" s="1039">
        <f>SUMIFS('25-BRA-I-090'!$CS:$CS,'25-BRA-I-090'!$I:$I,L449)</f>
        <v>4</v>
      </c>
      <c r="AE449" s="1039">
        <f>SUMIFS('25-BRA-I-090'!$CT:$CT,'25-BRA-I-090'!$I:$I,L449)</f>
        <v>0</v>
      </c>
      <c r="AF449" s="1039">
        <f>SUMIFS('25-BRA-I-090'!$CW:$CW,'25-BRA-I-090'!$I:$I,L449)</f>
        <v>0</v>
      </c>
      <c r="AG449" s="1039">
        <f>SUMIFS('25-BRA-I-090'!$CX:$CX,'25-BRA-I-090'!$I:$I,L449)</f>
        <v>0</v>
      </c>
      <c r="AH449" s="1040">
        <f>SUMIFS('25-BRA-I-090'!$DJ:$DJ,'25-BRA-I-090'!$I:$I,L449)+SUMIFS('25-BRA-I-090'!$EC:$EC,'25-BRA-I-090'!$I:$I,L449)</f>
        <v>4</v>
      </c>
      <c r="AI449" s="1040">
        <f>SUMIFS('25-BRA-I-090'!$DK:$DK,'25-BRA-I-090'!$I:$I,L449)+SUMIFS('25-BRA-I-090'!$ED:$ED,'25-BRA-I-090'!$I:$I,L449)</f>
        <v>0</v>
      </c>
      <c r="AJ449" s="1040">
        <f>SUMIFS('25-BRA-I-090'!$DO:$DO,'25-BRA-I-090'!$I:$I,L449)+26400*SUMIFS('25-BRA-I-090'!$EF:$EF,'25-BRA-I-090'!$I:$I,L449)</f>
        <v>61440</v>
      </c>
      <c r="AL449" s="1092"/>
      <c r="AM449" s="1039"/>
    </row>
    <row r="450" spans="1:39" s="1010" customFormat="1" ht="45">
      <c r="A450" s="1106"/>
      <c r="B450" s="1057" t="str">
        <f t="shared" si="74"/>
        <v>Washer-M24-ISO7089-St-200HV-Galv</v>
      </c>
      <c r="C450" s="1058">
        <f>VLOOKUP(L450,'25-BRA-I-090'!$I:$EZ,4,0)</f>
        <v>0</v>
      </c>
      <c r="D450" s="374" t="str">
        <f t="shared" si="75"/>
        <v>Pcs</v>
      </c>
      <c r="E450" s="183"/>
      <c r="F450" s="184">
        <f t="shared" si="76"/>
        <v>624</v>
      </c>
      <c r="G450" s="185">
        <f t="shared" si="76"/>
        <v>0</v>
      </c>
      <c r="H450" s="185">
        <f t="shared" si="76"/>
        <v>115</v>
      </c>
      <c r="I450" s="185">
        <f t="shared" si="77"/>
        <v>509</v>
      </c>
      <c r="J450" s="185">
        <f t="shared" si="78"/>
        <v>3622.5540275049116</v>
      </c>
      <c r="K450" s="185">
        <f t="shared" si="79"/>
        <v>1843880</v>
      </c>
      <c r="L450" s="1190" t="s">
        <v>1144</v>
      </c>
      <c r="M450" s="1059"/>
      <c r="N450" s="1059"/>
      <c r="T450" s="1011"/>
      <c r="U450" s="1133"/>
      <c r="V450" s="1012"/>
      <c r="AA450" s="1039" t="str">
        <f>VLOOKUP(L450,'25-BRA-I-090'!$I:$EZ,2,0)</f>
        <v>Đệm</v>
      </c>
      <c r="AB450" s="1039" t="str">
        <f>VLOOKUP(L450,'25-BRA-I-090'!$I:$EZ,3,0)</f>
        <v>Washer-M24-ISO7089-St-200HV-Galv</v>
      </c>
      <c r="AC450" s="1039" t="str">
        <f>VLOOKUP(L450,'25-BRA-I-090'!$I:$EZ,5,0)</f>
        <v>Pcs</v>
      </c>
      <c r="AD450" s="1039">
        <f>SUMIFS('25-BRA-I-090'!$CS:$CS,'25-BRA-I-090'!$I:$I,L450)</f>
        <v>624</v>
      </c>
      <c r="AE450" s="1039">
        <f>SUMIFS('25-BRA-I-090'!$CT:$CT,'25-BRA-I-090'!$I:$I,L450)</f>
        <v>0</v>
      </c>
      <c r="AF450" s="1039">
        <f>SUMIFS('25-BRA-I-090'!$CW:$CW,'25-BRA-I-090'!$I:$I,L450)</f>
        <v>115</v>
      </c>
      <c r="AG450" s="1039">
        <f>SUMIFS('25-BRA-I-090'!$CX:$CX,'25-BRA-I-090'!$I:$I,L450)</f>
        <v>0</v>
      </c>
      <c r="AH450" s="1040">
        <f>SUMIFS('25-BRA-I-090'!$DJ:$DJ,'25-BRA-I-090'!$I:$I,L450)+SUMIFS('25-BRA-I-090'!$EC:$EC,'25-BRA-I-090'!$I:$I,L450)</f>
        <v>509</v>
      </c>
      <c r="AI450" s="1040">
        <f>SUMIFS('25-BRA-I-090'!$DK:$DK,'25-BRA-I-090'!$I:$I,L450)+SUMIFS('25-BRA-I-090'!$ED:$ED,'25-BRA-I-090'!$I:$I,L450)</f>
        <v>0</v>
      </c>
      <c r="AJ450" s="1040">
        <f>SUMIFS('25-BRA-I-090'!$DO:$DO,'25-BRA-I-090'!$I:$I,L450)+26400*SUMIFS('25-BRA-I-090'!$EF:$EF,'25-BRA-I-090'!$I:$I,L450)</f>
        <v>1843880</v>
      </c>
      <c r="AL450" s="1092"/>
      <c r="AM450" s="1039"/>
    </row>
    <row r="451" spans="1:39" s="1010" customFormat="1" ht="45">
      <c r="A451" s="1106"/>
      <c r="B451" s="1057" t="str">
        <f t="shared" si="74"/>
        <v>Washer-M24-ISO7089-St-200HV-tZn</v>
      </c>
      <c r="C451" s="1058">
        <f>VLOOKUP(L451,'25-BRA-I-090'!$I:$EZ,4,0)</f>
        <v>0</v>
      </c>
      <c r="D451" s="374" t="str">
        <f t="shared" si="75"/>
        <v>Pcs</v>
      </c>
      <c r="E451" s="183"/>
      <c r="F451" s="184">
        <f t="shared" si="76"/>
        <v>1328</v>
      </c>
      <c r="G451" s="185">
        <f t="shared" si="76"/>
        <v>0</v>
      </c>
      <c r="H451" s="185">
        <f t="shared" si="76"/>
        <v>900</v>
      </c>
      <c r="I451" s="185">
        <f t="shared" si="77"/>
        <v>428</v>
      </c>
      <c r="J451" s="185">
        <f t="shared" si="78"/>
        <v>3880</v>
      </c>
      <c r="K451" s="185">
        <f t="shared" si="79"/>
        <v>1660640</v>
      </c>
      <c r="L451" s="1190" t="s">
        <v>1146</v>
      </c>
      <c r="M451" s="1059"/>
      <c r="N451" s="1059"/>
      <c r="T451" s="1011"/>
      <c r="U451" s="1133"/>
      <c r="V451" s="1012"/>
      <c r="AA451" s="1039" t="str">
        <f>VLOOKUP(L451,'25-BRA-I-090'!$I:$EZ,2,0)</f>
        <v>Đệm</v>
      </c>
      <c r="AB451" s="1039" t="str">
        <f>VLOOKUP(L451,'25-BRA-I-090'!$I:$EZ,3,0)</f>
        <v>Washer-M24-ISO7089-St-200HV-tZn</v>
      </c>
      <c r="AC451" s="1039" t="str">
        <f>VLOOKUP(L451,'25-BRA-I-090'!$I:$EZ,5,0)</f>
        <v>Pcs</v>
      </c>
      <c r="AD451" s="1039">
        <f>SUMIFS('25-BRA-I-090'!$CS:$CS,'25-BRA-I-090'!$I:$I,L451)</f>
        <v>1328</v>
      </c>
      <c r="AE451" s="1039">
        <f>SUMIFS('25-BRA-I-090'!$CT:$CT,'25-BRA-I-090'!$I:$I,L451)</f>
        <v>0</v>
      </c>
      <c r="AF451" s="1039">
        <f>SUMIFS('25-BRA-I-090'!$CW:$CW,'25-BRA-I-090'!$I:$I,L451)</f>
        <v>900</v>
      </c>
      <c r="AG451" s="1039">
        <f>SUMIFS('25-BRA-I-090'!$CX:$CX,'25-BRA-I-090'!$I:$I,L451)</f>
        <v>0</v>
      </c>
      <c r="AH451" s="1040">
        <f>SUMIFS('25-BRA-I-090'!$DJ:$DJ,'25-BRA-I-090'!$I:$I,L451)+SUMIFS('25-BRA-I-090'!$EC:$EC,'25-BRA-I-090'!$I:$I,L451)</f>
        <v>428</v>
      </c>
      <c r="AI451" s="1040">
        <f>SUMIFS('25-BRA-I-090'!$DK:$DK,'25-BRA-I-090'!$I:$I,L451)+SUMIFS('25-BRA-I-090'!$ED:$ED,'25-BRA-I-090'!$I:$I,L451)</f>
        <v>0</v>
      </c>
      <c r="AJ451" s="1040">
        <f>SUMIFS('25-BRA-I-090'!$DO:$DO,'25-BRA-I-090'!$I:$I,L451)+26400*SUMIFS('25-BRA-I-090'!$EF:$EF,'25-BRA-I-090'!$I:$I,L451)</f>
        <v>1660640</v>
      </c>
      <c r="AL451" s="1092"/>
      <c r="AM451" s="1039"/>
    </row>
    <row r="452" spans="1:39" s="1010" customFormat="1" ht="45">
      <c r="A452" s="1106"/>
      <c r="B452" s="1057" t="str">
        <f t="shared" si="74"/>
        <v>Washer-M30-ISO7089-St-200HV-tZn</v>
      </c>
      <c r="C452" s="1058">
        <f>VLOOKUP(L452,'25-BRA-I-090'!$I:$EZ,4,0)</f>
        <v>0</v>
      </c>
      <c r="D452" s="374" t="str">
        <f t="shared" si="75"/>
        <v>Pcs</v>
      </c>
      <c r="E452" s="183"/>
      <c r="F452" s="184">
        <f t="shared" si="76"/>
        <v>704</v>
      </c>
      <c r="G452" s="185">
        <f t="shared" si="76"/>
        <v>0</v>
      </c>
      <c r="H452" s="185">
        <f t="shared" si="76"/>
        <v>0</v>
      </c>
      <c r="I452" s="185">
        <f t="shared" si="77"/>
        <v>704</v>
      </c>
      <c r="J452" s="185">
        <f t="shared" si="78"/>
        <v>26760</v>
      </c>
      <c r="K452" s="185">
        <f t="shared" si="79"/>
        <v>18839040</v>
      </c>
      <c r="L452" s="1190" t="s">
        <v>1148</v>
      </c>
      <c r="M452" s="1059"/>
      <c r="N452" s="1059"/>
      <c r="T452" s="1011"/>
      <c r="U452" s="1133"/>
      <c r="V452" s="1012"/>
      <c r="AA452" s="1039" t="str">
        <f>VLOOKUP(L452,'25-BRA-I-090'!$I:$EZ,2,0)</f>
        <v>Đệm</v>
      </c>
      <c r="AB452" s="1039" t="str">
        <f>VLOOKUP(L452,'25-BRA-I-090'!$I:$EZ,3,0)</f>
        <v>Washer-M30-ISO7089-St-200HV-tZn</v>
      </c>
      <c r="AC452" s="1039" t="str">
        <f>VLOOKUP(L452,'25-BRA-I-090'!$I:$EZ,5,0)</f>
        <v>Pcs</v>
      </c>
      <c r="AD452" s="1039">
        <f>SUMIFS('25-BRA-I-090'!$CS:$CS,'25-BRA-I-090'!$I:$I,L452)</f>
        <v>704</v>
      </c>
      <c r="AE452" s="1039">
        <f>SUMIFS('25-BRA-I-090'!$CT:$CT,'25-BRA-I-090'!$I:$I,L452)</f>
        <v>0</v>
      </c>
      <c r="AF452" s="1039">
        <f>SUMIFS('25-BRA-I-090'!$CW:$CW,'25-BRA-I-090'!$I:$I,L452)</f>
        <v>0</v>
      </c>
      <c r="AG452" s="1039">
        <f>SUMIFS('25-BRA-I-090'!$CX:$CX,'25-BRA-I-090'!$I:$I,L452)</f>
        <v>0</v>
      </c>
      <c r="AH452" s="1040">
        <f>SUMIFS('25-BRA-I-090'!$DJ:$DJ,'25-BRA-I-090'!$I:$I,L452)+SUMIFS('25-BRA-I-090'!$EC:$EC,'25-BRA-I-090'!$I:$I,L452)</f>
        <v>704</v>
      </c>
      <c r="AI452" s="1040">
        <f>SUMIFS('25-BRA-I-090'!$DK:$DK,'25-BRA-I-090'!$I:$I,L452)+SUMIFS('25-BRA-I-090'!$ED:$ED,'25-BRA-I-090'!$I:$I,L452)</f>
        <v>0</v>
      </c>
      <c r="AJ452" s="1040">
        <f>SUMIFS('25-BRA-I-090'!$DO:$DO,'25-BRA-I-090'!$I:$I,L452)+26400*SUMIFS('25-BRA-I-090'!$EF:$EF,'25-BRA-I-090'!$I:$I,L452)</f>
        <v>18839040</v>
      </c>
      <c r="AL452" s="1092"/>
      <c r="AM452" s="1039"/>
    </row>
    <row r="453" spans="1:39" s="1010" customFormat="1" ht="45">
      <c r="A453" s="1106"/>
      <c r="B453" s="1057" t="str">
        <f t="shared" si="74"/>
        <v>Washer-M36-ISO7089-St-200HV-tZn</v>
      </c>
      <c r="C453" s="1058">
        <f>VLOOKUP(L453,'25-BRA-I-090'!$I:$EZ,4,0)</f>
        <v>0</v>
      </c>
      <c r="D453" s="374" t="str">
        <f t="shared" si="75"/>
        <v>Pcs</v>
      </c>
      <c r="E453" s="183"/>
      <c r="F453" s="184">
        <f t="shared" si="76"/>
        <v>128</v>
      </c>
      <c r="G453" s="185">
        <f t="shared" si="76"/>
        <v>0</v>
      </c>
      <c r="H453" s="185">
        <f t="shared" si="76"/>
        <v>0</v>
      </c>
      <c r="I453" s="185">
        <f t="shared" si="77"/>
        <v>128</v>
      </c>
      <c r="J453" s="185">
        <f t="shared" si="78"/>
        <v>47160</v>
      </c>
      <c r="K453" s="185">
        <f t="shared" si="79"/>
        <v>6036480</v>
      </c>
      <c r="L453" s="1190" t="s">
        <v>1150</v>
      </c>
      <c r="M453" s="1059"/>
      <c r="N453" s="1059"/>
      <c r="T453" s="1011"/>
      <c r="U453" s="1133"/>
      <c r="V453" s="1012"/>
      <c r="AA453" s="1039" t="str">
        <f>VLOOKUP(L453,'25-BRA-I-090'!$I:$EZ,2,0)</f>
        <v>Đệm</v>
      </c>
      <c r="AB453" s="1039" t="str">
        <f>VLOOKUP(L453,'25-BRA-I-090'!$I:$EZ,3,0)</f>
        <v>Washer-M36-ISO7089-St-200HV-tZn</v>
      </c>
      <c r="AC453" s="1039" t="str">
        <f>VLOOKUP(L453,'25-BRA-I-090'!$I:$EZ,5,0)</f>
        <v>Pcs</v>
      </c>
      <c r="AD453" s="1039">
        <f>SUMIFS('25-BRA-I-090'!$CS:$CS,'25-BRA-I-090'!$I:$I,L453)</f>
        <v>128</v>
      </c>
      <c r="AE453" s="1039">
        <f>SUMIFS('25-BRA-I-090'!$CT:$CT,'25-BRA-I-090'!$I:$I,L453)</f>
        <v>0</v>
      </c>
      <c r="AF453" s="1039">
        <f>SUMIFS('25-BRA-I-090'!$CW:$CW,'25-BRA-I-090'!$I:$I,L453)</f>
        <v>0</v>
      </c>
      <c r="AG453" s="1039">
        <f>SUMIFS('25-BRA-I-090'!$CX:$CX,'25-BRA-I-090'!$I:$I,L453)</f>
        <v>0</v>
      </c>
      <c r="AH453" s="1040">
        <f>SUMIFS('25-BRA-I-090'!$DJ:$DJ,'25-BRA-I-090'!$I:$I,L453)+SUMIFS('25-BRA-I-090'!$EC:$EC,'25-BRA-I-090'!$I:$I,L453)</f>
        <v>128</v>
      </c>
      <c r="AI453" s="1040">
        <f>SUMIFS('25-BRA-I-090'!$DK:$DK,'25-BRA-I-090'!$I:$I,L453)+SUMIFS('25-BRA-I-090'!$ED:$ED,'25-BRA-I-090'!$I:$I,L453)</f>
        <v>0</v>
      </c>
      <c r="AJ453" s="1040">
        <f>SUMIFS('25-BRA-I-090'!$DO:$DO,'25-BRA-I-090'!$I:$I,L453)+26400*SUMIFS('25-BRA-I-090'!$EF:$EF,'25-BRA-I-090'!$I:$I,L453)</f>
        <v>6036480</v>
      </c>
      <c r="AL453" s="1092"/>
      <c r="AM453" s="1039"/>
    </row>
    <row r="454" spans="1:39" s="1010" customFormat="1" ht="90">
      <c r="A454" s="1106"/>
      <c r="B454" s="1057" t="str">
        <f t="shared" si="74"/>
        <v>Thread rod M20x1000-8.8 (tiện ren 2 đầu, mỗi đầu một đoạn ren dài 100mm)-Galv</v>
      </c>
      <c r="C454" s="1058">
        <f>VLOOKUP(L454,'25-BRA-I-090'!$I:$EZ,4,0)</f>
        <v>0</v>
      </c>
      <c r="D454" s="374" t="str">
        <f t="shared" si="75"/>
        <v>Pcs</v>
      </c>
      <c r="E454" s="183"/>
      <c r="F454" s="184">
        <f t="shared" si="76"/>
        <v>16</v>
      </c>
      <c r="G454" s="185">
        <f t="shared" si="76"/>
        <v>0</v>
      </c>
      <c r="H454" s="185">
        <f t="shared" si="76"/>
        <v>0</v>
      </c>
      <c r="I454" s="185">
        <f t="shared" si="77"/>
        <v>16</v>
      </c>
      <c r="J454" s="185">
        <f t="shared" si="78"/>
        <v>197290</v>
      </c>
      <c r="K454" s="185">
        <f t="shared" si="79"/>
        <v>3156640</v>
      </c>
      <c r="L454" s="1190" t="s">
        <v>1152</v>
      </c>
      <c r="M454" s="1059"/>
      <c r="N454" s="1059"/>
      <c r="T454" s="1011"/>
      <c r="U454" s="1133"/>
      <c r="V454" s="1012"/>
      <c r="AA454" s="1039" t="str">
        <f>VLOOKUP(L454,'25-BRA-I-090'!$I:$EZ,2,0)</f>
        <v xml:space="preserve">Thread rod </v>
      </c>
      <c r="AB454" s="1039" t="str">
        <f>VLOOKUP(L454,'25-BRA-I-090'!$I:$EZ,3,0)</f>
        <v>Thread rod M20x1000-8.8 (tiện ren 2 đầu, mỗi đầu một đoạn ren dài 100mm)-Galv</v>
      </c>
      <c r="AC454" s="1039" t="str">
        <f>VLOOKUP(L454,'25-BRA-I-090'!$I:$EZ,5,0)</f>
        <v>Pcs</v>
      </c>
      <c r="AD454" s="1039">
        <f>SUMIFS('25-BRA-I-090'!$CS:$CS,'25-BRA-I-090'!$I:$I,L454)</f>
        <v>16</v>
      </c>
      <c r="AE454" s="1039">
        <f>SUMIFS('25-BRA-I-090'!$CT:$CT,'25-BRA-I-090'!$I:$I,L454)</f>
        <v>0</v>
      </c>
      <c r="AF454" s="1039">
        <f>SUMIFS('25-BRA-I-090'!$CW:$CW,'25-BRA-I-090'!$I:$I,L454)</f>
        <v>0</v>
      </c>
      <c r="AG454" s="1039">
        <f>SUMIFS('25-BRA-I-090'!$CX:$CX,'25-BRA-I-090'!$I:$I,L454)</f>
        <v>0</v>
      </c>
      <c r="AH454" s="1040">
        <f>SUMIFS('25-BRA-I-090'!$DJ:$DJ,'25-BRA-I-090'!$I:$I,L454)+SUMIFS('25-BRA-I-090'!$EC:$EC,'25-BRA-I-090'!$I:$I,L454)</f>
        <v>16</v>
      </c>
      <c r="AI454" s="1040">
        <f>SUMIFS('25-BRA-I-090'!$DK:$DK,'25-BRA-I-090'!$I:$I,L454)+SUMIFS('25-BRA-I-090'!$ED:$ED,'25-BRA-I-090'!$I:$I,L454)</f>
        <v>0</v>
      </c>
      <c r="AJ454" s="1040">
        <f>SUMIFS('25-BRA-I-090'!$DO:$DO,'25-BRA-I-090'!$I:$I,L454)+26400*SUMIFS('25-BRA-I-090'!$EF:$EF,'25-BRA-I-090'!$I:$I,L454)</f>
        <v>3156640</v>
      </c>
      <c r="AL454" s="1092"/>
      <c r="AM454" s="1039"/>
    </row>
    <row r="455" spans="1:39" s="1010" customFormat="1" ht="60">
      <c r="A455" s="1106"/>
      <c r="B455" s="1057" t="str">
        <f t="shared" si="74"/>
        <v>Lifting Ring welded-on (5.3T)-Number : YD-085-05</v>
      </c>
      <c r="C455" s="1058" t="str">
        <f>VLOOKUP(L455,'25-BRA-I-090'!$I:$EZ,4,0)</f>
        <v>Number : YD-085-05</v>
      </c>
      <c r="D455" s="374" t="str">
        <f t="shared" si="75"/>
        <v>Sets</v>
      </c>
      <c r="E455" s="183"/>
      <c r="F455" s="184">
        <f t="shared" si="76"/>
        <v>352</v>
      </c>
      <c r="G455" s="185">
        <f t="shared" si="76"/>
        <v>0</v>
      </c>
      <c r="H455" s="185">
        <f t="shared" si="76"/>
        <v>0</v>
      </c>
      <c r="I455" s="185">
        <f t="shared" si="77"/>
        <v>352</v>
      </c>
      <c r="J455" s="185">
        <f t="shared" si="78"/>
        <v>547600</v>
      </c>
      <c r="K455" s="185">
        <f t="shared" si="79"/>
        <v>192755200</v>
      </c>
      <c r="L455" s="1190" t="s">
        <v>1292</v>
      </c>
      <c r="M455" s="1059"/>
      <c r="N455" s="1059"/>
      <c r="T455" s="1011"/>
      <c r="U455" s="1133"/>
      <c r="V455" s="1012"/>
      <c r="AA455" s="1039" t="str">
        <f>VLOOKUP(L455,'25-BRA-I-090'!$I:$EZ,2,0)</f>
        <v>Tai cẩu hàn</v>
      </c>
      <c r="AB455" s="1039" t="str">
        <f>VLOOKUP(L455,'25-BRA-I-090'!$I:$EZ,3,0)</f>
        <v>Lifting Ring welded-on (5.3T)-Number : YD-085-05</v>
      </c>
      <c r="AC455" s="1039" t="str">
        <f>VLOOKUP(L455,'25-BRA-I-090'!$I:$EZ,5,0)</f>
        <v>Sets</v>
      </c>
      <c r="AD455" s="1039">
        <f>SUMIFS('25-BRA-I-090'!$CS:$CS,'25-BRA-I-090'!$I:$I,L455)</f>
        <v>352</v>
      </c>
      <c r="AE455" s="1039">
        <f>SUMIFS('25-BRA-I-090'!$CT:$CT,'25-BRA-I-090'!$I:$I,L455)</f>
        <v>0</v>
      </c>
      <c r="AF455" s="1039">
        <f>SUMIFS('25-BRA-I-090'!$CW:$CW,'25-BRA-I-090'!$I:$I,L455)</f>
        <v>0</v>
      </c>
      <c r="AG455" s="1039">
        <f>SUMIFS('25-BRA-I-090'!$CX:$CX,'25-BRA-I-090'!$I:$I,L455)</f>
        <v>0</v>
      </c>
      <c r="AH455" s="1040">
        <f>SUMIFS('25-BRA-I-090'!$DJ:$DJ,'25-BRA-I-090'!$I:$I,L455)+SUMIFS('25-BRA-I-090'!$EC:$EC,'25-BRA-I-090'!$I:$I,L455)</f>
        <v>352</v>
      </c>
      <c r="AI455" s="1040">
        <f>SUMIFS('25-BRA-I-090'!$DK:$DK,'25-BRA-I-090'!$I:$I,L455)+SUMIFS('25-BRA-I-090'!$ED:$ED,'25-BRA-I-090'!$I:$I,L455)</f>
        <v>0</v>
      </c>
      <c r="AJ455" s="1040">
        <f>SUMIFS('25-BRA-I-090'!$DO:$DO,'25-BRA-I-090'!$I:$I,L455)+26400*SUMIFS('25-BRA-I-090'!$EF:$EF,'25-BRA-I-090'!$I:$I,L455)</f>
        <v>192755200</v>
      </c>
      <c r="AL455" s="1092"/>
      <c r="AM455" s="1039"/>
    </row>
    <row r="456" spans="1:39" s="1010" customFormat="1" ht="60">
      <c r="A456" s="1106"/>
      <c r="B456" s="1057" t="str">
        <f t="shared" si="74"/>
        <v>Lifting Ring welded-on (10T)-Number: YD-085-10</v>
      </c>
      <c r="C456" s="1058" t="str">
        <f>VLOOKUP(L456,'25-BRA-I-090'!$I:$EZ,4,0)</f>
        <v>Number: YD-085-10</v>
      </c>
      <c r="D456" s="374" t="str">
        <f t="shared" si="75"/>
        <v>Sets</v>
      </c>
      <c r="E456" s="183"/>
      <c r="F456" s="184">
        <f t="shared" si="76"/>
        <v>200</v>
      </c>
      <c r="G456" s="185">
        <f t="shared" si="76"/>
        <v>0</v>
      </c>
      <c r="H456" s="185">
        <f t="shared" si="76"/>
        <v>0</v>
      </c>
      <c r="I456" s="185">
        <f t="shared" si="77"/>
        <v>200</v>
      </c>
      <c r="J456" s="185">
        <f t="shared" si="78"/>
        <v>1154400</v>
      </c>
      <c r="K456" s="185">
        <f t="shared" si="79"/>
        <v>230880000</v>
      </c>
      <c r="L456" s="1190" t="s">
        <v>1296</v>
      </c>
      <c r="M456" s="1059"/>
      <c r="N456" s="1059"/>
      <c r="T456" s="1011"/>
      <c r="U456" s="1133"/>
      <c r="V456" s="1012"/>
      <c r="AA456" s="1039" t="str">
        <f>VLOOKUP(L456,'25-BRA-I-090'!$I:$EZ,2,0)</f>
        <v>Tai cẩu hàn</v>
      </c>
      <c r="AB456" s="1039" t="str">
        <f>VLOOKUP(L456,'25-BRA-I-090'!$I:$EZ,3,0)</f>
        <v>Lifting Ring welded-on (10T)-Number: YD-085-10</v>
      </c>
      <c r="AC456" s="1039" t="str">
        <f>VLOOKUP(L456,'25-BRA-I-090'!$I:$EZ,5,0)</f>
        <v>Sets</v>
      </c>
      <c r="AD456" s="1039">
        <f>SUMIFS('25-BRA-I-090'!$CS:$CS,'25-BRA-I-090'!$I:$I,L456)</f>
        <v>200</v>
      </c>
      <c r="AE456" s="1039">
        <f>SUMIFS('25-BRA-I-090'!$CT:$CT,'25-BRA-I-090'!$I:$I,L456)</f>
        <v>0</v>
      </c>
      <c r="AF456" s="1039">
        <f>SUMIFS('25-BRA-I-090'!$CW:$CW,'25-BRA-I-090'!$I:$I,L456)</f>
        <v>0</v>
      </c>
      <c r="AG456" s="1039">
        <f>SUMIFS('25-BRA-I-090'!$CX:$CX,'25-BRA-I-090'!$I:$I,L456)</f>
        <v>0</v>
      </c>
      <c r="AH456" s="1040">
        <f>SUMIFS('25-BRA-I-090'!$DJ:$DJ,'25-BRA-I-090'!$I:$I,L456)+SUMIFS('25-BRA-I-090'!$EC:$EC,'25-BRA-I-090'!$I:$I,L456)</f>
        <v>200</v>
      </c>
      <c r="AI456" s="1040">
        <f>SUMIFS('25-BRA-I-090'!$DK:$DK,'25-BRA-I-090'!$I:$I,L456)+SUMIFS('25-BRA-I-090'!$ED:$ED,'25-BRA-I-090'!$I:$I,L456)</f>
        <v>0</v>
      </c>
      <c r="AJ456" s="1040">
        <f>SUMIFS('25-BRA-I-090'!$DO:$DO,'25-BRA-I-090'!$I:$I,L456)+26400*SUMIFS('25-BRA-I-090'!$EF:$EF,'25-BRA-I-090'!$I:$I,L456)</f>
        <v>230880000</v>
      </c>
      <c r="AL456" s="1092"/>
      <c r="AM456" s="1039"/>
    </row>
    <row r="457" spans="1:39" s="1010" customFormat="1" ht="46.5">
      <c r="A457" s="1106"/>
      <c r="B457" s="1057" t="str">
        <f t="shared" si="74"/>
        <v>kích thước bạt: 10x9.5 m</v>
      </c>
      <c r="C457" s="1058" t="str">
        <f>VLOOKUP(L457,'25-BRA-I-090'!$I:$EZ,4,0)</f>
        <v>Bạt da 2 lớp chống nước. Viền bạt có đính khuy, khoảng cách khuy~1m</v>
      </c>
      <c r="D457" s="374" t="str">
        <f t="shared" si="75"/>
        <v>Pcs</v>
      </c>
      <c r="E457" s="183"/>
      <c r="F457" s="184">
        <f t="shared" si="76"/>
        <v>4</v>
      </c>
      <c r="G457" s="185">
        <f t="shared" si="76"/>
        <v>0</v>
      </c>
      <c r="H457" s="185">
        <f t="shared" si="76"/>
        <v>0</v>
      </c>
      <c r="I457" s="185">
        <f t="shared" si="77"/>
        <v>190</v>
      </c>
      <c r="J457" s="185">
        <f t="shared" si="78"/>
        <v>55000</v>
      </c>
      <c r="K457" s="185">
        <f t="shared" si="79"/>
        <v>10450000</v>
      </c>
      <c r="L457" s="1190" t="s">
        <v>1364</v>
      </c>
      <c r="M457" s="1059"/>
      <c r="N457" s="1059"/>
      <c r="T457" s="1011"/>
      <c r="U457" s="1133"/>
      <c r="V457" s="1012"/>
      <c r="AA457" s="1039" t="str">
        <f>VLOOKUP(L457,'25-BRA-I-090'!$I:$EZ,2,0)</f>
        <v>Bạt che</v>
      </c>
      <c r="AB457" s="1039" t="str">
        <f>VLOOKUP(L457,'25-BRA-I-090'!$I:$EZ,3,0)</f>
        <v>kích thước bạt: 10x9.5 m</v>
      </c>
      <c r="AC457" s="1039" t="str">
        <f>VLOOKUP(L457,'25-BRA-I-090'!$I:$EZ,5,0)</f>
        <v>Pcs</v>
      </c>
      <c r="AD457" s="1039">
        <f>SUMIFS('25-BRA-I-090'!$CS:$CS,'25-BRA-I-090'!$I:$I,L457)</f>
        <v>4</v>
      </c>
      <c r="AE457" s="1039">
        <f>SUMIFS('25-BRA-I-090'!$CT:$CT,'25-BRA-I-090'!$I:$I,L457)</f>
        <v>0</v>
      </c>
      <c r="AF457" s="1039">
        <f>SUMIFS('25-BRA-I-090'!$CW:$CW,'25-BRA-I-090'!$I:$I,L457)</f>
        <v>0</v>
      </c>
      <c r="AG457" s="1039">
        <f>SUMIFS('25-BRA-I-090'!$CX:$CX,'25-BRA-I-090'!$I:$I,L457)</f>
        <v>0</v>
      </c>
      <c r="AH457" s="1040">
        <f>SUMIFS('25-BRA-I-090'!$DJ:$DJ,'25-BRA-I-090'!$I:$I,L457)+SUMIFS('25-BRA-I-090'!$EC:$EC,'25-BRA-I-090'!$I:$I,L457)</f>
        <v>190</v>
      </c>
      <c r="AI457" s="1040">
        <f>SUMIFS('25-BRA-I-090'!$DK:$DK,'25-BRA-I-090'!$I:$I,L457)+SUMIFS('25-BRA-I-090'!$ED:$ED,'25-BRA-I-090'!$I:$I,L457)</f>
        <v>0</v>
      </c>
      <c r="AJ457" s="1040">
        <f>SUMIFS('25-BRA-I-090'!$DO:$DO,'25-BRA-I-090'!$I:$I,L457)+26400*SUMIFS('25-BRA-I-090'!$EF:$EF,'25-BRA-I-090'!$I:$I,L457)</f>
        <v>10450000</v>
      </c>
      <c r="AL457" s="1092"/>
      <c r="AM457" s="1039"/>
    </row>
    <row r="458" spans="1:39" s="1010" customFormat="1" ht="30">
      <c r="A458" s="1106"/>
      <c r="B458" s="1057" t="str">
        <f t="shared" si="74"/>
        <v>kích thước bạt: 11x7.5 m</v>
      </c>
      <c r="C458" s="1058">
        <f>VLOOKUP(L458,'25-BRA-I-090'!$I:$EZ,4,0)</f>
        <v>0</v>
      </c>
      <c r="D458" s="374" t="str">
        <f t="shared" si="75"/>
        <v>Pcs</v>
      </c>
      <c r="E458" s="183"/>
      <c r="F458" s="184">
        <f t="shared" si="76"/>
        <v>4</v>
      </c>
      <c r="G458" s="185">
        <f t="shared" si="76"/>
        <v>0</v>
      </c>
      <c r="H458" s="185">
        <f t="shared" si="76"/>
        <v>0</v>
      </c>
      <c r="I458" s="185">
        <f t="shared" si="77"/>
        <v>165</v>
      </c>
      <c r="J458" s="185">
        <f t="shared" si="78"/>
        <v>55000</v>
      </c>
      <c r="K458" s="185">
        <f t="shared" si="79"/>
        <v>9075000</v>
      </c>
      <c r="L458" s="1190" t="s">
        <v>1368</v>
      </c>
      <c r="M458" s="1059"/>
      <c r="N458" s="1059"/>
      <c r="T458" s="1011"/>
      <c r="U458" s="1133"/>
      <c r="V458" s="1012"/>
      <c r="AA458" s="1039" t="str">
        <f>VLOOKUP(L458,'25-BRA-I-090'!$I:$EZ,2,0)</f>
        <v>Bạt che</v>
      </c>
      <c r="AB458" s="1039" t="str">
        <f>VLOOKUP(L458,'25-BRA-I-090'!$I:$EZ,3,0)</f>
        <v>kích thước bạt: 11x7.5 m</v>
      </c>
      <c r="AC458" s="1039" t="str">
        <f>VLOOKUP(L458,'25-BRA-I-090'!$I:$EZ,5,0)</f>
        <v>Pcs</v>
      </c>
      <c r="AD458" s="1039">
        <f>SUMIFS('25-BRA-I-090'!$CS:$CS,'25-BRA-I-090'!$I:$I,L458)</f>
        <v>4</v>
      </c>
      <c r="AE458" s="1039">
        <f>SUMIFS('25-BRA-I-090'!$CT:$CT,'25-BRA-I-090'!$I:$I,L458)</f>
        <v>0</v>
      </c>
      <c r="AF458" s="1039">
        <f>SUMIFS('25-BRA-I-090'!$CW:$CW,'25-BRA-I-090'!$I:$I,L458)</f>
        <v>0</v>
      </c>
      <c r="AG458" s="1039">
        <f>SUMIFS('25-BRA-I-090'!$CX:$CX,'25-BRA-I-090'!$I:$I,L458)</f>
        <v>0</v>
      </c>
      <c r="AH458" s="1040">
        <f>SUMIFS('25-BRA-I-090'!$DJ:$DJ,'25-BRA-I-090'!$I:$I,L458)+SUMIFS('25-BRA-I-090'!$EC:$EC,'25-BRA-I-090'!$I:$I,L458)</f>
        <v>165</v>
      </c>
      <c r="AI458" s="1040">
        <f>SUMIFS('25-BRA-I-090'!$DK:$DK,'25-BRA-I-090'!$I:$I,L458)+SUMIFS('25-BRA-I-090'!$ED:$ED,'25-BRA-I-090'!$I:$I,L458)</f>
        <v>0</v>
      </c>
      <c r="AJ458" s="1040">
        <f>SUMIFS('25-BRA-I-090'!$DO:$DO,'25-BRA-I-090'!$I:$I,L458)+26400*SUMIFS('25-BRA-I-090'!$EF:$EF,'25-BRA-I-090'!$I:$I,L458)</f>
        <v>9075000</v>
      </c>
      <c r="AL458" s="1092"/>
      <c r="AM458" s="1039"/>
    </row>
    <row r="459" spans="1:39" s="1010" customFormat="1" ht="30">
      <c r="A459" s="1106"/>
      <c r="B459" s="1057" t="str">
        <f t="shared" si="74"/>
        <v>kích thước bạt: 13.5x6 m</v>
      </c>
      <c r="C459" s="1058">
        <f>VLOOKUP(L459,'25-BRA-I-090'!$I:$EZ,4,0)</f>
        <v>0</v>
      </c>
      <c r="D459" s="374" t="str">
        <f t="shared" si="75"/>
        <v>Pcs</v>
      </c>
      <c r="E459" s="183"/>
      <c r="F459" s="184">
        <f t="shared" si="76"/>
        <v>4</v>
      </c>
      <c r="G459" s="185">
        <f t="shared" si="76"/>
        <v>0</v>
      </c>
      <c r="H459" s="185">
        <f t="shared" si="76"/>
        <v>0</v>
      </c>
      <c r="I459" s="185">
        <f t="shared" si="77"/>
        <v>162</v>
      </c>
      <c r="J459" s="185">
        <f t="shared" si="78"/>
        <v>55000</v>
      </c>
      <c r="K459" s="185">
        <f t="shared" si="79"/>
        <v>8910000</v>
      </c>
      <c r="L459" s="1190" t="s">
        <v>1370</v>
      </c>
      <c r="M459" s="1059"/>
      <c r="N459" s="1059"/>
      <c r="T459" s="1011"/>
      <c r="U459" s="1133"/>
      <c r="V459" s="1012"/>
      <c r="AA459" s="1039" t="str">
        <f>VLOOKUP(L459,'25-BRA-I-090'!$I:$EZ,2,0)</f>
        <v>Bạt che</v>
      </c>
      <c r="AB459" s="1039" t="str">
        <f>VLOOKUP(L459,'25-BRA-I-090'!$I:$EZ,3,0)</f>
        <v>kích thước bạt: 13.5x6 m</v>
      </c>
      <c r="AC459" s="1039" t="str">
        <f>VLOOKUP(L459,'25-BRA-I-090'!$I:$EZ,5,0)</f>
        <v>Pcs</v>
      </c>
      <c r="AD459" s="1039">
        <f>SUMIFS('25-BRA-I-090'!$CS:$CS,'25-BRA-I-090'!$I:$I,L459)</f>
        <v>4</v>
      </c>
      <c r="AE459" s="1039">
        <f>SUMIFS('25-BRA-I-090'!$CT:$CT,'25-BRA-I-090'!$I:$I,L459)</f>
        <v>0</v>
      </c>
      <c r="AF459" s="1039">
        <f>SUMIFS('25-BRA-I-090'!$CW:$CW,'25-BRA-I-090'!$I:$I,L459)</f>
        <v>0</v>
      </c>
      <c r="AG459" s="1039">
        <f>SUMIFS('25-BRA-I-090'!$CX:$CX,'25-BRA-I-090'!$I:$I,L459)</f>
        <v>0</v>
      </c>
      <c r="AH459" s="1040">
        <f>SUMIFS('25-BRA-I-090'!$DJ:$DJ,'25-BRA-I-090'!$I:$I,L459)+SUMIFS('25-BRA-I-090'!$EC:$EC,'25-BRA-I-090'!$I:$I,L459)</f>
        <v>162</v>
      </c>
      <c r="AI459" s="1040">
        <f>SUMIFS('25-BRA-I-090'!$DK:$DK,'25-BRA-I-090'!$I:$I,L459)+SUMIFS('25-BRA-I-090'!$ED:$ED,'25-BRA-I-090'!$I:$I,L459)</f>
        <v>0</v>
      </c>
      <c r="AJ459" s="1040">
        <f>SUMIFS('25-BRA-I-090'!$DO:$DO,'25-BRA-I-090'!$I:$I,L459)+26400*SUMIFS('25-BRA-I-090'!$EF:$EF,'25-BRA-I-090'!$I:$I,L459)</f>
        <v>8910000</v>
      </c>
      <c r="AL459" s="1092"/>
      <c r="AM459" s="1039"/>
    </row>
    <row r="460" spans="1:39" s="1010" customFormat="1" ht="30">
      <c r="A460" s="1106"/>
      <c r="B460" s="1057" t="str">
        <f t="shared" si="74"/>
        <v>kích thước bạt: 13.5x9.5 m</v>
      </c>
      <c r="C460" s="1058">
        <f>VLOOKUP(L460,'25-BRA-I-090'!$I:$EZ,4,0)</f>
        <v>0</v>
      </c>
      <c r="D460" s="374" t="str">
        <f t="shared" si="75"/>
        <v>Pcs</v>
      </c>
      <c r="E460" s="183"/>
      <c r="F460" s="184">
        <f t="shared" si="76"/>
        <v>4</v>
      </c>
      <c r="G460" s="185">
        <f t="shared" si="76"/>
        <v>0</v>
      </c>
      <c r="H460" s="185">
        <f t="shared" si="76"/>
        <v>0</v>
      </c>
      <c r="I460" s="185">
        <f t="shared" si="77"/>
        <v>256.5</v>
      </c>
      <c r="J460" s="185">
        <f t="shared" si="78"/>
        <v>55000</v>
      </c>
      <c r="K460" s="185">
        <f t="shared" si="79"/>
        <v>14107500</v>
      </c>
      <c r="L460" s="1190" t="s">
        <v>1372</v>
      </c>
      <c r="M460" s="1059"/>
      <c r="N460" s="1059"/>
      <c r="T460" s="1011"/>
      <c r="U460" s="1133"/>
      <c r="V460" s="1012"/>
      <c r="AA460" s="1039" t="str">
        <f>VLOOKUP(L460,'25-BRA-I-090'!$I:$EZ,2,0)</f>
        <v>Bạt che</v>
      </c>
      <c r="AB460" s="1039" t="str">
        <f>VLOOKUP(L460,'25-BRA-I-090'!$I:$EZ,3,0)</f>
        <v>kích thước bạt: 13.5x9.5 m</v>
      </c>
      <c r="AC460" s="1039" t="str">
        <f>VLOOKUP(L460,'25-BRA-I-090'!$I:$EZ,5,0)</f>
        <v>Pcs</v>
      </c>
      <c r="AD460" s="1039">
        <f>SUMIFS('25-BRA-I-090'!$CS:$CS,'25-BRA-I-090'!$I:$I,L460)</f>
        <v>4</v>
      </c>
      <c r="AE460" s="1039">
        <f>SUMIFS('25-BRA-I-090'!$CT:$CT,'25-BRA-I-090'!$I:$I,L460)</f>
        <v>0</v>
      </c>
      <c r="AF460" s="1039">
        <f>SUMIFS('25-BRA-I-090'!$CW:$CW,'25-BRA-I-090'!$I:$I,L460)</f>
        <v>0</v>
      </c>
      <c r="AG460" s="1039">
        <f>SUMIFS('25-BRA-I-090'!$CX:$CX,'25-BRA-I-090'!$I:$I,L460)</f>
        <v>0</v>
      </c>
      <c r="AH460" s="1040">
        <f>SUMIFS('25-BRA-I-090'!$DJ:$DJ,'25-BRA-I-090'!$I:$I,L460)+SUMIFS('25-BRA-I-090'!$EC:$EC,'25-BRA-I-090'!$I:$I,L460)</f>
        <v>256.5</v>
      </c>
      <c r="AI460" s="1040">
        <f>SUMIFS('25-BRA-I-090'!$DK:$DK,'25-BRA-I-090'!$I:$I,L460)+SUMIFS('25-BRA-I-090'!$ED:$ED,'25-BRA-I-090'!$I:$I,L460)</f>
        <v>0</v>
      </c>
      <c r="AJ460" s="1040">
        <f>SUMIFS('25-BRA-I-090'!$DO:$DO,'25-BRA-I-090'!$I:$I,L460)+26400*SUMIFS('25-BRA-I-090'!$EF:$EF,'25-BRA-I-090'!$I:$I,L460)</f>
        <v>14107500</v>
      </c>
      <c r="AL460" s="1092"/>
      <c r="AM460" s="1039"/>
    </row>
    <row r="461" spans="1:39" s="1010" customFormat="1" ht="30">
      <c r="A461" s="1106"/>
      <c r="B461" s="1057" t="str">
        <f t="shared" si="74"/>
        <v>kích thước bạt: 13.6x9 m</v>
      </c>
      <c r="C461" s="1058">
        <f>VLOOKUP(L461,'25-BRA-I-090'!$I:$EZ,4,0)</f>
        <v>0</v>
      </c>
      <c r="D461" s="374" t="str">
        <f t="shared" si="75"/>
        <v>Pcs</v>
      </c>
      <c r="E461" s="183"/>
      <c r="F461" s="184">
        <f t="shared" si="76"/>
        <v>4</v>
      </c>
      <c r="G461" s="185">
        <f t="shared" si="76"/>
        <v>0</v>
      </c>
      <c r="H461" s="185">
        <f t="shared" si="76"/>
        <v>0</v>
      </c>
      <c r="I461" s="185">
        <f t="shared" si="77"/>
        <v>244.8</v>
      </c>
      <c r="J461" s="185">
        <f t="shared" si="78"/>
        <v>55000</v>
      </c>
      <c r="K461" s="185">
        <f t="shared" si="79"/>
        <v>13464000</v>
      </c>
      <c r="L461" s="1190" t="s">
        <v>1374</v>
      </c>
      <c r="M461" s="1059"/>
      <c r="N461" s="1059"/>
      <c r="T461" s="1011"/>
      <c r="U461" s="1133"/>
      <c r="V461" s="1012"/>
      <c r="AA461" s="1039" t="str">
        <f>VLOOKUP(L461,'25-BRA-I-090'!$I:$EZ,2,0)</f>
        <v>Bạt che</v>
      </c>
      <c r="AB461" s="1039" t="str">
        <f>VLOOKUP(L461,'25-BRA-I-090'!$I:$EZ,3,0)</f>
        <v>kích thước bạt: 13.6x9 m</v>
      </c>
      <c r="AC461" s="1039" t="str">
        <f>VLOOKUP(L461,'25-BRA-I-090'!$I:$EZ,5,0)</f>
        <v>Pcs</v>
      </c>
      <c r="AD461" s="1039">
        <f>SUMIFS('25-BRA-I-090'!$CS:$CS,'25-BRA-I-090'!$I:$I,L461)</f>
        <v>4</v>
      </c>
      <c r="AE461" s="1039">
        <f>SUMIFS('25-BRA-I-090'!$CT:$CT,'25-BRA-I-090'!$I:$I,L461)</f>
        <v>0</v>
      </c>
      <c r="AF461" s="1039">
        <f>SUMIFS('25-BRA-I-090'!$CW:$CW,'25-BRA-I-090'!$I:$I,L461)</f>
        <v>0</v>
      </c>
      <c r="AG461" s="1039">
        <f>SUMIFS('25-BRA-I-090'!$CX:$CX,'25-BRA-I-090'!$I:$I,L461)</f>
        <v>0</v>
      </c>
      <c r="AH461" s="1040">
        <f>SUMIFS('25-BRA-I-090'!$DJ:$DJ,'25-BRA-I-090'!$I:$I,L461)+SUMIFS('25-BRA-I-090'!$EC:$EC,'25-BRA-I-090'!$I:$I,L461)</f>
        <v>244.8</v>
      </c>
      <c r="AI461" s="1040">
        <f>SUMIFS('25-BRA-I-090'!$DK:$DK,'25-BRA-I-090'!$I:$I,L461)+SUMIFS('25-BRA-I-090'!$ED:$ED,'25-BRA-I-090'!$I:$I,L461)</f>
        <v>0</v>
      </c>
      <c r="AJ461" s="1040">
        <f>SUMIFS('25-BRA-I-090'!$DO:$DO,'25-BRA-I-090'!$I:$I,L461)+26400*SUMIFS('25-BRA-I-090'!$EF:$EF,'25-BRA-I-090'!$I:$I,L461)</f>
        <v>13464000</v>
      </c>
      <c r="AL461" s="1092"/>
      <c r="AM461" s="1039"/>
    </row>
    <row r="462" spans="1:39" s="1010" customFormat="1" ht="30">
      <c r="A462" s="1106"/>
      <c r="B462" s="1057" t="str">
        <f t="shared" si="74"/>
        <v>kích thước bạt: 15.5x11.5 m</v>
      </c>
      <c r="C462" s="1058">
        <f>VLOOKUP(L462,'25-BRA-I-090'!$I:$EZ,4,0)</f>
        <v>0</v>
      </c>
      <c r="D462" s="374" t="str">
        <f t="shared" si="75"/>
        <v>Pcs</v>
      </c>
      <c r="E462" s="183"/>
      <c r="F462" s="184">
        <f t="shared" si="76"/>
        <v>8</v>
      </c>
      <c r="G462" s="185">
        <f t="shared" si="76"/>
        <v>0</v>
      </c>
      <c r="H462" s="185">
        <f t="shared" si="76"/>
        <v>0</v>
      </c>
      <c r="I462" s="185">
        <f t="shared" si="77"/>
        <v>713</v>
      </c>
      <c r="J462" s="185">
        <f t="shared" si="78"/>
        <v>55000</v>
      </c>
      <c r="K462" s="185">
        <f t="shared" si="79"/>
        <v>39215000</v>
      </c>
      <c r="L462" s="1190" t="s">
        <v>1376</v>
      </c>
      <c r="M462" s="1059"/>
      <c r="N462" s="1059"/>
      <c r="T462" s="1011"/>
      <c r="U462" s="1133"/>
      <c r="V462" s="1012"/>
      <c r="AA462" s="1039" t="str">
        <f>VLOOKUP(L462,'25-BRA-I-090'!$I:$EZ,2,0)</f>
        <v>Bạt che</v>
      </c>
      <c r="AB462" s="1039" t="str">
        <f>VLOOKUP(L462,'25-BRA-I-090'!$I:$EZ,3,0)</f>
        <v>kích thước bạt: 15.5x11.5 m</v>
      </c>
      <c r="AC462" s="1039" t="str">
        <f>VLOOKUP(L462,'25-BRA-I-090'!$I:$EZ,5,0)</f>
        <v>Pcs</v>
      </c>
      <c r="AD462" s="1039">
        <f>SUMIFS('25-BRA-I-090'!$CS:$CS,'25-BRA-I-090'!$I:$I,L462)</f>
        <v>8</v>
      </c>
      <c r="AE462" s="1039">
        <f>SUMIFS('25-BRA-I-090'!$CT:$CT,'25-BRA-I-090'!$I:$I,L462)</f>
        <v>0</v>
      </c>
      <c r="AF462" s="1039">
        <f>SUMIFS('25-BRA-I-090'!$CW:$CW,'25-BRA-I-090'!$I:$I,L462)</f>
        <v>0</v>
      </c>
      <c r="AG462" s="1039">
        <f>SUMIFS('25-BRA-I-090'!$CX:$CX,'25-BRA-I-090'!$I:$I,L462)</f>
        <v>0</v>
      </c>
      <c r="AH462" s="1040">
        <f>SUMIFS('25-BRA-I-090'!$DJ:$DJ,'25-BRA-I-090'!$I:$I,L462)+SUMIFS('25-BRA-I-090'!$EC:$EC,'25-BRA-I-090'!$I:$I,L462)</f>
        <v>713</v>
      </c>
      <c r="AI462" s="1040">
        <f>SUMIFS('25-BRA-I-090'!$DK:$DK,'25-BRA-I-090'!$I:$I,L462)+SUMIFS('25-BRA-I-090'!$ED:$ED,'25-BRA-I-090'!$I:$I,L462)</f>
        <v>0</v>
      </c>
      <c r="AJ462" s="1040">
        <f>SUMIFS('25-BRA-I-090'!$DO:$DO,'25-BRA-I-090'!$I:$I,L462)+26400*SUMIFS('25-BRA-I-090'!$EF:$EF,'25-BRA-I-090'!$I:$I,L462)</f>
        <v>39215000</v>
      </c>
      <c r="AL462" s="1092"/>
      <c r="AM462" s="1039"/>
    </row>
    <row r="463" spans="1:39" s="1010" customFormat="1" ht="30">
      <c r="A463" s="1106"/>
      <c r="B463" s="1057" t="str">
        <f t="shared" si="74"/>
        <v>kích thước bạt: 16.5x10.5 m</v>
      </c>
      <c r="C463" s="1058">
        <f>VLOOKUP(L463,'25-BRA-I-090'!$I:$EZ,4,0)</f>
        <v>0</v>
      </c>
      <c r="D463" s="374" t="str">
        <f t="shared" si="75"/>
        <v>Pcs</v>
      </c>
      <c r="E463" s="183"/>
      <c r="F463" s="184">
        <f t="shared" si="76"/>
        <v>4</v>
      </c>
      <c r="G463" s="185">
        <f t="shared" si="76"/>
        <v>0</v>
      </c>
      <c r="H463" s="185">
        <f t="shared" si="76"/>
        <v>0</v>
      </c>
      <c r="I463" s="185">
        <f t="shared" si="77"/>
        <v>346.5</v>
      </c>
      <c r="J463" s="185">
        <f t="shared" si="78"/>
        <v>55000</v>
      </c>
      <c r="K463" s="185">
        <f t="shared" si="79"/>
        <v>19057500</v>
      </c>
      <c r="L463" s="1190" t="s">
        <v>1378</v>
      </c>
      <c r="M463" s="1059"/>
      <c r="N463" s="1059"/>
      <c r="T463" s="1011"/>
      <c r="U463" s="1133"/>
      <c r="V463" s="1012"/>
      <c r="AA463" s="1039" t="str">
        <f>VLOOKUP(L463,'25-BRA-I-090'!$I:$EZ,2,0)</f>
        <v>Bạt che</v>
      </c>
      <c r="AB463" s="1039" t="str">
        <f>VLOOKUP(L463,'25-BRA-I-090'!$I:$EZ,3,0)</f>
        <v>kích thước bạt: 16.5x10.5 m</v>
      </c>
      <c r="AC463" s="1039" t="str">
        <f>VLOOKUP(L463,'25-BRA-I-090'!$I:$EZ,5,0)</f>
        <v>Pcs</v>
      </c>
      <c r="AD463" s="1039">
        <f>SUMIFS('25-BRA-I-090'!$CS:$CS,'25-BRA-I-090'!$I:$I,L463)</f>
        <v>4</v>
      </c>
      <c r="AE463" s="1039">
        <f>SUMIFS('25-BRA-I-090'!$CT:$CT,'25-BRA-I-090'!$I:$I,L463)</f>
        <v>0</v>
      </c>
      <c r="AF463" s="1039">
        <f>SUMIFS('25-BRA-I-090'!$CW:$CW,'25-BRA-I-090'!$I:$I,L463)</f>
        <v>0</v>
      </c>
      <c r="AG463" s="1039">
        <f>SUMIFS('25-BRA-I-090'!$CX:$CX,'25-BRA-I-090'!$I:$I,L463)</f>
        <v>0</v>
      </c>
      <c r="AH463" s="1040">
        <f>SUMIFS('25-BRA-I-090'!$DJ:$DJ,'25-BRA-I-090'!$I:$I,L463)+SUMIFS('25-BRA-I-090'!$EC:$EC,'25-BRA-I-090'!$I:$I,L463)</f>
        <v>346.5</v>
      </c>
      <c r="AI463" s="1040">
        <f>SUMIFS('25-BRA-I-090'!$DK:$DK,'25-BRA-I-090'!$I:$I,L463)+SUMIFS('25-BRA-I-090'!$ED:$ED,'25-BRA-I-090'!$I:$I,L463)</f>
        <v>0</v>
      </c>
      <c r="AJ463" s="1040">
        <f>SUMIFS('25-BRA-I-090'!$DO:$DO,'25-BRA-I-090'!$I:$I,L463)+26400*SUMIFS('25-BRA-I-090'!$EF:$EF,'25-BRA-I-090'!$I:$I,L463)</f>
        <v>19057500</v>
      </c>
      <c r="AL463" s="1092"/>
      <c r="AM463" s="1039"/>
    </row>
    <row r="464" spans="1:39" s="1010" customFormat="1" ht="30">
      <c r="A464" s="1106"/>
      <c r="B464" s="1057" t="str">
        <f t="shared" si="74"/>
        <v>kích thước bạt: 17x12 m</v>
      </c>
      <c r="C464" s="1058">
        <f>VLOOKUP(L464,'25-BRA-I-090'!$I:$EZ,4,0)</f>
        <v>0</v>
      </c>
      <c r="D464" s="374" t="str">
        <f t="shared" si="75"/>
        <v>Pcs</v>
      </c>
      <c r="E464" s="183"/>
      <c r="F464" s="184">
        <f t="shared" si="76"/>
        <v>4</v>
      </c>
      <c r="G464" s="185">
        <f t="shared" si="76"/>
        <v>0</v>
      </c>
      <c r="H464" s="185">
        <f t="shared" si="76"/>
        <v>0</v>
      </c>
      <c r="I464" s="185">
        <f t="shared" si="77"/>
        <v>408</v>
      </c>
      <c r="J464" s="185">
        <f t="shared" si="78"/>
        <v>55000</v>
      </c>
      <c r="K464" s="185">
        <f t="shared" si="79"/>
        <v>22440000</v>
      </c>
      <c r="L464" s="1190" t="s">
        <v>1380</v>
      </c>
      <c r="M464" s="1059"/>
      <c r="N464" s="1059"/>
      <c r="T464" s="1011"/>
      <c r="U464" s="1133"/>
      <c r="V464" s="1012"/>
      <c r="AA464" s="1039" t="str">
        <f>VLOOKUP(L464,'25-BRA-I-090'!$I:$EZ,2,0)</f>
        <v>Bạt che</v>
      </c>
      <c r="AB464" s="1039" t="str">
        <f>VLOOKUP(L464,'25-BRA-I-090'!$I:$EZ,3,0)</f>
        <v>kích thước bạt: 17x12 m</v>
      </c>
      <c r="AC464" s="1039" t="str">
        <f>VLOOKUP(L464,'25-BRA-I-090'!$I:$EZ,5,0)</f>
        <v>Pcs</v>
      </c>
      <c r="AD464" s="1039">
        <f>SUMIFS('25-BRA-I-090'!$CS:$CS,'25-BRA-I-090'!$I:$I,L464)</f>
        <v>4</v>
      </c>
      <c r="AE464" s="1039">
        <f>SUMIFS('25-BRA-I-090'!$CT:$CT,'25-BRA-I-090'!$I:$I,L464)</f>
        <v>0</v>
      </c>
      <c r="AF464" s="1039">
        <f>SUMIFS('25-BRA-I-090'!$CW:$CW,'25-BRA-I-090'!$I:$I,L464)</f>
        <v>0</v>
      </c>
      <c r="AG464" s="1039">
        <f>SUMIFS('25-BRA-I-090'!$CX:$CX,'25-BRA-I-090'!$I:$I,L464)</f>
        <v>0</v>
      </c>
      <c r="AH464" s="1040">
        <f>SUMIFS('25-BRA-I-090'!$DJ:$DJ,'25-BRA-I-090'!$I:$I,L464)+SUMIFS('25-BRA-I-090'!$EC:$EC,'25-BRA-I-090'!$I:$I,L464)</f>
        <v>408</v>
      </c>
      <c r="AI464" s="1040">
        <f>SUMIFS('25-BRA-I-090'!$DK:$DK,'25-BRA-I-090'!$I:$I,L464)+SUMIFS('25-BRA-I-090'!$ED:$ED,'25-BRA-I-090'!$I:$I,L464)</f>
        <v>0</v>
      </c>
      <c r="AJ464" s="1040">
        <f>SUMIFS('25-BRA-I-090'!$DO:$DO,'25-BRA-I-090'!$I:$I,L464)+26400*SUMIFS('25-BRA-I-090'!$EF:$EF,'25-BRA-I-090'!$I:$I,L464)</f>
        <v>22440000</v>
      </c>
      <c r="AL464" s="1092"/>
      <c r="AM464" s="1039"/>
    </row>
    <row r="465" spans="1:39" s="1010" customFormat="1" ht="30">
      <c r="A465" s="1106"/>
      <c r="B465" s="1057" t="str">
        <f t="shared" si="74"/>
        <v>kích thước bạt: 8x6.5 m</v>
      </c>
      <c r="C465" s="1058">
        <f>VLOOKUP(L465,'25-BRA-I-090'!$I:$EZ,4,0)</f>
        <v>0</v>
      </c>
      <c r="D465" s="374" t="str">
        <f t="shared" si="75"/>
        <v>Pcs</v>
      </c>
      <c r="E465" s="183"/>
      <c r="F465" s="184">
        <f t="shared" si="76"/>
        <v>4</v>
      </c>
      <c r="G465" s="185">
        <f t="shared" si="76"/>
        <v>0</v>
      </c>
      <c r="H465" s="185">
        <f t="shared" si="76"/>
        <v>0</v>
      </c>
      <c r="I465" s="185">
        <f t="shared" si="77"/>
        <v>104</v>
      </c>
      <c r="J465" s="185">
        <f t="shared" si="78"/>
        <v>55000</v>
      </c>
      <c r="K465" s="185">
        <f t="shared" si="79"/>
        <v>5720000</v>
      </c>
      <c r="L465" s="1190" t="s">
        <v>1382</v>
      </c>
      <c r="M465" s="1059"/>
      <c r="N465" s="1059"/>
      <c r="T465" s="1011"/>
      <c r="U465" s="1133"/>
      <c r="V465" s="1012"/>
      <c r="AA465" s="1039" t="str">
        <f>VLOOKUP(L465,'25-BRA-I-090'!$I:$EZ,2,0)</f>
        <v>Bạt che</v>
      </c>
      <c r="AB465" s="1039" t="str">
        <f>VLOOKUP(L465,'25-BRA-I-090'!$I:$EZ,3,0)</f>
        <v>kích thước bạt: 8x6.5 m</v>
      </c>
      <c r="AC465" s="1039" t="str">
        <f>VLOOKUP(L465,'25-BRA-I-090'!$I:$EZ,5,0)</f>
        <v>Pcs</v>
      </c>
      <c r="AD465" s="1039">
        <f>SUMIFS('25-BRA-I-090'!$CS:$CS,'25-BRA-I-090'!$I:$I,L465)</f>
        <v>4</v>
      </c>
      <c r="AE465" s="1039">
        <f>SUMIFS('25-BRA-I-090'!$CT:$CT,'25-BRA-I-090'!$I:$I,L465)</f>
        <v>0</v>
      </c>
      <c r="AF465" s="1039">
        <f>SUMIFS('25-BRA-I-090'!$CW:$CW,'25-BRA-I-090'!$I:$I,L465)</f>
        <v>0</v>
      </c>
      <c r="AG465" s="1039">
        <f>SUMIFS('25-BRA-I-090'!$CX:$CX,'25-BRA-I-090'!$I:$I,L465)</f>
        <v>0</v>
      </c>
      <c r="AH465" s="1040">
        <f>SUMIFS('25-BRA-I-090'!$DJ:$DJ,'25-BRA-I-090'!$I:$I,L465)+SUMIFS('25-BRA-I-090'!$EC:$EC,'25-BRA-I-090'!$I:$I,L465)</f>
        <v>104</v>
      </c>
      <c r="AI465" s="1040">
        <f>SUMIFS('25-BRA-I-090'!$DK:$DK,'25-BRA-I-090'!$I:$I,L465)+SUMIFS('25-BRA-I-090'!$ED:$ED,'25-BRA-I-090'!$I:$I,L465)</f>
        <v>0</v>
      </c>
      <c r="AJ465" s="1040">
        <f>SUMIFS('25-BRA-I-090'!$DO:$DO,'25-BRA-I-090'!$I:$I,L465)+26400*SUMIFS('25-BRA-I-090'!$EF:$EF,'25-BRA-I-090'!$I:$I,L465)</f>
        <v>5720000</v>
      </c>
      <c r="AL465" s="1092"/>
      <c r="AM465" s="1039"/>
    </row>
    <row r="466" spans="1:39" s="1010" customFormat="1" ht="30">
      <c r="A466" s="1106"/>
      <c r="B466" s="1057" t="str">
        <f t="shared" si="74"/>
        <v>kích thước bạt: 8x6.5 m</v>
      </c>
      <c r="C466" s="1058">
        <f>VLOOKUP(L466,'25-BRA-I-090'!$I:$EZ,4,0)</f>
        <v>0</v>
      </c>
      <c r="D466" s="374" t="str">
        <f t="shared" si="75"/>
        <v>Pcs</v>
      </c>
      <c r="E466" s="183"/>
      <c r="F466" s="184">
        <f t="shared" si="76"/>
        <v>4</v>
      </c>
      <c r="G466" s="185">
        <f t="shared" si="76"/>
        <v>0</v>
      </c>
      <c r="H466" s="185">
        <f t="shared" si="76"/>
        <v>0</v>
      </c>
      <c r="I466" s="185">
        <f t="shared" si="77"/>
        <v>208</v>
      </c>
      <c r="J466" s="185">
        <f t="shared" si="78"/>
        <v>55000</v>
      </c>
      <c r="K466" s="185">
        <f t="shared" si="79"/>
        <v>11440000</v>
      </c>
      <c r="L466" s="1190" t="s">
        <v>1555</v>
      </c>
      <c r="M466" s="1059"/>
      <c r="N466" s="1059"/>
      <c r="T466" s="1011"/>
      <c r="U466" s="1133"/>
      <c r="V466" s="1012"/>
      <c r="AA466" s="1039" t="str">
        <f>VLOOKUP(L466,'25-BRA-I-090'!$I:$EZ,2,0)</f>
        <v>Bạt che</v>
      </c>
      <c r="AB466" s="1039" t="str">
        <f>VLOOKUP(L466,'25-BRA-I-090'!$I:$EZ,3,0)</f>
        <v>kích thước bạt: 8x6.5 m</v>
      </c>
      <c r="AC466" s="1039" t="str">
        <f>VLOOKUP(L466,'25-BRA-I-090'!$I:$EZ,5,0)</f>
        <v>Pcs</v>
      </c>
      <c r="AD466" s="1039">
        <f>SUMIFS('25-BRA-I-090'!$CS:$CS,'25-BRA-I-090'!$I:$I,L466)</f>
        <v>4</v>
      </c>
      <c r="AE466" s="1039">
        <f>SUMIFS('25-BRA-I-090'!$CT:$CT,'25-BRA-I-090'!$I:$I,L466)</f>
        <v>0</v>
      </c>
      <c r="AF466" s="1039">
        <f>SUMIFS('25-BRA-I-090'!$CW:$CW,'25-BRA-I-090'!$I:$I,L466)</f>
        <v>0</v>
      </c>
      <c r="AG466" s="1039">
        <f>SUMIFS('25-BRA-I-090'!$CX:$CX,'25-BRA-I-090'!$I:$I,L466)</f>
        <v>0</v>
      </c>
      <c r="AH466" s="1040">
        <f>SUMIFS('25-BRA-I-090'!$DJ:$DJ,'25-BRA-I-090'!$I:$I,L466)+SUMIFS('25-BRA-I-090'!$EC:$EC,'25-BRA-I-090'!$I:$I,L466)</f>
        <v>208</v>
      </c>
      <c r="AI466" s="1040">
        <f>SUMIFS('25-BRA-I-090'!$DK:$DK,'25-BRA-I-090'!$I:$I,L466)+SUMIFS('25-BRA-I-090'!$ED:$ED,'25-BRA-I-090'!$I:$I,L466)</f>
        <v>0</v>
      </c>
      <c r="AJ466" s="1040">
        <f>SUMIFS('25-BRA-I-090'!$DO:$DO,'25-BRA-I-090'!$I:$I,L466)+26400*SUMIFS('25-BRA-I-090'!$EF:$EF,'25-BRA-I-090'!$I:$I,L466)</f>
        <v>11440000</v>
      </c>
      <c r="AL466" s="1092"/>
      <c r="AM466" s="1039"/>
    </row>
    <row r="467" spans="1:39" s="1010" customFormat="1" ht="30">
      <c r="A467" s="1106"/>
      <c r="B467" s="1057" t="str">
        <f t="shared" si="74"/>
        <v>Washer-17.5-DIN434-St-Galv</v>
      </c>
      <c r="C467" s="1058">
        <f>VLOOKUP(L467,'25-BRA-I-090'!$I:$EZ,4,0)</f>
        <v>0</v>
      </c>
      <c r="D467" s="374" t="str">
        <f t="shared" si="75"/>
        <v>Pcs</v>
      </c>
      <c r="E467" s="183"/>
      <c r="F467" s="184">
        <f t="shared" si="76"/>
        <v>64</v>
      </c>
      <c r="G467" s="185">
        <f t="shared" si="76"/>
        <v>0</v>
      </c>
      <c r="H467" s="185">
        <f t="shared" si="76"/>
        <v>0</v>
      </c>
      <c r="I467" s="185">
        <f t="shared" si="77"/>
        <v>64</v>
      </c>
      <c r="J467" s="185">
        <f t="shared" si="78"/>
        <v>9110</v>
      </c>
      <c r="K467" s="185">
        <f t="shared" si="79"/>
        <v>583040</v>
      </c>
      <c r="L467" s="1190" t="s">
        <v>1433</v>
      </c>
      <c r="M467" s="1059"/>
      <c r="N467" s="1059"/>
      <c r="T467" s="1011"/>
      <c r="U467" s="1133"/>
      <c r="V467" s="1012"/>
      <c r="AA467" s="1039" t="str">
        <f>VLOOKUP(L467,'25-BRA-I-090'!$I:$EZ,2,0)</f>
        <v>Đệm</v>
      </c>
      <c r="AB467" s="1039" t="str">
        <f>VLOOKUP(L467,'25-BRA-I-090'!$I:$EZ,3,0)</f>
        <v>Washer-17.5-DIN434-St-Galv</v>
      </c>
      <c r="AC467" s="1039" t="str">
        <f>VLOOKUP(L467,'25-BRA-I-090'!$I:$EZ,5,0)</f>
        <v>Pcs</v>
      </c>
      <c r="AD467" s="1039">
        <f>SUMIFS('25-BRA-I-090'!$CS:$CS,'25-BRA-I-090'!$I:$I,L467)</f>
        <v>64</v>
      </c>
      <c r="AE467" s="1039">
        <f>SUMIFS('25-BRA-I-090'!$CT:$CT,'25-BRA-I-090'!$I:$I,L467)</f>
        <v>0</v>
      </c>
      <c r="AF467" s="1039">
        <f>SUMIFS('25-BRA-I-090'!$CW:$CW,'25-BRA-I-090'!$I:$I,L467)</f>
        <v>0</v>
      </c>
      <c r="AG467" s="1039">
        <f>SUMIFS('25-BRA-I-090'!$CX:$CX,'25-BRA-I-090'!$I:$I,L467)</f>
        <v>0</v>
      </c>
      <c r="AH467" s="1040">
        <f>SUMIFS('25-BRA-I-090'!$DJ:$DJ,'25-BRA-I-090'!$I:$I,L467)+SUMIFS('25-BRA-I-090'!$EC:$EC,'25-BRA-I-090'!$I:$I,L467)</f>
        <v>64</v>
      </c>
      <c r="AI467" s="1040">
        <f>SUMIFS('25-BRA-I-090'!$DK:$DK,'25-BRA-I-090'!$I:$I,L467)+SUMIFS('25-BRA-I-090'!$ED:$ED,'25-BRA-I-090'!$I:$I,L467)</f>
        <v>0</v>
      </c>
      <c r="AJ467" s="1040">
        <f>SUMIFS('25-BRA-I-090'!$DO:$DO,'25-BRA-I-090'!$I:$I,L467)+26400*SUMIFS('25-BRA-I-090'!$EF:$EF,'25-BRA-I-090'!$I:$I,L467)</f>
        <v>583040</v>
      </c>
      <c r="AL467" s="1092"/>
      <c r="AM467" s="1039"/>
    </row>
    <row r="468" spans="1:39" s="1010" customFormat="1" ht="30">
      <c r="A468" s="1106"/>
      <c r="B468" s="1057" t="str">
        <f t="shared" si="74"/>
        <v>Washer-22-DIN434-8.8-Galv</v>
      </c>
      <c r="C468" s="1058">
        <f>VLOOKUP(L468,'25-BRA-I-090'!$I:$EZ,4,0)</f>
        <v>0</v>
      </c>
      <c r="D468" s="374" t="str">
        <f t="shared" si="75"/>
        <v>Pcs</v>
      </c>
      <c r="E468" s="183"/>
      <c r="F468" s="184">
        <f t="shared" si="76"/>
        <v>16</v>
      </c>
      <c r="G468" s="185">
        <f t="shared" si="76"/>
        <v>0</v>
      </c>
      <c r="H468" s="185">
        <f t="shared" si="76"/>
        <v>0</v>
      </c>
      <c r="I468" s="185">
        <f t="shared" si="77"/>
        <v>16</v>
      </c>
      <c r="J468" s="185">
        <f t="shared" si="78"/>
        <v>16500</v>
      </c>
      <c r="K468" s="185">
        <f t="shared" si="79"/>
        <v>264000</v>
      </c>
      <c r="L468" s="1190" t="s">
        <v>1470</v>
      </c>
      <c r="M468" s="1059"/>
      <c r="N468" s="1059"/>
      <c r="T468" s="1011"/>
      <c r="U468" s="1133"/>
      <c r="V468" s="1012"/>
      <c r="AA468" s="1039" t="str">
        <f>VLOOKUP(L468,'25-BRA-I-090'!$I:$EZ,2,0)</f>
        <v>Đệm</v>
      </c>
      <c r="AB468" s="1039" t="str">
        <f>VLOOKUP(L468,'25-BRA-I-090'!$I:$EZ,3,0)</f>
        <v>Washer-22-DIN434-8.8-Galv</v>
      </c>
      <c r="AC468" s="1039" t="str">
        <f>VLOOKUP(L468,'25-BRA-I-090'!$I:$EZ,5,0)</f>
        <v>Pcs</v>
      </c>
      <c r="AD468" s="1039">
        <f>SUMIFS('25-BRA-I-090'!$CS:$CS,'25-BRA-I-090'!$I:$I,L468)</f>
        <v>16</v>
      </c>
      <c r="AE468" s="1039">
        <f>SUMIFS('25-BRA-I-090'!$CT:$CT,'25-BRA-I-090'!$I:$I,L468)</f>
        <v>0</v>
      </c>
      <c r="AF468" s="1039">
        <f>SUMIFS('25-BRA-I-090'!$CW:$CW,'25-BRA-I-090'!$I:$I,L468)</f>
        <v>0</v>
      </c>
      <c r="AG468" s="1039">
        <f>SUMIFS('25-BRA-I-090'!$CX:$CX,'25-BRA-I-090'!$I:$I,L468)</f>
        <v>0</v>
      </c>
      <c r="AH468" s="1040">
        <f>SUMIFS('25-BRA-I-090'!$DJ:$DJ,'25-BRA-I-090'!$I:$I,L468)+SUMIFS('25-BRA-I-090'!$EC:$EC,'25-BRA-I-090'!$I:$I,L468)</f>
        <v>16</v>
      </c>
      <c r="AI468" s="1040">
        <f>SUMIFS('25-BRA-I-090'!$DK:$DK,'25-BRA-I-090'!$I:$I,L468)+SUMIFS('25-BRA-I-090'!$ED:$ED,'25-BRA-I-090'!$I:$I,L468)</f>
        <v>0</v>
      </c>
      <c r="AJ468" s="1040">
        <f>SUMIFS('25-BRA-I-090'!$DO:$DO,'25-BRA-I-090'!$I:$I,L468)+26400*SUMIFS('25-BRA-I-090'!$EF:$EF,'25-BRA-I-090'!$I:$I,L468)</f>
        <v>264000</v>
      </c>
      <c r="AL468" s="1092"/>
      <c r="AM468" s="1039"/>
    </row>
    <row r="469" spans="1:39" s="1010" customFormat="1">
      <c r="A469" s="1106"/>
      <c r="B469" s="1057" t="str">
        <f t="shared" si="74"/>
        <v>PL16x2000x12000</v>
      </c>
      <c r="C469" s="1058" t="str">
        <f>VLOOKUP(L469,'25-BRA-I-090'!$I:$EZ,4,0)</f>
        <v>1.0038/A36</v>
      </c>
      <c r="D469" s="374" t="str">
        <f t="shared" si="75"/>
        <v>m2</v>
      </c>
      <c r="E469" s="183"/>
      <c r="F469" s="184">
        <f t="shared" si="76"/>
        <v>48</v>
      </c>
      <c r="G469" s="185">
        <f t="shared" si="76"/>
        <v>6028.8</v>
      </c>
      <c r="H469" s="185">
        <f t="shared" si="76"/>
        <v>0</v>
      </c>
      <c r="I469" s="185">
        <f t="shared" si="77"/>
        <v>48</v>
      </c>
      <c r="J469" s="185">
        <f t="shared" si="78"/>
        <v>1678472.7272727273</v>
      </c>
      <c r="K469" s="185">
        <f t="shared" si="79"/>
        <v>80566690.909090906</v>
      </c>
      <c r="L469" s="1190" t="s">
        <v>1472</v>
      </c>
      <c r="M469" s="1059"/>
      <c r="N469" s="1059"/>
      <c r="T469" s="1011"/>
      <c r="U469" s="1133"/>
      <c r="V469" s="1012"/>
      <c r="AA469" s="1039" t="str">
        <f>VLOOKUP(L469,'25-BRA-I-090'!$I:$EZ,2,0)</f>
        <v>Tôn tấm</v>
      </c>
      <c r="AB469" s="1039" t="str">
        <f>VLOOKUP(L469,'25-BRA-I-090'!$I:$EZ,3,0)</f>
        <v>PL16x2000x12000</v>
      </c>
      <c r="AC469" s="1039" t="str">
        <f>VLOOKUP(L469,'25-BRA-I-090'!$I:$EZ,5,0)</f>
        <v>m2</v>
      </c>
      <c r="AD469" s="1039">
        <f>SUMIFS('25-BRA-I-090'!$CS:$CS,'25-BRA-I-090'!$I:$I,L469)</f>
        <v>48</v>
      </c>
      <c r="AE469" s="1039">
        <f>SUMIFS('25-BRA-I-090'!$CT:$CT,'25-BRA-I-090'!$I:$I,L469)</f>
        <v>6028.8</v>
      </c>
      <c r="AF469" s="1039">
        <f>SUMIFS('25-BRA-I-090'!$CW:$CW,'25-BRA-I-090'!$I:$I,L469)</f>
        <v>0</v>
      </c>
      <c r="AG469" s="1039">
        <f>SUMIFS('25-BRA-I-090'!$CX:$CX,'25-BRA-I-090'!$I:$I,L469)</f>
        <v>0</v>
      </c>
      <c r="AH469" s="1040">
        <f>SUMIFS('25-BRA-I-090'!$DJ:$DJ,'25-BRA-I-090'!$I:$I,L469)+SUMIFS('25-BRA-I-090'!$EC:$EC,'25-BRA-I-090'!$I:$I,L469)</f>
        <v>48</v>
      </c>
      <c r="AI469" s="1040">
        <f>SUMIFS('25-BRA-I-090'!$DK:$DK,'25-BRA-I-090'!$I:$I,L469)+SUMIFS('25-BRA-I-090'!$ED:$ED,'25-BRA-I-090'!$I:$I,L469)</f>
        <v>6028.8</v>
      </c>
      <c r="AJ469" s="1040">
        <f>SUMIFS('25-BRA-I-090'!$DO:$DO,'25-BRA-I-090'!$I:$I,L469)+26400*SUMIFS('25-BRA-I-090'!$EF:$EF,'25-BRA-I-090'!$I:$I,L469)</f>
        <v>80566690.909090906</v>
      </c>
      <c r="AL469" s="1092"/>
      <c r="AM469" s="1039"/>
    </row>
    <row r="470" spans="1:39" s="1010" customFormat="1" ht="31">
      <c r="A470" s="1106"/>
      <c r="B470" s="1057" t="str">
        <f t="shared" si="74"/>
        <v>Thùng gỗ</v>
      </c>
      <c r="C470" s="1058" t="str">
        <f>VLOOKUP(L470,'25-BRA-I-090'!$I:$EZ,4,0)</f>
        <v>Gỗ có dấu khử trùng 
( ISPM 15)</v>
      </c>
      <c r="D470" s="374" t="str">
        <f t="shared" si="75"/>
        <v>pcs</v>
      </c>
      <c r="E470" s="183"/>
      <c r="F470" s="184">
        <f t="shared" si="76"/>
        <v>5</v>
      </c>
      <c r="G470" s="185">
        <f t="shared" si="76"/>
        <v>0</v>
      </c>
      <c r="H470" s="185">
        <f t="shared" si="76"/>
        <v>0</v>
      </c>
      <c r="I470" s="185">
        <f t="shared" si="77"/>
        <v>5</v>
      </c>
      <c r="J470" s="185">
        <f t="shared" si="78"/>
        <v>2100000</v>
      </c>
      <c r="K470" s="185">
        <f t="shared" si="79"/>
        <v>10500000</v>
      </c>
      <c r="L470" s="1190" t="s">
        <v>1606</v>
      </c>
      <c r="M470" s="1059"/>
      <c r="N470" s="1059"/>
      <c r="T470" s="1011"/>
      <c r="U470" s="1133"/>
      <c r="V470" s="1012"/>
      <c r="AA470" s="1039" t="str">
        <f>VLOOKUP(L470,'25-BRA-I-090'!$I:$EZ,2,0)</f>
        <v>Thùng gỗ</v>
      </c>
      <c r="AB470" s="1039" t="str">
        <f>VLOOKUP(L470,'25-BRA-I-090'!$I:$EZ,3,0)</f>
        <v>Thùng gỗ</v>
      </c>
      <c r="AC470" s="1039" t="str">
        <f>VLOOKUP(L470,'25-BRA-I-090'!$I:$EZ,5,0)</f>
        <v>pcs</v>
      </c>
      <c r="AD470" s="1039">
        <f>SUMIFS('25-BRA-I-090'!$CS:$CS,'25-BRA-I-090'!$I:$I,L470)</f>
        <v>5</v>
      </c>
      <c r="AE470" s="1039">
        <f>SUMIFS('25-BRA-I-090'!$CT:$CT,'25-BRA-I-090'!$I:$I,L470)</f>
        <v>0</v>
      </c>
      <c r="AF470" s="1039">
        <f>SUMIFS('25-BRA-I-090'!$CW:$CW,'25-BRA-I-090'!$I:$I,L470)</f>
        <v>0</v>
      </c>
      <c r="AG470" s="1039">
        <f>SUMIFS('25-BRA-I-090'!$CX:$CX,'25-BRA-I-090'!$I:$I,L470)</f>
        <v>0</v>
      </c>
      <c r="AH470" s="1040">
        <f>SUMIFS('25-BRA-I-090'!$DJ:$DJ,'25-BRA-I-090'!$I:$I,L470)+SUMIFS('25-BRA-I-090'!$EC:$EC,'25-BRA-I-090'!$I:$I,L470)</f>
        <v>5</v>
      </c>
      <c r="AI470" s="1040">
        <f>SUMIFS('25-BRA-I-090'!$DK:$DK,'25-BRA-I-090'!$I:$I,L470)+SUMIFS('25-BRA-I-090'!$ED:$ED,'25-BRA-I-090'!$I:$I,L470)</f>
        <v>0</v>
      </c>
      <c r="AJ470" s="1040">
        <f>SUMIFS('25-BRA-I-090'!$DO:$DO,'25-BRA-I-090'!$I:$I,L470)+26400*SUMIFS('25-BRA-I-090'!$EF:$EF,'25-BRA-I-090'!$I:$I,L470)</f>
        <v>10500000</v>
      </c>
      <c r="AL470" s="1092"/>
      <c r="AM470" s="1039"/>
    </row>
    <row r="471" spans="1:39" s="1010" customFormat="1" ht="30">
      <c r="A471" s="1106"/>
      <c r="B471" s="1057" t="str">
        <f t="shared" ref="B471:B534" si="80">AB471</f>
        <v>Polyme belt 50</v>
      </c>
      <c r="C471" s="1058" t="str">
        <f>VLOOKUP(L471,'25-BRA-I-090'!$I:$EZ,4,0)</f>
        <v>Polyeste</v>
      </c>
      <c r="D471" s="374" t="str">
        <f t="shared" ref="D471:D534" si="81">AC471</f>
        <v>m</v>
      </c>
      <c r="E471" s="183"/>
      <c r="F471" s="184">
        <f t="shared" ref="F471:H534" si="82">AD471</f>
        <v>2600</v>
      </c>
      <c r="G471" s="185">
        <f t="shared" si="82"/>
        <v>0</v>
      </c>
      <c r="H471" s="185">
        <f t="shared" si="82"/>
        <v>0</v>
      </c>
      <c r="I471" s="185">
        <f t="shared" ref="I471:I534" si="83">AH471</f>
        <v>3600</v>
      </c>
      <c r="J471" s="185">
        <f t="shared" ref="J471:J534" si="84">K471/I471</f>
        <v>6730</v>
      </c>
      <c r="K471" s="185">
        <f t="shared" ref="K471:K534" si="85">AJ471</f>
        <v>24228000</v>
      </c>
      <c r="L471" s="1190" t="s">
        <v>1607</v>
      </c>
      <c r="M471" s="1059"/>
      <c r="N471" s="1059"/>
      <c r="T471" s="1011"/>
      <c r="U471" s="1133"/>
      <c r="V471" s="1012"/>
      <c r="AA471" s="1039" t="str">
        <f>VLOOKUP(L471,'25-BRA-I-090'!$I:$EZ,2,0)</f>
        <v>Dây chằng kiện</v>
      </c>
      <c r="AB471" s="1039" t="str">
        <f>VLOOKUP(L471,'25-BRA-I-090'!$I:$EZ,3,0)</f>
        <v>Polyme belt 50</v>
      </c>
      <c r="AC471" s="1039" t="str">
        <f>VLOOKUP(L471,'25-BRA-I-090'!$I:$EZ,5,0)</f>
        <v>m</v>
      </c>
      <c r="AD471" s="1039">
        <f>SUMIFS('25-BRA-I-090'!$CS:$CS,'25-BRA-I-090'!$I:$I,L471)</f>
        <v>2600</v>
      </c>
      <c r="AE471" s="1039">
        <f>SUMIFS('25-BRA-I-090'!$CT:$CT,'25-BRA-I-090'!$I:$I,L471)</f>
        <v>0</v>
      </c>
      <c r="AF471" s="1039">
        <f>SUMIFS('25-BRA-I-090'!$CW:$CW,'25-BRA-I-090'!$I:$I,L471)</f>
        <v>0</v>
      </c>
      <c r="AG471" s="1039">
        <f>SUMIFS('25-BRA-I-090'!$CX:$CX,'25-BRA-I-090'!$I:$I,L471)</f>
        <v>0</v>
      </c>
      <c r="AH471" s="1040">
        <f>SUMIFS('25-BRA-I-090'!$DJ:$DJ,'25-BRA-I-090'!$I:$I,L471)+SUMIFS('25-BRA-I-090'!$EC:$EC,'25-BRA-I-090'!$I:$I,L471)</f>
        <v>3600</v>
      </c>
      <c r="AI471" s="1040">
        <f>SUMIFS('25-BRA-I-090'!$DK:$DK,'25-BRA-I-090'!$I:$I,L471)+SUMIFS('25-BRA-I-090'!$ED:$ED,'25-BRA-I-090'!$I:$I,L471)</f>
        <v>0</v>
      </c>
      <c r="AJ471" s="1040">
        <f>SUMIFS('25-BRA-I-090'!$DO:$DO,'25-BRA-I-090'!$I:$I,L471)+26400*SUMIFS('25-BRA-I-090'!$EF:$EF,'25-BRA-I-090'!$I:$I,L471)</f>
        <v>24228000</v>
      </c>
      <c r="AL471" s="1092"/>
      <c r="AM471" s="1039"/>
    </row>
    <row r="472" spans="1:39" s="1010" customFormat="1" ht="45">
      <c r="A472" s="1106"/>
      <c r="B472" s="1057" t="str">
        <f t="shared" si="80"/>
        <v>Khóa Polyme belt 50</v>
      </c>
      <c r="C472" s="1058" t="str">
        <f>VLOOKUP(L472,'25-BRA-I-090'!$I:$EZ,4,0)</f>
        <v>Steel</v>
      </c>
      <c r="D472" s="374" t="str">
        <f t="shared" si="81"/>
        <v>Pcs</v>
      </c>
      <c r="E472" s="183"/>
      <c r="F472" s="184">
        <f t="shared" si="82"/>
        <v>600</v>
      </c>
      <c r="G472" s="185">
        <f t="shared" si="82"/>
        <v>0</v>
      </c>
      <c r="H472" s="185">
        <f t="shared" si="82"/>
        <v>0</v>
      </c>
      <c r="I472" s="185">
        <f t="shared" si="83"/>
        <v>800</v>
      </c>
      <c r="J472" s="185">
        <f t="shared" si="84"/>
        <v>37000</v>
      </c>
      <c r="K472" s="185">
        <f t="shared" si="85"/>
        <v>29600000</v>
      </c>
      <c r="L472" s="1190" t="s">
        <v>1611</v>
      </c>
      <c r="M472" s="1059"/>
      <c r="N472" s="1059"/>
      <c r="T472" s="1011"/>
      <c r="U472" s="1133"/>
      <c r="V472" s="1012"/>
      <c r="AA472" s="1039" t="str">
        <f>VLOOKUP(L472,'25-BRA-I-090'!$I:$EZ,2,0)</f>
        <v>Khóa dây Polyme belt 32</v>
      </c>
      <c r="AB472" s="1039" t="str">
        <f>VLOOKUP(L472,'25-BRA-I-090'!$I:$EZ,3,0)</f>
        <v>Khóa Polyme belt 50</v>
      </c>
      <c r="AC472" s="1039" t="str">
        <f>VLOOKUP(L472,'25-BRA-I-090'!$I:$EZ,5,0)</f>
        <v>Pcs</v>
      </c>
      <c r="AD472" s="1039">
        <f>SUMIFS('25-BRA-I-090'!$CS:$CS,'25-BRA-I-090'!$I:$I,L472)</f>
        <v>600</v>
      </c>
      <c r="AE472" s="1039">
        <f>SUMIFS('25-BRA-I-090'!$CT:$CT,'25-BRA-I-090'!$I:$I,L472)</f>
        <v>0</v>
      </c>
      <c r="AF472" s="1039">
        <f>SUMIFS('25-BRA-I-090'!$CW:$CW,'25-BRA-I-090'!$I:$I,L472)</f>
        <v>0</v>
      </c>
      <c r="AG472" s="1039">
        <f>SUMIFS('25-BRA-I-090'!$CX:$CX,'25-BRA-I-090'!$I:$I,L472)</f>
        <v>0</v>
      </c>
      <c r="AH472" s="1040">
        <f>SUMIFS('25-BRA-I-090'!$DJ:$DJ,'25-BRA-I-090'!$I:$I,L472)+SUMIFS('25-BRA-I-090'!$EC:$EC,'25-BRA-I-090'!$I:$I,L472)</f>
        <v>800</v>
      </c>
      <c r="AI472" s="1040">
        <f>SUMIFS('25-BRA-I-090'!$DK:$DK,'25-BRA-I-090'!$I:$I,L472)+SUMIFS('25-BRA-I-090'!$ED:$ED,'25-BRA-I-090'!$I:$I,L472)</f>
        <v>0</v>
      </c>
      <c r="AJ472" s="1040">
        <f>SUMIFS('25-BRA-I-090'!$DO:$DO,'25-BRA-I-090'!$I:$I,L472)+26400*SUMIFS('25-BRA-I-090'!$EF:$EF,'25-BRA-I-090'!$I:$I,L472)</f>
        <v>29600000</v>
      </c>
      <c r="AL472" s="1092"/>
      <c r="AM472" s="1039"/>
    </row>
    <row r="473" spans="1:39" s="1010" customFormat="1">
      <c r="A473" s="1106"/>
      <c r="B473" s="1057" t="str">
        <f t="shared" si="80"/>
        <v>Mút xốp 5mm</v>
      </c>
      <c r="C473" s="1058" t="str">
        <f>VLOOKUP(L473,'25-BRA-I-090'!$I:$EZ,4,0)</f>
        <v>mút xốp chèn kiện</v>
      </c>
      <c r="D473" s="374" t="str">
        <f t="shared" si="81"/>
        <v>m2</v>
      </c>
      <c r="E473" s="183"/>
      <c r="F473" s="184">
        <f t="shared" si="82"/>
        <v>1800</v>
      </c>
      <c r="G473" s="185">
        <f t="shared" si="82"/>
        <v>0</v>
      </c>
      <c r="H473" s="185">
        <f t="shared" si="82"/>
        <v>0</v>
      </c>
      <c r="I473" s="185">
        <f t="shared" si="83"/>
        <v>800</v>
      </c>
      <c r="J473" s="185">
        <f t="shared" si="84"/>
        <v>20000</v>
      </c>
      <c r="K473" s="185">
        <f t="shared" si="85"/>
        <v>16000000</v>
      </c>
      <c r="L473" s="1190" t="s">
        <v>1614</v>
      </c>
      <c r="M473" s="1059"/>
      <c r="N473" s="1059"/>
      <c r="T473" s="1011"/>
      <c r="U473" s="1133"/>
      <c r="V473" s="1012"/>
      <c r="AA473" s="1039" t="str">
        <f>VLOOKUP(L473,'25-BRA-I-090'!$I:$EZ,2,0)</f>
        <v xml:space="preserve">Mút xốp </v>
      </c>
      <c r="AB473" s="1039" t="str">
        <f>VLOOKUP(L473,'25-BRA-I-090'!$I:$EZ,3,0)</f>
        <v>Mút xốp 5mm</v>
      </c>
      <c r="AC473" s="1039" t="str">
        <f>VLOOKUP(L473,'25-BRA-I-090'!$I:$EZ,5,0)</f>
        <v>m2</v>
      </c>
      <c r="AD473" s="1039">
        <f>SUMIFS('25-BRA-I-090'!$CS:$CS,'25-BRA-I-090'!$I:$I,L473)</f>
        <v>1800</v>
      </c>
      <c r="AE473" s="1039">
        <f>SUMIFS('25-BRA-I-090'!$CT:$CT,'25-BRA-I-090'!$I:$I,L473)</f>
        <v>0</v>
      </c>
      <c r="AF473" s="1039">
        <f>SUMIFS('25-BRA-I-090'!$CW:$CW,'25-BRA-I-090'!$I:$I,L473)</f>
        <v>0</v>
      </c>
      <c r="AG473" s="1039">
        <f>SUMIFS('25-BRA-I-090'!$CX:$CX,'25-BRA-I-090'!$I:$I,L473)</f>
        <v>0</v>
      </c>
      <c r="AH473" s="1040">
        <f>SUMIFS('25-BRA-I-090'!$DJ:$DJ,'25-BRA-I-090'!$I:$I,L473)+SUMIFS('25-BRA-I-090'!$EC:$EC,'25-BRA-I-090'!$I:$I,L473)</f>
        <v>800</v>
      </c>
      <c r="AI473" s="1040">
        <f>SUMIFS('25-BRA-I-090'!$DK:$DK,'25-BRA-I-090'!$I:$I,L473)+SUMIFS('25-BRA-I-090'!$ED:$ED,'25-BRA-I-090'!$I:$I,L473)</f>
        <v>0</v>
      </c>
      <c r="AJ473" s="1040">
        <f>SUMIFS('25-BRA-I-090'!$DO:$DO,'25-BRA-I-090'!$I:$I,L473)+26400*SUMIFS('25-BRA-I-090'!$EF:$EF,'25-BRA-I-090'!$I:$I,L473)</f>
        <v>16000000</v>
      </c>
      <c r="AL473" s="1092"/>
      <c r="AM473" s="1039"/>
    </row>
    <row r="474" spans="1:39" s="1010" customFormat="1" ht="30">
      <c r="A474" s="1106"/>
      <c r="B474" s="1057" t="str">
        <f t="shared" si="80"/>
        <v>Wood 50x100-L2000</v>
      </c>
      <c r="C474" s="1058" t="str">
        <f>VLOOKUP(L474,'25-BRA-I-090'!$I:$EZ,4,0)</f>
        <v>Gỗ  (có dấu khử trùng)</v>
      </c>
      <c r="D474" s="374" t="str">
        <f t="shared" si="81"/>
        <v>m</v>
      </c>
      <c r="E474" s="183"/>
      <c r="F474" s="184">
        <f t="shared" si="82"/>
        <v>300</v>
      </c>
      <c r="G474" s="185">
        <f t="shared" si="82"/>
        <v>0</v>
      </c>
      <c r="H474" s="185">
        <f t="shared" si="82"/>
        <v>0</v>
      </c>
      <c r="I474" s="185">
        <f t="shared" si="83"/>
        <v>300</v>
      </c>
      <c r="J474" s="185">
        <f t="shared" si="84"/>
        <v>77000</v>
      </c>
      <c r="K474" s="185">
        <f t="shared" si="85"/>
        <v>23100000</v>
      </c>
      <c r="L474" s="1190" t="s">
        <v>1615</v>
      </c>
      <c r="M474" s="1059"/>
      <c r="N474" s="1059"/>
      <c r="T474" s="1011"/>
      <c r="U474" s="1133"/>
      <c r="V474" s="1012"/>
      <c r="AA474" s="1039" t="str">
        <f>VLOOKUP(L474,'25-BRA-I-090'!$I:$EZ,2,0)</f>
        <v>Gỗ đóng kiện</v>
      </c>
      <c r="AB474" s="1039" t="str">
        <f>VLOOKUP(L474,'25-BRA-I-090'!$I:$EZ,3,0)</f>
        <v>Wood 50x100-L2000</v>
      </c>
      <c r="AC474" s="1039" t="str">
        <f>VLOOKUP(L474,'25-BRA-I-090'!$I:$EZ,5,0)</f>
        <v>m</v>
      </c>
      <c r="AD474" s="1039">
        <f>SUMIFS('25-BRA-I-090'!$CS:$CS,'25-BRA-I-090'!$I:$I,L474)</f>
        <v>300</v>
      </c>
      <c r="AE474" s="1039">
        <f>SUMIFS('25-BRA-I-090'!$CT:$CT,'25-BRA-I-090'!$I:$I,L474)</f>
        <v>0</v>
      </c>
      <c r="AF474" s="1039">
        <f>SUMIFS('25-BRA-I-090'!$CW:$CW,'25-BRA-I-090'!$I:$I,L474)</f>
        <v>0</v>
      </c>
      <c r="AG474" s="1039">
        <f>SUMIFS('25-BRA-I-090'!$CX:$CX,'25-BRA-I-090'!$I:$I,L474)</f>
        <v>0</v>
      </c>
      <c r="AH474" s="1040">
        <f>SUMIFS('25-BRA-I-090'!$DJ:$DJ,'25-BRA-I-090'!$I:$I,L474)+SUMIFS('25-BRA-I-090'!$EC:$EC,'25-BRA-I-090'!$I:$I,L474)</f>
        <v>300</v>
      </c>
      <c r="AI474" s="1040">
        <f>SUMIFS('25-BRA-I-090'!$DK:$DK,'25-BRA-I-090'!$I:$I,L474)+SUMIFS('25-BRA-I-090'!$ED:$ED,'25-BRA-I-090'!$I:$I,L474)</f>
        <v>0</v>
      </c>
      <c r="AJ474" s="1040">
        <f>SUMIFS('25-BRA-I-090'!$DO:$DO,'25-BRA-I-090'!$I:$I,L474)+26400*SUMIFS('25-BRA-I-090'!$EF:$EF,'25-BRA-I-090'!$I:$I,L474)</f>
        <v>23100000</v>
      </c>
      <c r="AL474" s="1092"/>
      <c r="AM474" s="1039"/>
    </row>
    <row r="475" spans="1:39" s="1010" customFormat="1" ht="30">
      <c r="A475" s="1106"/>
      <c r="B475" s="1057" t="str">
        <f t="shared" si="80"/>
        <v>Wood 100x100-L2000</v>
      </c>
      <c r="C475" s="1058" t="str">
        <f>VLOOKUP(L475,'25-BRA-I-090'!$I:$EZ,4,0)</f>
        <v>Gỗ  (có dấu khử trùng)</v>
      </c>
      <c r="D475" s="374" t="str">
        <f t="shared" si="81"/>
        <v>m</v>
      </c>
      <c r="E475" s="183"/>
      <c r="F475" s="184">
        <f t="shared" si="82"/>
        <v>1900</v>
      </c>
      <c r="G475" s="185">
        <f t="shared" si="82"/>
        <v>0</v>
      </c>
      <c r="H475" s="185">
        <f t="shared" si="82"/>
        <v>0</v>
      </c>
      <c r="I475" s="185">
        <f t="shared" si="83"/>
        <v>1697</v>
      </c>
      <c r="J475" s="185">
        <f t="shared" si="84"/>
        <v>77000</v>
      </c>
      <c r="K475" s="185">
        <f t="shared" si="85"/>
        <v>130669000</v>
      </c>
      <c r="L475" s="1190" t="s">
        <v>1619</v>
      </c>
      <c r="M475" s="1059"/>
      <c r="N475" s="1059"/>
      <c r="T475" s="1011"/>
      <c r="U475" s="1133"/>
      <c r="V475" s="1012"/>
      <c r="AA475" s="1039" t="str">
        <f>VLOOKUP(L475,'25-BRA-I-090'!$I:$EZ,2,0)</f>
        <v>Gỗ đóng kiện</v>
      </c>
      <c r="AB475" s="1039" t="str">
        <f>VLOOKUP(L475,'25-BRA-I-090'!$I:$EZ,3,0)</f>
        <v>Wood 100x100-L2000</v>
      </c>
      <c r="AC475" s="1039" t="str">
        <f>VLOOKUP(L475,'25-BRA-I-090'!$I:$EZ,5,0)</f>
        <v>m</v>
      </c>
      <c r="AD475" s="1039">
        <f>SUMIFS('25-BRA-I-090'!$CS:$CS,'25-BRA-I-090'!$I:$I,L475)</f>
        <v>1900</v>
      </c>
      <c r="AE475" s="1039">
        <f>SUMIFS('25-BRA-I-090'!$CT:$CT,'25-BRA-I-090'!$I:$I,L475)</f>
        <v>0</v>
      </c>
      <c r="AF475" s="1039">
        <f>SUMIFS('25-BRA-I-090'!$CW:$CW,'25-BRA-I-090'!$I:$I,L475)</f>
        <v>0</v>
      </c>
      <c r="AG475" s="1039">
        <f>SUMIFS('25-BRA-I-090'!$CX:$CX,'25-BRA-I-090'!$I:$I,L475)</f>
        <v>0</v>
      </c>
      <c r="AH475" s="1040">
        <f>SUMIFS('25-BRA-I-090'!$DJ:$DJ,'25-BRA-I-090'!$I:$I,L475)+SUMIFS('25-BRA-I-090'!$EC:$EC,'25-BRA-I-090'!$I:$I,L475)</f>
        <v>1697</v>
      </c>
      <c r="AI475" s="1040">
        <f>SUMIFS('25-BRA-I-090'!$DK:$DK,'25-BRA-I-090'!$I:$I,L475)+SUMIFS('25-BRA-I-090'!$ED:$ED,'25-BRA-I-090'!$I:$I,L475)</f>
        <v>0</v>
      </c>
      <c r="AJ475" s="1040">
        <f>SUMIFS('25-BRA-I-090'!$DO:$DO,'25-BRA-I-090'!$I:$I,L475)+26400*SUMIFS('25-BRA-I-090'!$EF:$EF,'25-BRA-I-090'!$I:$I,L475)</f>
        <v>130669000</v>
      </c>
      <c r="AL475" s="1092"/>
      <c r="AM475" s="1039"/>
    </row>
    <row r="476" spans="1:39" s="1010" customFormat="1">
      <c r="A476" s="1106"/>
      <c r="B476" s="1057" t="str">
        <f t="shared" si="80"/>
        <v>đinh sắt 5 cm</v>
      </c>
      <c r="C476" s="1058" t="str">
        <f>VLOOKUP(L476,'25-BRA-I-090'!$I:$EZ,4,0)</f>
        <v>Steel</v>
      </c>
      <c r="D476" s="374" t="str">
        <f t="shared" si="81"/>
        <v>Pcs</v>
      </c>
      <c r="E476" s="183"/>
      <c r="F476" s="184">
        <f t="shared" si="82"/>
        <v>500</v>
      </c>
      <c r="G476" s="185">
        <f t="shared" si="82"/>
        <v>0</v>
      </c>
      <c r="H476" s="185">
        <f t="shared" si="82"/>
        <v>0</v>
      </c>
      <c r="I476" s="185">
        <f t="shared" si="83"/>
        <v>500</v>
      </c>
      <c r="J476" s="185">
        <f t="shared" si="84"/>
        <v>500</v>
      </c>
      <c r="K476" s="185">
        <f t="shared" si="85"/>
        <v>250000</v>
      </c>
      <c r="L476" s="1190" t="s">
        <v>1621</v>
      </c>
      <c r="M476" s="1059"/>
      <c r="N476" s="1059"/>
      <c r="T476" s="1011"/>
      <c r="U476" s="1133"/>
      <c r="V476" s="1012"/>
      <c r="AA476" s="1039" t="str">
        <f>VLOOKUP(L476,'25-BRA-I-090'!$I:$EZ,2,0)</f>
        <v>Đinh sắt</v>
      </c>
      <c r="AB476" s="1039" t="str">
        <f>VLOOKUP(L476,'25-BRA-I-090'!$I:$EZ,3,0)</f>
        <v>đinh sắt 5 cm</v>
      </c>
      <c r="AC476" s="1039" t="str">
        <f>VLOOKUP(L476,'25-BRA-I-090'!$I:$EZ,5,0)</f>
        <v>Pcs</v>
      </c>
      <c r="AD476" s="1039">
        <f>SUMIFS('25-BRA-I-090'!$CS:$CS,'25-BRA-I-090'!$I:$I,L476)</f>
        <v>500</v>
      </c>
      <c r="AE476" s="1039">
        <f>SUMIFS('25-BRA-I-090'!$CT:$CT,'25-BRA-I-090'!$I:$I,L476)</f>
        <v>0</v>
      </c>
      <c r="AF476" s="1039">
        <f>SUMIFS('25-BRA-I-090'!$CW:$CW,'25-BRA-I-090'!$I:$I,L476)</f>
        <v>0</v>
      </c>
      <c r="AG476" s="1039">
        <f>SUMIFS('25-BRA-I-090'!$CX:$CX,'25-BRA-I-090'!$I:$I,L476)</f>
        <v>0</v>
      </c>
      <c r="AH476" s="1040">
        <f>SUMIFS('25-BRA-I-090'!$DJ:$DJ,'25-BRA-I-090'!$I:$I,L476)+SUMIFS('25-BRA-I-090'!$EC:$EC,'25-BRA-I-090'!$I:$I,L476)</f>
        <v>500</v>
      </c>
      <c r="AI476" s="1040">
        <f>SUMIFS('25-BRA-I-090'!$DK:$DK,'25-BRA-I-090'!$I:$I,L476)+SUMIFS('25-BRA-I-090'!$ED:$ED,'25-BRA-I-090'!$I:$I,L476)</f>
        <v>0</v>
      </c>
      <c r="AJ476" s="1040">
        <f>SUMIFS('25-BRA-I-090'!$DO:$DO,'25-BRA-I-090'!$I:$I,L476)+26400*SUMIFS('25-BRA-I-090'!$EF:$EF,'25-BRA-I-090'!$I:$I,L476)</f>
        <v>250000</v>
      </c>
      <c r="AL476" s="1092"/>
      <c r="AM476" s="1039"/>
    </row>
    <row r="477" spans="1:39" s="1010" customFormat="1">
      <c r="A477" s="1106"/>
      <c r="B477" s="1057" t="str">
        <f t="shared" si="80"/>
        <v>đinh sắt 15 cm</v>
      </c>
      <c r="C477" s="1058" t="str">
        <f>VLOOKUP(L477,'25-BRA-I-090'!$I:$EZ,4,0)</f>
        <v>Steel</v>
      </c>
      <c r="D477" s="374" t="str">
        <f t="shared" si="81"/>
        <v>Pcs</v>
      </c>
      <c r="E477" s="183"/>
      <c r="F477" s="184">
        <f t="shared" si="82"/>
        <v>1500</v>
      </c>
      <c r="G477" s="185">
        <f t="shared" si="82"/>
        <v>0</v>
      </c>
      <c r="H477" s="185">
        <f t="shared" si="82"/>
        <v>0</v>
      </c>
      <c r="I477" s="185">
        <f t="shared" si="83"/>
        <v>500</v>
      </c>
      <c r="J477" s="185">
        <f t="shared" si="84"/>
        <v>2000</v>
      </c>
      <c r="K477" s="185">
        <f t="shared" si="85"/>
        <v>1000000</v>
      </c>
      <c r="L477" s="1190" t="s">
        <v>1624</v>
      </c>
      <c r="M477" s="1059"/>
      <c r="N477" s="1059"/>
      <c r="T477" s="1011"/>
      <c r="U477" s="1133"/>
      <c r="V477" s="1012"/>
      <c r="AA477" s="1039" t="str">
        <f>VLOOKUP(L477,'25-BRA-I-090'!$I:$EZ,2,0)</f>
        <v>Đinh sắt</v>
      </c>
      <c r="AB477" s="1039" t="str">
        <f>VLOOKUP(L477,'25-BRA-I-090'!$I:$EZ,3,0)</f>
        <v>đinh sắt 15 cm</v>
      </c>
      <c r="AC477" s="1039" t="str">
        <f>VLOOKUP(L477,'25-BRA-I-090'!$I:$EZ,5,0)</f>
        <v>Pcs</v>
      </c>
      <c r="AD477" s="1039">
        <f>SUMIFS('25-BRA-I-090'!$CS:$CS,'25-BRA-I-090'!$I:$I,L477)</f>
        <v>1500</v>
      </c>
      <c r="AE477" s="1039">
        <f>SUMIFS('25-BRA-I-090'!$CT:$CT,'25-BRA-I-090'!$I:$I,L477)</f>
        <v>0</v>
      </c>
      <c r="AF477" s="1039">
        <f>SUMIFS('25-BRA-I-090'!$CW:$CW,'25-BRA-I-090'!$I:$I,L477)</f>
        <v>0</v>
      </c>
      <c r="AG477" s="1039">
        <f>SUMIFS('25-BRA-I-090'!$CX:$CX,'25-BRA-I-090'!$I:$I,L477)</f>
        <v>0</v>
      </c>
      <c r="AH477" s="1040">
        <f>SUMIFS('25-BRA-I-090'!$DJ:$DJ,'25-BRA-I-090'!$I:$I,L477)+SUMIFS('25-BRA-I-090'!$EC:$EC,'25-BRA-I-090'!$I:$I,L477)</f>
        <v>500</v>
      </c>
      <c r="AI477" s="1040">
        <f>SUMIFS('25-BRA-I-090'!$DK:$DK,'25-BRA-I-090'!$I:$I,L477)+SUMIFS('25-BRA-I-090'!$ED:$ED,'25-BRA-I-090'!$I:$I,L477)</f>
        <v>0</v>
      </c>
      <c r="AJ477" s="1040">
        <f>SUMIFS('25-BRA-I-090'!$DO:$DO,'25-BRA-I-090'!$I:$I,L477)+26400*SUMIFS('25-BRA-I-090'!$EF:$EF,'25-BRA-I-090'!$I:$I,L477)</f>
        <v>1000000</v>
      </c>
      <c r="AL477" s="1092"/>
      <c r="AM477" s="1039"/>
    </row>
    <row r="478" spans="1:39" s="1010" customFormat="1" ht="30">
      <c r="A478" s="1106"/>
      <c r="B478" s="1057" t="str">
        <f t="shared" si="80"/>
        <v>Bolt-M12x40-ISO4017-8.8-Galv</v>
      </c>
      <c r="C478" s="1058">
        <f>VLOOKUP(L478,'25-BRA-I-090'!$I:$EZ,4,0)</f>
        <v>0</v>
      </c>
      <c r="D478" s="374" t="str">
        <f t="shared" si="81"/>
        <v>Pcs</v>
      </c>
      <c r="E478" s="183"/>
      <c r="F478" s="184">
        <f t="shared" si="82"/>
        <v>280</v>
      </c>
      <c r="G478" s="185">
        <f t="shared" si="82"/>
        <v>0</v>
      </c>
      <c r="H478" s="185">
        <f t="shared" si="82"/>
        <v>0</v>
      </c>
      <c r="I478" s="185">
        <f t="shared" si="83"/>
        <v>280</v>
      </c>
      <c r="J478" s="185">
        <f t="shared" si="84"/>
        <v>2100</v>
      </c>
      <c r="K478" s="185">
        <f t="shared" si="85"/>
        <v>588000</v>
      </c>
      <c r="L478" s="1190" t="s">
        <v>1778</v>
      </c>
      <c r="M478" s="1059"/>
      <c r="N478" s="1059"/>
      <c r="T478" s="1011"/>
      <c r="U478" s="1133"/>
      <c r="V478" s="1012"/>
      <c r="AA478" s="1039" t="str">
        <f>VLOOKUP(L478,'25-BRA-I-090'!$I:$EZ,2,0)</f>
        <v>Bu lông</v>
      </c>
      <c r="AB478" s="1039" t="str">
        <f>VLOOKUP(L478,'25-BRA-I-090'!$I:$EZ,3,0)</f>
        <v>Bolt-M12x40-ISO4017-8.8-Galv</v>
      </c>
      <c r="AC478" s="1039" t="str">
        <f>VLOOKUP(L478,'25-BRA-I-090'!$I:$EZ,5,0)</f>
        <v>Pcs</v>
      </c>
      <c r="AD478" s="1039">
        <f>SUMIFS('25-BRA-I-090'!$CS:$CS,'25-BRA-I-090'!$I:$I,L478)</f>
        <v>280</v>
      </c>
      <c r="AE478" s="1039">
        <f>SUMIFS('25-BRA-I-090'!$CT:$CT,'25-BRA-I-090'!$I:$I,L478)</f>
        <v>0</v>
      </c>
      <c r="AF478" s="1039">
        <f>SUMIFS('25-BRA-I-090'!$CW:$CW,'25-BRA-I-090'!$I:$I,L478)</f>
        <v>0</v>
      </c>
      <c r="AG478" s="1039">
        <f>SUMIFS('25-BRA-I-090'!$CX:$CX,'25-BRA-I-090'!$I:$I,L478)</f>
        <v>0</v>
      </c>
      <c r="AH478" s="1040">
        <f>SUMIFS('25-BRA-I-090'!$DJ:$DJ,'25-BRA-I-090'!$I:$I,L478)+SUMIFS('25-BRA-I-090'!$EC:$EC,'25-BRA-I-090'!$I:$I,L478)</f>
        <v>280</v>
      </c>
      <c r="AI478" s="1040">
        <f>SUMIFS('25-BRA-I-090'!$DK:$DK,'25-BRA-I-090'!$I:$I,L478)+SUMIFS('25-BRA-I-090'!$ED:$ED,'25-BRA-I-090'!$I:$I,L478)</f>
        <v>0</v>
      </c>
      <c r="AJ478" s="1040">
        <f>SUMIFS('25-BRA-I-090'!$DO:$DO,'25-BRA-I-090'!$I:$I,L478)+26400*SUMIFS('25-BRA-I-090'!$EF:$EF,'25-BRA-I-090'!$I:$I,L478)</f>
        <v>588000</v>
      </c>
      <c r="AL478" s="1092"/>
      <c r="AM478" s="1039"/>
    </row>
    <row r="479" spans="1:39" s="1010" customFormat="1" ht="30">
      <c r="A479" s="1106"/>
      <c r="B479" s="1057" t="str">
        <f t="shared" si="80"/>
        <v>Bolt-M16x65-ISO4017-8.8-Galv</v>
      </c>
      <c r="C479" s="1058">
        <f>VLOOKUP(L479,'25-BRA-I-090'!$I:$EZ,4,0)</f>
        <v>0</v>
      </c>
      <c r="D479" s="374" t="str">
        <f t="shared" si="81"/>
        <v>Pcs</v>
      </c>
      <c r="E479" s="183"/>
      <c r="F479" s="184">
        <f t="shared" si="82"/>
        <v>104</v>
      </c>
      <c r="G479" s="185">
        <f t="shared" si="82"/>
        <v>0</v>
      </c>
      <c r="H479" s="185">
        <f t="shared" si="82"/>
        <v>0</v>
      </c>
      <c r="I479" s="185">
        <f t="shared" si="83"/>
        <v>104</v>
      </c>
      <c r="J479" s="185">
        <f t="shared" si="84"/>
        <v>5800</v>
      </c>
      <c r="K479" s="185">
        <f t="shared" si="85"/>
        <v>603200</v>
      </c>
      <c r="L479" s="1190" t="s">
        <v>1779</v>
      </c>
      <c r="M479" s="1059"/>
      <c r="N479" s="1059"/>
      <c r="T479" s="1011"/>
      <c r="U479" s="1133"/>
      <c r="V479" s="1012"/>
      <c r="AA479" s="1039" t="str">
        <f>VLOOKUP(L479,'25-BRA-I-090'!$I:$EZ,2,0)</f>
        <v>Bu lông</v>
      </c>
      <c r="AB479" s="1039" t="str">
        <f>VLOOKUP(L479,'25-BRA-I-090'!$I:$EZ,3,0)</f>
        <v>Bolt-M16x65-ISO4017-8.8-Galv</v>
      </c>
      <c r="AC479" s="1039" t="str">
        <f>VLOOKUP(L479,'25-BRA-I-090'!$I:$EZ,5,0)</f>
        <v>Pcs</v>
      </c>
      <c r="AD479" s="1039">
        <f>SUMIFS('25-BRA-I-090'!$CS:$CS,'25-BRA-I-090'!$I:$I,L479)</f>
        <v>104</v>
      </c>
      <c r="AE479" s="1039">
        <f>SUMIFS('25-BRA-I-090'!$CT:$CT,'25-BRA-I-090'!$I:$I,L479)</f>
        <v>0</v>
      </c>
      <c r="AF479" s="1039">
        <f>SUMIFS('25-BRA-I-090'!$CW:$CW,'25-BRA-I-090'!$I:$I,L479)</f>
        <v>0</v>
      </c>
      <c r="AG479" s="1039">
        <f>SUMIFS('25-BRA-I-090'!$CX:$CX,'25-BRA-I-090'!$I:$I,L479)</f>
        <v>0</v>
      </c>
      <c r="AH479" s="1040">
        <f>SUMIFS('25-BRA-I-090'!$DJ:$DJ,'25-BRA-I-090'!$I:$I,L479)+SUMIFS('25-BRA-I-090'!$EC:$EC,'25-BRA-I-090'!$I:$I,L479)</f>
        <v>104</v>
      </c>
      <c r="AI479" s="1040">
        <f>SUMIFS('25-BRA-I-090'!$DK:$DK,'25-BRA-I-090'!$I:$I,L479)+SUMIFS('25-BRA-I-090'!$ED:$ED,'25-BRA-I-090'!$I:$I,L479)</f>
        <v>0</v>
      </c>
      <c r="AJ479" s="1040">
        <f>SUMIFS('25-BRA-I-090'!$DO:$DO,'25-BRA-I-090'!$I:$I,L479)+26400*SUMIFS('25-BRA-I-090'!$EF:$EF,'25-BRA-I-090'!$I:$I,L479)</f>
        <v>603200</v>
      </c>
      <c r="AL479" s="1092"/>
      <c r="AM479" s="1039"/>
    </row>
    <row r="480" spans="1:39" s="1010" customFormat="1" ht="30">
      <c r="A480" s="1106"/>
      <c r="B480" s="1057" t="str">
        <f t="shared" si="80"/>
        <v>Bolt-M16x70-DIN933-8.8-Galv</v>
      </c>
      <c r="C480" s="1058">
        <f>VLOOKUP(L480,'25-BRA-I-090'!$I:$EZ,4,0)</f>
        <v>0</v>
      </c>
      <c r="D480" s="374" t="str">
        <f t="shared" si="81"/>
        <v>Pcs</v>
      </c>
      <c r="E480" s="183"/>
      <c r="F480" s="184">
        <f t="shared" si="82"/>
        <v>51</v>
      </c>
      <c r="G480" s="185">
        <f t="shared" si="82"/>
        <v>0</v>
      </c>
      <c r="H480" s="185">
        <f t="shared" si="82"/>
        <v>0</v>
      </c>
      <c r="I480" s="185">
        <f t="shared" si="83"/>
        <v>51</v>
      </c>
      <c r="J480" s="185">
        <f t="shared" si="84"/>
        <v>5800</v>
      </c>
      <c r="K480" s="185">
        <f t="shared" si="85"/>
        <v>295800</v>
      </c>
      <c r="L480" s="1190" t="s">
        <v>1781</v>
      </c>
      <c r="M480" s="1059"/>
      <c r="N480" s="1059"/>
      <c r="T480" s="1011"/>
      <c r="U480" s="1133"/>
      <c r="V480" s="1012"/>
      <c r="AA480" s="1039" t="str">
        <f>VLOOKUP(L480,'25-BRA-I-090'!$I:$EZ,2,0)</f>
        <v>Bu lông</v>
      </c>
      <c r="AB480" s="1039" t="str">
        <f>VLOOKUP(L480,'25-BRA-I-090'!$I:$EZ,3,0)</f>
        <v>Bolt-M16x70-DIN933-8.8-Galv</v>
      </c>
      <c r="AC480" s="1039" t="str">
        <f>VLOOKUP(L480,'25-BRA-I-090'!$I:$EZ,5,0)</f>
        <v>Pcs</v>
      </c>
      <c r="AD480" s="1039">
        <f>SUMIFS('25-BRA-I-090'!$CS:$CS,'25-BRA-I-090'!$I:$I,L480)</f>
        <v>51</v>
      </c>
      <c r="AE480" s="1039">
        <f>SUMIFS('25-BRA-I-090'!$CT:$CT,'25-BRA-I-090'!$I:$I,L480)</f>
        <v>0</v>
      </c>
      <c r="AF480" s="1039">
        <f>SUMIFS('25-BRA-I-090'!$CW:$CW,'25-BRA-I-090'!$I:$I,L480)</f>
        <v>0</v>
      </c>
      <c r="AG480" s="1039">
        <f>SUMIFS('25-BRA-I-090'!$CX:$CX,'25-BRA-I-090'!$I:$I,L480)</f>
        <v>0</v>
      </c>
      <c r="AH480" s="1040">
        <f>SUMIFS('25-BRA-I-090'!$DJ:$DJ,'25-BRA-I-090'!$I:$I,L480)+SUMIFS('25-BRA-I-090'!$EC:$EC,'25-BRA-I-090'!$I:$I,L480)</f>
        <v>51</v>
      </c>
      <c r="AI480" s="1040">
        <f>SUMIFS('25-BRA-I-090'!$DK:$DK,'25-BRA-I-090'!$I:$I,L480)+SUMIFS('25-BRA-I-090'!$ED:$ED,'25-BRA-I-090'!$I:$I,L480)</f>
        <v>0</v>
      </c>
      <c r="AJ480" s="1040">
        <f>SUMIFS('25-BRA-I-090'!$DO:$DO,'25-BRA-I-090'!$I:$I,L480)+26400*SUMIFS('25-BRA-I-090'!$EF:$EF,'25-BRA-I-090'!$I:$I,L480)</f>
        <v>295800</v>
      </c>
      <c r="AL480" s="1092"/>
      <c r="AM480" s="1039"/>
    </row>
    <row r="481" spans="1:39" s="1010" customFormat="1" ht="30">
      <c r="A481" s="1106"/>
      <c r="B481" s="1057" t="str">
        <f t="shared" si="80"/>
        <v>Bolt-M20x100-DIN933-8.8-Galv</v>
      </c>
      <c r="C481" s="1058">
        <f>VLOOKUP(L481,'25-BRA-I-090'!$I:$EZ,4,0)</f>
        <v>0</v>
      </c>
      <c r="D481" s="374" t="str">
        <f t="shared" si="81"/>
        <v>Pcs</v>
      </c>
      <c r="E481" s="183"/>
      <c r="F481" s="184">
        <f t="shared" si="82"/>
        <v>24</v>
      </c>
      <c r="G481" s="185">
        <f t="shared" si="82"/>
        <v>0</v>
      </c>
      <c r="H481" s="185">
        <f t="shared" si="82"/>
        <v>0</v>
      </c>
      <c r="I481" s="185">
        <f t="shared" si="83"/>
        <v>24</v>
      </c>
      <c r="J481" s="185">
        <f t="shared" si="84"/>
        <v>12700</v>
      </c>
      <c r="K481" s="185">
        <f t="shared" si="85"/>
        <v>304800</v>
      </c>
      <c r="L481" s="1190" t="s">
        <v>1783</v>
      </c>
      <c r="M481" s="1059"/>
      <c r="N481" s="1059"/>
      <c r="T481" s="1011"/>
      <c r="U481" s="1133"/>
      <c r="V481" s="1012"/>
      <c r="AA481" s="1039" t="str">
        <f>VLOOKUP(L481,'25-BRA-I-090'!$I:$EZ,2,0)</f>
        <v>Bu lông</v>
      </c>
      <c r="AB481" s="1039" t="str">
        <f>VLOOKUP(L481,'25-BRA-I-090'!$I:$EZ,3,0)</f>
        <v>Bolt-M20x100-DIN933-8.8-Galv</v>
      </c>
      <c r="AC481" s="1039" t="str">
        <f>VLOOKUP(L481,'25-BRA-I-090'!$I:$EZ,5,0)</f>
        <v>Pcs</v>
      </c>
      <c r="AD481" s="1039">
        <f>SUMIFS('25-BRA-I-090'!$CS:$CS,'25-BRA-I-090'!$I:$I,L481)</f>
        <v>24</v>
      </c>
      <c r="AE481" s="1039">
        <f>SUMIFS('25-BRA-I-090'!$CT:$CT,'25-BRA-I-090'!$I:$I,L481)</f>
        <v>0</v>
      </c>
      <c r="AF481" s="1039">
        <f>SUMIFS('25-BRA-I-090'!$CW:$CW,'25-BRA-I-090'!$I:$I,L481)</f>
        <v>0</v>
      </c>
      <c r="AG481" s="1039">
        <f>SUMIFS('25-BRA-I-090'!$CX:$CX,'25-BRA-I-090'!$I:$I,L481)</f>
        <v>0</v>
      </c>
      <c r="AH481" s="1040">
        <f>SUMIFS('25-BRA-I-090'!$DJ:$DJ,'25-BRA-I-090'!$I:$I,L481)+SUMIFS('25-BRA-I-090'!$EC:$EC,'25-BRA-I-090'!$I:$I,L481)</f>
        <v>24</v>
      </c>
      <c r="AI481" s="1040">
        <f>SUMIFS('25-BRA-I-090'!$DK:$DK,'25-BRA-I-090'!$I:$I,L481)+SUMIFS('25-BRA-I-090'!$ED:$ED,'25-BRA-I-090'!$I:$I,L481)</f>
        <v>0</v>
      </c>
      <c r="AJ481" s="1040">
        <f>SUMIFS('25-BRA-I-090'!$DO:$DO,'25-BRA-I-090'!$I:$I,L481)+26400*SUMIFS('25-BRA-I-090'!$EF:$EF,'25-BRA-I-090'!$I:$I,L481)</f>
        <v>304800</v>
      </c>
      <c r="AL481" s="1092"/>
      <c r="AM481" s="1039"/>
    </row>
    <row r="482" spans="1:39" s="1010" customFormat="1" ht="30">
      <c r="A482" s="1106"/>
      <c r="B482" s="1057" t="str">
        <f t="shared" si="80"/>
        <v>Bolt-M20x80-DIN933-8.8-Galv</v>
      </c>
      <c r="C482" s="1058">
        <f>VLOOKUP(L482,'25-BRA-I-090'!$I:$EZ,4,0)</f>
        <v>0</v>
      </c>
      <c r="D482" s="374" t="str">
        <f t="shared" si="81"/>
        <v>Pcs</v>
      </c>
      <c r="E482" s="183"/>
      <c r="F482" s="184">
        <f t="shared" si="82"/>
        <v>192</v>
      </c>
      <c r="G482" s="185">
        <f t="shared" si="82"/>
        <v>0</v>
      </c>
      <c r="H482" s="185">
        <f t="shared" si="82"/>
        <v>0</v>
      </c>
      <c r="I482" s="185">
        <f t="shared" si="83"/>
        <v>192</v>
      </c>
      <c r="J482" s="185">
        <f t="shared" si="84"/>
        <v>11000</v>
      </c>
      <c r="K482" s="185">
        <f t="shared" si="85"/>
        <v>2112000</v>
      </c>
      <c r="L482" s="1190" t="s">
        <v>1785</v>
      </c>
      <c r="M482" s="1059"/>
      <c r="N482" s="1059"/>
      <c r="T482" s="1011"/>
      <c r="U482" s="1133"/>
      <c r="V482" s="1012"/>
      <c r="AA482" s="1039" t="str">
        <f>VLOOKUP(L482,'25-BRA-I-090'!$I:$EZ,2,0)</f>
        <v>Bu lông</v>
      </c>
      <c r="AB482" s="1039" t="str">
        <f>VLOOKUP(L482,'25-BRA-I-090'!$I:$EZ,3,0)</f>
        <v>Bolt-M20x80-DIN933-8.8-Galv</v>
      </c>
      <c r="AC482" s="1039" t="str">
        <f>VLOOKUP(L482,'25-BRA-I-090'!$I:$EZ,5,0)</f>
        <v>Pcs</v>
      </c>
      <c r="AD482" s="1039">
        <f>SUMIFS('25-BRA-I-090'!$CS:$CS,'25-BRA-I-090'!$I:$I,L482)</f>
        <v>192</v>
      </c>
      <c r="AE482" s="1039">
        <f>SUMIFS('25-BRA-I-090'!$CT:$CT,'25-BRA-I-090'!$I:$I,L482)</f>
        <v>0</v>
      </c>
      <c r="AF482" s="1039">
        <f>SUMIFS('25-BRA-I-090'!$CW:$CW,'25-BRA-I-090'!$I:$I,L482)</f>
        <v>0</v>
      </c>
      <c r="AG482" s="1039">
        <f>SUMIFS('25-BRA-I-090'!$CX:$CX,'25-BRA-I-090'!$I:$I,L482)</f>
        <v>0</v>
      </c>
      <c r="AH482" s="1040">
        <f>SUMIFS('25-BRA-I-090'!$DJ:$DJ,'25-BRA-I-090'!$I:$I,L482)+SUMIFS('25-BRA-I-090'!$EC:$EC,'25-BRA-I-090'!$I:$I,L482)</f>
        <v>192</v>
      </c>
      <c r="AI482" s="1040">
        <f>SUMIFS('25-BRA-I-090'!$DK:$DK,'25-BRA-I-090'!$I:$I,L482)+SUMIFS('25-BRA-I-090'!$ED:$ED,'25-BRA-I-090'!$I:$I,L482)</f>
        <v>0</v>
      </c>
      <c r="AJ482" s="1040">
        <f>SUMIFS('25-BRA-I-090'!$DO:$DO,'25-BRA-I-090'!$I:$I,L482)+26400*SUMIFS('25-BRA-I-090'!$EF:$EF,'25-BRA-I-090'!$I:$I,L482)</f>
        <v>2112000</v>
      </c>
      <c r="AL482" s="1092"/>
      <c r="AM482" s="1039"/>
    </row>
    <row r="483" spans="1:39" s="1010" customFormat="1" ht="30">
      <c r="A483" s="1106"/>
      <c r="B483" s="1057" t="str">
        <f t="shared" si="80"/>
        <v>Bolt-M20x85-DIN933-8.8-Galv</v>
      </c>
      <c r="C483" s="1058">
        <f>VLOOKUP(L483,'25-BRA-I-090'!$I:$EZ,4,0)</f>
        <v>0</v>
      </c>
      <c r="D483" s="374" t="str">
        <f t="shared" si="81"/>
        <v>Pcs</v>
      </c>
      <c r="E483" s="183"/>
      <c r="F483" s="184">
        <f t="shared" si="82"/>
        <v>56</v>
      </c>
      <c r="G483" s="185">
        <f t="shared" si="82"/>
        <v>0</v>
      </c>
      <c r="H483" s="185">
        <f t="shared" si="82"/>
        <v>0</v>
      </c>
      <c r="I483" s="185">
        <f t="shared" si="83"/>
        <v>56</v>
      </c>
      <c r="J483" s="185">
        <f t="shared" si="84"/>
        <v>12000</v>
      </c>
      <c r="K483" s="185">
        <f t="shared" si="85"/>
        <v>672000</v>
      </c>
      <c r="L483" s="1190" t="s">
        <v>1787</v>
      </c>
      <c r="M483" s="1059"/>
      <c r="N483" s="1059"/>
      <c r="T483" s="1011"/>
      <c r="U483" s="1133"/>
      <c r="V483" s="1012"/>
      <c r="AA483" s="1039" t="str">
        <f>VLOOKUP(L483,'25-BRA-I-090'!$I:$EZ,2,0)</f>
        <v>Bu lông</v>
      </c>
      <c r="AB483" s="1039" t="str">
        <f>VLOOKUP(L483,'25-BRA-I-090'!$I:$EZ,3,0)</f>
        <v>Bolt-M20x85-DIN933-8.8-Galv</v>
      </c>
      <c r="AC483" s="1039" t="str">
        <f>VLOOKUP(L483,'25-BRA-I-090'!$I:$EZ,5,0)</f>
        <v>Pcs</v>
      </c>
      <c r="AD483" s="1039">
        <f>SUMIFS('25-BRA-I-090'!$CS:$CS,'25-BRA-I-090'!$I:$I,L483)</f>
        <v>56</v>
      </c>
      <c r="AE483" s="1039">
        <f>SUMIFS('25-BRA-I-090'!$CT:$CT,'25-BRA-I-090'!$I:$I,L483)</f>
        <v>0</v>
      </c>
      <c r="AF483" s="1039">
        <f>SUMIFS('25-BRA-I-090'!$CW:$CW,'25-BRA-I-090'!$I:$I,L483)</f>
        <v>0</v>
      </c>
      <c r="AG483" s="1039">
        <f>SUMIFS('25-BRA-I-090'!$CX:$CX,'25-BRA-I-090'!$I:$I,L483)</f>
        <v>0</v>
      </c>
      <c r="AH483" s="1040">
        <f>SUMIFS('25-BRA-I-090'!$DJ:$DJ,'25-BRA-I-090'!$I:$I,L483)+SUMIFS('25-BRA-I-090'!$EC:$EC,'25-BRA-I-090'!$I:$I,L483)</f>
        <v>56</v>
      </c>
      <c r="AI483" s="1040">
        <f>SUMIFS('25-BRA-I-090'!$DK:$DK,'25-BRA-I-090'!$I:$I,L483)+SUMIFS('25-BRA-I-090'!$ED:$ED,'25-BRA-I-090'!$I:$I,L483)</f>
        <v>0</v>
      </c>
      <c r="AJ483" s="1040">
        <f>SUMIFS('25-BRA-I-090'!$DO:$DO,'25-BRA-I-090'!$I:$I,L483)+26400*SUMIFS('25-BRA-I-090'!$EF:$EF,'25-BRA-I-090'!$I:$I,L483)</f>
        <v>672000</v>
      </c>
      <c r="AL483" s="1092"/>
      <c r="AM483" s="1039"/>
    </row>
    <row r="484" spans="1:39" s="1010" customFormat="1" ht="30">
      <c r="A484" s="1106"/>
      <c r="B484" s="1057" t="str">
        <f t="shared" si="80"/>
        <v>Bolt-M24x110-DIN933-8.8-Galv</v>
      </c>
      <c r="C484" s="1058">
        <f>VLOOKUP(L484,'25-BRA-I-090'!$I:$EZ,4,0)</f>
        <v>0</v>
      </c>
      <c r="D484" s="374" t="str">
        <f t="shared" si="81"/>
        <v>Pcs</v>
      </c>
      <c r="E484" s="183"/>
      <c r="F484" s="184">
        <f t="shared" si="82"/>
        <v>72</v>
      </c>
      <c r="G484" s="185">
        <f t="shared" si="82"/>
        <v>0</v>
      </c>
      <c r="H484" s="185">
        <f t="shared" si="82"/>
        <v>0</v>
      </c>
      <c r="I484" s="185">
        <f t="shared" si="83"/>
        <v>72</v>
      </c>
      <c r="J484" s="185">
        <f t="shared" si="84"/>
        <v>20800</v>
      </c>
      <c r="K484" s="185">
        <f t="shared" si="85"/>
        <v>1497600</v>
      </c>
      <c r="L484" s="1190" t="s">
        <v>1789</v>
      </c>
      <c r="M484" s="1059"/>
      <c r="N484" s="1059"/>
      <c r="T484" s="1011"/>
      <c r="U484" s="1133"/>
      <c r="V484" s="1012"/>
      <c r="AA484" s="1039" t="str">
        <f>VLOOKUP(L484,'25-BRA-I-090'!$I:$EZ,2,0)</f>
        <v>Bu lông</v>
      </c>
      <c r="AB484" s="1039" t="str">
        <f>VLOOKUP(L484,'25-BRA-I-090'!$I:$EZ,3,0)</f>
        <v>Bolt-M24x110-DIN933-8.8-Galv</v>
      </c>
      <c r="AC484" s="1039" t="str">
        <f>VLOOKUP(L484,'25-BRA-I-090'!$I:$EZ,5,0)</f>
        <v>Pcs</v>
      </c>
      <c r="AD484" s="1039">
        <f>SUMIFS('25-BRA-I-090'!$CS:$CS,'25-BRA-I-090'!$I:$I,L484)</f>
        <v>72</v>
      </c>
      <c r="AE484" s="1039">
        <f>SUMIFS('25-BRA-I-090'!$CT:$CT,'25-BRA-I-090'!$I:$I,L484)</f>
        <v>0</v>
      </c>
      <c r="AF484" s="1039">
        <f>SUMIFS('25-BRA-I-090'!$CW:$CW,'25-BRA-I-090'!$I:$I,L484)</f>
        <v>0</v>
      </c>
      <c r="AG484" s="1039">
        <f>SUMIFS('25-BRA-I-090'!$CX:$CX,'25-BRA-I-090'!$I:$I,L484)</f>
        <v>0</v>
      </c>
      <c r="AH484" s="1040">
        <f>SUMIFS('25-BRA-I-090'!$DJ:$DJ,'25-BRA-I-090'!$I:$I,L484)+SUMIFS('25-BRA-I-090'!$EC:$EC,'25-BRA-I-090'!$I:$I,L484)</f>
        <v>72</v>
      </c>
      <c r="AI484" s="1040">
        <f>SUMIFS('25-BRA-I-090'!$DK:$DK,'25-BRA-I-090'!$I:$I,L484)+SUMIFS('25-BRA-I-090'!$ED:$ED,'25-BRA-I-090'!$I:$I,L484)</f>
        <v>0</v>
      </c>
      <c r="AJ484" s="1040">
        <f>SUMIFS('25-BRA-I-090'!$DO:$DO,'25-BRA-I-090'!$I:$I,L484)+26400*SUMIFS('25-BRA-I-090'!$EF:$EF,'25-BRA-I-090'!$I:$I,L484)</f>
        <v>1497600</v>
      </c>
      <c r="AL484" s="1092"/>
      <c r="AM484" s="1039"/>
    </row>
    <row r="485" spans="1:39" s="1010" customFormat="1" ht="30">
      <c r="A485" s="1106"/>
      <c r="B485" s="1057" t="str">
        <f t="shared" si="80"/>
        <v>Bolt-M24x85-DIN933-8.8-Galv</v>
      </c>
      <c r="C485" s="1058">
        <f>VLOOKUP(L485,'25-BRA-I-090'!$I:$EZ,4,0)</f>
        <v>0</v>
      </c>
      <c r="D485" s="374" t="str">
        <f t="shared" si="81"/>
        <v>Pcs</v>
      </c>
      <c r="E485" s="183"/>
      <c r="F485" s="184">
        <f t="shared" si="82"/>
        <v>72</v>
      </c>
      <c r="G485" s="185">
        <f t="shared" si="82"/>
        <v>0</v>
      </c>
      <c r="H485" s="185">
        <f t="shared" si="82"/>
        <v>0</v>
      </c>
      <c r="I485" s="185">
        <f t="shared" si="83"/>
        <v>72</v>
      </c>
      <c r="J485" s="185">
        <f t="shared" si="84"/>
        <v>18000</v>
      </c>
      <c r="K485" s="185">
        <f t="shared" si="85"/>
        <v>1296000</v>
      </c>
      <c r="L485" s="1190" t="s">
        <v>1791</v>
      </c>
      <c r="M485" s="1059"/>
      <c r="N485" s="1059"/>
      <c r="T485" s="1011"/>
      <c r="U485" s="1133"/>
      <c r="V485" s="1012"/>
      <c r="AA485" s="1039" t="str">
        <f>VLOOKUP(L485,'25-BRA-I-090'!$I:$EZ,2,0)</f>
        <v>Bu lông</v>
      </c>
      <c r="AB485" s="1039" t="str">
        <f>VLOOKUP(L485,'25-BRA-I-090'!$I:$EZ,3,0)</f>
        <v>Bolt-M24x85-DIN933-8.8-Galv</v>
      </c>
      <c r="AC485" s="1039" t="str">
        <f>VLOOKUP(L485,'25-BRA-I-090'!$I:$EZ,5,0)</f>
        <v>Pcs</v>
      </c>
      <c r="AD485" s="1039">
        <f>SUMIFS('25-BRA-I-090'!$CS:$CS,'25-BRA-I-090'!$I:$I,L485)</f>
        <v>72</v>
      </c>
      <c r="AE485" s="1039">
        <f>SUMIFS('25-BRA-I-090'!$CT:$CT,'25-BRA-I-090'!$I:$I,L485)</f>
        <v>0</v>
      </c>
      <c r="AF485" s="1039">
        <f>SUMIFS('25-BRA-I-090'!$CW:$CW,'25-BRA-I-090'!$I:$I,L485)</f>
        <v>0</v>
      </c>
      <c r="AG485" s="1039">
        <f>SUMIFS('25-BRA-I-090'!$CX:$CX,'25-BRA-I-090'!$I:$I,L485)</f>
        <v>0</v>
      </c>
      <c r="AH485" s="1040">
        <f>SUMIFS('25-BRA-I-090'!$DJ:$DJ,'25-BRA-I-090'!$I:$I,L485)+SUMIFS('25-BRA-I-090'!$EC:$EC,'25-BRA-I-090'!$I:$I,L485)</f>
        <v>72</v>
      </c>
      <c r="AI485" s="1040">
        <f>SUMIFS('25-BRA-I-090'!$DK:$DK,'25-BRA-I-090'!$I:$I,L485)+SUMIFS('25-BRA-I-090'!$ED:$ED,'25-BRA-I-090'!$I:$I,L485)</f>
        <v>0</v>
      </c>
      <c r="AJ485" s="1040">
        <f>SUMIFS('25-BRA-I-090'!$DO:$DO,'25-BRA-I-090'!$I:$I,L485)+26400*SUMIFS('25-BRA-I-090'!$EF:$EF,'25-BRA-I-090'!$I:$I,L485)</f>
        <v>1296000</v>
      </c>
      <c r="AL485" s="1092"/>
      <c r="AM485" s="1039"/>
    </row>
    <row r="486" spans="1:39" s="1010" customFormat="1" ht="30">
      <c r="A486" s="1106"/>
      <c r="B486" s="1057" t="str">
        <f t="shared" si="80"/>
        <v>Bolt-M24x90-DIN933-8.8-Galv</v>
      </c>
      <c r="C486" s="1058">
        <f>VLOOKUP(L486,'25-BRA-I-090'!$I:$EZ,4,0)</f>
        <v>0</v>
      </c>
      <c r="D486" s="374" t="str">
        <f t="shared" si="81"/>
        <v>Pcs</v>
      </c>
      <c r="E486" s="183"/>
      <c r="F486" s="184">
        <f t="shared" si="82"/>
        <v>48</v>
      </c>
      <c r="G486" s="185">
        <f t="shared" si="82"/>
        <v>0</v>
      </c>
      <c r="H486" s="185">
        <f t="shared" si="82"/>
        <v>0</v>
      </c>
      <c r="I486" s="185">
        <f t="shared" si="83"/>
        <v>48</v>
      </c>
      <c r="J486" s="185">
        <f t="shared" si="84"/>
        <v>18000</v>
      </c>
      <c r="K486" s="185">
        <f t="shared" si="85"/>
        <v>864000</v>
      </c>
      <c r="L486" s="1190" t="s">
        <v>1793</v>
      </c>
      <c r="M486" s="1059"/>
      <c r="N486" s="1059"/>
      <c r="T486" s="1011"/>
      <c r="U486" s="1133"/>
      <c r="V486" s="1012"/>
      <c r="AA486" s="1039" t="str">
        <f>VLOOKUP(L486,'25-BRA-I-090'!$I:$EZ,2,0)</f>
        <v>Bu lông</v>
      </c>
      <c r="AB486" s="1039" t="str">
        <f>VLOOKUP(L486,'25-BRA-I-090'!$I:$EZ,3,0)</f>
        <v>Bolt-M24x90-DIN933-8.8-Galv</v>
      </c>
      <c r="AC486" s="1039" t="str">
        <f>VLOOKUP(L486,'25-BRA-I-090'!$I:$EZ,5,0)</f>
        <v>Pcs</v>
      </c>
      <c r="AD486" s="1039">
        <f>SUMIFS('25-BRA-I-090'!$CS:$CS,'25-BRA-I-090'!$I:$I,L486)</f>
        <v>48</v>
      </c>
      <c r="AE486" s="1039">
        <f>SUMIFS('25-BRA-I-090'!$CT:$CT,'25-BRA-I-090'!$I:$I,L486)</f>
        <v>0</v>
      </c>
      <c r="AF486" s="1039">
        <f>SUMIFS('25-BRA-I-090'!$CW:$CW,'25-BRA-I-090'!$I:$I,L486)</f>
        <v>0</v>
      </c>
      <c r="AG486" s="1039">
        <f>SUMIFS('25-BRA-I-090'!$CX:$CX,'25-BRA-I-090'!$I:$I,L486)</f>
        <v>0</v>
      </c>
      <c r="AH486" s="1040">
        <f>SUMIFS('25-BRA-I-090'!$DJ:$DJ,'25-BRA-I-090'!$I:$I,L486)+SUMIFS('25-BRA-I-090'!$EC:$EC,'25-BRA-I-090'!$I:$I,L486)</f>
        <v>48</v>
      </c>
      <c r="AI486" s="1040">
        <f>SUMIFS('25-BRA-I-090'!$DK:$DK,'25-BRA-I-090'!$I:$I,L486)+SUMIFS('25-BRA-I-090'!$ED:$ED,'25-BRA-I-090'!$I:$I,L486)</f>
        <v>0</v>
      </c>
      <c r="AJ486" s="1040">
        <f>SUMIFS('25-BRA-I-090'!$DO:$DO,'25-BRA-I-090'!$I:$I,L486)+26400*SUMIFS('25-BRA-I-090'!$EF:$EF,'25-BRA-I-090'!$I:$I,L486)</f>
        <v>864000</v>
      </c>
      <c r="AL486" s="1092"/>
      <c r="AM486" s="1039"/>
    </row>
    <row r="487" spans="1:39" s="1010" customFormat="1" ht="30">
      <c r="A487" s="1106"/>
      <c r="B487" s="1057" t="str">
        <f t="shared" si="80"/>
        <v>Bolt-M30x100-DIN933-8.8-Galv</v>
      </c>
      <c r="C487" s="1058">
        <f>VLOOKUP(L487,'25-BRA-I-090'!$I:$EZ,4,0)</f>
        <v>0</v>
      </c>
      <c r="D487" s="374" t="str">
        <f t="shared" si="81"/>
        <v>Pcs</v>
      </c>
      <c r="E487" s="183"/>
      <c r="F487" s="184">
        <f t="shared" si="82"/>
        <v>72</v>
      </c>
      <c r="G487" s="185">
        <f t="shared" si="82"/>
        <v>0</v>
      </c>
      <c r="H487" s="185">
        <f t="shared" si="82"/>
        <v>0</v>
      </c>
      <c r="I487" s="185">
        <f t="shared" si="83"/>
        <v>72</v>
      </c>
      <c r="J487" s="185">
        <f t="shared" si="84"/>
        <v>44200</v>
      </c>
      <c r="K487" s="185">
        <f t="shared" si="85"/>
        <v>3182400</v>
      </c>
      <c r="L487" s="1190" t="s">
        <v>1795</v>
      </c>
      <c r="M487" s="1059"/>
      <c r="N487" s="1059"/>
      <c r="T487" s="1011"/>
      <c r="U487" s="1133"/>
      <c r="V487" s="1012"/>
      <c r="AA487" s="1039" t="str">
        <f>VLOOKUP(L487,'25-BRA-I-090'!$I:$EZ,2,0)</f>
        <v>Bu lông</v>
      </c>
      <c r="AB487" s="1039" t="str">
        <f>VLOOKUP(L487,'25-BRA-I-090'!$I:$EZ,3,0)</f>
        <v>Bolt-M30x100-DIN933-8.8-Galv</v>
      </c>
      <c r="AC487" s="1039" t="str">
        <f>VLOOKUP(L487,'25-BRA-I-090'!$I:$EZ,5,0)</f>
        <v>Pcs</v>
      </c>
      <c r="AD487" s="1039">
        <f>SUMIFS('25-BRA-I-090'!$CS:$CS,'25-BRA-I-090'!$I:$I,L487)</f>
        <v>72</v>
      </c>
      <c r="AE487" s="1039">
        <f>SUMIFS('25-BRA-I-090'!$CT:$CT,'25-BRA-I-090'!$I:$I,L487)</f>
        <v>0</v>
      </c>
      <c r="AF487" s="1039">
        <f>SUMIFS('25-BRA-I-090'!$CW:$CW,'25-BRA-I-090'!$I:$I,L487)</f>
        <v>0</v>
      </c>
      <c r="AG487" s="1039">
        <f>SUMIFS('25-BRA-I-090'!$CX:$CX,'25-BRA-I-090'!$I:$I,L487)</f>
        <v>0</v>
      </c>
      <c r="AH487" s="1040">
        <f>SUMIFS('25-BRA-I-090'!$DJ:$DJ,'25-BRA-I-090'!$I:$I,L487)+SUMIFS('25-BRA-I-090'!$EC:$EC,'25-BRA-I-090'!$I:$I,L487)</f>
        <v>72</v>
      </c>
      <c r="AI487" s="1040">
        <f>SUMIFS('25-BRA-I-090'!$DK:$DK,'25-BRA-I-090'!$I:$I,L487)+SUMIFS('25-BRA-I-090'!$ED:$ED,'25-BRA-I-090'!$I:$I,L487)</f>
        <v>0</v>
      </c>
      <c r="AJ487" s="1040">
        <f>SUMIFS('25-BRA-I-090'!$DO:$DO,'25-BRA-I-090'!$I:$I,L487)+26400*SUMIFS('25-BRA-I-090'!$EF:$EF,'25-BRA-I-090'!$I:$I,L487)</f>
        <v>3182400</v>
      </c>
      <c r="AL487" s="1092"/>
      <c r="AM487" s="1039"/>
    </row>
    <row r="488" spans="1:39" s="1010" customFormat="1" ht="30">
      <c r="A488" s="1106"/>
      <c r="B488" s="1057" t="str">
        <f t="shared" si="80"/>
        <v>Bolt-M36x100-DIN933-8.8-Galv</v>
      </c>
      <c r="C488" s="1058">
        <f>VLOOKUP(L488,'25-BRA-I-090'!$I:$EZ,4,0)</f>
        <v>0</v>
      </c>
      <c r="D488" s="374" t="str">
        <f t="shared" si="81"/>
        <v>Pcs</v>
      </c>
      <c r="E488" s="183"/>
      <c r="F488" s="184">
        <f t="shared" si="82"/>
        <v>48</v>
      </c>
      <c r="G488" s="185">
        <f t="shared" si="82"/>
        <v>0</v>
      </c>
      <c r="H488" s="185">
        <f t="shared" si="82"/>
        <v>0</v>
      </c>
      <c r="I488" s="185">
        <f t="shared" si="83"/>
        <v>48</v>
      </c>
      <c r="J488" s="185">
        <f t="shared" si="84"/>
        <v>61000</v>
      </c>
      <c r="K488" s="185">
        <f t="shared" si="85"/>
        <v>2928000</v>
      </c>
      <c r="L488" s="1190" t="s">
        <v>1797</v>
      </c>
      <c r="M488" s="1059"/>
      <c r="N488" s="1059"/>
      <c r="T488" s="1011"/>
      <c r="U488" s="1133"/>
      <c r="V488" s="1012"/>
      <c r="AA488" s="1039" t="str">
        <f>VLOOKUP(L488,'25-BRA-I-090'!$I:$EZ,2,0)</f>
        <v>Bu lông</v>
      </c>
      <c r="AB488" s="1039" t="str">
        <f>VLOOKUP(L488,'25-BRA-I-090'!$I:$EZ,3,0)</f>
        <v>Bolt-M36x100-DIN933-8.8-Galv</v>
      </c>
      <c r="AC488" s="1039" t="str">
        <f>VLOOKUP(L488,'25-BRA-I-090'!$I:$EZ,5,0)</f>
        <v>Pcs</v>
      </c>
      <c r="AD488" s="1039">
        <f>SUMIFS('25-BRA-I-090'!$CS:$CS,'25-BRA-I-090'!$I:$I,L488)</f>
        <v>48</v>
      </c>
      <c r="AE488" s="1039">
        <f>SUMIFS('25-BRA-I-090'!$CT:$CT,'25-BRA-I-090'!$I:$I,L488)</f>
        <v>0</v>
      </c>
      <c r="AF488" s="1039">
        <f>SUMIFS('25-BRA-I-090'!$CW:$CW,'25-BRA-I-090'!$I:$I,L488)</f>
        <v>0</v>
      </c>
      <c r="AG488" s="1039">
        <f>SUMIFS('25-BRA-I-090'!$CX:$CX,'25-BRA-I-090'!$I:$I,L488)</f>
        <v>0</v>
      </c>
      <c r="AH488" s="1040">
        <f>SUMIFS('25-BRA-I-090'!$DJ:$DJ,'25-BRA-I-090'!$I:$I,L488)+SUMIFS('25-BRA-I-090'!$EC:$EC,'25-BRA-I-090'!$I:$I,L488)</f>
        <v>48</v>
      </c>
      <c r="AI488" s="1040">
        <f>SUMIFS('25-BRA-I-090'!$DK:$DK,'25-BRA-I-090'!$I:$I,L488)+SUMIFS('25-BRA-I-090'!$ED:$ED,'25-BRA-I-090'!$I:$I,L488)</f>
        <v>0</v>
      </c>
      <c r="AJ488" s="1040">
        <f>SUMIFS('25-BRA-I-090'!$DO:$DO,'25-BRA-I-090'!$I:$I,L488)+26400*SUMIFS('25-BRA-I-090'!$EF:$EF,'25-BRA-I-090'!$I:$I,L488)</f>
        <v>2928000</v>
      </c>
      <c r="AL488" s="1092"/>
      <c r="AM488" s="1039"/>
    </row>
    <row r="489" spans="1:39" s="1010" customFormat="1" ht="30">
      <c r="A489" s="1106"/>
      <c r="B489" s="1057" t="str">
        <f t="shared" si="80"/>
        <v>Nut-M12-ISO4032-8.0-Galv</v>
      </c>
      <c r="C489" s="1058">
        <f>VLOOKUP(L489,'25-BRA-I-090'!$I:$EZ,4,0)</f>
        <v>0</v>
      </c>
      <c r="D489" s="374" t="str">
        <f t="shared" si="81"/>
        <v>Pcs</v>
      </c>
      <c r="E489" s="183"/>
      <c r="F489" s="184">
        <f t="shared" si="82"/>
        <v>280</v>
      </c>
      <c r="G489" s="185">
        <f t="shared" si="82"/>
        <v>0</v>
      </c>
      <c r="H489" s="185">
        <f t="shared" si="82"/>
        <v>0</v>
      </c>
      <c r="I489" s="185">
        <f t="shared" si="83"/>
        <v>280</v>
      </c>
      <c r="J489" s="185">
        <f t="shared" si="84"/>
        <v>690</v>
      </c>
      <c r="K489" s="185">
        <f t="shared" si="85"/>
        <v>193200</v>
      </c>
      <c r="L489" s="1190" t="s">
        <v>1799</v>
      </c>
      <c r="M489" s="1059"/>
      <c r="N489" s="1059"/>
      <c r="T489" s="1011"/>
      <c r="U489" s="1133"/>
      <c r="V489" s="1012"/>
      <c r="AA489" s="1039" t="str">
        <f>VLOOKUP(L489,'25-BRA-I-090'!$I:$EZ,2,0)</f>
        <v>Ốc</v>
      </c>
      <c r="AB489" s="1039" t="str">
        <f>VLOOKUP(L489,'25-BRA-I-090'!$I:$EZ,3,0)</f>
        <v>Nut-M12-ISO4032-8.0-Galv</v>
      </c>
      <c r="AC489" s="1039" t="str">
        <f>VLOOKUP(L489,'25-BRA-I-090'!$I:$EZ,5,0)</f>
        <v>Pcs</v>
      </c>
      <c r="AD489" s="1039">
        <f>SUMIFS('25-BRA-I-090'!$CS:$CS,'25-BRA-I-090'!$I:$I,L489)</f>
        <v>280</v>
      </c>
      <c r="AE489" s="1039">
        <f>SUMIFS('25-BRA-I-090'!$CT:$CT,'25-BRA-I-090'!$I:$I,L489)</f>
        <v>0</v>
      </c>
      <c r="AF489" s="1039">
        <f>SUMIFS('25-BRA-I-090'!$CW:$CW,'25-BRA-I-090'!$I:$I,L489)</f>
        <v>0</v>
      </c>
      <c r="AG489" s="1039">
        <f>SUMIFS('25-BRA-I-090'!$CX:$CX,'25-BRA-I-090'!$I:$I,L489)</f>
        <v>0</v>
      </c>
      <c r="AH489" s="1040">
        <f>SUMIFS('25-BRA-I-090'!$DJ:$DJ,'25-BRA-I-090'!$I:$I,L489)+SUMIFS('25-BRA-I-090'!$EC:$EC,'25-BRA-I-090'!$I:$I,L489)</f>
        <v>280</v>
      </c>
      <c r="AI489" s="1040">
        <f>SUMIFS('25-BRA-I-090'!$DK:$DK,'25-BRA-I-090'!$I:$I,L489)+SUMIFS('25-BRA-I-090'!$ED:$ED,'25-BRA-I-090'!$I:$I,L489)</f>
        <v>0</v>
      </c>
      <c r="AJ489" s="1040">
        <f>SUMIFS('25-BRA-I-090'!$DO:$DO,'25-BRA-I-090'!$I:$I,L489)+26400*SUMIFS('25-BRA-I-090'!$EF:$EF,'25-BRA-I-090'!$I:$I,L489)</f>
        <v>193200</v>
      </c>
      <c r="AL489" s="1092"/>
      <c r="AM489" s="1039"/>
    </row>
    <row r="490" spans="1:39" s="1010" customFormat="1" ht="30">
      <c r="A490" s="1106"/>
      <c r="B490" s="1057" t="str">
        <f t="shared" si="80"/>
        <v>Nut-M16-DIN934-8.0-Galv</v>
      </c>
      <c r="C490" s="1058">
        <f>VLOOKUP(L490,'25-BRA-I-090'!$I:$EZ,4,0)</f>
        <v>0</v>
      </c>
      <c r="D490" s="374" t="str">
        <f t="shared" si="81"/>
        <v>Pcs</v>
      </c>
      <c r="E490" s="183"/>
      <c r="F490" s="184">
        <f t="shared" si="82"/>
        <v>51</v>
      </c>
      <c r="G490" s="185">
        <f t="shared" si="82"/>
        <v>0</v>
      </c>
      <c r="H490" s="185">
        <f t="shared" si="82"/>
        <v>0</v>
      </c>
      <c r="I490" s="185">
        <f t="shared" si="83"/>
        <v>51</v>
      </c>
      <c r="J490" s="185">
        <f t="shared" si="84"/>
        <v>1590</v>
      </c>
      <c r="K490" s="185">
        <f t="shared" si="85"/>
        <v>81090</v>
      </c>
      <c r="L490" s="1190" t="s">
        <v>1801</v>
      </c>
      <c r="M490" s="1059"/>
      <c r="N490" s="1059"/>
      <c r="T490" s="1011"/>
      <c r="U490" s="1133"/>
      <c r="V490" s="1012"/>
      <c r="AA490" s="1039" t="str">
        <f>VLOOKUP(L490,'25-BRA-I-090'!$I:$EZ,2,0)</f>
        <v>Ốc</v>
      </c>
      <c r="AB490" s="1039" t="str">
        <f>VLOOKUP(L490,'25-BRA-I-090'!$I:$EZ,3,0)</f>
        <v>Nut-M16-DIN934-8.0-Galv</v>
      </c>
      <c r="AC490" s="1039" t="str">
        <f>VLOOKUP(L490,'25-BRA-I-090'!$I:$EZ,5,0)</f>
        <v>Pcs</v>
      </c>
      <c r="AD490" s="1039">
        <f>SUMIFS('25-BRA-I-090'!$CS:$CS,'25-BRA-I-090'!$I:$I,L490)</f>
        <v>51</v>
      </c>
      <c r="AE490" s="1039">
        <f>SUMIFS('25-BRA-I-090'!$CT:$CT,'25-BRA-I-090'!$I:$I,L490)</f>
        <v>0</v>
      </c>
      <c r="AF490" s="1039">
        <f>SUMIFS('25-BRA-I-090'!$CW:$CW,'25-BRA-I-090'!$I:$I,L490)</f>
        <v>0</v>
      </c>
      <c r="AG490" s="1039">
        <f>SUMIFS('25-BRA-I-090'!$CX:$CX,'25-BRA-I-090'!$I:$I,L490)</f>
        <v>0</v>
      </c>
      <c r="AH490" s="1040">
        <f>SUMIFS('25-BRA-I-090'!$DJ:$DJ,'25-BRA-I-090'!$I:$I,L490)+SUMIFS('25-BRA-I-090'!$EC:$EC,'25-BRA-I-090'!$I:$I,L490)</f>
        <v>51</v>
      </c>
      <c r="AI490" s="1040">
        <f>SUMIFS('25-BRA-I-090'!$DK:$DK,'25-BRA-I-090'!$I:$I,L490)+SUMIFS('25-BRA-I-090'!$ED:$ED,'25-BRA-I-090'!$I:$I,L490)</f>
        <v>0</v>
      </c>
      <c r="AJ490" s="1040">
        <f>SUMIFS('25-BRA-I-090'!$DO:$DO,'25-BRA-I-090'!$I:$I,L490)+26400*SUMIFS('25-BRA-I-090'!$EF:$EF,'25-BRA-I-090'!$I:$I,L490)</f>
        <v>81090</v>
      </c>
      <c r="AL490" s="1092"/>
      <c r="AM490" s="1039"/>
    </row>
    <row r="491" spans="1:39" s="1010" customFormat="1" ht="45">
      <c r="A491" s="1106"/>
      <c r="B491" s="1057" t="str">
        <f t="shared" si="80"/>
        <v>Nut-M16-ISO7089-St-200HV-Galv</v>
      </c>
      <c r="C491" s="1058">
        <f>VLOOKUP(L491,'25-BRA-I-090'!$I:$EZ,4,0)</f>
        <v>0</v>
      </c>
      <c r="D491" s="374" t="str">
        <f t="shared" si="81"/>
        <v>Pcs</v>
      </c>
      <c r="E491" s="183"/>
      <c r="F491" s="184">
        <f t="shared" si="82"/>
        <v>432</v>
      </c>
      <c r="G491" s="185">
        <f t="shared" si="82"/>
        <v>0</v>
      </c>
      <c r="H491" s="185">
        <f t="shared" si="82"/>
        <v>0</v>
      </c>
      <c r="I491" s="185">
        <f t="shared" si="83"/>
        <v>432</v>
      </c>
      <c r="J491" s="185">
        <f t="shared" si="84"/>
        <v>710</v>
      </c>
      <c r="K491" s="185">
        <f t="shared" si="85"/>
        <v>306720</v>
      </c>
      <c r="L491" s="1190" t="s">
        <v>1803</v>
      </c>
      <c r="M491" s="1059"/>
      <c r="N491" s="1059"/>
      <c r="T491" s="1011"/>
      <c r="U491" s="1133"/>
      <c r="V491" s="1012"/>
      <c r="AA491" s="1039" t="str">
        <f>VLOOKUP(L491,'25-BRA-I-090'!$I:$EZ,2,0)</f>
        <v>Ốc</v>
      </c>
      <c r="AB491" s="1039" t="str">
        <f>VLOOKUP(L491,'25-BRA-I-090'!$I:$EZ,3,0)</f>
        <v>Nut-M16-ISO7089-St-200HV-Galv</v>
      </c>
      <c r="AC491" s="1039" t="str">
        <f>VLOOKUP(L491,'25-BRA-I-090'!$I:$EZ,5,0)</f>
        <v>Pcs</v>
      </c>
      <c r="AD491" s="1039">
        <f>SUMIFS('25-BRA-I-090'!$CS:$CS,'25-BRA-I-090'!$I:$I,L491)</f>
        <v>432</v>
      </c>
      <c r="AE491" s="1039">
        <f>SUMIFS('25-BRA-I-090'!$CT:$CT,'25-BRA-I-090'!$I:$I,L491)</f>
        <v>0</v>
      </c>
      <c r="AF491" s="1039">
        <f>SUMIFS('25-BRA-I-090'!$CW:$CW,'25-BRA-I-090'!$I:$I,L491)</f>
        <v>0</v>
      </c>
      <c r="AG491" s="1039">
        <f>SUMIFS('25-BRA-I-090'!$CX:$CX,'25-BRA-I-090'!$I:$I,L491)</f>
        <v>0</v>
      </c>
      <c r="AH491" s="1040">
        <f>SUMIFS('25-BRA-I-090'!$DJ:$DJ,'25-BRA-I-090'!$I:$I,L491)+SUMIFS('25-BRA-I-090'!$EC:$EC,'25-BRA-I-090'!$I:$I,L491)</f>
        <v>432</v>
      </c>
      <c r="AI491" s="1040">
        <f>SUMIFS('25-BRA-I-090'!$DK:$DK,'25-BRA-I-090'!$I:$I,L491)+SUMIFS('25-BRA-I-090'!$ED:$ED,'25-BRA-I-090'!$I:$I,L491)</f>
        <v>0</v>
      </c>
      <c r="AJ491" s="1040">
        <f>SUMIFS('25-BRA-I-090'!$DO:$DO,'25-BRA-I-090'!$I:$I,L491)+26400*SUMIFS('25-BRA-I-090'!$EF:$EF,'25-BRA-I-090'!$I:$I,L491)</f>
        <v>306720</v>
      </c>
      <c r="AL491" s="1092"/>
      <c r="AM491" s="1039"/>
    </row>
    <row r="492" spans="1:39" s="1010" customFormat="1" ht="30">
      <c r="A492" s="1106"/>
      <c r="B492" s="1057" t="str">
        <f t="shared" si="80"/>
        <v>Nut-M20-DIN934-8.0-Galv</v>
      </c>
      <c r="C492" s="1058">
        <f>VLOOKUP(L492,'25-BRA-I-090'!$I:$EZ,4,0)</f>
        <v>0</v>
      </c>
      <c r="D492" s="374" t="str">
        <f t="shared" si="81"/>
        <v>Pcs</v>
      </c>
      <c r="E492" s="183"/>
      <c r="F492" s="184">
        <f t="shared" si="82"/>
        <v>272</v>
      </c>
      <c r="G492" s="185">
        <f t="shared" si="82"/>
        <v>0</v>
      </c>
      <c r="H492" s="185">
        <f t="shared" si="82"/>
        <v>0</v>
      </c>
      <c r="I492" s="185">
        <f t="shared" si="83"/>
        <v>272</v>
      </c>
      <c r="J492" s="185">
        <f t="shared" si="84"/>
        <v>2940</v>
      </c>
      <c r="K492" s="185">
        <f t="shared" si="85"/>
        <v>799680</v>
      </c>
      <c r="L492" s="1190" t="s">
        <v>1805</v>
      </c>
      <c r="M492" s="1059"/>
      <c r="N492" s="1059"/>
      <c r="T492" s="1011"/>
      <c r="U492" s="1133"/>
      <c r="V492" s="1012"/>
      <c r="AA492" s="1039" t="str">
        <f>VLOOKUP(L492,'25-BRA-I-090'!$I:$EZ,2,0)</f>
        <v>Ốc</v>
      </c>
      <c r="AB492" s="1039" t="str">
        <f>VLOOKUP(L492,'25-BRA-I-090'!$I:$EZ,3,0)</f>
        <v>Nut-M20-DIN934-8.0-Galv</v>
      </c>
      <c r="AC492" s="1039" t="str">
        <f>VLOOKUP(L492,'25-BRA-I-090'!$I:$EZ,5,0)</f>
        <v>Pcs</v>
      </c>
      <c r="AD492" s="1039">
        <f>SUMIFS('25-BRA-I-090'!$CS:$CS,'25-BRA-I-090'!$I:$I,L492)</f>
        <v>272</v>
      </c>
      <c r="AE492" s="1039">
        <f>SUMIFS('25-BRA-I-090'!$CT:$CT,'25-BRA-I-090'!$I:$I,L492)</f>
        <v>0</v>
      </c>
      <c r="AF492" s="1039">
        <f>SUMIFS('25-BRA-I-090'!$CW:$CW,'25-BRA-I-090'!$I:$I,L492)</f>
        <v>0</v>
      </c>
      <c r="AG492" s="1039">
        <f>SUMIFS('25-BRA-I-090'!$CX:$CX,'25-BRA-I-090'!$I:$I,L492)</f>
        <v>0</v>
      </c>
      <c r="AH492" s="1040">
        <f>SUMIFS('25-BRA-I-090'!$DJ:$DJ,'25-BRA-I-090'!$I:$I,L492)+SUMIFS('25-BRA-I-090'!$EC:$EC,'25-BRA-I-090'!$I:$I,L492)</f>
        <v>272</v>
      </c>
      <c r="AI492" s="1040">
        <f>SUMIFS('25-BRA-I-090'!$DK:$DK,'25-BRA-I-090'!$I:$I,L492)+SUMIFS('25-BRA-I-090'!$ED:$ED,'25-BRA-I-090'!$I:$I,L492)</f>
        <v>0</v>
      </c>
      <c r="AJ492" s="1040">
        <f>SUMIFS('25-BRA-I-090'!$DO:$DO,'25-BRA-I-090'!$I:$I,L492)+26400*SUMIFS('25-BRA-I-090'!$EF:$EF,'25-BRA-I-090'!$I:$I,L492)</f>
        <v>799680</v>
      </c>
      <c r="AL492" s="1092"/>
      <c r="AM492" s="1039"/>
    </row>
    <row r="493" spans="1:39" s="1010" customFormat="1" ht="45">
      <c r="A493" s="1106"/>
      <c r="B493" s="1057" t="str">
        <f t="shared" si="80"/>
        <v>Nut-M20-ISO7089-St-200HV-Galv</v>
      </c>
      <c r="C493" s="1058">
        <f>VLOOKUP(L493,'25-BRA-I-090'!$I:$EZ,4,0)</f>
        <v>0</v>
      </c>
      <c r="D493" s="374" t="str">
        <f t="shared" si="81"/>
        <v>Pcs</v>
      </c>
      <c r="E493" s="183"/>
      <c r="F493" s="184">
        <f t="shared" si="82"/>
        <v>112</v>
      </c>
      <c r="G493" s="185">
        <f t="shared" si="82"/>
        <v>0</v>
      </c>
      <c r="H493" s="185">
        <f t="shared" si="82"/>
        <v>0</v>
      </c>
      <c r="I493" s="185">
        <f t="shared" si="83"/>
        <v>112</v>
      </c>
      <c r="J493" s="185">
        <f t="shared" si="84"/>
        <v>1050</v>
      </c>
      <c r="K493" s="185">
        <f t="shared" si="85"/>
        <v>117600</v>
      </c>
      <c r="L493" s="1190" t="s">
        <v>1807</v>
      </c>
      <c r="M493" s="1059"/>
      <c r="N493" s="1059"/>
      <c r="T493" s="1011"/>
      <c r="U493" s="1133"/>
      <c r="V493" s="1012"/>
      <c r="AA493" s="1039" t="str">
        <f>VLOOKUP(L493,'25-BRA-I-090'!$I:$EZ,2,0)</f>
        <v>Ốc</v>
      </c>
      <c r="AB493" s="1039" t="str">
        <f>VLOOKUP(L493,'25-BRA-I-090'!$I:$EZ,3,0)</f>
        <v>Nut-M20-ISO7089-St-200HV-Galv</v>
      </c>
      <c r="AC493" s="1039" t="str">
        <f>VLOOKUP(L493,'25-BRA-I-090'!$I:$EZ,5,0)</f>
        <v>Pcs</v>
      </c>
      <c r="AD493" s="1039">
        <f>SUMIFS('25-BRA-I-090'!$CS:$CS,'25-BRA-I-090'!$I:$I,L493)</f>
        <v>112</v>
      </c>
      <c r="AE493" s="1039">
        <f>SUMIFS('25-BRA-I-090'!$CT:$CT,'25-BRA-I-090'!$I:$I,L493)</f>
        <v>0</v>
      </c>
      <c r="AF493" s="1039">
        <f>SUMIFS('25-BRA-I-090'!$CW:$CW,'25-BRA-I-090'!$I:$I,L493)</f>
        <v>0</v>
      </c>
      <c r="AG493" s="1039">
        <f>SUMIFS('25-BRA-I-090'!$CX:$CX,'25-BRA-I-090'!$I:$I,L493)</f>
        <v>0</v>
      </c>
      <c r="AH493" s="1040">
        <f>SUMIFS('25-BRA-I-090'!$DJ:$DJ,'25-BRA-I-090'!$I:$I,L493)+SUMIFS('25-BRA-I-090'!$EC:$EC,'25-BRA-I-090'!$I:$I,L493)</f>
        <v>112</v>
      </c>
      <c r="AI493" s="1040">
        <f>SUMIFS('25-BRA-I-090'!$DK:$DK,'25-BRA-I-090'!$I:$I,L493)+SUMIFS('25-BRA-I-090'!$ED:$ED,'25-BRA-I-090'!$I:$I,L493)</f>
        <v>0</v>
      </c>
      <c r="AJ493" s="1040">
        <f>SUMIFS('25-BRA-I-090'!$DO:$DO,'25-BRA-I-090'!$I:$I,L493)+26400*SUMIFS('25-BRA-I-090'!$EF:$EF,'25-BRA-I-090'!$I:$I,L493)</f>
        <v>117600</v>
      </c>
      <c r="AL493" s="1092"/>
      <c r="AM493" s="1039"/>
    </row>
    <row r="494" spans="1:39" s="1010" customFormat="1" ht="30">
      <c r="A494" s="1106"/>
      <c r="B494" s="1057" t="str">
        <f t="shared" si="80"/>
        <v>Nut-M24-DIN934-8.0-Galv</v>
      </c>
      <c r="C494" s="1058">
        <f>VLOOKUP(L494,'25-BRA-I-090'!$I:$EZ,4,0)</f>
        <v>0</v>
      </c>
      <c r="D494" s="374" t="str">
        <f t="shared" si="81"/>
        <v>Pcs</v>
      </c>
      <c r="E494" s="183"/>
      <c r="F494" s="184">
        <f t="shared" si="82"/>
        <v>192</v>
      </c>
      <c r="G494" s="185">
        <f t="shared" si="82"/>
        <v>0</v>
      </c>
      <c r="H494" s="185">
        <f t="shared" si="82"/>
        <v>0</v>
      </c>
      <c r="I494" s="185">
        <f t="shared" si="83"/>
        <v>192</v>
      </c>
      <c r="J494" s="185">
        <f t="shared" si="84"/>
        <v>4900</v>
      </c>
      <c r="K494" s="185">
        <f t="shared" si="85"/>
        <v>940800</v>
      </c>
      <c r="L494" s="1190" t="s">
        <v>1809</v>
      </c>
      <c r="M494" s="1059"/>
      <c r="N494" s="1059"/>
      <c r="T494" s="1011"/>
      <c r="U494" s="1133"/>
      <c r="V494" s="1012"/>
      <c r="AA494" s="1039" t="str">
        <f>VLOOKUP(L494,'25-BRA-I-090'!$I:$EZ,2,0)</f>
        <v>Ốc</v>
      </c>
      <c r="AB494" s="1039" t="str">
        <f>VLOOKUP(L494,'25-BRA-I-090'!$I:$EZ,3,0)</f>
        <v>Nut-M24-DIN934-8.0-Galv</v>
      </c>
      <c r="AC494" s="1039" t="str">
        <f>VLOOKUP(L494,'25-BRA-I-090'!$I:$EZ,5,0)</f>
        <v>Pcs</v>
      </c>
      <c r="AD494" s="1039">
        <f>SUMIFS('25-BRA-I-090'!$CS:$CS,'25-BRA-I-090'!$I:$I,L494)</f>
        <v>192</v>
      </c>
      <c r="AE494" s="1039">
        <f>SUMIFS('25-BRA-I-090'!$CT:$CT,'25-BRA-I-090'!$I:$I,L494)</f>
        <v>0</v>
      </c>
      <c r="AF494" s="1039">
        <f>SUMIFS('25-BRA-I-090'!$CW:$CW,'25-BRA-I-090'!$I:$I,L494)</f>
        <v>0</v>
      </c>
      <c r="AG494" s="1039">
        <f>SUMIFS('25-BRA-I-090'!$CX:$CX,'25-BRA-I-090'!$I:$I,L494)</f>
        <v>0</v>
      </c>
      <c r="AH494" s="1040">
        <f>SUMIFS('25-BRA-I-090'!$DJ:$DJ,'25-BRA-I-090'!$I:$I,L494)+SUMIFS('25-BRA-I-090'!$EC:$EC,'25-BRA-I-090'!$I:$I,L494)</f>
        <v>192</v>
      </c>
      <c r="AI494" s="1040">
        <f>SUMIFS('25-BRA-I-090'!$DK:$DK,'25-BRA-I-090'!$I:$I,L494)+SUMIFS('25-BRA-I-090'!$ED:$ED,'25-BRA-I-090'!$I:$I,L494)</f>
        <v>0</v>
      </c>
      <c r="AJ494" s="1040">
        <f>SUMIFS('25-BRA-I-090'!$DO:$DO,'25-BRA-I-090'!$I:$I,L494)+26400*SUMIFS('25-BRA-I-090'!$EF:$EF,'25-BRA-I-090'!$I:$I,L494)</f>
        <v>940800</v>
      </c>
      <c r="AL494" s="1092"/>
      <c r="AM494" s="1039"/>
    </row>
    <row r="495" spans="1:39" s="1010" customFormat="1" ht="30">
      <c r="A495" s="1106"/>
      <c r="B495" s="1057" t="str">
        <f t="shared" si="80"/>
        <v>Nut-M30-DIN934-8.0-Galv</v>
      </c>
      <c r="C495" s="1058">
        <f>VLOOKUP(L495,'25-BRA-I-090'!$I:$EZ,4,0)</f>
        <v>0</v>
      </c>
      <c r="D495" s="374" t="str">
        <f t="shared" si="81"/>
        <v>Pcs</v>
      </c>
      <c r="E495" s="183"/>
      <c r="F495" s="184">
        <f t="shared" si="82"/>
        <v>72</v>
      </c>
      <c r="G495" s="185">
        <f t="shared" si="82"/>
        <v>0</v>
      </c>
      <c r="H495" s="185">
        <f t="shared" si="82"/>
        <v>0</v>
      </c>
      <c r="I495" s="185">
        <f t="shared" si="83"/>
        <v>72</v>
      </c>
      <c r="J495" s="185">
        <f t="shared" si="84"/>
        <v>9700</v>
      </c>
      <c r="K495" s="185">
        <f t="shared" si="85"/>
        <v>698400</v>
      </c>
      <c r="L495" s="1190" t="s">
        <v>1811</v>
      </c>
      <c r="M495" s="1059"/>
      <c r="N495" s="1059"/>
      <c r="T495" s="1011"/>
      <c r="U495" s="1133"/>
      <c r="V495" s="1012"/>
      <c r="AA495" s="1039" t="str">
        <f>VLOOKUP(L495,'25-BRA-I-090'!$I:$EZ,2,0)</f>
        <v>Ốc</v>
      </c>
      <c r="AB495" s="1039" t="str">
        <f>VLOOKUP(L495,'25-BRA-I-090'!$I:$EZ,3,0)</f>
        <v>Nut-M30-DIN934-8.0-Galv</v>
      </c>
      <c r="AC495" s="1039" t="str">
        <f>VLOOKUP(L495,'25-BRA-I-090'!$I:$EZ,5,0)</f>
        <v>Pcs</v>
      </c>
      <c r="AD495" s="1039">
        <f>SUMIFS('25-BRA-I-090'!$CS:$CS,'25-BRA-I-090'!$I:$I,L495)</f>
        <v>72</v>
      </c>
      <c r="AE495" s="1039">
        <f>SUMIFS('25-BRA-I-090'!$CT:$CT,'25-BRA-I-090'!$I:$I,L495)</f>
        <v>0</v>
      </c>
      <c r="AF495" s="1039">
        <f>SUMIFS('25-BRA-I-090'!$CW:$CW,'25-BRA-I-090'!$I:$I,L495)</f>
        <v>0</v>
      </c>
      <c r="AG495" s="1039">
        <f>SUMIFS('25-BRA-I-090'!$CX:$CX,'25-BRA-I-090'!$I:$I,L495)</f>
        <v>0</v>
      </c>
      <c r="AH495" s="1040">
        <f>SUMIFS('25-BRA-I-090'!$DJ:$DJ,'25-BRA-I-090'!$I:$I,L495)+SUMIFS('25-BRA-I-090'!$EC:$EC,'25-BRA-I-090'!$I:$I,L495)</f>
        <v>72</v>
      </c>
      <c r="AI495" s="1040">
        <f>SUMIFS('25-BRA-I-090'!$DK:$DK,'25-BRA-I-090'!$I:$I,L495)+SUMIFS('25-BRA-I-090'!$ED:$ED,'25-BRA-I-090'!$I:$I,L495)</f>
        <v>0</v>
      </c>
      <c r="AJ495" s="1040">
        <f>SUMIFS('25-BRA-I-090'!$DO:$DO,'25-BRA-I-090'!$I:$I,L495)+26400*SUMIFS('25-BRA-I-090'!$EF:$EF,'25-BRA-I-090'!$I:$I,L495)</f>
        <v>698400</v>
      </c>
      <c r="AL495" s="1092"/>
      <c r="AM495" s="1039"/>
    </row>
    <row r="496" spans="1:39" s="1010" customFormat="1" ht="30">
      <c r="A496" s="1106"/>
      <c r="B496" s="1057" t="str">
        <f t="shared" si="80"/>
        <v>Nut-M30-ISO4032-8.0-Galv</v>
      </c>
      <c r="C496" s="1058">
        <f>VLOOKUP(L496,'25-BRA-I-090'!$I:$EZ,4,0)</f>
        <v>0</v>
      </c>
      <c r="D496" s="374" t="str">
        <f t="shared" si="81"/>
        <v>Pcs</v>
      </c>
      <c r="E496" s="183"/>
      <c r="F496" s="184">
        <f t="shared" si="82"/>
        <v>96</v>
      </c>
      <c r="G496" s="185">
        <f t="shared" si="82"/>
        <v>0</v>
      </c>
      <c r="H496" s="185">
        <f t="shared" si="82"/>
        <v>0</v>
      </c>
      <c r="I496" s="185">
        <f t="shared" si="83"/>
        <v>96</v>
      </c>
      <c r="J496" s="185">
        <f t="shared" si="84"/>
        <v>9700</v>
      </c>
      <c r="K496" s="185">
        <f t="shared" si="85"/>
        <v>931200</v>
      </c>
      <c r="L496" s="1190" t="s">
        <v>1813</v>
      </c>
      <c r="M496" s="1059"/>
      <c r="N496" s="1059"/>
      <c r="T496" s="1011"/>
      <c r="U496" s="1133"/>
      <c r="V496" s="1012"/>
      <c r="AA496" s="1039" t="str">
        <f>VLOOKUP(L496,'25-BRA-I-090'!$I:$EZ,2,0)</f>
        <v>Ốc</v>
      </c>
      <c r="AB496" s="1039" t="str">
        <f>VLOOKUP(L496,'25-BRA-I-090'!$I:$EZ,3,0)</f>
        <v>Nut-M30-ISO4032-8.0-Galv</v>
      </c>
      <c r="AC496" s="1039" t="str">
        <f>VLOOKUP(L496,'25-BRA-I-090'!$I:$EZ,5,0)</f>
        <v>Pcs</v>
      </c>
      <c r="AD496" s="1039">
        <f>SUMIFS('25-BRA-I-090'!$CS:$CS,'25-BRA-I-090'!$I:$I,L496)</f>
        <v>96</v>
      </c>
      <c r="AE496" s="1039">
        <f>SUMIFS('25-BRA-I-090'!$CT:$CT,'25-BRA-I-090'!$I:$I,L496)</f>
        <v>0</v>
      </c>
      <c r="AF496" s="1039">
        <f>SUMIFS('25-BRA-I-090'!$CW:$CW,'25-BRA-I-090'!$I:$I,L496)</f>
        <v>0</v>
      </c>
      <c r="AG496" s="1039">
        <f>SUMIFS('25-BRA-I-090'!$CX:$CX,'25-BRA-I-090'!$I:$I,L496)</f>
        <v>0</v>
      </c>
      <c r="AH496" s="1040">
        <f>SUMIFS('25-BRA-I-090'!$DJ:$DJ,'25-BRA-I-090'!$I:$I,L496)+SUMIFS('25-BRA-I-090'!$EC:$EC,'25-BRA-I-090'!$I:$I,L496)</f>
        <v>96</v>
      </c>
      <c r="AI496" s="1040">
        <f>SUMIFS('25-BRA-I-090'!$DK:$DK,'25-BRA-I-090'!$I:$I,L496)+SUMIFS('25-BRA-I-090'!$ED:$ED,'25-BRA-I-090'!$I:$I,L496)</f>
        <v>0</v>
      </c>
      <c r="AJ496" s="1040">
        <f>SUMIFS('25-BRA-I-090'!$DO:$DO,'25-BRA-I-090'!$I:$I,L496)+26400*SUMIFS('25-BRA-I-090'!$EF:$EF,'25-BRA-I-090'!$I:$I,L496)</f>
        <v>931200</v>
      </c>
      <c r="AL496" s="1092"/>
      <c r="AM496" s="1039"/>
    </row>
    <row r="497" spans="1:39" s="1010" customFormat="1" ht="30">
      <c r="A497" s="1106"/>
      <c r="B497" s="1057" t="str">
        <f t="shared" si="80"/>
        <v>Nut-M36-DIN934-8.0-Galv</v>
      </c>
      <c r="C497" s="1058">
        <f>VLOOKUP(L497,'25-BRA-I-090'!$I:$EZ,4,0)</f>
        <v>0</v>
      </c>
      <c r="D497" s="374" t="str">
        <f t="shared" si="81"/>
        <v>Pcs</v>
      </c>
      <c r="E497" s="183"/>
      <c r="F497" s="184">
        <f t="shared" si="82"/>
        <v>48</v>
      </c>
      <c r="G497" s="185">
        <f t="shared" si="82"/>
        <v>0</v>
      </c>
      <c r="H497" s="185">
        <f t="shared" si="82"/>
        <v>0</v>
      </c>
      <c r="I497" s="185">
        <f t="shared" si="83"/>
        <v>48</v>
      </c>
      <c r="J497" s="185">
        <f t="shared" si="84"/>
        <v>16500</v>
      </c>
      <c r="K497" s="185">
        <f t="shared" si="85"/>
        <v>792000</v>
      </c>
      <c r="L497" s="1190" t="s">
        <v>1815</v>
      </c>
      <c r="M497" s="1059"/>
      <c r="N497" s="1059"/>
      <c r="T497" s="1011"/>
      <c r="U497" s="1133"/>
      <c r="V497" s="1012"/>
      <c r="AA497" s="1039" t="str">
        <f>VLOOKUP(L497,'25-BRA-I-090'!$I:$EZ,2,0)</f>
        <v>Ốc</v>
      </c>
      <c r="AB497" s="1039" t="str">
        <f>VLOOKUP(L497,'25-BRA-I-090'!$I:$EZ,3,0)</f>
        <v>Nut-M36-DIN934-8.0-Galv</v>
      </c>
      <c r="AC497" s="1039" t="str">
        <f>VLOOKUP(L497,'25-BRA-I-090'!$I:$EZ,5,0)</f>
        <v>Pcs</v>
      </c>
      <c r="AD497" s="1039">
        <f>SUMIFS('25-BRA-I-090'!$CS:$CS,'25-BRA-I-090'!$I:$I,L497)</f>
        <v>48</v>
      </c>
      <c r="AE497" s="1039">
        <f>SUMIFS('25-BRA-I-090'!$CT:$CT,'25-BRA-I-090'!$I:$I,L497)</f>
        <v>0</v>
      </c>
      <c r="AF497" s="1039">
        <f>SUMIFS('25-BRA-I-090'!$CW:$CW,'25-BRA-I-090'!$I:$I,L497)</f>
        <v>0</v>
      </c>
      <c r="AG497" s="1039">
        <f>SUMIFS('25-BRA-I-090'!$CX:$CX,'25-BRA-I-090'!$I:$I,L497)</f>
        <v>0</v>
      </c>
      <c r="AH497" s="1040">
        <f>SUMIFS('25-BRA-I-090'!$DJ:$DJ,'25-BRA-I-090'!$I:$I,L497)+SUMIFS('25-BRA-I-090'!$EC:$EC,'25-BRA-I-090'!$I:$I,L497)</f>
        <v>48</v>
      </c>
      <c r="AI497" s="1040">
        <f>SUMIFS('25-BRA-I-090'!$DK:$DK,'25-BRA-I-090'!$I:$I,L497)+SUMIFS('25-BRA-I-090'!$ED:$ED,'25-BRA-I-090'!$I:$I,L497)</f>
        <v>0</v>
      </c>
      <c r="AJ497" s="1040">
        <f>SUMIFS('25-BRA-I-090'!$DO:$DO,'25-BRA-I-090'!$I:$I,L497)+26400*SUMIFS('25-BRA-I-090'!$EF:$EF,'25-BRA-I-090'!$I:$I,L497)</f>
        <v>792000</v>
      </c>
      <c r="AL497" s="1092"/>
      <c r="AM497" s="1039"/>
    </row>
    <row r="498" spans="1:39" s="1010" customFormat="1" ht="45">
      <c r="A498" s="1106"/>
      <c r="B498" s="1057" t="str">
        <f t="shared" si="80"/>
        <v>Washer-12-ISO7089-St-200HV-Galv</v>
      </c>
      <c r="C498" s="1058">
        <f>VLOOKUP(L498,'25-BRA-I-090'!$I:$EZ,4,0)</f>
        <v>0</v>
      </c>
      <c r="D498" s="374" t="str">
        <f t="shared" si="81"/>
        <v>Pcs</v>
      </c>
      <c r="E498" s="183"/>
      <c r="F498" s="184">
        <f t="shared" si="82"/>
        <v>240</v>
      </c>
      <c r="G498" s="185">
        <f t="shared" si="82"/>
        <v>0</v>
      </c>
      <c r="H498" s="185">
        <f t="shared" si="82"/>
        <v>0</v>
      </c>
      <c r="I498" s="185">
        <f t="shared" si="83"/>
        <v>240</v>
      </c>
      <c r="J498" s="185">
        <f t="shared" si="84"/>
        <v>440</v>
      </c>
      <c r="K498" s="185">
        <f t="shared" si="85"/>
        <v>105600</v>
      </c>
      <c r="L498" s="1190" t="s">
        <v>1817</v>
      </c>
      <c r="M498" s="1059"/>
      <c r="N498" s="1059"/>
      <c r="T498" s="1011"/>
      <c r="U498" s="1133"/>
      <c r="V498" s="1012"/>
      <c r="AA498" s="1039" t="str">
        <f>VLOOKUP(L498,'25-BRA-I-090'!$I:$EZ,2,0)</f>
        <v>Đệm</v>
      </c>
      <c r="AB498" s="1039" t="str">
        <f>VLOOKUP(L498,'25-BRA-I-090'!$I:$EZ,3,0)</f>
        <v>Washer-12-ISO7089-St-200HV-Galv</v>
      </c>
      <c r="AC498" s="1039" t="str">
        <f>VLOOKUP(L498,'25-BRA-I-090'!$I:$EZ,5,0)</f>
        <v>Pcs</v>
      </c>
      <c r="AD498" s="1039">
        <f>SUMIFS('25-BRA-I-090'!$CS:$CS,'25-BRA-I-090'!$I:$I,L498)</f>
        <v>240</v>
      </c>
      <c r="AE498" s="1039">
        <f>SUMIFS('25-BRA-I-090'!$CT:$CT,'25-BRA-I-090'!$I:$I,L498)</f>
        <v>0</v>
      </c>
      <c r="AF498" s="1039">
        <f>SUMIFS('25-BRA-I-090'!$CW:$CW,'25-BRA-I-090'!$I:$I,L498)</f>
        <v>0</v>
      </c>
      <c r="AG498" s="1039">
        <f>SUMIFS('25-BRA-I-090'!$CX:$CX,'25-BRA-I-090'!$I:$I,L498)</f>
        <v>0</v>
      </c>
      <c r="AH498" s="1040">
        <f>SUMIFS('25-BRA-I-090'!$DJ:$DJ,'25-BRA-I-090'!$I:$I,L498)+SUMIFS('25-BRA-I-090'!$EC:$EC,'25-BRA-I-090'!$I:$I,L498)</f>
        <v>240</v>
      </c>
      <c r="AI498" s="1040">
        <f>SUMIFS('25-BRA-I-090'!$DK:$DK,'25-BRA-I-090'!$I:$I,L498)+SUMIFS('25-BRA-I-090'!$ED:$ED,'25-BRA-I-090'!$I:$I,L498)</f>
        <v>0</v>
      </c>
      <c r="AJ498" s="1040">
        <f>SUMIFS('25-BRA-I-090'!$DO:$DO,'25-BRA-I-090'!$I:$I,L498)+26400*SUMIFS('25-BRA-I-090'!$EF:$EF,'25-BRA-I-090'!$I:$I,L498)</f>
        <v>105600</v>
      </c>
      <c r="AL498" s="1092"/>
      <c r="AM498" s="1039"/>
    </row>
    <row r="499" spans="1:39" s="1010" customFormat="1" ht="45">
      <c r="A499" s="1106"/>
      <c r="B499" s="1057" t="str">
        <f t="shared" si="80"/>
        <v>Washer-16-ISO7089-St-200HV-Galv</v>
      </c>
      <c r="C499" s="1058">
        <f>VLOOKUP(L499,'25-BRA-I-090'!$I:$EZ,4,0)</f>
        <v>0</v>
      </c>
      <c r="D499" s="374" t="str">
        <f t="shared" si="81"/>
        <v>Pcs</v>
      </c>
      <c r="E499" s="183"/>
      <c r="F499" s="184">
        <f t="shared" si="82"/>
        <v>1926</v>
      </c>
      <c r="G499" s="185">
        <f t="shared" si="82"/>
        <v>0</v>
      </c>
      <c r="H499" s="185">
        <f t="shared" si="82"/>
        <v>0</v>
      </c>
      <c r="I499" s="185">
        <f t="shared" si="83"/>
        <v>1926</v>
      </c>
      <c r="J499" s="185">
        <f t="shared" si="84"/>
        <v>710</v>
      </c>
      <c r="K499" s="185">
        <f t="shared" si="85"/>
        <v>1367460</v>
      </c>
      <c r="L499" s="1190" t="s">
        <v>1819</v>
      </c>
      <c r="M499" s="1059"/>
      <c r="N499" s="1059"/>
      <c r="T499" s="1011"/>
      <c r="U499" s="1133"/>
      <c r="V499" s="1012"/>
      <c r="AA499" s="1039" t="str">
        <f>VLOOKUP(L499,'25-BRA-I-090'!$I:$EZ,2,0)</f>
        <v>Đệm</v>
      </c>
      <c r="AB499" s="1039" t="str">
        <f>VLOOKUP(L499,'25-BRA-I-090'!$I:$EZ,3,0)</f>
        <v>Washer-16-ISO7089-St-200HV-Galv</v>
      </c>
      <c r="AC499" s="1039" t="str">
        <f>VLOOKUP(L499,'25-BRA-I-090'!$I:$EZ,5,0)</f>
        <v>Pcs</v>
      </c>
      <c r="AD499" s="1039">
        <f>SUMIFS('25-BRA-I-090'!$CS:$CS,'25-BRA-I-090'!$I:$I,L499)</f>
        <v>1926</v>
      </c>
      <c r="AE499" s="1039">
        <f>SUMIFS('25-BRA-I-090'!$CT:$CT,'25-BRA-I-090'!$I:$I,L499)</f>
        <v>0</v>
      </c>
      <c r="AF499" s="1039">
        <f>SUMIFS('25-BRA-I-090'!$CW:$CW,'25-BRA-I-090'!$I:$I,L499)</f>
        <v>0</v>
      </c>
      <c r="AG499" s="1039">
        <f>SUMIFS('25-BRA-I-090'!$CX:$CX,'25-BRA-I-090'!$I:$I,L499)</f>
        <v>0</v>
      </c>
      <c r="AH499" s="1040">
        <f>SUMIFS('25-BRA-I-090'!$DJ:$DJ,'25-BRA-I-090'!$I:$I,L499)+SUMIFS('25-BRA-I-090'!$EC:$EC,'25-BRA-I-090'!$I:$I,L499)</f>
        <v>1926</v>
      </c>
      <c r="AI499" s="1040">
        <f>SUMIFS('25-BRA-I-090'!$DK:$DK,'25-BRA-I-090'!$I:$I,L499)+SUMIFS('25-BRA-I-090'!$ED:$ED,'25-BRA-I-090'!$I:$I,L499)</f>
        <v>0</v>
      </c>
      <c r="AJ499" s="1040">
        <f>SUMIFS('25-BRA-I-090'!$DO:$DO,'25-BRA-I-090'!$I:$I,L499)+26400*SUMIFS('25-BRA-I-090'!$EF:$EF,'25-BRA-I-090'!$I:$I,L499)</f>
        <v>1367460</v>
      </c>
      <c r="AL499" s="1092"/>
      <c r="AM499" s="1039"/>
    </row>
    <row r="500" spans="1:39" s="1010" customFormat="1" ht="45">
      <c r="A500" s="1106"/>
      <c r="B500" s="1057" t="str">
        <f t="shared" si="80"/>
        <v>Washer-16-ISO7093A-St-200HV-Galv</v>
      </c>
      <c r="C500" s="1058">
        <f>VLOOKUP(L500,'25-BRA-I-090'!$I:$EZ,4,0)</f>
        <v>0</v>
      </c>
      <c r="D500" s="374" t="str">
        <f t="shared" si="81"/>
        <v>Pcs</v>
      </c>
      <c r="E500" s="183"/>
      <c r="F500" s="184">
        <f t="shared" si="82"/>
        <v>24</v>
      </c>
      <c r="G500" s="185">
        <f t="shared" si="82"/>
        <v>0</v>
      </c>
      <c r="H500" s="185">
        <f t="shared" si="82"/>
        <v>0</v>
      </c>
      <c r="I500" s="185">
        <f t="shared" si="83"/>
        <v>24</v>
      </c>
      <c r="J500" s="185">
        <f t="shared" si="84"/>
        <v>710</v>
      </c>
      <c r="K500" s="185">
        <f t="shared" si="85"/>
        <v>17040</v>
      </c>
      <c r="L500" s="1190" t="s">
        <v>1821</v>
      </c>
      <c r="M500" s="1059"/>
      <c r="N500" s="1059"/>
      <c r="T500" s="1011"/>
      <c r="U500" s="1133"/>
      <c r="V500" s="1012"/>
      <c r="AA500" s="1039" t="str">
        <f>VLOOKUP(L500,'25-BRA-I-090'!$I:$EZ,2,0)</f>
        <v>Đệm</v>
      </c>
      <c r="AB500" s="1039" t="str">
        <f>VLOOKUP(L500,'25-BRA-I-090'!$I:$EZ,3,0)</f>
        <v>Washer-16-ISO7093A-St-200HV-Galv</v>
      </c>
      <c r="AC500" s="1039" t="str">
        <f>VLOOKUP(L500,'25-BRA-I-090'!$I:$EZ,5,0)</f>
        <v>Pcs</v>
      </c>
      <c r="AD500" s="1039">
        <f>SUMIFS('25-BRA-I-090'!$CS:$CS,'25-BRA-I-090'!$I:$I,L500)</f>
        <v>24</v>
      </c>
      <c r="AE500" s="1039">
        <f>SUMIFS('25-BRA-I-090'!$CT:$CT,'25-BRA-I-090'!$I:$I,L500)</f>
        <v>0</v>
      </c>
      <c r="AF500" s="1039">
        <f>SUMIFS('25-BRA-I-090'!$CW:$CW,'25-BRA-I-090'!$I:$I,L500)</f>
        <v>0</v>
      </c>
      <c r="AG500" s="1039">
        <f>SUMIFS('25-BRA-I-090'!$CX:$CX,'25-BRA-I-090'!$I:$I,L500)</f>
        <v>0</v>
      </c>
      <c r="AH500" s="1040">
        <f>SUMIFS('25-BRA-I-090'!$DJ:$DJ,'25-BRA-I-090'!$I:$I,L500)+SUMIFS('25-BRA-I-090'!$EC:$EC,'25-BRA-I-090'!$I:$I,L500)</f>
        <v>24</v>
      </c>
      <c r="AI500" s="1040">
        <f>SUMIFS('25-BRA-I-090'!$DK:$DK,'25-BRA-I-090'!$I:$I,L500)+SUMIFS('25-BRA-I-090'!$ED:$ED,'25-BRA-I-090'!$I:$I,L500)</f>
        <v>0</v>
      </c>
      <c r="AJ500" s="1040">
        <f>SUMIFS('25-BRA-I-090'!$DO:$DO,'25-BRA-I-090'!$I:$I,L500)+26400*SUMIFS('25-BRA-I-090'!$EF:$EF,'25-BRA-I-090'!$I:$I,L500)</f>
        <v>17040</v>
      </c>
      <c r="AL500" s="1092"/>
      <c r="AM500" s="1039"/>
    </row>
    <row r="501" spans="1:39" s="1010" customFormat="1" ht="30">
      <c r="A501" s="1106"/>
      <c r="B501" s="1057" t="str">
        <f t="shared" si="80"/>
        <v>Washer-17.5-DIN434-St-Galv</v>
      </c>
      <c r="C501" s="1058">
        <f>VLOOKUP(L501,'25-BRA-I-090'!$I:$EZ,4,0)</f>
        <v>0</v>
      </c>
      <c r="D501" s="374" t="str">
        <f t="shared" si="81"/>
        <v>Pcs</v>
      </c>
      <c r="E501" s="183"/>
      <c r="F501" s="184">
        <f t="shared" si="82"/>
        <v>32</v>
      </c>
      <c r="G501" s="185">
        <f t="shared" si="82"/>
        <v>0</v>
      </c>
      <c r="H501" s="185">
        <f t="shared" si="82"/>
        <v>0</v>
      </c>
      <c r="I501" s="185">
        <f t="shared" si="83"/>
        <v>32</v>
      </c>
      <c r="J501" s="185">
        <f t="shared" si="84"/>
        <v>14300</v>
      </c>
      <c r="K501" s="185">
        <f t="shared" si="85"/>
        <v>457600</v>
      </c>
      <c r="L501" s="1190" t="s">
        <v>1823</v>
      </c>
      <c r="M501" s="1059"/>
      <c r="N501" s="1059"/>
      <c r="T501" s="1011"/>
      <c r="U501" s="1133"/>
      <c r="V501" s="1012"/>
      <c r="AA501" s="1039" t="str">
        <f>VLOOKUP(L501,'25-BRA-I-090'!$I:$EZ,2,0)</f>
        <v>Đệm</v>
      </c>
      <c r="AB501" s="1039" t="str">
        <f>VLOOKUP(L501,'25-BRA-I-090'!$I:$EZ,3,0)</f>
        <v>Washer-17.5-DIN434-St-Galv</v>
      </c>
      <c r="AC501" s="1039" t="str">
        <f>VLOOKUP(L501,'25-BRA-I-090'!$I:$EZ,5,0)</f>
        <v>Pcs</v>
      </c>
      <c r="AD501" s="1039">
        <f>SUMIFS('25-BRA-I-090'!$CS:$CS,'25-BRA-I-090'!$I:$I,L501)</f>
        <v>32</v>
      </c>
      <c r="AE501" s="1039">
        <f>SUMIFS('25-BRA-I-090'!$CT:$CT,'25-BRA-I-090'!$I:$I,L501)</f>
        <v>0</v>
      </c>
      <c r="AF501" s="1039">
        <f>SUMIFS('25-BRA-I-090'!$CW:$CW,'25-BRA-I-090'!$I:$I,L501)</f>
        <v>0</v>
      </c>
      <c r="AG501" s="1039">
        <f>SUMIFS('25-BRA-I-090'!$CX:$CX,'25-BRA-I-090'!$I:$I,L501)</f>
        <v>0</v>
      </c>
      <c r="AH501" s="1040">
        <f>SUMIFS('25-BRA-I-090'!$DJ:$DJ,'25-BRA-I-090'!$I:$I,L501)+SUMIFS('25-BRA-I-090'!$EC:$EC,'25-BRA-I-090'!$I:$I,L501)</f>
        <v>32</v>
      </c>
      <c r="AI501" s="1040">
        <f>SUMIFS('25-BRA-I-090'!$DK:$DK,'25-BRA-I-090'!$I:$I,L501)+SUMIFS('25-BRA-I-090'!$ED:$ED,'25-BRA-I-090'!$I:$I,L501)</f>
        <v>0</v>
      </c>
      <c r="AJ501" s="1040">
        <f>SUMIFS('25-BRA-I-090'!$DO:$DO,'25-BRA-I-090'!$I:$I,L501)+26400*SUMIFS('25-BRA-I-090'!$EF:$EF,'25-BRA-I-090'!$I:$I,L501)</f>
        <v>457600</v>
      </c>
      <c r="AL501" s="1092"/>
      <c r="AM501" s="1039"/>
    </row>
    <row r="502" spans="1:39" s="1010" customFormat="1" ht="45">
      <c r="A502" s="1106"/>
      <c r="B502" s="1057" t="str">
        <f t="shared" si="80"/>
        <v>Washer-17.5-DIN434-St-Galv.-Galv</v>
      </c>
      <c r="C502" s="1058">
        <f>VLOOKUP(L502,'25-BRA-I-090'!$I:$EZ,4,0)</f>
        <v>0</v>
      </c>
      <c r="D502" s="374" t="str">
        <f t="shared" si="81"/>
        <v>Pcs</v>
      </c>
      <c r="E502" s="183"/>
      <c r="F502" s="184">
        <f t="shared" si="82"/>
        <v>32</v>
      </c>
      <c r="G502" s="185">
        <f t="shared" si="82"/>
        <v>0</v>
      </c>
      <c r="H502" s="185">
        <f t="shared" si="82"/>
        <v>0</v>
      </c>
      <c r="I502" s="185">
        <f t="shared" si="83"/>
        <v>32</v>
      </c>
      <c r="J502" s="185">
        <f t="shared" si="84"/>
        <v>14300</v>
      </c>
      <c r="K502" s="185">
        <f t="shared" si="85"/>
        <v>457600</v>
      </c>
      <c r="L502" s="1190" t="s">
        <v>1824</v>
      </c>
      <c r="M502" s="1059"/>
      <c r="N502" s="1059"/>
      <c r="T502" s="1011"/>
      <c r="U502" s="1133"/>
      <c r="V502" s="1012"/>
      <c r="AA502" s="1039" t="str">
        <f>VLOOKUP(L502,'25-BRA-I-090'!$I:$EZ,2,0)</f>
        <v>Đệm</v>
      </c>
      <c r="AB502" s="1039" t="str">
        <f>VLOOKUP(L502,'25-BRA-I-090'!$I:$EZ,3,0)</f>
        <v>Washer-17.5-DIN434-St-Galv.-Galv</v>
      </c>
      <c r="AC502" s="1039" t="str">
        <f>VLOOKUP(L502,'25-BRA-I-090'!$I:$EZ,5,0)</f>
        <v>Pcs</v>
      </c>
      <c r="AD502" s="1039">
        <f>SUMIFS('25-BRA-I-090'!$CS:$CS,'25-BRA-I-090'!$I:$I,L502)</f>
        <v>32</v>
      </c>
      <c r="AE502" s="1039">
        <f>SUMIFS('25-BRA-I-090'!$CT:$CT,'25-BRA-I-090'!$I:$I,L502)</f>
        <v>0</v>
      </c>
      <c r="AF502" s="1039">
        <f>SUMIFS('25-BRA-I-090'!$CW:$CW,'25-BRA-I-090'!$I:$I,L502)</f>
        <v>0</v>
      </c>
      <c r="AG502" s="1039">
        <f>SUMIFS('25-BRA-I-090'!$CX:$CX,'25-BRA-I-090'!$I:$I,L502)</f>
        <v>0</v>
      </c>
      <c r="AH502" s="1040">
        <f>SUMIFS('25-BRA-I-090'!$DJ:$DJ,'25-BRA-I-090'!$I:$I,L502)+SUMIFS('25-BRA-I-090'!$EC:$EC,'25-BRA-I-090'!$I:$I,L502)</f>
        <v>32</v>
      </c>
      <c r="AI502" s="1040">
        <f>SUMIFS('25-BRA-I-090'!$DK:$DK,'25-BRA-I-090'!$I:$I,L502)+SUMIFS('25-BRA-I-090'!$ED:$ED,'25-BRA-I-090'!$I:$I,L502)</f>
        <v>0</v>
      </c>
      <c r="AJ502" s="1040">
        <f>SUMIFS('25-BRA-I-090'!$DO:$DO,'25-BRA-I-090'!$I:$I,L502)+26400*SUMIFS('25-BRA-I-090'!$EF:$EF,'25-BRA-I-090'!$I:$I,L502)</f>
        <v>457600</v>
      </c>
      <c r="AL502" s="1092"/>
      <c r="AM502" s="1039"/>
    </row>
    <row r="503" spans="1:39" s="1010" customFormat="1" ht="45">
      <c r="A503" s="1106"/>
      <c r="B503" s="1057" t="str">
        <f t="shared" si="80"/>
        <v>Washer-20-ISO7089-St-200HV-Galv</v>
      </c>
      <c r="C503" s="1058">
        <f>VLOOKUP(L503,'25-BRA-I-090'!$I:$EZ,4,0)</f>
        <v>0</v>
      </c>
      <c r="D503" s="374" t="str">
        <f t="shared" si="81"/>
        <v>Pcs</v>
      </c>
      <c r="E503" s="183"/>
      <c r="F503" s="184">
        <f t="shared" si="82"/>
        <v>1378</v>
      </c>
      <c r="G503" s="185">
        <f t="shared" si="82"/>
        <v>0</v>
      </c>
      <c r="H503" s="185">
        <f t="shared" si="82"/>
        <v>0</v>
      </c>
      <c r="I503" s="185">
        <f t="shared" si="83"/>
        <v>1378</v>
      </c>
      <c r="J503" s="185">
        <f t="shared" si="84"/>
        <v>550</v>
      </c>
      <c r="K503" s="185">
        <f t="shared" si="85"/>
        <v>757900</v>
      </c>
      <c r="L503" s="1190" t="s">
        <v>1826</v>
      </c>
      <c r="M503" s="1059"/>
      <c r="N503" s="1059"/>
      <c r="T503" s="1011"/>
      <c r="U503" s="1133"/>
      <c r="V503" s="1012"/>
      <c r="AA503" s="1039" t="str">
        <f>VLOOKUP(L503,'25-BRA-I-090'!$I:$EZ,2,0)</f>
        <v>Đệm</v>
      </c>
      <c r="AB503" s="1039" t="str">
        <f>VLOOKUP(L503,'25-BRA-I-090'!$I:$EZ,3,0)</f>
        <v>Washer-20-ISO7089-St-200HV-Galv</v>
      </c>
      <c r="AC503" s="1039" t="str">
        <f>VLOOKUP(L503,'25-BRA-I-090'!$I:$EZ,5,0)</f>
        <v>Pcs</v>
      </c>
      <c r="AD503" s="1039">
        <f>SUMIFS('25-BRA-I-090'!$CS:$CS,'25-BRA-I-090'!$I:$I,L503)</f>
        <v>1378</v>
      </c>
      <c r="AE503" s="1039">
        <f>SUMIFS('25-BRA-I-090'!$CT:$CT,'25-BRA-I-090'!$I:$I,L503)</f>
        <v>0</v>
      </c>
      <c r="AF503" s="1039">
        <f>SUMIFS('25-BRA-I-090'!$CW:$CW,'25-BRA-I-090'!$I:$I,L503)</f>
        <v>0</v>
      </c>
      <c r="AG503" s="1039">
        <f>SUMIFS('25-BRA-I-090'!$CX:$CX,'25-BRA-I-090'!$I:$I,L503)</f>
        <v>0</v>
      </c>
      <c r="AH503" s="1040">
        <f>SUMIFS('25-BRA-I-090'!$DJ:$DJ,'25-BRA-I-090'!$I:$I,L503)+SUMIFS('25-BRA-I-090'!$EC:$EC,'25-BRA-I-090'!$I:$I,L503)</f>
        <v>1378</v>
      </c>
      <c r="AI503" s="1040">
        <f>SUMIFS('25-BRA-I-090'!$DK:$DK,'25-BRA-I-090'!$I:$I,L503)+SUMIFS('25-BRA-I-090'!$ED:$ED,'25-BRA-I-090'!$I:$I,L503)</f>
        <v>0</v>
      </c>
      <c r="AJ503" s="1040">
        <f>SUMIFS('25-BRA-I-090'!$DO:$DO,'25-BRA-I-090'!$I:$I,L503)+26400*SUMIFS('25-BRA-I-090'!$EF:$EF,'25-BRA-I-090'!$I:$I,L503)</f>
        <v>757900</v>
      </c>
      <c r="AL503" s="1092"/>
      <c r="AM503" s="1039"/>
    </row>
    <row r="504" spans="1:39" s="1010" customFormat="1" ht="30">
      <c r="A504" s="1106"/>
      <c r="B504" s="1057" t="str">
        <f t="shared" si="80"/>
        <v>Washer-22-DIN434-8.8-Galv</v>
      </c>
      <c r="C504" s="1058">
        <f>VLOOKUP(L504,'25-BRA-I-090'!$I:$EZ,4,0)</f>
        <v>0</v>
      </c>
      <c r="D504" s="374" t="str">
        <f t="shared" si="81"/>
        <v>Pcs</v>
      </c>
      <c r="E504" s="183"/>
      <c r="F504" s="184">
        <f t="shared" si="82"/>
        <v>16</v>
      </c>
      <c r="G504" s="185">
        <f t="shared" si="82"/>
        <v>0</v>
      </c>
      <c r="H504" s="185">
        <f t="shared" si="82"/>
        <v>0</v>
      </c>
      <c r="I504" s="185">
        <f t="shared" si="83"/>
        <v>16</v>
      </c>
      <c r="J504" s="185">
        <f t="shared" si="84"/>
        <v>28800</v>
      </c>
      <c r="K504" s="185">
        <f t="shared" si="85"/>
        <v>460800</v>
      </c>
      <c r="L504" s="1190" t="s">
        <v>1828</v>
      </c>
      <c r="M504" s="1059"/>
      <c r="N504" s="1059"/>
      <c r="T504" s="1011"/>
      <c r="U504" s="1133"/>
      <c r="V504" s="1012"/>
      <c r="AA504" s="1039" t="str">
        <f>VLOOKUP(L504,'25-BRA-I-090'!$I:$EZ,2,0)</f>
        <v>Đệm</v>
      </c>
      <c r="AB504" s="1039" t="str">
        <f>VLOOKUP(L504,'25-BRA-I-090'!$I:$EZ,3,0)</f>
        <v>Washer-22-DIN434-8.8-Galv</v>
      </c>
      <c r="AC504" s="1039" t="str">
        <f>VLOOKUP(L504,'25-BRA-I-090'!$I:$EZ,5,0)</f>
        <v>Pcs</v>
      </c>
      <c r="AD504" s="1039">
        <f>SUMIFS('25-BRA-I-090'!$CS:$CS,'25-BRA-I-090'!$I:$I,L504)</f>
        <v>16</v>
      </c>
      <c r="AE504" s="1039">
        <f>SUMIFS('25-BRA-I-090'!$CT:$CT,'25-BRA-I-090'!$I:$I,L504)</f>
        <v>0</v>
      </c>
      <c r="AF504" s="1039">
        <f>SUMIFS('25-BRA-I-090'!$CW:$CW,'25-BRA-I-090'!$I:$I,L504)</f>
        <v>0</v>
      </c>
      <c r="AG504" s="1039">
        <f>SUMIFS('25-BRA-I-090'!$CX:$CX,'25-BRA-I-090'!$I:$I,L504)</f>
        <v>0</v>
      </c>
      <c r="AH504" s="1040">
        <f>SUMIFS('25-BRA-I-090'!$DJ:$DJ,'25-BRA-I-090'!$I:$I,L504)+SUMIFS('25-BRA-I-090'!$EC:$EC,'25-BRA-I-090'!$I:$I,L504)</f>
        <v>16</v>
      </c>
      <c r="AI504" s="1040">
        <f>SUMIFS('25-BRA-I-090'!$DK:$DK,'25-BRA-I-090'!$I:$I,L504)+SUMIFS('25-BRA-I-090'!$ED:$ED,'25-BRA-I-090'!$I:$I,L504)</f>
        <v>0</v>
      </c>
      <c r="AJ504" s="1040">
        <f>SUMIFS('25-BRA-I-090'!$DO:$DO,'25-BRA-I-090'!$I:$I,L504)+26400*SUMIFS('25-BRA-I-090'!$EF:$EF,'25-BRA-I-090'!$I:$I,L504)</f>
        <v>460800</v>
      </c>
      <c r="AL504" s="1092"/>
      <c r="AM504" s="1039"/>
    </row>
    <row r="505" spans="1:39" s="1010" customFormat="1" ht="45">
      <c r="A505" s="1106"/>
      <c r="B505" s="1057" t="str">
        <f t="shared" si="80"/>
        <v>Washer-22-DIN434-St-200HV-Galv</v>
      </c>
      <c r="C505" s="1058">
        <f>VLOOKUP(L505,'25-BRA-I-090'!$I:$EZ,4,0)</f>
        <v>0</v>
      </c>
      <c r="D505" s="374" t="str">
        <f t="shared" si="81"/>
        <v>Pcs</v>
      </c>
      <c r="E505" s="183"/>
      <c r="F505" s="184">
        <f t="shared" si="82"/>
        <v>12</v>
      </c>
      <c r="G505" s="185">
        <f t="shared" si="82"/>
        <v>0</v>
      </c>
      <c r="H505" s="185">
        <f t="shared" si="82"/>
        <v>0</v>
      </c>
      <c r="I505" s="185">
        <f t="shared" si="83"/>
        <v>12</v>
      </c>
      <c r="J505" s="185">
        <f t="shared" si="84"/>
        <v>28800</v>
      </c>
      <c r="K505" s="185">
        <f t="shared" si="85"/>
        <v>345600</v>
      </c>
      <c r="L505" s="1190" t="s">
        <v>1829</v>
      </c>
      <c r="M505" s="1059"/>
      <c r="N505" s="1059"/>
      <c r="T505" s="1011"/>
      <c r="U505" s="1133"/>
      <c r="V505" s="1012"/>
      <c r="AA505" s="1039" t="str">
        <f>VLOOKUP(L505,'25-BRA-I-090'!$I:$EZ,2,0)</f>
        <v>Đệm</v>
      </c>
      <c r="AB505" s="1039" t="str">
        <f>VLOOKUP(L505,'25-BRA-I-090'!$I:$EZ,3,0)</f>
        <v>Washer-22-DIN434-St-200HV-Galv</v>
      </c>
      <c r="AC505" s="1039" t="str">
        <f>VLOOKUP(L505,'25-BRA-I-090'!$I:$EZ,5,0)</f>
        <v>Pcs</v>
      </c>
      <c r="AD505" s="1039">
        <f>SUMIFS('25-BRA-I-090'!$CS:$CS,'25-BRA-I-090'!$I:$I,L505)</f>
        <v>12</v>
      </c>
      <c r="AE505" s="1039">
        <f>SUMIFS('25-BRA-I-090'!$CT:$CT,'25-BRA-I-090'!$I:$I,L505)</f>
        <v>0</v>
      </c>
      <c r="AF505" s="1039">
        <f>SUMIFS('25-BRA-I-090'!$CW:$CW,'25-BRA-I-090'!$I:$I,L505)</f>
        <v>0</v>
      </c>
      <c r="AG505" s="1039">
        <f>SUMIFS('25-BRA-I-090'!$CX:$CX,'25-BRA-I-090'!$I:$I,L505)</f>
        <v>0</v>
      </c>
      <c r="AH505" s="1040">
        <f>SUMIFS('25-BRA-I-090'!$DJ:$DJ,'25-BRA-I-090'!$I:$I,L505)+SUMIFS('25-BRA-I-090'!$EC:$EC,'25-BRA-I-090'!$I:$I,L505)</f>
        <v>12</v>
      </c>
      <c r="AI505" s="1040">
        <f>SUMIFS('25-BRA-I-090'!$DK:$DK,'25-BRA-I-090'!$I:$I,L505)+SUMIFS('25-BRA-I-090'!$ED:$ED,'25-BRA-I-090'!$I:$I,L505)</f>
        <v>0</v>
      </c>
      <c r="AJ505" s="1040">
        <f>SUMIFS('25-BRA-I-090'!$DO:$DO,'25-BRA-I-090'!$I:$I,L505)+26400*SUMIFS('25-BRA-I-090'!$EF:$EF,'25-BRA-I-090'!$I:$I,L505)</f>
        <v>345600</v>
      </c>
      <c r="AL505" s="1092"/>
      <c r="AM505" s="1039"/>
    </row>
    <row r="506" spans="1:39" s="1010" customFormat="1" ht="45">
      <c r="A506" s="1106"/>
      <c r="B506" s="1057" t="str">
        <f t="shared" si="80"/>
        <v>Washer-24-ISO7089-St-200HV-Galv</v>
      </c>
      <c r="C506" s="1058">
        <f>VLOOKUP(L506,'25-BRA-I-090'!$I:$EZ,4,0)</f>
        <v>0</v>
      </c>
      <c r="D506" s="374" t="str">
        <f t="shared" si="81"/>
        <v>Pcs</v>
      </c>
      <c r="E506" s="183"/>
      <c r="F506" s="184">
        <f t="shared" si="82"/>
        <v>576</v>
      </c>
      <c r="G506" s="185">
        <f t="shared" si="82"/>
        <v>0</v>
      </c>
      <c r="H506" s="185">
        <f t="shared" si="82"/>
        <v>0</v>
      </c>
      <c r="I506" s="185">
        <f t="shared" si="83"/>
        <v>576</v>
      </c>
      <c r="J506" s="185">
        <f t="shared" si="84"/>
        <v>1150</v>
      </c>
      <c r="K506" s="185">
        <f t="shared" si="85"/>
        <v>662400</v>
      </c>
      <c r="L506" s="1190" t="s">
        <v>1831</v>
      </c>
      <c r="M506" s="1059"/>
      <c r="N506" s="1059"/>
      <c r="T506" s="1011"/>
      <c r="U506" s="1133"/>
      <c r="V506" s="1012"/>
      <c r="AA506" s="1039" t="str">
        <f>VLOOKUP(L506,'25-BRA-I-090'!$I:$EZ,2,0)</f>
        <v>Đệm</v>
      </c>
      <c r="AB506" s="1039" t="str">
        <f>VLOOKUP(L506,'25-BRA-I-090'!$I:$EZ,3,0)</f>
        <v>Washer-24-ISO7089-St-200HV-Galv</v>
      </c>
      <c r="AC506" s="1039" t="str">
        <f>VLOOKUP(L506,'25-BRA-I-090'!$I:$EZ,5,0)</f>
        <v>Pcs</v>
      </c>
      <c r="AD506" s="1039">
        <f>SUMIFS('25-BRA-I-090'!$CS:$CS,'25-BRA-I-090'!$I:$I,L506)</f>
        <v>576</v>
      </c>
      <c r="AE506" s="1039">
        <f>SUMIFS('25-BRA-I-090'!$CT:$CT,'25-BRA-I-090'!$I:$I,L506)</f>
        <v>0</v>
      </c>
      <c r="AF506" s="1039">
        <f>SUMIFS('25-BRA-I-090'!$CW:$CW,'25-BRA-I-090'!$I:$I,L506)</f>
        <v>0</v>
      </c>
      <c r="AG506" s="1039">
        <f>SUMIFS('25-BRA-I-090'!$CX:$CX,'25-BRA-I-090'!$I:$I,L506)</f>
        <v>0</v>
      </c>
      <c r="AH506" s="1040">
        <f>SUMIFS('25-BRA-I-090'!$DJ:$DJ,'25-BRA-I-090'!$I:$I,L506)+SUMIFS('25-BRA-I-090'!$EC:$EC,'25-BRA-I-090'!$I:$I,L506)</f>
        <v>576</v>
      </c>
      <c r="AI506" s="1040">
        <f>SUMIFS('25-BRA-I-090'!$DK:$DK,'25-BRA-I-090'!$I:$I,L506)+SUMIFS('25-BRA-I-090'!$ED:$ED,'25-BRA-I-090'!$I:$I,L506)</f>
        <v>0</v>
      </c>
      <c r="AJ506" s="1040">
        <f>SUMIFS('25-BRA-I-090'!$DO:$DO,'25-BRA-I-090'!$I:$I,L506)+26400*SUMIFS('25-BRA-I-090'!$EF:$EF,'25-BRA-I-090'!$I:$I,L506)</f>
        <v>662400</v>
      </c>
      <c r="AL506" s="1092"/>
      <c r="AM506" s="1039"/>
    </row>
    <row r="507" spans="1:39" s="1010" customFormat="1" ht="45">
      <c r="A507" s="1106"/>
      <c r="B507" s="1057" t="str">
        <f t="shared" si="80"/>
        <v>Washer-30-ISO7089-St-200HV-Galv</v>
      </c>
      <c r="C507" s="1058">
        <f>VLOOKUP(L507,'25-BRA-I-090'!$I:$EZ,4,0)</f>
        <v>0</v>
      </c>
      <c r="D507" s="374" t="str">
        <f t="shared" si="81"/>
        <v>Pcs</v>
      </c>
      <c r="E507" s="183"/>
      <c r="F507" s="184">
        <f t="shared" si="82"/>
        <v>192</v>
      </c>
      <c r="G507" s="185">
        <f t="shared" si="82"/>
        <v>0</v>
      </c>
      <c r="H507" s="185">
        <f t="shared" si="82"/>
        <v>0</v>
      </c>
      <c r="I507" s="185">
        <f t="shared" si="83"/>
        <v>192</v>
      </c>
      <c r="J507" s="185">
        <f t="shared" si="84"/>
        <v>1880</v>
      </c>
      <c r="K507" s="185">
        <f t="shared" si="85"/>
        <v>360960</v>
      </c>
      <c r="L507" s="1190" t="s">
        <v>1833</v>
      </c>
      <c r="M507" s="1059"/>
      <c r="N507" s="1059"/>
      <c r="T507" s="1011"/>
      <c r="U507" s="1133"/>
      <c r="V507" s="1012"/>
      <c r="AA507" s="1039" t="str">
        <f>VLOOKUP(L507,'25-BRA-I-090'!$I:$EZ,2,0)</f>
        <v>Đệm</v>
      </c>
      <c r="AB507" s="1039" t="str">
        <f>VLOOKUP(L507,'25-BRA-I-090'!$I:$EZ,3,0)</f>
        <v>Washer-30-ISO7089-St-200HV-Galv</v>
      </c>
      <c r="AC507" s="1039" t="str">
        <f>VLOOKUP(L507,'25-BRA-I-090'!$I:$EZ,5,0)</f>
        <v>Pcs</v>
      </c>
      <c r="AD507" s="1039">
        <f>SUMIFS('25-BRA-I-090'!$CS:$CS,'25-BRA-I-090'!$I:$I,L507)</f>
        <v>192</v>
      </c>
      <c r="AE507" s="1039">
        <f>SUMIFS('25-BRA-I-090'!$CT:$CT,'25-BRA-I-090'!$I:$I,L507)</f>
        <v>0</v>
      </c>
      <c r="AF507" s="1039">
        <f>SUMIFS('25-BRA-I-090'!$CW:$CW,'25-BRA-I-090'!$I:$I,L507)</f>
        <v>0</v>
      </c>
      <c r="AG507" s="1039">
        <f>SUMIFS('25-BRA-I-090'!$CX:$CX,'25-BRA-I-090'!$I:$I,L507)</f>
        <v>0</v>
      </c>
      <c r="AH507" s="1040">
        <f>SUMIFS('25-BRA-I-090'!$DJ:$DJ,'25-BRA-I-090'!$I:$I,L507)+SUMIFS('25-BRA-I-090'!$EC:$EC,'25-BRA-I-090'!$I:$I,L507)</f>
        <v>192</v>
      </c>
      <c r="AI507" s="1040">
        <f>SUMIFS('25-BRA-I-090'!$DK:$DK,'25-BRA-I-090'!$I:$I,L507)+SUMIFS('25-BRA-I-090'!$ED:$ED,'25-BRA-I-090'!$I:$I,L507)</f>
        <v>0</v>
      </c>
      <c r="AJ507" s="1040">
        <f>SUMIFS('25-BRA-I-090'!$DO:$DO,'25-BRA-I-090'!$I:$I,L507)+26400*SUMIFS('25-BRA-I-090'!$EF:$EF,'25-BRA-I-090'!$I:$I,L507)</f>
        <v>360960</v>
      </c>
      <c r="AL507" s="1092"/>
      <c r="AM507" s="1039"/>
    </row>
    <row r="508" spans="1:39" s="1010" customFormat="1" ht="45">
      <c r="A508" s="1106"/>
      <c r="B508" s="1057" t="str">
        <f t="shared" si="80"/>
        <v>Washer-A16-DIN127-St-200HV-Galv</v>
      </c>
      <c r="C508" s="1058">
        <f>VLOOKUP(L508,'25-BRA-I-090'!$I:$EZ,4,0)</f>
        <v>0</v>
      </c>
      <c r="D508" s="374" t="str">
        <f t="shared" si="81"/>
        <v>Pcs</v>
      </c>
      <c r="E508" s="183"/>
      <c r="F508" s="184">
        <f t="shared" si="82"/>
        <v>102</v>
      </c>
      <c r="G508" s="185">
        <f t="shared" si="82"/>
        <v>0</v>
      </c>
      <c r="H508" s="185">
        <f t="shared" si="82"/>
        <v>0</v>
      </c>
      <c r="I508" s="185">
        <f t="shared" si="83"/>
        <v>102</v>
      </c>
      <c r="J508" s="185">
        <f t="shared" si="84"/>
        <v>420</v>
      </c>
      <c r="K508" s="185">
        <f t="shared" si="85"/>
        <v>42840</v>
      </c>
      <c r="L508" s="1190" t="s">
        <v>1835</v>
      </c>
      <c r="M508" s="1059"/>
      <c r="N508" s="1059"/>
      <c r="T508" s="1011"/>
      <c r="U508" s="1133"/>
      <c r="V508" s="1012"/>
      <c r="AA508" s="1039" t="str">
        <f>VLOOKUP(L508,'25-BRA-I-090'!$I:$EZ,2,0)</f>
        <v>Đệm</v>
      </c>
      <c r="AB508" s="1039" t="str">
        <f>VLOOKUP(L508,'25-BRA-I-090'!$I:$EZ,3,0)</f>
        <v>Washer-A16-DIN127-St-200HV-Galv</v>
      </c>
      <c r="AC508" s="1039" t="str">
        <f>VLOOKUP(L508,'25-BRA-I-090'!$I:$EZ,5,0)</f>
        <v>Pcs</v>
      </c>
      <c r="AD508" s="1039">
        <f>SUMIFS('25-BRA-I-090'!$CS:$CS,'25-BRA-I-090'!$I:$I,L508)</f>
        <v>102</v>
      </c>
      <c r="AE508" s="1039">
        <f>SUMIFS('25-BRA-I-090'!$CT:$CT,'25-BRA-I-090'!$I:$I,L508)</f>
        <v>0</v>
      </c>
      <c r="AF508" s="1039">
        <f>SUMIFS('25-BRA-I-090'!$CW:$CW,'25-BRA-I-090'!$I:$I,L508)</f>
        <v>0</v>
      </c>
      <c r="AG508" s="1039">
        <f>SUMIFS('25-BRA-I-090'!$CX:$CX,'25-BRA-I-090'!$I:$I,L508)</f>
        <v>0</v>
      </c>
      <c r="AH508" s="1040">
        <f>SUMIFS('25-BRA-I-090'!$DJ:$DJ,'25-BRA-I-090'!$I:$I,L508)+SUMIFS('25-BRA-I-090'!$EC:$EC,'25-BRA-I-090'!$I:$I,L508)</f>
        <v>102</v>
      </c>
      <c r="AI508" s="1040">
        <f>SUMIFS('25-BRA-I-090'!$DK:$DK,'25-BRA-I-090'!$I:$I,L508)+SUMIFS('25-BRA-I-090'!$ED:$ED,'25-BRA-I-090'!$I:$I,L508)</f>
        <v>0</v>
      </c>
      <c r="AJ508" s="1040">
        <f>SUMIFS('25-BRA-I-090'!$DO:$DO,'25-BRA-I-090'!$I:$I,L508)+26400*SUMIFS('25-BRA-I-090'!$EF:$EF,'25-BRA-I-090'!$I:$I,L508)</f>
        <v>42840</v>
      </c>
      <c r="AL508" s="1092"/>
      <c r="AM508" s="1039"/>
    </row>
    <row r="509" spans="1:39" s="1010" customFormat="1" ht="45">
      <c r="A509" s="1106"/>
      <c r="B509" s="1057" t="str">
        <f t="shared" si="80"/>
        <v>Washer-A20-DIN127-St-200HV-Galv</v>
      </c>
      <c r="C509" s="1058">
        <f>VLOOKUP(L509,'25-BRA-I-090'!$I:$EZ,4,0)</f>
        <v>0</v>
      </c>
      <c r="D509" s="374" t="str">
        <f t="shared" si="81"/>
        <v>Pcs</v>
      </c>
      <c r="E509" s="183"/>
      <c r="F509" s="184">
        <f t="shared" si="82"/>
        <v>528</v>
      </c>
      <c r="G509" s="185">
        <f t="shared" si="82"/>
        <v>0</v>
      </c>
      <c r="H509" s="185">
        <f t="shared" si="82"/>
        <v>0</v>
      </c>
      <c r="I509" s="185">
        <f t="shared" si="83"/>
        <v>528</v>
      </c>
      <c r="J509" s="185">
        <f t="shared" si="84"/>
        <v>640</v>
      </c>
      <c r="K509" s="185">
        <f t="shared" si="85"/>
        <v>337920</v>
      </c>
      <c r="L509" s="1190" t="s">
        <v>1837</v>
      </c>
      <c r="M509" s="1059"/>
      <c r="N509" s="1059"/>
      <c r="T509" s="1011"/>
      <c r="U509" s="1133"/>
      <c r="V509" s="1012"/>
      <c r="AA509" s="1039" t="str">
        <f>VLOOKUP(L509,'25-BRA-I-090'!$I:$EZ,2,0)</f>
        <v>Đệm</v>
      </c>
      <c r="AB509" s="1039" t="str">
        <f>VLOOKUP(L509,'25-BRA-I-090'!$I:$EZ,3,0)</f>
        <v>Washer-A20-DIN127-St-200HV-Galv</v>
      </c>
      <c r="AC509" s="1039" t="str">
        <f>VLOOKUP(L509,'25-BRA-I-090'!$I:$EZ,5,0)</f>
        <v>Pcs</v>
      </c>
      <c r="AD509" s="1039">
        <f>SUMIFS('25-BRA-I-090'!$CS:$CS,'25-BRA-I-090'!$I:$I,L509)</f>
        <v>528</v>
      </c>
      <c r="AE509" s="1039">
        <f>SUMIFS('25-BRA-I-090'!$CT:$CT,'25-BRA-I-090'!$I:$I,L509)</f>
        <v>0</v>
      </c>
      <c r="AF509" s="1039">
        <f>SUMIFS('25-BRA-I-090'!$CW:$CW,'25-BRA-I-090'!$I:$I,L509)</f>
        <v>0</v>
      </c>
      <c r="AG509" s="1039">
        <f>SUMIFS('25-BRA-I-090'!$CX:$CX,'25-BRA-I-090'!$I:$I,L509)</f>
        <v>0</v>
      </c>
      <c r="AH509" s="1040">
        <f>SUMIFS('25-BRA-I-090'!$DJ:$DJ,'25-BRA-I-090'!$I:$I,L509)+SUMIFS('25-BRA-I-090'!$EC:$EC,'25-BRA-I-090'!$I:$I,L509)</f>
        <v>528</v>
      </c>
      <c r="AI509" s="1040">
        <f>SUMIFS('25-BRA-I-090'!$DK:$DK,'25-BRA-I-090'!$I:$I,L509)+SUMIFS('25-BRA-I-090'!$ED:$ED,'25-BRA-I-090'!$I:$I,L509)</f>
        <v>0</v>
      </c>
      <c r="AJ509" s="1040">
        <f>SUMIFS('25-BRA-I-090'!$DO:$DO,'25-BRA-I-090'!$I:$I,L509)+26400*SUMIFS('25-BRA-I-090'!$EF:$EF,'25-BRA-I-090'!$I:$I,L509)</f>
        <v>337920</v>
      </c>
      <c r="AL509" s="1092"/>
      <c r="AM509" s="1039"/>
    </row>
    <row r="510" spans="1:39" s="1010" customFormat="1" ht="45">
      <c r="A510" s="1106"/>
      <c r="B510" s="1057" t="str">
        <f t="shared" si="80"/>
        <v>Washer-A24-DIN127-St-200HV-Galv</v>
      </c>
      <c r="C510" s="1058">
        <f>VLOOKUP(L510,'25-BRA-I-090'!$I:$EZ,4,0)</f>
        <v>0</v>
      </c>
      <c r="D510" s="374" t="str">
        <f t="shared" si="81"/>
        <v>Pcs</v>
      </c>
      <c r="E510" s="183"/>
      <c r="F510" s="184">
        <f t="shared" si="82"/>
        <v>384</v>
      </c>
      <c r="G510" s="185">
        <f t="shared" si="82"/>
        <v>0</v>
      </c>
      <c r="H510" s="185">
        <f t="shared" si="82"/>
        <v>0</v>
      </c>
      <c r="I510" s="185">
        <f t="shared" si="83"/>
        <v>384</v>
      </c>
      <c r="J510" s="185">
        <f t="shared" si="84"/>
        <v>1220</v>
      </c>
      <c r="K510" s="185">
        <f t="shared" si="85"/>
        <v>468480</v>
      </c>
      <c r="L510" s="1190" t="s">
        <v>1839</v>
      </c>
      <c r="M510" s="1059"/>
      <c r="N510" s="1059"/>
      <c r="T510" s="1011"/>
      <c r="U510" s="1133"/>
      <c r="V510" s="1012"/>
      <c r="AA510" s="1039" t="str">
        <f>VLOOKUP(L510,'25-BRA-I-090'!$I:$EZ,2,0)</f>
        <v>Đệm</v>
      </c>
      <c r="AB510" s="1039" t="str">
        <f>VLOOKUP(L510,'25-BRA-I-090'!$I:$EZ,3,0)</f>
        <v>Washer-A24-DIN127-St-200HV-Galv</v>
      </c>
      <c r="AC510" s="1039" t="str">
        <f>VLOOKUP(L510,'25-BRA-I-090'!$I:$EZ,5,0)</f>
        <v>Pcs</v>
      </c>
      <c r="AD510" s="1039">
        <f>SUMIFS('25-BRA-I-090'!$CS:$CS,'25-BRA-I-090'!$I:$I,L510)</f>
        <v>384</v>
      </c>
      <c r="AE510" s="1039">
        <f>SUMIFS('25-BRA-I-090'!$CT:$CT,'25-BRA-I-090'!$I:$I,L510)</f>
        <v>0</v>
      </c>
      <c r="AF510" s="1039">
        <f>SUMIFS('25-BRA-I-090'!$CW:$CW,'25-BRA-I-090'!$I:$I,L510)</f>
        <v>0</v>
      </c>
      <c r="AG510" s="1039">
        <f>SUMIFS('25-BRA-I-090'!$CX:$CX,'25-BRA-I-090'!$I:$I,L510)</f>
        <v>0</v>
      </c>
      <c r="AH510" s="1040">
        <f>SUMIFS('25-BRA-I-090'!$DJ:$DJ,'25-BRA-I-090'!$I:$I,L510)+SUMIFS('25-BRA-I-090'!$EC:$EC,'25-BRA-I-090'!$I:$I,L510)</f>
        <v>384</v>
      </c>
      <c r="AI510" s="1040">
        <f>SUMIFS('25-BRA-I-090'!$DK:$DK,'25-BRA-I-090'!$I:$I,L510)+SUMIFS('25-BRA-I-090'!$ED:$ED,'25-BRA-I-090'!$I:$I,L510)</f>
        <v>0</v>
      </c>
      <c r="AJ510" s="1040">
        <f>SUMIFS('25-BRA-I-090'!$DO:$DO,'25-BRA-I-090'!$I:$I,L510)+26400*SUMIFS('25-BRA-I-090'!$EF:$EF,'25-BRA-I-090'!$I:$I,L510)</f>
        <v>468480</v>
      </c>
      <c r="AL510" s="1092"/>
      <c r="AM510" s="1039"/>
    </row>
    <row r="511" spans="1:39" s="1010" customFormat="1" ht="45">
      <c r="A511" s="1106"/>
      <c r="B511" s="1057" t="str">
        <f t="shared" si="80"/>
        <v>Washer-A30-DIN127-St-200HV-Galv</v>
      </c>
      <c r="C511" s="1058">
        <f>VLOOKUP(L511,'25-BRA-I-090'!$I:$EZ,4,0)</f>
        <v>0</v>
      </c>
      <c r="D511" s="374" t="str">
        <f t="shared" si="81"/>
        <v>Pcs</v>
      </c>
      <c r="E511" s="183"/>
      <c r="F511" s="184">
        <f t="shared" si="82"/>
        <v>144</v>
      </c>
      <c r="G511" s="185">
        <f t="shared" si="82"/>
        <v>0</v>
      </c>
      <c r="H511" s="185">
        <f t="shared" si="82"/>
        <v>0</v>
      </c>
      <c r="I511" s="185">
        <f t="shared" si="83"/>
        <v>144</v>
      </c>
      <c r="J511" s="185">
        <f t="shared" si="84"/>
        <v>1780</v>
      </c>
      <c r="K511" s="185">
        <f t="shared" si="85"/>
        <v>256320</v>
      </c>
      <c r="L511" s="1190" t="s">
        <v>1841</v>
      </c>
      <c r="M511" s="1059"/>
      <c r="N511" s="1059"/>
      <c r="T511" s="1011"/>
      <c r="U511" s="1133"/>
      <c r="V511" s="1012"/>
      <c r="AA511" s="1039" t="str">
        <f>VLOOKUP(L511,'25-BRA-I-090'!$I:$EZ,2,0)</f>
        <v>Đệm</v>
      </c>
      <c r="AB511" s="1039" t="str">
        <f>VLOOKUP(L511,'25-BRA-I-090'!$I:$EZ,3,0)</f>
        <v>Washer-A30-DIN127-St-200HV-Galv</v>
      </c>
      <c r="AC511" s="1039" t="str">
        <f>VLOOKUP(L511,'25-BRA-I-090'!$I:$EZ,5,0)</f>
        <v>Pcs</v>
      </c>
      <c r="AD511" s="1039">
        <f>SUMIFS('25-BRA-I-090'!$CS:$CS,'25-BRA-I-090'!$I:$I,L511)</f>
        <v>144</v>
      </c>
      <c r="AE511" s="1039">
        <f>SUMIFS('25-BRA-I-090'!$CT:$CT,'25-BRA-I-090'!$I:$I,L511)</f>
        <v>0</v>
      </c>
      <c r="AF511" s="1039">
        <f>SUMIFS('25-BRA-I-090'!$CW:$CW,'25-BRA-I-090'!$I:$I,L511)</f>
        <v>0</v>
      </c>
      <c r="AG511" s="1039">
        <f>SUMIFS('25-BRA-I-090'!$CX:$CX,'25-BRA-I-090'!$I:$I,L511)</f>
        <v>0</v>
      </c>
      <c r="AH511" s="1040">
        <f>SUMIFS('25-BRA-I-090'!$DJ:$DJ,'25-BRA-I-090'!$I:$I,L511)+SUMIFS('25-BRA-I-090'!$EC:$EC,'25-BRA-I-090'!$I:$I,L511)</f>
        <v>144</v>
      </c>
      <c r="AI511" s="1040">
        <f>SUMIFS('25-BRA-I-090'!$DK:$DK,'25-BRA-I-090'!$I:$I,L511)+SUMIFS('25-BRA-I-090'!$ED:$ED,'25-BRA-I-090'!$I:$I,L511)</f>
        <v>0</v>
      </c>
      <c r="AJ511" s="1040">
        <f>SUMIFS('25-BRA-I-090'!$DO:$DO,'25-BRA-I-090'!$I:$I,L511)+26400*SUMIFS('25-BRA-I-090'!$EF:$EF,'25-BRA-I-090'!$I:$I,L511)</f>
        <v>256320</v>
      </c>
      <c r="AL511" s="1092"/>
      <c r="AM511" s="1039"/>
    </row>
    <row r="512" spans="1:39" s="1010" customFormat="1" ht="45">
      <c r="A512" s="1106"/>
      <c r="B512" s="1057" t="str">
        <f t="shared" si="80"/>
        <v>Washer-A36-DIN127-St-200HV-Galv</v>
      </c>
      <c r="C512" s="1058">
        <f>VLOOKUP(L512,'25-BRA-I-090'!$I:$EZ,4,0)</f>
        <v>0</v>
      </c>
      <c r="D512" s="374" t="str">
        <f t="shared" si="81"/>
        <v>Pcs</v>
      </c>
      <c r="E512" s="183"/>
      <c r="F512" s="184">
        <f t="shared" si="82"/>
        <v>96</v>
      </c>
      <c r="G512" s="185">
        <f t="shared" si="82"/>
        <v>0</v>
      </c>
      <c r="H512" s="185">
        <f t="shared" si="82"/>
        <v>0</v>
      </c>
      <c r="I512" s="185">
        <f t="shared" si="83"/>
        <v>96</v>
      </c>
      <c r="J512" s="185">
        <f t="shared" si="84"/>
        <v>2750</v>
      </c>
      <c r="K512" s="185">
        <f t="shared" si="85"/>
        <v>264000</v>
      </c>
      <c r="L512" s="1190" t="s">
        <v>1843</v>
      </c>
      <c r="M512" s="1059"/>
      <c r="N512" s="1059"/>
      <c r="T512" s="1011"/>
      <c r="U512" s="1133"/>
      <c r="V512" s="1012"/>
      <c r="AA512" s="1039" t="str">
        <f>VLOOKUP(L512,'25-BRA-I-090'!$I:$EZ,2,0)</f>
        <v>Đệm</v>
      </c>
      <c r="AB512" s="1039" t="str">
        <f>VLOOKUP(L512,'25-BRA-I-090'!$I:$EZ,3,0)</f>
        <v>Washer-A36-DIN127-St-200HV-Galv</v>
      </c>
      <c r="AC512" s="1039" t="str">
        <f>VLOOKUP(L512,'25-BRA-I-090'!$I:$EZ,5,0)</f>
        <v>Pcs</v>
      </c>
      <c r="AD512" s="1039">
        <f>SUMIFS('25-BRA-I-090'!$CS:$CS,'25-BRA-I-090'!$I:$I,L512)</f>
        <v>96</v>
      </c>
      <c r="AE512" s="1039">
        <f>SUMIFS('25-BRA-I-090'!$CT:$CT,'25-BRA-I-090'!$I:$I,L512)</f>
        <v>0</v>
      </c>
      <c r="AF512" s="1039">
        <f>SUMIFS('25-BRA-I-090'!$CW:$CW,'25-BRA-I-090'!$I:$I,L512)</f>
        <v>0</v>
      </c>
      <c r="AG512" s="1039">
        <f>SUMIFS('25-BRA-I-090'!$CX:$CX,'25-BRA-I-090'!$I:$I,L512)</f>
        <v>0</v>
      </c>
      <c r="AH512" s="1040">
        <f>SUMIFS('25-BRA-I-090'!$DJ:$DJ,'25-BRA-I-090'!$I:$I,L512)+SUMIFS('25-BRA-I-090'!$EC:$EC,'25-BRA-I-090'!$I:$I,L512)</f>
        <v>96</v>
      </c>
      <c r="AI512" s="1040">
        <f>SUMIFS('25-BRA-I-090'!$DK:$DK,'25-BRA-I-090'!$I:$I,L512)+SUMIFS('25-BRA-I-090'!$ED:$ED,'25-BRA-I-090'!$I:$I,L512)</f>
        <v>0</v>
      </c>
      <c r="AJ512" s="1040">
        <f>SUMIFS('25-BRA-I-090'!$DO:$DO,'25-BRA-I-090'!$I:$I,L512)+26400*SUMIFS('25-BRA-I-090'!$EF:$EF,'25-BRA-I-090'!$I:$I,L512)</f>
        <v>264000</v>
      </c>
      <c r="AL512" s="1092"/>
      <c r="AM512" s="1039"/>
    </row>
    <row r="513" spans="1:39" s="1010" customFormat="1" ht="45">
      <c r="A513" s="1106"/>
      <c r="B513" s="1057" t="str">
        <f t="shared" si="80"/>
        <v>Washer-M12-ISO7089-St-200HV-tZn</v>
      </c>
      <c r="C513" s="1058">
        <f>VLOOKUP(L513,'25-BRA-I-090'!$I:$EZ,4,0)</f>
        <v>0</v>
      </c>
      <c r="D513" s="374" t="str">
        <f t="shared" si="81"/>
        <v>Pcs</v>
      </c>
      <c r="E513" s="183"/>
      <c r="F513" s="184">
        <f t="shared" si="82"/>
        <v>320</v>
      </c>
      <c r="G513" s="185">
        <f t="shared" si="82"/>
        <v>0</v>
      </c>
      <c r="H513" s="185">
        <f t="shared" si="82"/>
        <v>0</v>
      </c>
      <c r="I513" s="185">
        <f t="shared" si="83"/>
        <v>320</v>
      </c>
      <c r="J513" s="185">
        <f t="shared" si="84"/>
        <v>230</v>
      </c>
      <c r="K513" s="185">
        <f t="shared" si="85"/>
        <v>73600</v>
      </c>
      <c r="L513" s="1190" t="s">
        <v>1845</v>
      </c>
      <c r="M513" s="1059"/>
      <c r="N513" s="1059"/>
      <c r="T513" s="1011"/>
      <c r="U513" s="1133"/>
      <c r="V513" s="1012"/>
      <c r="AA513" s="1039" t="str">
        <f>VLOOKUP(L513,'25-BRA-I-090'!$I:$EZ,2,0)</f>
        <v>Đệm</v>
      </c>
      <c r="AB513" s="1039" t="str">
        <f>VLOOKUP(L513,'25-BRA-I-090'!$I:$EZ,3,0)</f>
        <v>Washer-M12-ISO7089-St-200HV-tZn</v>
      </c>
      <c r="AC513" s="1039" t="str">
        <f>VLOOKUP(L513,'25-BRA-I-090'!$I:$EZ,5,0)</f>
        <v>Pcs</v>
      </c>
      <c r="AD513" s="1039">
        <f>SUMIFS('25-BRA-I-090'!$CS:$CS,'25-BRA-I-090'!$I:$I,L513)</f>
        <v>320</v>
      </c>
      <c r="AE513" s="1039">
        <f>SUMIFS('25-BRA-I-090'!$CT:$CT,'25-BRA-I-090'!$I:$I,L513)</f>
        <v>0</v>
      </c>
      <c r="AF513" s="1039">
        <f>SUMIFS('25-BRA-I-090'!$CW:$CW,'25-BRA-I-090'!$I:$I,L513)</f>
        <v>0</v>
      </c>
      <c r="AG513" s="1039">
        <f>SUMIFS('25-BRA-I-090'!$CX:$CX,'25-BRA-I-090'!$I:$I,L513)</f>
        <v>0</v>
      </c>
      <c r="AH513" s="1040">
        <f>SUMIFS('25-BRA-I-090'!$DJ:$DJ,'25-BRA-I-090'!$I:$I,L513)+SUMIFS('25-BRA-I-090'!$EC:$EC,'25-BRA-I-090'!$I:$I,L513)</f>
        <v>320</v>
      </c>
      <c r="AI513" s="1040">
        <f>SUMIFS('25-BRA-I-090'!$DK:$DK,'25-BRA-I-090'!$I:$I,L513)+SUMIFS('25-BRA-I-090'!$ED:$ED,'25-BRA-I-090'!$I:$I,L513)</f>
        <v>0</v>
      </c>
      <c r="AJ513" s="1040">
        <f>SUMIFS('25-BRA-I-090'!$DO:$DO,'25-BRA-I-090'!$I:$I,L513)+26400*SUMIFS('25-BRA-I-090'!$EF:$EF,'25-BRA-I-090'!$I:$I,L513)</f>
        <v>73600</v>
      </c>
      <c r="AL513" s="1092"/>
      <c r="AM513" s="1039"/>
    </row>
    <row r="514" spans="1:39" s="1010" customFormat="1" ht="45">
      <c r="A514" s="1106"/>
      <c r="B514" s="1057" t="str">
        <f t="shared" si="80"/>
        <v>Washer-M16-DIN434-St-200HV-Galv</v>
      </c>
      <c r="C514" s="1058">
        <f>VLOOKUP(L514,'25-BRA-I-090'!$I:$EZ,4,0)</f>
        <v>0</v>
      </c>
      <c r="D514" s="374" t="str">
        <f t="shared" si="81"/>
        <v>Pcs</v>
      </c>
      <c r="E514" s="183"/>
      <c r="F514" s="184">
        <f t="shared" si="82"/>
        <v>252</v>
      </c>
      <c r="G514" s="185">
        <f t="shared" si="82"/>
        <v>0</v>
      </c>
      <c r="H514" s="185">
        <f t="shared" si="82"/>
        <v>0</v>
      </c>
      <c r="I514" s="185">
        <f t="shared" si="83"/>
        <v>252</v>
      </c>
      <c r="J514" s="185">
        <f t="shared" si="84"/>
        <v>14100</v>
      </c>
      <c r="K514" s="185">
        <f t="shared" si="85"/>
        <v>3553200</v>
      </c>
      <c r="L514" s="1190" t="s">
        <v>1847</v>
      </c>
      <c r="M514" s="1059"/>
      <c r="N514" s="1059"/>
      <c r="T514" s="1011"/>
      <c r="U514" s="1133"/>
      <c r="V514" s="1012"/>
      <c r="AA514" s="1039" t="str">
        <f>VLOOKUP(L514,'25-BRA-I-090'!$I:$EZ,2,0)</f>
        <v>Đệm</v>
      </c>
      <c r="AB514" s="1039" t="str">
        <f>VLOOKUP(L514,'25-BRA-I-090'!$I:$EZ,3,0)</f>
        <v>Washer-M16-DIN434-St-200HV-Galv</v>
      </c>
      <c r="AC514" s="1039" t="str">
        <f>VLOOKUP(L514,'25-BRA-I-090'!$I:$EZ,5,0)</f>
        <v>Pcs</v>
      </c>
      <c r="AD514" s="1039">
        <f>SUMIFS('25-BRA-I-090'!$CS:$CS,'25-BRA-I-090'!$I:$I,L514)</f>
        <v>252</v>
      </c>
      <c r="AE514" s="1039">
        <f>SUMIFS('25-BRA-I-090'!$CT:$CT,'25-BRA-I-090'!$I:$I,L514)</f>
        <v>0</v>
      </c>
      <c r="AF514" s="1039">
        <f>SUMIFS('25-BRA-I-090'!$CW:$CW,'25-BRA-I-090'!$I:$I,L514)</f>
        <v>0</v>
      </c>
      <c r="AG514" s="1039">
        <f>SUMIFS('25-BRA-I-090'!$CX:$CX,'25-BRA-I-090'!$I:$I,L514)</f>
        <v>0</v>
      </c>
      <c r="AH514" s="1040">
        <f>SUMIFS('25-BRA-I-090'!$DJ:$DJ,'25-BRA-I-090'!$I:$I,L514)+SUMIFS('25-BRA-I-090'!$EC:$EC,'25-BRA-I-090'!$I:$I,L514)</f>
        <v>252</v>
      </c>
      <c r="AI514" s="1040">
        <f>SUMIFS('25-BRA-I-090'!$DK:$DK,'25-BRA-I-090'!$I:$I,L514)+SUMIFS('25-BRA-I-090'!$ED:$ED,'25-BRA-I-090'!$I:$I,L514)</f>
        <v>0</v>
      </c>
      <c r="AJ514" s="1040">
        <f>SUMIFS('25-BRA-I-090'!$DO:$DO,'25-BRA-I-090'!$I:$I,L514)+26400*SUMIFS('25-BRA-I-090'!$EF:$EF,'25-BRA-I-090'!$I:$I,L514)</f>
        <v>3553200</v>
      </c>
      <c r="AL514" s="1092"/>
      <c r="AM514" s="1039"/>
    </row>
    <row r="515" spans="1:39" s="1010" customFormat="1" ht="90">
      <c r="A515" s="1106"/>
      <c r="B515" s="1256" t="str">
        <f t="shared" si="80"/>
        <v>Thread rod M20-L1000-8.8 (tiện ren 2 đầu: độ dài ren một đầu 170mm,  một đầu 100mm)-Galv</v>
      </c>
      <c r="C515" s="1058">
        <f>VLOOKUP(L515,'25-BRA-I-090'!$I:$EZ,4,0)</f>
        <v>0</v>
      </c>
      <c r="D515" s="374" t="str">
        <f t="shared" si="81"/>
        <v>Pcs</v>
      </c>
      <c r="E515" s="183"/>
      <c r="F515" s="184">
        <f t="shared" si="82"/>
        <v>12</v>
      </c>
      <c r="G515" s="185">
        <f t="shared" si="82"/>
        <v>0</v>
      </c>
      <c r="H515" s="185">
        <f t="shared" si="82"/>
        <v>0</v>
      </c>
      <c r="I515" s="185">
        <f t="shared" si="83"/>
        <v>12</v>
      </c>
      <c r="J515" s="185">
        <f t="shared" si="84"/>
        <v>13700</v>
      </c>
      <c r="K515" s="185">
        <f t="shared" si="85"/>
        <v>164400</v>
      </c>
      <c r="L515" s="1190" t="s">
        <v>1849</v>
      </c>
      <c r="M515" s="1059"/>
      <c r="N515" s="1059"/>
      <c r="T515" s="1011"/>
      <c r="U515" s="1133"/>
      <c r="V515" s="1012"/>
      <c r="AA515" s="1039" t="str">
        <f>VLOOKUP(L515,'25-BRA-I-090'!$I:$EZ,2,0)</f>
        <v xml:space="preserve">Thread rod </v>
      </c>
      <c r="AB515" s="1039" t="str">
        <f>VLOOKUP(L515,'25-BRA-I-090'!$I:$EZ,3,0)</f>
        <v>Thread rod M20-L1000-8.8 (tiện ren 2 đầu: độ dài ren một đầu 170mm,  một đầu 100mm)-Galv</v>
      </c>
      <c r="AC515" s="1039" t="str">
        <f>VLOOKUP(L515,'25-BRA-I-090'!$I:$EZ,5,0)</f>
        <v>Pcs</v>
      </c>
      <c r="AD515" s="1039">
        <f>SUMIFS('25-BRA-I-090'!$CS:$CS,'25-BRA-I-090'!$I:$I,L515)</f>
        <v>12</v>
      </c>
      <c r="AE515" s="1039">
        <f>SUMIFS('25-BRA-I-090'!$CT:$CT,'25-BRA-I-090'!$I:$I,L515)</f>
        <v>0</v>
      </c>
      <c r="AF515" s="1039">
        <f>SUMIFS('25-BRA-I-090'!$CW:$CW,'25-BRA-I-090'!$I:$I,L515)</f>
        <v>0</v>
      </c>
      <c r="AG515" s="1039">
        <f>SUMIFS('25-BRA-I-090'!$CX:$CX,'25-BRA-I-090'!$I:$I,L515)</f>
        <v>0</v>
      </c>
      <c r="AH515" s="1040">
        <f>SUMIFS('25-BRA-I-090'!$DJ:$DJ,'25-BRA-I-090'!$I:$I,L515)+SUMIFS('25-BRA-I-090'!$EC:$EC,'25-BRA-I-090'!$I:$I,L515)</f>
        <v>12</v>
      </c>
      <c r="AI515" s="1040">
        <f>SUMIFS('25-BRA-I-090'!$DK:$DK,'25-BRA-I-090'!$I:$I,L515)+SUMIFS('25-BRA-I-090'!$ED:$ED,'25-BRA-I-090'!$I:$I,L515)</f>
        <v>0</v>
      </c>
      <c r="AJ515" s="1040">
        <f>SUMIFS('25-BRA-I-090'!$DO:$DO,'25-BRA-I-090'!$I:$I,L515)+26400*SUMIFS('25-BRA-I-090'!$EF:$EF,'25-BRA-I-090'!$I:$I,L515)</f>
        <v>164400</v>
      </c>
      <c r="AL515" s="1092"/>
      <c r="AM515" s="1039"/>
    </row>
    <row r="516" spans="1:39" s="1010" customFormat="1" ht="46.5">
      <c r="A516" s="1106"/>
      <c r="B516" s="1057" t="str">
        <f t="shared" si="80"/>
        <v>kích thước bạt: 10x6 m</v>
      </c>
      <c r="C516" s="1058" t="str">
        <f>VLOOKUP(L516,'25-BRA-I-090'!$I:$EZ,4,0)</f>
        <v>Bạt da 2 lớp chống nước. Viền bạt có đính khuy, khoảng cách khuy~1m</v>
      </c>
      <c r="D516" s="374" t="str">
        <f t="shared" si="81"/>
        <v>Pcs</v>
      </c>
      <c r="E516" s="183" t="s">
        <v>1940</v>
      </c>
      <c r="F516" s="184">
        <f t="shared" si="82"/>
        <v>3</v>
      </c>
      <c r="G516" s="185">
        <f t="shared" si="82"/>
        <v>0</v>
      </c>
      <c r="H516" s="185">
        <f t="shared" si="82"/>
        <v>0</v>
      </c>
      <c r="I516" s="185">
        <f t="shared" si="83"/>
        <v>204.75</v>
      </c>
      <c r="J516" s="185">
        <f t="shared" si="84"/>
        <v>50500</v>
      </c>
      <c r="K516" s="185">
        <f t="shared" si="85"/>
        <v>10339875</v>
      </c>
      <c r="L516" s="1190" t="s">
        <v>1851</v>
      </c>
      <c r="M516" s="1059"/>
      <c r="N516" s="1059"/>
      <c r="T516" s="1011"/>
      <c r="U516" s="1133"/>
      <c r="V516" s="1012"/>
      <c r="AA516" s="1039" t="str">
        <f>VLOOKUP(L516,'25-BRA-I-090'!$I:$EZ,2,0)</f>
        <v>Bạt che</v>
      </c>
      <c r="AB516" s="1039" t="str">
        <f>VLOOKUP(L516,'25-BRA-I-090'!$I:$EZ,3,0)</f>
        <v>kích thước bạt: 10x6 m</v>
      </c>
      <c r="AC516" s="1039" t="str">
        <f>VLOOKUP(L516,'25-BRA-I-090'!$I:$EZ,5,0)</f>
        <v>Pcs</v>
      </c>
      <c r="AD516" s="1039">
        <f>SUMIFS('25-BRA-I-090'!$CS:$CS,'25-BRA-I-090'!$I:$I,L516)</f>
        <v>3</v>
      </c>
      <c r="AE516" s="1039">
        <f>SUMIFS('25-BRA-I-090'!$CT:$CT,'25-BRA-I-090'!$I:$I,L516)</f>
        <v>0</v>
      </c>
      <c r="AF516" s="1039">
        <f>SUMIFS('25-BRA-I-090'!$CW:$CW,'25-BRA-I-090'!$I:$I,L516)</f>
        <v>0</v>
      </c>
      <c r="AG516" s="1039">
        <f>SUMIFS('25-BRA-I-090'!$CX:$CX,'25-BRA-I-090'!$I:$I,L516)</f>
        <v>0</v>
      </c>
      <c r="AH516" s="1040">
        <f>SUMIFS('25-BRA-I-090'!$DJ:$DJ,'25-BRA-I-090'!$I:$I,L516)+SUMIFS('25-BRA-I-090'!$EC:$EC,'25-BRA-I-090'!$I:$I,L516)</f>
        <v>204.75</v>
      </c>
      <c r="AI516" s="1040">
        <f>SUMIFS('25-BRA-I-090'!$DK:$DK,'25-BRA-I-090'!$I:$I,L516)+SUMIFS('25-BRA-I-090'!$ED:$ED,'25-BRA-I-090'!$I:$I,L516)</f>
        <v>0</v>
      </c>
      <c r="AJ516" s="1040">
        <f>SUMIFS('25-BRA-I-090'!$DO:$DO,'25-BRA-I-090'!$I:$I,L516)+26400*SUMIFS('25-BRA-I-090'!$EF:$EF,'25-BRA-I-090'!$I:$I,L516)</f>
        <v>10339875</v>
      </c>
      <c r="AL516" s="1092"/>
      <c r="AM516" s="1039"/>
    </row>
    <row r="517" spans="1:39" s="1010" customFormat="1" ht="30">
      <c r="A517" s="1106"/>
      <c r="B517" s="1057" t="str">
        <f t="shared" si="80"/>
        <v>kích thước bạt: 11.5x7.5 m</v>
      </c>
      <c r="C517" s="1058">
        <f>VLOOKUP(L517,'25-BRA-I-090'!$I:$EZ,4,0)</f>
        <v>0</v>
      </c>
      <c r="D517" s="374" t="str">
        <f t="shared" si="81"/>
        <v>Pcs</v>
      </c>
      <c r="E517" s="183"/>
      <c r="F517" s="184">
        <f t="shared" si="82"/>
        <v>3</v>
      </c>
      <c r="G517" s="185">
        <f t="shared" si="82"/>
        <v>0</v>
      </c>
      <c r="H517" s="185">
        <f t="shared" si="82"/>
        <v>0</v>
      </c>
      <c r="I517" s="185">
        <f t="shared" si="83"/>
        <v>288</v>
      </c>
      <c r="J517" s="185">
        <f t="shared" si="84"/>
        <v>50500</v>
      </c>
      <c r="K517" s="185">
        <f t="shared" si="85"/>
        <v>14544000</v>
      </c>
      <c r="L517" s="1190" t="s">
        <v>1853</v>
      </c>
      <c r="M517" s="1059"/>
      <c r="N517" s="1059"/>
      <c r="T517" s="1011"/>
      <c r="U517" s="1133"/>
      <c r="V517" s="1012"/>
      <c r="AA517" s="1039" t="str">
        <f>VLOOKUP(L517,'25-BRA-I-090'!$I:$EZ,2,0)</f>
        <v>Bạt che</v>
      </c>
      <c r="AB517" s="1039" t="str">
        <f>VLOOKUP(L517,'25-BRA-I-090'!$I:$EZ,3,0)</f>
        <v>kích thước bạt: 11.5x7.5 m</v>
      </c>
      <c r="AC517" s="1039" t="str">
        <f>VLOOKUP(L517,'25-BRA-I-090'!$I:$EZ,5,0)</f>
        <v>Pcs</v>
      </c>
      <c r="AD517" s="1039">
        <f>SUMIFS('25-BRA-I-090'!$CS:$CS,'25-BRA-I-090'!$I:$I,L517)</f>
        <v>3</v>
      </c>
      <c r="AE517" s="1039">
        <f>SUMIFS('25-BRA-I-090'!$CT:$CT,'25-BRA-I-090'!$I:$I,L517)</f>
        <v>0</v>
      </c>
      <c r="AF517" s="1039">
        <f>SUMIFS('25-BRA-I-090'!$CW:$CW,'25-BRA-I-090'!$I:$I,L517)</f>
        <v>0</v>
      </c>
      <c r="AG517" s="1039">
        <f>SUMIFS('25-BRA-I-090'!$CX:$CX,'25-BRA-I-090'!$I:$I,L517)</f>
        <v>0</v>
      </c>
      <c r="AH517" s="1040">
        <f>SUMIFS('25-BRA-I-090'!$DJ:$DJ,'25-BRA-I-090'!$I:$I,L517)+SUMIFS('25-BRA-I-090'!$EC:$EC,'25-BRA-I-090'!$I:$I,L517)</f>
        <v>288</v>
      </c>
      <c r="AI517" s="1040">
        <f>SUMIFS('25-BRA-I-090'!$DK:$DK,'25-BRA-I-090'!$I:$I,L517)+SUMIFS('25-BRA-I-090'!$ED:$ED,'25-BRA-I-090'!$I:$I,L517)</f>
        <v>0</v>
      </c>
      <c r="AJ517" s="1040">
        <f>SUMIFS('25-BRA-I-090'!$DO:$DO,'25-BRA-I-090'!$I:$I,L517)+26400*SUMIFS('25-BRA-I-090'!$EF:$EF,'25-BRA-I-090'!$I:$I,L517)</f>
        <v>14544000</v>
      </c>
      <c r="AL517" s="1092"/>
      <c r="AM517" s="1039"/>
    </row>
    <row r="518" spans="1:39" s="1010" customFormat="1" ht="30">
      <c r="A518" s="1106"/>
      <c r="B518" s="1057" t="str">
        <f t="shared" si="80"/>
        <v>kích thước bạt: 11.5x9 m</v>
      </c>
      <c r="C518" s="1058">
        <f>VLOOKUP(L518,'25-BRA-I-090'!$I:$EZ,4,0)</f>
        <v>0</v>
      </c>
      <c r="D518" s="374" t="str">
        <f t="shared" si="81"/>
        <v>Pcs</v>
      </c>
      <c r="E518" s="183"/>
      <c r="F518" s="184">
        <f t="shared" si="82"/>
        <v>1</v>
      </c>
      <c r="G518" s="185">
        <f t="shared" si="82"/>
        <v>0</v>
      </c>
      <c r="H518" s="185">
        <f t="shared" si="82"/>
        <v>0</v>
      </c>
      <c r="I518" s="185">
        <f t="shared" si="83"/>
        <v>114</v>
      </c>
      <c r="J518" s="185">
        <f t="shared" si="84"/>
        <v>50500</v>
      </c>
      <c r="K518" s="185">
        <f t="shared" si="85"/>
        <v>5757000</v>
      </c>
      <c r="L518" s="1190" t="s">
        <v>1855</v>
      </c>
      <c r="M518" s="1059"/>
      <c r="N518" s="1059"/>
      <c r="T518" s="1011"/>
      <c r="U518" s="1133"/>
      <c r="V518" s="1012"/>
      <c r="AA518" s="1039" t="str">
        <f>VLOOKUP(L518,'25-BRA-I-090'!$I:$EZ,2,0)</f>
        <v>Bạt che</v>
      </c>
      <c r="AB518" s="1039" t="str">
        <f>VLOOKUP(L518,'25-BRA-I-090'!$I:$EZ,3,0)</f>
        <v>kích thước bạt: 11.5x9 m</v>
      </c>
      <c r="AC518" s="1039" t="str">
        <f>VLOOKUP(L518,'25-BRA-I-090'!$I:$EZ,5,0)</f>
        <v>Pcs</v>
      </c>
      <c r="AD518" s="1039">
        <f>SUMIFS('25-BRA-I-090'!$CS:$CS,'25-BRA-I-090'!$I:$I,L518)</f>
        <v>1</v>
      </c>
      <c r="AE518" s="1039">
        <f>SUMIFS('25-BRA-I-090'!$CT:$CT,'25-BRA-I-090'!$I:$I,L518)</f>
        <v>0</v>
      </c>
      <c r="AF518" s="1039">
        <f>SUMIFS('25-BRA-I-090'!$CW:$CW,'25-BRA-I-090'!$I:$I,L518)</f>
        <v>0</v>
      </c>
      <c r="AG518" s="1039">
        <f>SUMIFS('25-BRA-I-090'!$CX:$CX,'25-BRA-I-090'!$I:$I,L518)</f>
        <v>0</v>
      </c>
      <c r="AH518" s="1040">
        <f>SUMIFS('25-BRA-I-090'!$DJ:$DJ,'25-BRA-I-090'!$I:$I,L518)+SUMIFS('25-BRA-I-090'!$EC:$EC,'25-BRA-I-090'!$I:$I,L518)</f>
        <v>114</v>
      </c>
      <c r="AI518" s="1040">
        <f>SUMIFS('25-BRA-I-090'!$DK:$DK,'25-BRA-I-090'!$I:$I,L518)+SUMIFS('25-BRA-I-090'!$ED:$ED,'25-BRA-I-090'!$I:$I,L518)</f>
        <v>0</v>
      </c>
      <c r="AJ518" s="1040">
        <f>SUMIFS('25-BRA-I-090'!$DO:$DO,'25-BRA-I-090'!$I:$I,L518)+26400*SUMIFS('25-BRA-I-090'!$EF:$EF,'25-BRA-I-090'!$I:$I,L518)</f>
        <v>5757000</v>
      </c>
      <c r="AL518" s="1092"/>
      <c r="AM518" s="1039"/>
    </row>
    <row r="519" spans="1:39" s="1010" customFormat="1" ht="30">
      <c r="A519" s="1106"/>
      <c r="B519" s="1057" t="str">
        <f t="shared" si="80"/>
        <v>kích thước bạt: 13.5x6.5 m</v>
      </c>
      <c r="C519" s="1058">
        <f>VLOOKUP(L519,'25-BRA-I-090'!$I:$EZ,4,0)</f>
        <v>0</v>
      </c>
      <c r="D519" s="374" t="str">
        <f t="shared" si="81"/>
        <v>Pcs</v>
      </c>
      <c r="E519" s="183"/>
      <c r="F519" s="184">
        <f t="shared" si="82"/>
        <v>6</v>
      </c>
      <c r="G519" s="185">
        <f t="shared" si="82"/>
        <v>0</v>
      </c>
      <c r="H519" s="185">
        <f t="shared" si="82"/>
        <v>0</v>
      </c>
      <c r="I519" s="185">
        <f t="shared" si="83"/>
        <v>588</v>
      </c>
      <c r="J519" s="185">
        <f t="shared" si="84"/>
        <v>50500</v>
      </c>
      <c r="K519" s="185">
        <f t="shared" si="85"/>
        <v>29694000</v>
      </c>
      <c r="L519" s="1190" t="s">
        <v>1857</v>
      </c>
      <c r="M519" s="1059"/>
      <c r="N519" s="1059"/>
      <c r="T519" s="1011"/>
      <c r="U519" s="1133"/>
      <c r="V519" s="1012"/>
      <c r="AA519" s="1039" t="str">
        <f>VLOOKUP(L519,'25-BRA-I-090'!$I:$EZ,2,0)</f>
        <v>Bạt che</v>
      </c>
      <c r="AB519" s="1039" t="str">
        <f>VLOOKUP(L519,'25-BRA-I-090'!$I:$EZ,3,0)</f>
        <v>kích thước bạt: 13.5x6.5 m</v>
      </c>
      <c r="AC519" s="1039" t="str">
        <f>VLOOKUP(L519,'25-BRA-I-090'!$I:$EZ,5,0)</f>
        <v>Pcs</v>
      </c>
      <c r="AD519" s="1039">
        <f>SUMIFS('25-BRA-I-090'!$CS:$CS,'25-BRA-I-090'!$I:$I,L519)</f>
        <v>6</v>
      </c>
      <c r="AE519" s="1039">
        <f>SUMIFS('25-BRA-I-090'!$CT:$CT,'25-BRA-I-090'!$I:$I,L519)</f>
        <v>0</v>
      </c>
      <c r="AF519" s="1039">
        <f>SUMIFS('25-BRA-I-090'!$CW:$CW,'25-BRA-I-090'!$I:$I,L519)</f>
        <v>0</v>
      </c>
      <c r="AG519" s="1039">
        <f>SUMIFS('25-BRA-I-090'!$CX:$CX,'25-BRA-I-090'!$I:$I,L519)</f>
        <v>0</v>
      </c>
      <c r="AH519" s="1040">
        <f>SUMIFS('25-BRA-I-090'!$DJ:$DJ,'25-BRA-I-090'!$I:$I,L519)+SUMIFS('25-BRA-I-090'!$EC:$EC,'25-BRA-I-090'!$I:$I,L519)</f>
        <v>588</v>
      </c>
      <c r="AI519" s="1040">
        <f>SUMIFS('25-BRA-I-090'!$DK:$DK,'25-BRA-I-090'!$I:$I,L519)+SUMIFS('25-BRA-I-090'!$ED:$ED,'25-BRA-I-090'!$I:$I,L519)</f>
        <v>0</v>
      </c>
      <c r="AJ519" s="1040">
        <f>SUMIFS('25-BRA-I-090'!$DO:$DO,'25-BRA-I-090'!$I:$I,L519)+26400*SUMIFS('25-BRA-I-090'!$EF:$EF,'25-BRA-I-090'!$I:$I,L519)</f>
        <v>29694000</v>
      </c>
      <c r="AL519" s="1092"/>
      <c r="AM519" s="1039"/>
    </row>
    <row r="520" spans="1:39" s="1010" customFormat="1" ht="30">
      <c r="A520" s="1106"/>
      <c r="B520" s="1057" t="str">
        <f t="shared" si="80"/>
        <v>kích thước bạt: 14.5x10.5 m</v>
      </c>
      <c r="C520" s="1058">
        <f>VLOOKUP(L520,'25-BRA-I-090'!$I:$EZ,4,0)</f>
        <v>0</v>
      </c>
      <c r="D520" s="374" t="str">
        <f t="shared" si="81"/>
        <v>Pcs</v>
      </c>
      <c r="E520" s="183"/>
      <c r="F520" s="184">
        <f t="shared" si="82"/>
        <v>1</v>
      </c>
      <c r="G520" s="185">
        <f t="shared" si="82"/>
        <v>0</v>
      </c>
      <c r="H520" s="185">
        <f t="shared" si="82"/>
        <v>0</v>
      </c>
      <c r="I520" s="185">
        <f t="shared" si="83"/>
        <v>165</v>
      </c>
      <c r="J520" s="185">
        <f t="shared" si="84"/>
        <v>50500</v>
      </c>
      <c r="K520" s="185">
        <f t="shared" si="85"/>
        <v>8332500</v>
      </c>
      <c r="L520" s="1190" t="s">
        <v>1859</v>
      </c>
      <c r="M520" s="1059"/>
      <c r="N520" s="1059"/>
      <c r="T520" s="1011"/>
      <c r="U520" s="1133"/>
      <c r="V520" s="1012"/>
      <c r="AA520" s="1039" t="str">
        <f>VLOOKUP(L520,'25-BRA-I-090'!$I:$EZ,2,0)</f>
        <v>Bạt che</v>
      </c>
      <c r="AB520" s="1039" t="str">
        <f>VLOOKUP(L520,'25-BRA-I-090'!$I:$EZ,3,0)</f>
        <v>kích thước bạt: 14.5x10.5 m</v>
      </c>
      <c r="AC520" s="1039" t="str">
        <f>VLOOKUP(L520,'25-BRA-I-090'!$I:$EZ,5,0)</f>
        <v>Pcs</v>
      </c>
      <c r="AD520" s="1039">
        <f>SUMIFS('25-BRA-I-090'!$CS:$CS,'25-BRA-I-090'!$I:$I,L520)</f>
        <v>1</v>
      </c>
      <c r="AE520" s="1039">
        <f>SUMIFS('25-BRA-I-090'!$CT:$CT,'25-BRA-I-090'!$I:$I,L520)</f>
        <v>0</v>
      </c>
      <c r="AF520" s="1039">
        <f>SUMIFS('25-BRA-I-090'!$CW:$CW,'25-BRA-I-090'!$I:$I,L520)</f>
        <v>0</v>
      </c>
      <c r="AG520" s="1039">
        <f>SUMIFS('25-BRA-I-090'!$CX:$CX,'25-BRA-I-090'!$I:$I,L520)</f>
        <v>0</v>
      </c>
      <c r="AH520" s="1040">
        <f>SUMIFS('25-BRA-I-090'!$DJ:$DJ,'25-BRA-I-090'!$I:$I,L520)+SUMIFS('25-BRA-I-090'!$EC:$EC,'25-BRA-I-090'!$I:$I,L520)</f>
        <v>165</v>
      </c>
      <c r="AI520" s="1040">
        <f>SUMIFS('25-BRA-I-090'!$DK:$DK,'25-BRA-I-090'!$I:$I,L520)+SUMIFS('25-BRA-I-090'!$ED:$ED,'25-BRA-I-090'!$I:$I,L520)</f>
        <v>0</v>
      </c>
      <c r="AJ520" s="1040">
        <f>SUMIFS('25-BRA-I-090'!$DO:$DO,'25-BRA-I-090'!$I:$I,L520)+26400*SUMIFS('25-BRA-I-090'!$EF:$EF,'25-BRA-I-090'!$I:$I,L520)</f>
        <v>8332500</v>
      </c>
      <c r="AL520" s="1092"/>
      <c r="AM520" s="1039"/>
    </row>
    <row r="521" spans="1:39" s="1010" customFormat="1" ht="30">
      <c r="A521" s="1106"/>
      <c r="B521" s="1057" t="str">
        <f t="shared" si="80"/>
        <v>kích thước bạt: 14.5x6.5 m</v>
      </c>
      <c r="C521" s="1058">
        <f>VLOOKUP(L521,'25-BRA-I-090'!$I:$EZ,4,0)</f>
        <v>0</v>
      </c>
      <c r="D521" s="374" t="str">
        <f t="shared" si="81"/>
        <v>Pcs</v>
      </c>
      <c r="E521" s="183"/>
      <c r="F521" s="184">
        <f t="shared" si="82"/>
        <v>3</v>
      </c>
      <c r="G521" s="185">
        <f t="shared" si="82"/>
        <v>0</v>
      </c>
      <c r="H521" s="185">
        <f t="shared" si="82"/>
        <v>0</v>
      </c>
      <c r="I521" s="185">
        <f t="shared" si="83"/>
        <v>315</v>
      </c>
      <c r="J521" s="185">
        <f t="shared" si="84"/>
        <v>50500</v>
      </c>
      <c r="K521" s="185">
        <f t="shared" si="85"/>
        <v>15907500</v>
      </c>
      <c r="L521" s="1190" t="s">
        <v>1861</v>
      </c>
      <c r="M521" s="1059"/>
      <c r="N521" s="1059"/>
      <c r="T521" s="1011"/>
      <c r="U521" s="1133"/>
      <c r="V521" s="1012"/>
      <c r="AA521" s="1039" t="str">
        <f>VLOOKUP(L521,'25-BRA-I-090'!$I:$EZ,2,0)</f>
        <v>Bạt che</v>
      </c>
      <c r="AB521" s="1039" t="str">
        <f>VLOOKUP(L521,'25-BRA-I-090'!$I:$EZ,3,0)</f>
        <v>kích thước bạt: 14.5x6.5 m</v>
      </c>
      <c r="AC521" s="1039" t="str">
        <f>VLOOKUP(L521,'25-BRA-I-090'!$I:$EZ,5,0)</f>
        <v>Pcs</v>
      </c>
      <c r="AD521" s="1039">
        <f>SUMIFS('25-BRA-I-090'!$CS:$CS,'25-BRA-I-090'!$I:$I,L521)</f>
        <v>3</v>
      </c>
      <c r="AE521" s="1039">
        <f>SUMIFS('25-BRA-I-090'!$CT:$CT,'25-BRA-I-090'!$I:$I,L521)</f>
        <v>0</v>
      </c>
      <c r="AF521" s="1039">
        <f>SUMIFS('25-BRA-I-090'!$CW:$CW,'25-BRA-I-090'!$I:$I,L521)</f>
        <v>0</v>
      </c>
      <c r="AG521" s="1039">
        <f>SUMIFS('25-BRA-I-090'!$CX:$CX,'25-BRA-I-090'!$I:$I,L521)</f>
        <v>0</v>
      </c>
      <c r="AH521" s="1040">
        <f>SUMIFS('25-BRA-I-090'!$DJ:$DJ,'25-BRA-I-090'!$I:$I,L521)+SUMIFS('25-BRA-I-090'!$EC:$EC,'25-BRA-I-090'!$I:$I,L521)</f>
        <v>315</v>
      </c>
      <c r="AI521" s="1040">
        <f>SUMIFS('25-BRA-I-090'!$DK:$DK,'25-BRA-I-090'!$I:$I,L521)+SUMIFS('25-BRA-I-090'!$ED:$ED,'25-BRA-I-090'!$I:$I,L521)</f>
        <v>0</v>
      </c>
      <c r="AJ521" s="1040">
        <f>SUMIFS('25-BRA-I-090'!$DO:$DO,'25-BRA-I-090'!$I:$I,L521)+26400*SUMIFS('25-BRA-I-090'!$EF:$EF,'25-BRA-I-090'!$I:$I,L521)</f>
        <v>15907500</v>
      </c>
      <c r="AL521" s="1092"/>
      <c r="AM521" s="1039"/>
    </row>
    <row r="522" spans="1:39" s="1010" customFormat="1" ht="30">
      <c r="A522" s="1106"/>
      <c r="B522" s="1057" t="str">
        <f t="shared" si="80"/>
        <v>kích thước bạt: 15x9 m</v>
      </c>
      <c r="C522" s="1058">
        <f>VLOOKUP(L522,'25-BRA-I-090'!$I:$EZ,4,0)</f>
        <v>0</v>
      </c>
      <c r="D522" s="374" t="str">
        <f t="shared" si="81"/>
        <v>Pcs</v>
      </c>
      <c r="E522" s="183"/>
      <c r="F522" s="184">
        <f t="shared" si="82"/>
        <v>1</v>
      </c>
      <c r="G522" s="185">
        <f t="shared" si="82"/>
        <v>0</v>
      </c>
      <c r="H522" s="185">
        <f t="shared" si="82"/>
        <v>0</v>
      </c>
      <c r="I522" s="185">
        <f t="shared" si="83"/>
        <v>147.25</v>
      </c>
      <c r="J522" s="185">
        <f t="shared" si="84"/>
        <v>50500</v>
      </c>
      <c r="K522" s="185">
        <f t="shared" si="85"/>
        <v>7436125</v>
      </c>
      <c r="L522" s="1190" t="s">
        <v>1863</v>
      </c>
      <c r="M522" s="1059"/>
      <c r="N522" s="1059"/>
      <c r="T522" s="1011"/>
      <c r="U522" s="1133"/>
      <c r="V522" s="1012"/>
      <c r="AA522" s="1039" t="str">
        <f>VLOOKUP(L522,'25-BRA-I-090'!$I:$EZ,2,0)</f>
        <v>Bạt che</v>
      </c>
      <c r="AB522" s="1039" t="str">
        <f>VLOOKUP(L522,'25-BRA-I-090'!$I:$EZ,3,0)</f>
        <v>kích thước bạt: 15x9 m</v>
      </c>
      <c r="AC522" s="1039" t="str">
        <f>VLOOKUP(L522,'25-BRA-I-090'!$I:$EZ,5,0)</f>
        <v>Pcs</v>
      </c>
      <c r="AD522" s="1039">
        <f>SUMIFS('25-BRA-I-090'!$CS:$CS,'25-BRA-I-090'!$I:$I,L522)</f>
        <v>1</v>
      </c>
      <c r="AE522" s="1039">
        <f>SUMIFS('25-BRA-I-090'!$CT:$CT,'25-BRA-I-090'!$I:$I,L522)</f>
        <v>0</v>
      </c>
      <c r="AF522" s="1039">
        <f>SUMIFS('25-BRA-I-090'!$CW:$CW,'25-BRA-I-090'!$I:$I,L522)</f>
        <v>0</v>
      </c>
      <c r="AG522" s="1039">
        <f>SUMIFS('25-BRA-I-090'!$CX:$CX,'25-BRA-I-090'!$I:$I,L522)</f>
        <v>0</v>
      </c>
      <c r="AH522" s="1040">
        <f>SUMIFS('25-BRA-I-090'!$DJ:$DJ,'25-BRA-I-090'!$I:$I,L522)+SUMIFS('25-BRA-I-090'!$EC:$EC,'25-BRA-I-090'!$I:$I,L522)</f>
        <v>147.25</v>
      </c>
      <c r="AI522" s="1040">
        <f>SUMIFS('25-BRA-I-090'!$DK:$DK,'25-BRA-I-090'!$I:$I,L522)+SUMIFS('25-BRA-I-090'!$ED:$ED,'25-BRA-I-090'!$I:$I,L522)</f>
        <v>0</v>
      </c>
      <c r="AJ522" s="1040">
        <f>SUMIFS('25-BRA-I-090'!$DO:$DO,'25-BRA-I-090'!$I:$I,L522)+26400*SUMIFS('25-BRA-I-090'!$EF:$EF,'25-BRA-I-090'!$I:$I,L522)</f>
        <v>7436125</v>
      </c>
      <c r="AL522" s="1092"/>
      <c r="AM522" s="1039"/>
    </row>
    <row r="523" spans="1:39" s="1010" customFormat="1" ht="30">
      <c r="A523" s="1106"/>
      <c r="B523" s="1057" t="str">
        <f t="shared" si="80"/>
        <v>kích thước bạt: 15x9.5 m</v>
      </c>
      <c r="C523" s="1058">
        <f>VLOOKUP(L523,'25-BRA-I-090'!$I:$EZ,4,0)</f>
        <v>0</v>
      </c>
      <c r="D523" s="374" t="str">
        <f t="shared" si="81"/>
        <v>Pcs</v>
      </c>
      <c r="E523" s="183"/>
      <c r="F523" s="184">
        <f t="shared" si="82"/>
        <v>1</v>
      </c>
      <c r="G523" s="185">
        <f t="shared" si="82"/>
        <v>0</v>
      </c>
      <c r="H523" s="185">
        <f t="shared" si="82"/>
        <v>0</v>
      </c>
      <c r="I523" s="185">
        <f t="shared" si="83"/>
        <v>155</v>
      </c>
      <c r="J523" s="185">
        <f t="shared" si="84"/>
        <v>50500</v>
      </c>
      <c r="K523" s="185">
        <f t="shared" si="85"/>
        <v>7827500</v>
      </c>
      <c r="L523" s="1190" t="s">
        <v>1865</v>
      </c>
      <c r="M523" s="1059"/>
      <c r="N523" s="1059"/>
      <c r="T523" s="1011"/>
      <c r="U523" s="1133"/>
      <c r="V523" s="1012"/>
      <c r="AA523" s="1039" t="str">
        <f>VLOOKUP(L523,'25-BRA-I-090'!$I:$EZ,2,0)</f>
        <v>Bạt che</v>
      </c>
      <c r="AB523" s="1039" t="str">
        <f>VLOOKUP(L523,'25-BRA-I-090'!$I:$EZ,3,0)</f>
        <v>kích thước bạt: 15x9.5 m</v>
      </c>
      <c r="AC523" s="1039" t="str">
        <f>VLOOKUP(L523,'25-BRA-I-090'!$I:$EZ,5,0)</f>
        <v>Pcs</v>
      </c>
      <c r="AD523" s="1039">
        <f>SUMIFS('25-BRA-I-090'!$CS:$CS,'25-BRA-I-090'!$I:$I,L523)</f>
        <v>1</v>
      </c>
      <c r="AE523" s="1039">
        <f>SUMIFS('25-BRA-I-090'!$CT:$CT,'25-BRA-I-090'!$I:$I,L523)</f>
        <v>0</v>
      </c>
      <c r="AF523" s="1039">
        <f>SUMIFS('25-BRA-I-090'!$CW:$CW,'25-BRA-I-090'!$I:$I,L523)</f>
        <v>0</v>
      </c>
      <c r="AG523" s="1039">
        <f>SUMIFS('25-BRA-I-090'!$CX:$CX,'25-BRA-I-090'!$I:$I,L523)</f>
        <v>0</v>
      </c>
      <c r="AH523" s="1040">
        <f>SUMIFS('25-BRA-I-090'!$DJ:$DJ,'25-BRA-I-090'!$I:$I,L523)+SUMIFS('25-BRA-I-090'!$EC:$EC,'25-BRA-I-090'!$I:$I,L523)</f>
        <v>155</v>
      </c>
      <c r="AI523" s="1040">
        <f>SUMIFS('25-BRA-I-090'!$DK:$DK,'25-BRA-I-090'!$I:$I,L523)+SUMIFS('25-BRA-I-090'!$ED:$ED,'25-BRA-I-090'!$I:$I,L523)</f>
        <v>0</v>
      </c>
      <c r="AJ523" s="1040">
        <f>SUMIFS('25-BRA-I-090'!$DO:$DO,'25-BRA-I-090'!$I:$I,L523)+26400*SUMIFS('25-BRA-I-090'!$EF:$EF,'25-BRA-I-090'!$I:$I,L523)</f>
        <v>7827500</v>
      </c>
      <c r="AL523" s="1092"/>
      <c r="AM523" s="1039"/>
    </row>
    <row r="524" spans="1:39" s="1010" customFormat="1" ht="30">
      <c r="A524" s="1106"/>
      <c r="B524" s="1057" t="str">
        <f t="shared" si="80"/>
        <v>kích thước bạt: 16.5x11.5 m</v>
      </c>
      <c r="C524" s="1058">
        <f>VLOOKUP(L524,'25-BRA-I-090'!$I:$EZ,4,0)</f>
        <v>0</v>
      </c>
      <c r="D524" s="374" t="str">
        <f t="shared" si="81"/>
        <v>Pcs</v>
      </c>
      <c r="E524" s="183"/>
      <c r="F524" s="184">
        <f t="shared" si="82"/>
        <v>4</v>
      </c>
      <c r="G524" s="185">
        <f t="shared" si="82"/>
        <v>0</v>
      </c>
      <c r="H524" s="185">
        <f t="shared" si="82"/>
        <v>0</v>
      </c>
      <c r="I524" s="185">
        <f t="shared" si="83"/>
        <v>816</v>
      </c>
      <c r="J524" s="185">
        <f t="shared" si="84"/>
        <v>50500</v>
      </c>
      <c r="K524" s="185">
        <f t="shared" si="85"/>
        <v>41208000</v>
      </c>
      <c r="L524" s="1190" t="s">
        <v>1867</v>
      </c>
      <c r="M524" s="1059"/>
      <c r="N524" s="1059"/>
      <c r="T524" s="1011"/>
      <c r="U524" s="1133"/>
      <c r="V524" s="1012"/>
      <c r="AA524" s="1039" t="str">
        <f>VLOOKUP(L524,'25-BRA-I-090'!$I:$EZ,2,0)</f>
        <v>Bạt che</v>
      </c>
      <c r="AB524" s="1039" t="str">
        <f>VLOOKUP(L524,'25-BRA-I-090'!$I:$EZ,3,0)</f>
        <v>kích thước bạt: 16.5x11.5 m</v>
      </c>
      <c r="AC524" s="1039" t="str">
        <f>VLOOKUP(L524,'25-BRA-I-090'!$I:$EZ,5,0)</f>
        <v>Pcs</v>
      </c>
      <c r="AD524" s="1039">
        <f>SUMIFS('25-BRA-I-090'!$CS:$CS,'25-BRA-I-090'!$I:$I,L524)</f>
        <v>4</v>
      </c>
      <c r="AE524" s="1039">
        <f>SUMIFS('25-BRA-I-090'!$CT:$CT,'25-BRA-I-090'!$I:$I,L524)</f>
        <v>0</v>
      </c>
      <c r="AF524" s="1039">
        <f>SUMIFS('25-BRA-I-090'!$CW:$CW,'25-BRA-I-090'!$I:$I,L524)</f>
        <v>0</v>
      </c>
      <c r="AG524" s="1039">
        <f>SUMIFS('25-BRA-I-090'!$CX:$CX,'25-BRA-I-090'!$I:$I,L524)</f>
        <v>0</v>
      </c>
      <c r="AH524" s="1040">
        <f>SUMIFS('25-BRA-I-090'!$DJ:$DJ,'25-BRA-I-090'!$I:$I,L524)+SUMIFS('25-BRA-I-090'!$EC:$EC,'25-BRA-I-090'!$I:$I,L524)</f>
        <v>816</v>
      </c>
      <c r="AI524" s="1040">
        <f>SUMIFS('25-BRA-I-090'!$DK:$DK,'25-BRA-I-090'!$I:$I,L524)+SUMIFS('25-BRA-I-090'!$ED:$ED,'25-BRA-I-090'!$I:$I,L524)</f>
        <v>0</v>
      </c>
      <c r="AJ524" s="1040">
        <f>SUMIFS('25-BRA-I-090'!$DO:$DO,'25-BRA-I-090'!$I:$I,L524)+26400*SUMIFS('25-BRA-I-090'!$EF:$EF,'25-BRA-I-090'!$I:$I,L524)</f>
        <v>41208000</v>
      </c>
      <c r="AL524" s="1092"/>
      <c r="AM524" s="1039"/>
    </row>
    <row r="525" spans="1:39" s="1010" customFormat="1" ht="30">
      <c r="A525" s="1106"/>
      <c r="B525" s="1057" t="str">
        <f t="shared" si="80"/>
        <v>kích thước bạt: 16x8.5 m</v>
      </c>
      <c r="C525" s="1058">
        <f>VLOOKUP(L525,'25-BRA-I-090'!$I:$EZ,4,0)</f>
        <v>0</v>
      </c>
      <c r="D525" s="374" t="str">
        <f t="shared" si="81"/>
        <v>Pcs</v>
      </c>
      <c r="E525" s="183"/>
      <c r="F525" s="184">
        <f t="shared" si="82"/>
        <v>3</v>
      </c>
      <c r="G525" s="185">
        <f t="shared" si="82"/>
        <v>0</v>
      </c>
      <c r="H525" s="185">
        <f t="shared" si="82"/>
        <v>0</v>
      </c>
      <c r="I525" s="185">
        <f t="shared" si="83"/>
        <v>445.5</v>
      </c>
      <c r="J525" s="185">
        <f t="shared" si="84"/>
        <v>50500</v>
      </c>
      <c r="K525" s="185">
        <f t="shared" si="85"/>
        <v>22497750</v>
      </c>
      <c r="L525" s="1190" t="s">
        <v>1869</v>
      </c>
      <c r="M525" s="1059"/>
      <c r="N525" s="1059"/>
      <c r="T525" s="1011"/>
      <c r="U525" s="1133"/>
      <c r="V525" s="1012"/>
      <c r="AA525" s="1039" t="str">
        <f>VLOOKUP(L525,'25-BRA-I-090'!$I:$EZ,2,0)</f>
        <v>Bạt che</v>
      </c>
      <c r="AB525" s="1039" t="str">
        <f>VLOOKUP(L525,'25-BRA-I-090'!$I:$EZ,3,0)</f>
        <v>kích thước bạt: 16x8.5 m</v>
      </c>
      <c r="AC525" s="1039" t="str">
        <f>VLOOKUP(L525,'25-BRA-I-090'!$I:$EZ,5,0)</f>
        <v>Pcs</v>
      </c>
      <c r="AD525" s="1039">
        <f>SUMIFS('25-BRA-I-090'!$CS:$CS,'25-BRA-I-090'!$I:$I,L525)</f>
        <v>3</v>
      </c>
      <c r="AE525" s="1039">
        <f>SUMIFS('25-BRA-I-090'!$CT:$CT,'25-BRA-I-090'!$I:$I,L525)</f>
        <v>0</v>
      </c>
      <c r="AF525" s="1039">
        <f>SUMIFS('25-BRA-I-090'!$CW:$CW,'25-BRA-I-090'!$I:$I,L525)</f>
        <v>0</v>
      </c>
      <c r="AG525" s="1039">
        <f>SUMIFS('25-BRA-I-090'!$CX:$CX,'25-BRA-I-090'!$I:$I,L525)</f>
        <v>0</v>
      </c>
      <c r="AH525" s="1040">
        <f>SUMIFS('25-BRA-I-090'!$DJ:$DJ,'25-BRA-I-090'!$I:$I,L525)+SUMIFS('25-BRA-I-090'!$EC:$EC,'25-BRA-I-090'!$I:$I,L525)</f>
        <v>445.5</v>
      </c>
      <c r="AI525" s="1040">
        <f>SUMIFS('25-BRA-I-090'!$DK:$DK,'25-BRA-I-090'!$I:$I,L525)+SUMIFS('25-BRA-I-090'!$ED:$ED,'25-BRA-I-090'!$I:$I,L525)</f>
        <v>0</v>
      </c>
      <c r="AJ525" s="1040">
        <f>SUMIFS('25-BRA-I-090'!$DO:$DO,'25-BRA-I-090'!$I:$I,L525)+26400*SUMIFS('25-BRA-I-090'!$EF:$EF,'25-BRA-I-090'!$I:$I,L525)</f>
        <v>22497750</v>
      </c>
      <c r="AL525" s="1092"/>
      <c r="AM525" s="1039"/>
    </row>
    <row r="526" spans="1:39" s="1010" customFormat="1" ht="30">
      <c r="A526" s="1106"/>
      <c r="B526" s="1057" t="str">
        <f t="shared" si="80"/>
        <v>kích thước bạt: 16x9.5 m</v>
      </c>
      <c r="C526" s="1058">
        <f>VLOOKUP(L526,'25-BRA-I-090'!$I:$EZ,4,0)</f>
        <v>0</v>
      </c>
      <c r="D526" s="374" t="str">
        <f t="shared" si="81"/>
        <v>Pcs</v>
      </c>
      <c r="E526" s="183"/>
      <c r="F526" s="184">
        <f t="shared" si="82"/>
        <v>3</v>
      </c>
      <c r="G526" s="185">
        <f t="shared" si="82"/>
        <v>0</v>
      </c>
      <c r="H526" s="185">
        <f t="shared" si="82"/>
        <v>0</v>
      </c>
      <c r="I526" s="185">
        <f t="shared" si="83"/>
        <v>495</v>
      </c>
      <c r="J526" s="185">
        <f t="shared" si="84"/>
        <v>50500</v>
      </c>
      <c r="K526" s="185">
        <f t="shared" si="85"/>
        <v>24997500</v>
      </c>
      <c r="L526" s="1190" t="s">
        <v>1871</v>
      </c>
      <c r="M526" s="1059"/>
      <c r="N526" s="1059"/>
      <c r="T526" s="1011"/>
      <c r="U526" s="1133"/>
      <c r="V526" s="1012"/>
      <c r="AA526" s="1039" t="str">
        <f>VLOOKUP(L526,'25-BRA-I-090'!$I:$EZ,2,0)</f>
        <v>Bạt che</v>
      </c>
      <c r="AB526" s="1039" t="str">
        <f>VLOOKUP(L526,'25-BRA-I-090'!$I:$EZ,3,0)</f>
        <v>kích thước bạt: 16x9.5 m</v>
      </c>
      <c r="AC526" s="1039" t="str">
        <f>VLOOKUP(L526,'25-BRA-I-090'!$I:$EZ,5,0)</f>
        <v>Pcs</v>
      </c>
      <c r="AD526" s="1039">
        <f>SUMIFS('25-BRA-I-090'!$CS:$CS,'25-BRA-I-090'!$I:$I,L526)</f>
        <v>3</v>
      </c>
      <c r="AE526" s="1039">
        <f>SUMIFS('25-BRA-I-090'!$CT:$CT,'25-BRA-I-090'!$I:$I,L526)</f>
        <v>0</v>
      </c>
      <c r="AF526" s="1039">
        <f>SUMIFS('25-BRA-I-090'!$CW:$CW,'25-BRA-I-090'!$I:$I,L526)</f>
        <v>0</v>
      </c>
      <c r="AG526" s="1039">
        <f>SUMIFS('25-BRA-I-090'!$CX:$CX,'25-BRA-I-090'!$I:$I,L526)</f>
        <v>0</v>
      </c>
      <c r="AH526" s="1040">
        <f>SUMIFS('25-BRA-I-090'!$DJ:$DJ,'25-BRA-I-090'!$I:$I,L526)+SUMIFS('25-BRA-I-090'!$EC:$EC,'25-BRA-I-090'!$I:$I,L526)</f>
        <v>495</v>
      </c>
      <c r="AI526" s="1040">
        <f>SUMIFS('25-BRA-I-090'!$DK:$DK,'25-BRA-I-090'!$I:$I,L526)+SUMIFS('25-BRA-I-090'!$ED:$ED,'25-BRA-I-090'!$I:$I,L526)</f>
        <v>0</v>
      </c>
      <c r="AJ526" s="1040">
        <f>SUMIFS('25-BRA-I-090'!$DO:$DO,'25-BRA-I-090'!$I:$I,L526)+26400*SUMIFS('25-BRA-I-090'!$EF:$EF,'25-BRA-I-090'!$I:$I,L526)</f>
        <v>24997500</v>
      </c>
      <c r="AL526" s="1092"/>
      <c r="AM526" s="1039"/>
    </row>
    <row r="527" spans="1:39" s="1010" customFormat="1" ht="30">
      <c r="A527" s="1106"/>
      <c r="B527" s="1057" t="str">
        <f t="shared" si="80"/>
        <v>kích thước bạt: 17x11 m</v>
      </c>
      <c r="C527" s="1058">
        <f>VLOOKUP(L527,'25-BRA-I-090'!$I:$EZ,4,0)</f>
        <v>0</v>
      </c>
      <c r="D527" s="374" t="str">
        <f t="shared" si="81"/>
        <v>Pcs</v>
      </c>
      <c r="E527" s="183"/>
      <c r="F527" s="184">
        <f t="shared" si="82"/>
        <v>3</v>
      </c>
      <c r="G527" s="185">
        <f t="shared" si="82"/>
        <v>0</v>
      </c>
      <c r="H527" s="185">
        <f t="shared" si="82"/>
        <v>0</v>
      </c>
      <c r="I527" s="185">
        <f t="shared" si="83"/>
        <v>603.75</v>
      </c>
      <c r="J527" s="185">
        <f t="shared" si="84"/>
        <v>50500</v>
      </c>
      <c r="K527" s="185">
        <f t="shared" si="85"/>
        <v>30489375</v>
      </c>
      <c r="L527" s="1190" t="s">
        <v>1873</v>
      </c>
      <c r="M527" s="1059"/>
      <c r="N527" s="1059"/>
      <c r="T527" s="1011"/>
      <c r="U527" s="1133"/>
      <c r="V527" s="1012"/>
      <c r="AA527" s="1039" t="str">
        <f>VLOOKUP(L527,'25-BRA-I-090'!$I:$EZ,2,0)</f>
        <v>Bạt che</v>
      </c>
      <c r="AB527" s="1039" t="str">
        <f>VLOOKUP(L527,'25-BRA-I-090'!$I:$EZ,3,0)</f>
        <v>kích thước bạt: 17x11 m</v>
      </c>
      <c r="AC527" s="1039" t="str">
        <f>VLOOKUP(L527,'25-BRA-I-090'!$I:$EZ,5,0)</f>
        <v>Pcs</v>
      </c>
      <c r="AD527" s="1039">
        <f>SUMIFS('25-BRA-I-090'!$CS:$CS,'25-BRA-I-090'!$I:$I,L527)</f>
        <v>3</v>
      </c>
      <c r="AE527" s="1039">
        <f>SUMIFS('25-BRA-I-090'!$CT:$CT,'25-BRA-I-090'!$I:$I,L527)</f>
        <v>0</v>
      </c>
      <c r="AF527" s="1039">
        <f>SUMIFS('25-BRA-I-090'!$CW:$CW,'25-BRA-I-090'!$I:$I,L527)</f>
        <v>0</v>
      </c>
      <c r="AG527" s="1039">
        <f>SUMIFS('25-BRA-I-090'!$CX:$CX,'25-BRA-I-090'!$I:$I,L527)</f>
        <v>0</v>
      </c>
      <c r="AH527" s="1040">
        <f>SUMIFS('25-BRA-I-090'!$DJ:$DJ,'25-BRA-I-090'!$I:$I,L527)+SUMIFS('25-BRA-I-090'!$EC:$EC,'25-BRA-I-090'!$I:$I,L527)</f>
        <v>603.75</v>
      </c>
      <c r="AI527" s="1040">
        <f>SUMIFS('25-BRA-I-090'!$DK:$DK,'25-BRA-I-090'!$I:$I,L527)+SUMIFS('25-BRA-I-090'!$ED:$ED,'25-BRA-I-090'!$I:$I,L527)</f>
        <v>0</v>
      </c>
      <c r="AJ527" s="1040">
        <f>SUMIFS('25-BRA-I-090'!$DO:$DO,'25-BRA-I-090'!$I:$I,L527)+26400*SUMIFS('25-BRA-I-090'!$EF:$EF,'25-BRA-I-090'!$I:$I,L527)</f>
        <v>30489375</v>
      </c>
      <c r="AL527" s="1092"/>
      <c r="AM527" s="1039"/>
    </row>
    <row r="528" spans="1:39" s="1010" customFormat="1" ht="30">
      <c r="A528" s="1106"/>
      <c r="B528" s="1057" t="str">
        <f t="shared" si="80"/>
        <v>kích thước bạt: 8.5x7 m</v>
      </c>
      <c r="C528" s="1058">
        <f>VLOOKUP(L528,'25-BRA-I-090'!$I:$EZ,4,0)</f>
        <v>0</v>
      </c>
      <c r="D528" s="374" t="str">
        <f t="shared" si="81"/>
        <v>Pcs</v>
      </c>
      <c r="E528" s="183"/>
      <c r="F528" s="184">
        <f t="shared" si="82"/>
        <v>3</v>
      </c>
      <c r="G528" s="185">
        <f t="shared" si="82"/>
        <v>0</v>
      </c>
      <c r="H528" s="185">
        <f t="shared" si="82"/>
        <v>0</v>
      </c>
      <c r="I528" s="185">
        <f t="shared" si="83"/>
        <v>202.5</v>
      </c>
      <c r="J528" s="185">
        <f t="shared" si="84"/>
        <v>50500</v>
      </c>
      <c r="K528" s="185">
        <f t="shared" si="85"/>
        <v>10226250</v>
      </c>
      <c r="L528" s="1190" t="s">
        <v>1875</v>
      </c>
      <c r="M528" s="1059"/>
      <c r="N528" s="1059"/>
      <c r="T528" s="1011"/>
      <c r="U528" s="1133"/>
      <c r="V528" s="1012"/>
      <c r="AA528" s="1039" t="str">
        <f>VLOOKUP(L528,'25-BRA-I-090'!$I:$EZ,2,0)</f>
        <v>Bạt che</v>
      </c>
      <c r="AB528" s="1039" t="str">
        <f>VLOOKUP(L528,'25-BRA-I-090'!$I:$EZ,3,0)</f>
        <v>kích thước bạt: 8.5x7 m</v>
      </c>
      <c r="AC528" s="1039" t="str">
        <f>VLOOKUP(L528,'25-BRA-I-090'!$I:$EZ,5,0)</f>
        <v>Pcs</v>
      </c>
      <c r="AD528" s="1039">
        <f>SUMIFS('25-BRA-I-090'!$CS:$CS,'25-BRA-I-090'!$I:$I,L528)</f>
        <v>3</v>
      </c>
      <c r="AE528" s="1039">
        <f>SUMIFS('25-BRA-I-090'!$CT:$CT,'25-BRA-I-090'!$I:$I,L528)</f>
        <v>0</v>
      </c>
      <c r="AF528" s="1039">
        <f>SUMIFS('25-BRA-I-090'!$CW:$CW,'25-BRA-I-090'!$I:$I,L528)</f>
        <v>0</v>
      </c>
      <c r="AG528" s="1039">
        <f>SUMIFS('25-BRA-I-090'!$CX:$CX,'25-BRA-I-090'!$I:$I,L528)</f>
        <v>0</v>
      </c>
      <c r="AH528" s="1040">
        <f>SUMIFS('25-BRA-I-090'!$DJ:$DJ,'25-BRA-I-090'!$I:$I,L528)+SUMIFS('25-BRA-I-090'!$EC:$EC,'25-BRA-I-090'!$I:$I,L528)</f>
        <v>202.5</v>
      </c>
      <c r="AI528" s="1040">
        <f>SUMIFS('25-BRA-I-090'!$DK:$DK,'25-BRA-I-090'!$I:$I,L528)+SUMIFS('25-BRA-I-090'!$ED:$ED,'25-BRA-I-090'!$I:$I,L528)</f>
        <v>0</v>
      </c>
      <c r="AJ528" s="1040">
        <f>SUMIFS('25-BRA-I-090'!$DO:$DO,'25-BRA-I-090'!$I:$I,L528)+26400*SUMIFS('25-BRA-I-090'!$EF:$EF,'25-BRA-I-090'!$I:$I,L528)</f>
        <v>10226250</v>
      </c>
      <c r="AL528" s="1092"/>
      <c r="AM528" s="1039"/>
    </row>
    <row r="529" spans="1:39" s="1010" customFormat="1" ht="30">
      <c r="A529" s="1106"/>
      <c r="B529" s="1057" t="str">
        <f t="shared" si="80"/>
        <v>RUD W-ABA - 20T</v>
      </c>
      <c r="C529" s="1058" t="str">
        <f>VLOOKUP(L529,'25-BRA-I-090'!$I:$EZ,4,0)</f>
        <v>Steel</v>
      </c>
      <c r="D529" s="374" t="str">
        <f t="shared" si="81"/>
        <v>Pcs</v>
      </c>
      <c r="E529" s="183"/>
      <c r="F529" s="184">
        <f t="shared" si="82"/>
        <v>24</v>
      </c>
      <c r="G529" s="185">
        <f t="shared" si="82"/>
        <v>0</v>
      </c>
      <c r="H529" s="185">
        <f t="shared" si="82"/>
        <v>0</v>
      </c>
      <c r="I529" s="185">
        <f t="shared" si="83"/>
        <v>24</v>
      </c>
      <c r="J529" s="185">
        <f t="shared" si="84"/>
        <v>3680000</v>
      </c>
      <c r="K529" s="185">
        <f t="shared" si="85"/>
        <v>88320000</v>
      </c>
      <c r="L529" s="1190" t="s">
        <v>1877</v>
      </c>
      <c r="M529" s="1059"/>
      <c r="N529" s="1059"/>
      <c r="T529" s="1011"/>
      <c r="U529" s="1133"/>
      <c r="V529" s="1012"/>
      <c r="AA529" s="1039" t="str">
        <f>VLOOKUP(L529,'25-BRA-I-090'!$I:$EZ,2,0)</f>
        <v>Tai cẩu hàn</v>
      </c>
      <c r="AB529" s="1039" t="str">
        <f>VLOOKUP(L529,'25-BRA-I-090'!$I:$EZ,3,0)</f>
        <v>RUD W-ABA - 20T</v>
      </c>
      <c r="AC529" s="1039" t="str">
        <f>VLOOKUP(L529,'25-BRA-I-090'!$I:$EZ,5,0)</f>
        <v>Pcs</v>
      </c>
      <c r="AD529" s="1039">
        <f>SUMIFS('25-BRA-I-090'!$CS:$CS,'25-BRA-I-090'!$I:$I,L529)</f>
        <v>24</v>
      </c>
      <c r="AE529" s="1039">
        <f>SUMIFS('25-BRA-I-090'!$CT:$CT,'25-BRA-I-090'!$I:$I,L529)</f>
        <v>0</v>
      </c>
      <c r="AF529" s="1039">
        <f>SUMIFS('25-BRA-I-090'!$CW:$CW,'25-BRA-I-090'!$I:$I,L529)</f>
        <v>0</v>
      </c>
      <c r="AG529" s="1039">
        <f>SUMIFS('25-BRA-I-090'!$CX:$CX,'25-BRA-I-090'!$I:$I,L529)</f>
        <v>0</v>
      </c>
      <c r="AH529" s="1040">
        <f>SUMIFS('25-BRA-I-090'!$DJ:$DJ,'25-BRA-I-090'!$I:$I,L529)+SUMIFS('25-BRA-I-090'!$EC:$EC,'25-BRA-I-090'!$I:$I,L529)</f>
        <v>24</v>
      </c>
      <c r="AI529" s="1040">
        <f>SUMIFS('25-BRA-I-090'!$DK:$DK,'25-BRA-I-090'!$I:$I,L529)+SUMIFS('25-BRA-I-090'!$ED:$ED,'25-BRA-I-090'!$I:$I,L529)</f>
        <v>0</v>
      </c>
      <c r="AJ529" s="1040">
        <f>SUMIFS('25-BRA-I-090'!$DO:$DO,'25-BRA-I-090'!$I:$I,L529)+26400*SUMIFS('25-BRA-I-090'!$EF:$EF,'25-BRA-I-090'!$I:$I,L529)</f>
        <v>88320000</v>
      </c>
      <c r="AL529" s="1092"/>
      <c r="AM529" s="1039"/>
    </row>
    <row r="530" spans="1:39" s="1010" customFormat="1" ht="46.5">
      <c r="A530" s="1106"/>
      <c r="B530" s="1057" t="str">
        <f t="shared" si="80"/>
        <v>Bạt che kích thước: 15x20 m</v>
      </c>
      <c r="C530" s="1058" t="str">
        <f>VLOOKUP(L530,'25-BRA-I-090'!$I:$EZ,4,0)</f>
        <v>Bạt xanh chống nước. Có may viền mép và đính khuy. Khoảng cách khuy ~ 2m</v>
      </c>
      <c r="D530" s="374" t="str">
        <f t="shared" si="81"/>
        <v>Pcs</v>
      </c>
      <c r="E530" s="183"/>
      <c r="F530" s="184">
        <f t="shared" si="82"/>
        <v>10</v>
      </c>
      <c r="G530" s="185">
        <f t="shared" si="82"/>
        <v>0</v>
      </c>
      <c r="H530" s="185">
        <f t="shared" si="82"/>
        <v>0</v>
      </c>
      <c r="I530" s="185">
        <f t="shared" si="83"/>
        <v>3000</v>
      </c>
      <c r="J530" s="185">
        <f t="shared" si="84"/>
        <v>11000</v>
      </c>
      <c r="K530" s="185">
        <f t="shared" si="85"/>
        <v>33000000</v>
      </c>
      <c r="L530" s="1190" t="s">
        <v>2043</v>
      </c>
      <c r="M530" s="1059"/>
      <c r="N530" s="1059"/>
      <c r="T530" s="1011"/>
      <c r="U530" s="1133"/>
      <c r="V530" s="1012"/>
      <c r="AA530" s="1039" t="str">
        <f>VLOOKUP(L530,'25-BRA-I-090'!$I:$EZ,2,0)</f>
        <v>Bạt bảo quản</v>
      </c>
      <c r="AB530" s="1039" t="str">
        <f>VLOOKUP(L530,'25-BRA-I-090'!$I:$EZ,3,0)</f>
        <v>Bạt che kích thước: 15x20 m</v>
      </c>
      <c r="AC530" s="1039" t="str">
        <f>VLOOKUP(L530,'25-BRA-I-090'!$I:$EZ,5,0)</f>
        <v>Pcs</v>
      </c>
      <c r="AD530" s="1039">
        <f>SUMIFS('25-BRA-I-090'!$CS:$CS,'25-BRA-I-090'!$I:$I,L530)</f>
        <v>10</v>
      </c>
      <c r="AE530" s="1039">
        <f>SUMIFS('25-BRA-I-090'!$CT:$CT,'25-BRA-I-090'!$I:$I,L530)</f>
        <v>0</v>
      </c>
      <c r="AF530" s="1039">
        <f>SUMIFS('25-BRA-I-090'!$CW:$CW,'25-BRA-I-090'!$I:$I,L530)</f>
        <v>0</v>
      </c>
      <c r="AG530" s="1039">
        <f>SUMIFS('25-BRA-I-090'!$CX:$CX,'25-BRA-I-090'!$I:$I,L530)</f>
        <v>0</v>
      </c>
      <c r="AH530" s="1040">
        <f>SUMIFS('25-BRA-I-090'!$DJ:$DJ,'25-BRA-I-090'!$I:$I,L530)+SUMIFS('25-BRA-I-090'!$EC:$EC,'25-BRA-I-090'!$I:$I,L530)</f>
        <v>3000</v>
      </c>
      <c r="AI530" s="1040">
        <f>SUMIFS('25-BRA-I-090'!$DK:$DK,'25-BRA-I-090'!$I:$I,L530)+SUMIFS('25-BRA-I-090'!$ED:$ED,'25-BRA-I-090'!$I:$I,L530)</f>
        <v>0</v>
      </c>
      <c r="AJ530" s="1040">
        <f>SUMIFS('25-BRA-I-090'!$DO:$DO,'25-BRA-I-090'!$I:$I,L530)+26400*SUMIFS('25-BRA-I-090'!$EF:$EF,'25-BRA-I-090'!$I:$I,L530)</f>
        <v>33000000</v>
      </c>
      <c r="AL530" s="1092"/>
      <c r="AM530" s="1039"/>
    </row>
    <row r="531" spans="1:39" s="1010" customFormat="1" ht="30">
      <c r="A531" s="1106"/>
      <c r="B531" s="1057" t="str">
        <f t="shared" si="80"/>
        <v>Dây chằng bạt D8</v>
      </c>
      <c r="C531" s="1058" t="str">
        <f>VLOOKUP(L531,'25-BRA-I-090'!$I:$EZ,4,0)</f>
        <v>Dây chằng bạt D8</v>
      </c>
      <c r="D531" s="374" t="str">
        <f t="shared" si="81"/>
        <v>m</v>
      </c>
      <c r="E531" s="183"/>
      <c r="F531" s="184">
        <f t="shared" si="82"/>
        <v>4000</v>
      </c>
      <c r="G531" s="185">
        <f t="shared" si="82"/>
        <v>0</v>
      </c>
      <c r="H531" s="185">
        <f t="shared" si="82"/>
        <v>4000</v>
      </c>
      <c r="I531" s="185">
        <f t="shared" si="83"/>
        <v>0</v>
      </c>
      <c r="J531" s="185" t="e">
        <f t="shared" si="84"/>
        <v>#DIV/0!</v>
      </c>
      <c r="K531" s="185">
        <f t="shared" si="85"/>
        <v>0</v>
      </c>
      <c r="L531" s="1190" t="s">
        <v>2047</v>
      </c>
      <c r="M531" s="1059"/>
      <c r="N531" s="1059"/>
      <c r="T531" s="1011"/>
      <c r="U531" s="1133"/>
      <c r="V531" s="1012"/>
      <c r="AA531" s="1039" t="str">
        <f>VLOOKUP(L531,'25-BRA-I-090'!$I:$EZ,2,0)</f>
        <v>Dây chằng bạt</v>
      </c>
      <c r="AB531" s="1039" t="str">
        <f>VLOOKUP(L531,'25-BRA-I-090'!$I:$EZ,3,0)</f>
        <v>Dây chằng bạt D8</v>
      </c>
      <c r="AC531" s="1039" t="str">
        <f>VLOOKUP(L531,'25-BRA-I-090'!$I:$EZ,5,0)</f>
        <v>m</v>
      </c>
      <c r="AD531" s="1039">
        <f>SUMIFS('25-BRA-I-090'!$CS:$CS,'25-BRA-I-090'!$I:$I,L531)</f>
        <v>4000</v>
      </c>
      <c r="AE531" s="1039">
        <f>SUMIFS('25-BRA-I-090'!$CT:$CT,'25-BRA-I-090'!$I:$I,L531)</f>
        <v>0</v>
      </c>
      <c r="AF531" s="1039">
        <f>SUMIFS('25-BRA-I-090'!$CW:$CW,'25-BRA-I-090'!$I:$I,L531)</f>
        <v>4000</v>
      </c>
      <c r="AG531" s="1039">
        <f>SUMIFS('25-BRA-I-090'!$CX:$CX,'25-BRA-I-090'!$I:$I,L531)</f>
        <v>0</v>
      </c>
      <c r="AH531" s="1040">
        <f>SUMIFS('25-BRA-I-090'!$DJ:$DJ,'25-BRA-I-090'!$I:$I,L531)+SUMIFS('25-BRA-I-090'!$EC:$EC,'25-BRA-I-090'!$I:$I,L531)</f>
        <v>0</v>
      </c>
      <c r="AI531" s="1040">
        <f>SUMIFS('25-BRA-I-090'!$DK:$DK,'25-BRA-I-090'!$I:$I,L531)+SUMIFS('25-BRA-I-090'!$ED:$ED,'25-BRA-I-090'!$I:$I,L531)</f>
        <v>0</v>
      </c>
      <c r="AJ531" s="1040">
        <f>SUMIFS('25-BRA-I-090'!$DO:$DO,'25-BRA-I-090'!$I:$I,L531)+26400*SUMIFS('25-BRA-I-090'!$EF:$EF,'25-BRA-I-090'!$I:$I,L531)</f>
        <v>0</v>
      </c>
      <c r="AL531" s="1092"/>
      <c r="AM531" s="1039"/>
    </row>
    <row r="532" spans="1:39" s="1010" customFormat="1" ht="31">
      <c r="A532" s="1106"/>
      <c r="B532" s="1057" t="str">
        <f t="shared" si="80"/>
        <v>Thùng gỗ</v>
      </c>
      <c r="C532" s="1058" t="str">
        <f>VLOOKUP(L532,'25-BRA-I-090'!$I:$EZ,4,0)</f>
        <v>Gỗ có dấu khử trùng 
( ISPM 15)</v>
      </c>
      <c r="D532" s="374" t="str">
        <f t="shared" si="81"/>
        <v>pcs</v>
      </c>
      <c r="E532" s="183"/>
      <c r="F532" s="184">
        <f t="shared" si="82"/>
        <v>6</v>
      </c>
      <c r="G532" s="185">
        <f t="shared" si="82"/>
        <v>0</v>
      </c>
      <c r="H532" s="185">
        <f t="shared" si="82"/>
        <v>0</v>
      </c>
      <c r="I532" s="185">
        <f t="shared" si="83"/>
        <v>6</v>
      </c>
      <c r="J532" s="185">
        <f t="shared" si="84"/>
        <v>2800000</v>
      </c>
      <c r="K532" s="185">
        <f t="shared" si="85"/>
        <v>16800000</v>
      </c>
      <c r="L532" s="1190" t="s">
        <v>2312</v>
      </c>
      <c r="M532" s="1059"/>
      <c r="N532" s="1059"/>
      <c r="T532" s="1011"/>
      <c r="U532" s="1133"/>
      <c r="V532" s="1012"/>
      <c r="AA532" s="1039" t="str">
        <f>VLOOKUP(L532,'25-BRA-I-090'!$I:$EZ,2,0)</f>
        <v>Thùng gỗ</v>
      </c>
      <c r="AB532" s="1039" t="str">
        <f>VLOOKUP(L532,'25-BRA-I-090'!$I:$EZ,3,0)</f>
        <v>Thùng gỗ</v>
      </c>
      <c r="AC532" s="1039" t="str">
        <f>VLOOKUP(L532,'25-BRA-I-090'!$I:$EZ,5,0)</f>
        <v>pcs</v>
      </c>
      <c r="AD532" s="1039">
        <f>SUMIFS('25-BRA-I-090'!$CS:$CS,'25-BRA-I-090'!$I:$I,L532)</f>
        <v>6</v>
      </c>
      <c r="AE532" s="1039">
        <f>SUMIFS('25-BRA-I-090'!$CT:$CT,'25-BRA-I-090'!$I:$I,L532)</f>
        <v>0</v>
      </c>
      <c r="AF532" s="1039">
        <f>SUMIFS('25-BRA-I-090'!$CW:$CW,'25-BRA-I-090'!$I:$I,L532)</f>
        <v>0</v>
      </c>
      <c r="AG532" s="1039">
        <f>SUMIFS('25-BRA-I-090'!$CX:$CX,'25-BRA-I-090'!$I:$I,L532)</f>
        <v>0</v>
      </c>
      <c r="AH532" s="1040">
        <f>SUMIFS('25-BRA-I-090'!$DJ:$DJ,'25-BRA-I-090'!$I:$I,L532)+SUMIFS('25-BRA-I-090'!$EC:$EC,'25-BRA-I-090'!$I:$I,L532)</f>
        <v>6</v>
      </c>
      <c r="AI532" s="1040">
        <f>SUMIFS('25-BRA-I-090'!$DK:$DK,'25-BRA-I-090'!$I:$I,L532)+SUMIFS('25-BRA-I-090'!$ED:$ED,'25-BRA-I-090'!$I:$I,L532)</f>
        <v>0</v>
      </c>
      <c r="AJ532" s="1040">
        <f>SUMIFS('25-BRA-I-090'!$DO:$DO,'25-BRA-I-090'!$I:$I,L532)+26400*SUMIFS('25-BRA-I-090'!$EF:$EF,'25-BRA-I-090'!$I:$I,L532)</f>
        <v>16800000</v>
      </c>
      <c r="AL532" s="1092"/>
      <c r="AM532" s="1039"/>
    </row>
    <row r="533" spans="1:39" s="1010" customFormat="1" ht="31">
      <c r="A533" s="1106"/>
      <c r="B533" s="1057" t="str">
        <f t="shared" si="80"/>
        <v>Thùng gỗ</v>
      </c>
      <c r="C533" s="1058" t="str">
        <f>VLOOKUP(L533,'25-BRA-I-090'!$I:$EZ,4,0)</f>
        <v>Gỗ có dấu khử trùng 
( ISPM 15)</v>
      </c>
      <c r="D533" s="374" t="str">
        <f t="shared" si="81"/>
        <v>pcs</v>
      </c>
      <c r="E533" s="183"/>
      <c r="F533" s="184">
        <f t="shared" si="82"/>
        <v>3</v>
      </c>
      <c r="G533" s="185">
        <f t="shared" si="82"/>
        <v>0</v>
      </c>
      <c r="H533" s="185">
        <f t="shared" si="82"/>
        <v>0</v>
      </c>
      <c r="I533" s="185">
        <f t="shared" si="83"/>
        <v>3</v>
      </c>
      <c r="J533" s="185">
        <f t="shared" si="84"/>
        <v>2100000</v>
      </c>
      <c r="K533" s="185">
        <f t="shared" si="85"/>
        <v>6300000</v>
      </c>
      <c r="L533" s="1190" t="s">
        <v>2313</v>
      </c>
      <c r="M533" s="1059"/>
      <c r="N533" s="1059"/>
      <c r="T533" s="1011"/>
      <c r="U533" s="1133"/>
      <c r="V533" s="1012"/>
      <c r="AA533" s="1039" t="str">
        <f>VLOOKUP(L533,'25-BRA-I-090'!$I:$EZ,2,0)</f>
        <v>Thùng gỗ</v>
      </c>
      <c r="AB533" s="1039" t="str">
        <f>VLOOKUP(L533,'25-BRA-I-090'!$I:$EZ,3,0)</f>
        <v>Thùng gỗ</v>
      </c>
      <c r="AC533" s="1039" t="str">
        <f>VLOOKUP(L533,'25-BRA-I-090'!$I:$EZ,5,0)</f>
        <v>pcs</v>
      </c>
      <c r="AD533" s="1039">
        <f>SUMIFS('25-BRA-I-090'!$CS:$CS,'25-BRA-I-090'!$I:$I,L533)</f>
        <v>3</v>
      </c>
      <c r="AE533" s="1039">
        <f>SUMIFS('25-BRA-I-090'!$CT:$CT,'25-BRA-I-090'!$I:$I,L533)</f>
        <v>0</v>
      </c>
      <c r="AF533" s="1039">
        <f>SUMIFS('25-BRA-I-090'!$CW:$CW,'25-BRA-I-090'!$I:$I,L533)</f>
        <v>0</v>
      </c>
      <c r="AG533" s="1039">
        <f>SUMIFS('25-BRA-I-090'!$CX:$CX,'25-BRA-I-090'!$I:$I,L533)</f>
        <v>0</v>
      </c>
      <c r="AH533" s="1040">
        <f>SUMIFS('25-BRA-I-090'!$DJ:$DJ,'25-BRA-I-090'!$I:$I,L533)+SUMIFS('25-BRA-I-090'!$EC:$EC,'25-BRA-I-090'!$I:$I,L533)</f>
        <v>3</v>
      </c>
      <c r="AI533" s="1040">
        <f>SUMIFS('25-BRA-I-090'!$DK:$DK,'25-BRA-I-090'!$I:$I,L533)+SUMIFS('25-BRA-I-090'!$ED:$ED,'25-BRA-I-090'!$I:$I,L533)</f>
        <v>0</v>
      </c>
      <c r="AJ533" s="1040">
        <f>SUMIFS('25-BRA-I-090'!$DO:$DO,'25-BRA-I-090'!$I:$I,L533)+26400*SUMIFS('25-BRA-I-090'!$EF:$EF,'25-BRA-I-090'!$I:$I,L533)</f>
        <v>6300000</v>
      </c>
      <c r="AL533" s="1092"/>
      <c r="AM533" s="1039"/>
    </row>
    <row r="534" spans="1:39" s="1010" customFormat="1" ht="30">
      <c r="A534" s="1106"/>
      <c r="B534" s="1057" t="str">
        <f t="shared" si="80"/>
        <v>Cáp thép bọc bỏ nhựa D14</v>
      </c>
      <c r="C534" s="1058" t="str">
        <f>VLOOKUP(L534,'25-BRA-I-090'!$I:$EZ,4,0)</f>
        <v>steel</v>
      </c>
      <c r="D534" s="374" t="str">
        <f t="shared" si="81"/>
        <v>m</v>
      </c>
      <c r="E534" s="183"/>
      <c r="F534" s="184">
        <f t="shared" si="82"/>
        <v>300</v>
      </c>
      <c r="G534" s="185">
        <f t="shared" si="82"/>
        <v>0</v>
      </c>
      <c r="H534" s="185">
        <f t="shared" si="82"/>
        <v>300</v>
      </c>
      <c r="I534" s="185">
        <f t="shared" si="83"/>
        <v>0</v>
      </c>
      <c r="J534" s="185" t="e">
        <f t="shared" si="84"/>
        <v>#DIV/0!</v>
      </c>
      <c r="K534" s="185">
        <f t="shared" si="85"/>
        <v>0</v>
      </c>
      <c r="L534" s="1190" t="s">
        <v>2536</v>
      </c>
      <c r="M534" s="1059"/>
      <c r="N534" s="1059"/>
      <c r="T534" s="1011"/>
      <c r="U534" s="1133"/>
      <c r="V534" s="1012"/>
      <c r="AA534" s="1039" t="str">
        <f>VLOOKUP(L534,'25-BRA-I-090'!$I:$EZ,2,0)</f>
        <v>cáp thép</v>
      </c>
      <c r="AB534" s="1039" t="str">
        <f>VLOOKUP(L534,'25-BRA-I-090'!$I:$EZ,3,0)</f>
        <v>Cáp thép bọc bỏ nhựa D14</v>
      </c>
      <c r="AC534" s="1039" t="str">
        <f>VLOOKUP(L534,'25-BRA-I-090'!$I:$EZ,5,0)</f>
        <v>m</v>
      </c>
      <c r="AD534" s="1039">
        <f>SUMIFS('25-BRA-I-090'!$CS:$CS,'25-BRA-I-090'!$I:$I,L534)</f>
        <v>300</v>
      </c>
      <c r="AE534" s="1039">
        <f>SUMIFS('25-BRA-I-090'!$CT:$CT,'25-BRA-I-090'!$I:$I,L534)</f>
        <v>0</v>
      </c>
      <c r="AF534" s="1039">
        <f>SUMIFS('25-BRA-I-090'!$CW:$CW,'25-BRA-I-090'!$I:$I,L534)</f>
        <v>300</v>
      </c>
      <c r="AG534" s="1039">
        <f>SUMIFS('25-BRA-I-090'!$CX:$CX,'25-BRA-I-090'!$I:$I,L534)</f>
        <v>0</v>
      </c>
      <c r="AH534" s="1040">
        <f>SUMIFS('25-BRA-I-090'!$DJ:$DJ,'25-BRA-I-090'!$I:$I,L534)+SUMIFS('25-BRA-I-090'!$EC:$EC,'25-BRA-I-090'!$I:$I,L534)</f>
        <v>0</v>
      </c>
      <c r="AI534" s="1040">
        <f>SUMIFS('25-BRA-I-090'!$DK:$DK,'25-BRA-I-090'!$I:$I,L534)+SUMIFS('25-BRA-I-090'!$ED:$ED,'25-BRA-I-090'!$I:$I,L534)</f>
        <v>0</v>
      </c>
      <c r="AJ534" s="1040">
        <f>SUMIFS('25-BRA-I-090'!$DO:$DO,'25-BRA-I-090'!$I:$I,L534)+26400*SUMIFS('25-BRA-I-090'!$EF:$EF,'25-BRA-I-090'!$I:$I,L534)</f>
        <v>0</v>
      </c>
      <c r="AL534" s="1092"/>
      <c r="AM534" s="1039"/>
    </row>
    <row r="535" spans="1:39" s="1010" customFormat="1" ht="30">
      <c r="A535" s="1106"/>
      <c r="B535" s="1057" t="str">
        <f t="shared" ref="B535:B539" si="86">AB535</f>
        <v>Cóc cáp 14mm mạ hợp kim</v>
      </c>
      <c r="C535" s="1058" t="str">
        <f>VLOOKUP(L535,'25-BRA-I-090'!$I:$EZ,4,0)</f>
        <v>steel-mạ</v>
      </c>
      <c r="D535" s="374" t="str">
        <f t="shared" ref="D535:D539" si="87">AC535</f>
        <v>pcs</v>
      </c>
      <c r="E535" s="183"/>
      <c r="F535" s="184">
        <f t="shared" ref="F535:H539" si="88">AD535</f>
        <v>200</v>
      </c>
      <c r="G535" s="185">
        <f t="shared" si="88"/>
        <v>0</v>
      </c>
      <c r="H535" s="185">
        <f t="shared" si="88"/>
        <v>200</v>
      </c>
      <c r="I535" s="185">
        <f t="shared" ref="I535:I539" si="89">AH535</f>
        <v>0</v>
      </c>
      <c r="J535" s="185" t="e">
        <f t="shared" ref="J535:J539" si="90">K535/I535</f>
        <v>#DIV/0!</v>
      </c>
      <c r="K535" s="185">
        <f t="shared" ref="K535:K539" si="91">AJ535</f>
        <v>0</v>
      </c>
      <c r="L535" s="1190" t="s">
        <v>2540</v>
      </c>
      <c r="M535" s="1059"/>
      <c r="N535" s="1059"/>
      <c r="T535" s="1011"/>
      <c r="U535" s="1133"/>
      <c r="V535" s="1012"/>
      <c r="AA535" s="1039" t="str">
        <f>VLOOKUP(L535,'25-BRA-I-090'!$I:$EZ,2,0)</f>
        <v>cóc cáp</v>
      </c>
      <c r="AB535" s="1039" t="str">
        <f>VLOOKUP(L535,'25-BRA-I-090'!$I:$EZ,3,0)</f>
        <v>Cóc cáp 14mm mạ hợp kim</v>
      </c>
      <c r="AC535" s="1039" t="str">
        <f>VLOOKUP(L535,'25-BRA-I-090'!$I:$EZ,5,0)</f>
        <v>pcs</v>
      </c>
      <c r="AD535" s="1039">
        <f>SUMIFS('25-BRA-I-090'!$CS:$CS,'25-BRA-I-090'!$I:$I,L535)</f>
        <v>200</v>
      </c>
      <c r="AE535" s="1039">
        <f>SUMIFS('25-BRA-I-090'!$CT:$CT,'25-BRA-I-090'!$I:$I,L535)</f>
        <v>0</v>
      </c>
      <c r="AF535" s="1039">
        <f>SUMIFS('25-BRA-I-090'!$CW:$CW,'25-BRA-I-090'!$I:$I,L535)</f>
        <v>200</v>
      </c>
      <c r="AG535" s="1039">
        <f>SUMIFS('25-BRA-I-090'!$CX:$CX,'25-BRA-I-090'!$I:$I,L535)</f>
        <v>0</v>
      </c>
      <c r="AH535" s="1040">
        <f>SUMIFS('25-BRA-I-090'!$DJ:$DJ,'25-BRA-I-090'!$I:$I,L535)+SUMIFS('25-BRA-I-090'!$EC:$EC,'25-BRA-I-090'!$I:$I,L535)</f>
        <v>0</v>
      </c>
      <c r="AI535" s="1040">
        <f>SUMIFS('25-BRA-I-090'!$DK:$DK,'25-BRA-I-090'!$I:$I,L535)+SUMIFS('25-BRA-I-090'!$ED:$ED,'25-BRA-I-090'!$I:$I,L535)</f>
        <v>0</v>
      </c>
      <c r="AJ535" s="1040">
        <f>SUMIFS('25-BRA-I-090'!$DO:$DO,'25-BRA-I-090'!$I:$I,L535)+26400*SUMIFS('25-BRA-I-090'!$EF:$EF,'25-BRA-I-090'!$I:$I,L535)</f>
        <v>0</v>
      </c>
      <c r="AL535" s="1092"/>
      <c r="AM535" s="1039"/>
    </row>
    <row r="536" spans="1:39" s="1010" customFormat="1" ht="45">
      <c r="A536" s="1106"/>
      <c r="B536" s="1057" t="str">
        <f t="shared" si="86"/>
        <v>Tăng 16 mạ TQ-loại to 1 móc 1 tròn</v>
      </c>
      <c r="C536" s="1058" t="str">
        <f>VLOOKUP(L536,'25-BRA-I-090'!$I:$EZ,4,0)</f>
        <v>steel-mạ</v>
      </c>
      <c r="D536" s="374" t="str">
        <f t="shared" si="87"/>
        <v>pcs</v>
      </c>
      <c r="E536" s="183"/>
      <c r="F536" s="184">
        <f t="shared" si="88"/>
        <v>150</v>
      </c>
      <c r="G536" s="185">
        <f t="shared" si="88"/>
        <v>0</v>
      </c>
      <c r="H536" s="185">
        <f t="shared" si="88"/>
        <v>150</v>
      </c>
      <c r="I536" s="185">
        <f t="shared" si="89"/>
        <v>0</v>
      </c>
      <c r="J536" s="185" t="e">
        <f t="shared" si="90"/>
        <v>#DIV/0!</v>
      </c>
      <c r="K536" s="185">
        <f t="shared" si="91"/>
        <v>0</v>
      </c>
      <c r="L536" s="1190" t="s">
        <v>2544</v>
      </c>
      <c r="M536" s="1059"/>
      <c r="N536" s="1059"/>
      <c r="T536" s="1011"/>
      <c r="U536" s="1133"/>
      <c r="V536" s="1012"/>
      <c r="AA536" s="1039" t="str">
        <f>VLOOKUP(L536,'25-BRA-I-090'!$I:$EZ,2,0)</f>
        <v>tăng đơ</v>
      </c>
      <c r="AB536" s="1039" t="str">
        <f>VLOOKUP(L536,'25-BRA-I-090'!$I:$EZ,3,0)</f>
        <v>Tăng 16 mạ TQ-loại to 1 móc 1 tròn</v>
      </c>
      <c r="AC536" s="1039" t="str">
        <f>VLOOKUP(L536,'25-BRA-I-090'!$I:$EZ,5,0)</f>
        <v>pcs</v>
      </c>
      <c r="AD536" s="1039">
        <f>SUMIFS('25-BRA-I-090'!$CS:$CS,'25-BRA-I-090'!$I:$I,L536)</f>
        <v>150</v>
      </c>
      <c r="AE536" s="1039">
        <f>SUMIFS('25-BRA-I-090'!$CT:$CT,'25-BRA-I-090'!$I:$I,L536)</f>
        <v>0</v>
      </c>
      <c r="AF536" s="1039">
        <f>SUMIFS('25-BRA-I-090'!$CW:$CW,'25-BRA-I-090'!$I:$I,L536)</f>
        <v>150</v>
      </c>
      <c r="AG536" s="1039">
        <f>SUMIFS('25-BRA-I-090'!$CX:$CX,'25-BRA-I-090'!$I:$I,L536)</f>
        <v>0</v>
      </c>
      <c r="AH536" s="1040">
        <f>SUMIFS('25-BRA-I-090'!$DJ:$DJ,'25-BRA-I-090'!$I:$I,L536)+SUMIFS('25-BRA-I-090'!$EC:$EC,'25-BRA-I-090'!$I:$I,L536)</f>
        <v>0</v>
      </c>
      <c r="AI536" s="1040">
        <f>SUMIFS('25-BRA-I-090'!$DK:$DK,'25-BRA-I-090'!$I:$I,L536)+SUMIFS('25-BRA-I-090'!$ED:$ED,'25-BRA-I-090'!$I:$I,L536)</f>
        <v>0</v>
      </c>
      <c r="AJ536" s="1040">
        <f>SUMIFS('25-BRA-I-090'!$DO:$DO,'25-BRA-I-090'!$I:$I,L536)+26400*SUMIFS('25-BRA-I-090'!$EF:$EF,'25-BRA-I-090'!$I:$I,L536)</f>
        <v>0</v>
      </c>
      <c r="AL536" s="1092"/>
      <c r="AM536" s="1039"/>
    </row>
    <row r="537" spans="1:39" s="1010" customFormat="1" ht="30">
      <c r="A537" s="1106"/>
      <c r="B537" s="1057" t="str">
        <f t="shared" si="86"/>
        <v>củ và mỏ tăng bạt 5cm loại dầy</v>
      </c>
      <c r="C537" s="1058">
        <f>VLOOKUP(L537,'25-BRA-I-090'!$I:$EZ,4,0)</f>
        <v>0</v>
      </c>
      <c r="D537" s="374" t="str">
        <f t="shared" si="87"/>
        <v>Sets</v>
      </c>
      <c r="E537" s="183"/>
      <c r="F537" s="184">
        <f t="shared" si="88"/>
        <v>150</v>
      </c>
      <c r="G537" s="185">
        <f t="shared" si="88"/>
        <v>0</v>
      </c>
      <c r="H537" s="185">
        <f t="shared" si="88"/>
        <v>150</v>
      </c>
      <c r="I537" s="185">
        <f t="shared" si="89"/>
        <v>0</v>
      </c>
      <c r="J537" s="185" t="e">
        <f t="shared" si="90"/>
        <v>#DIV/0!</v>
      </c>
      <c r="K537" s="185">
        <f t="shared" si="91"/>
        <v>0</v>
      </c>
      <c r="L537" s="1190" t="s">
        <v>2547</v>
      </c>
      <c r="M537" s="1059"/>
      <c r="N537" s="1059"/>
      <c r="T537" s="1011"/>
      <c r="U537" s="1133"/>
      <c r="V537" s="1012"/>
      <c r="AA537" s="1039" t="str">
        <f>VLOOKUP(L537,'25-BRA-I-090'!$I:$EZ,2,0)</f>
        <v>củ tăng bạt</v>
      </c>
      <c r="AB537" s="1039" t="str">
        <f>VLOOKUP(L537,'25-BRA-I-090'!$I:$EZ,3,0)</f>
        <v>củ và mỏ tăng bạt 5cm loại dầy</v>
      </c>
      <c r="AC537" s="1039" t="str">
        <f>VLOOKUP(L537,'25-BRA-I-090'!$I:$EZ,5,0)</f>
        <v>Sets</v>
      </c>
      <c r="AD537" s="1039">
        <f>SUMIFS('25-BRA-I-090'!$CS:$CS,'25-BRA-I-090'!$I:$I,L537)</f>
        <v>150</v>
      </c>
      <c r="AE537" s="1039">
        <f>SUMIFS('25-BRA-I-090'!$CT:$CT,'25-BRA-I-090'!$I:$I,L537)</f>
        <v>0</v>
      </c>
      <c r="AF537" s="1039">
        <f>SUMIFS('25-BRA-I-090'!$CW:$CW,'25-BRA-I-090'!$I:$I,L537)</f>
        <v>150</v>
      </c>
      <c r="AG537" s="1039">
        <f>SUMIFS('25-BRA-I-090'!$CX:$CX,'25-BRA-I-090'!$I:$I,L537)</f>
        <v>0</v>
      </c>
      <c r="AH537" s="1040">
        <f>SUMIFS('25-BRA-I-090'!$DJ:$DJ,'25-BRA-I-090'!$I:$I,L537)+SUMIFS('25-BRA-I-090'!$EC:$EC,'25-BRA-I-090'!$I:$I,L537)</f>
        <v>0</v>
      </c>
      <c r="AI537" s="1040">
        <f>SUMIFS('25-BRA-I-090'!$DK:$DK,'25-BRA-I-090'!$I:$I,L537)+SUMIFS('25-BRA-I-090'!$ED:$ED,'25-BRA-I-090'!$I:$I,L537)</f>
        <v>0</v>
      </c>
      <c r="AJ537" s="1040">
        <f>SUMIFS('25-BRA-I-090'!$DO:$DO,'25-BRA-I-090'!$I:$I,L537)+26400*SUMIFS('25-BRA-I-090'!$EF:$EF,'25-BRA-I-090'!$I:$I,L537)</f>
        <v>0</v>
      </c>
      <c r="AL537" s="1092"/>
      <c r="AM537" s="1039"/>
    </row>
    <row r="538" spans="1:39" s="1010" customFormat="1" ht="30">
      <c r="A538" s="1106"/>
      <c r="B538" s="1057" t="str">
        <f t="shared" si="86"/>
        <v>giấy ép plastic A4</v>
      </c>
      <c r="C538" s="1058" t="str">
        <f>VLOOKUP(L538,'25-BRA-I-090'!$I:$EZ,4,0)</f>
        <v>plastic</v>
      </c>
      <c r="D538" s="374" t="str">
        <f t="shared" si="87"/>
        <v>pcs</v>
      </c>
      <c r="E538" s="183"/>
      <c r="F538" s="184">
        <f t="shared" si="88"/>
        <v>3000</v>
      </c>
      <c r="G538" s="185">
        <f t="shared" si="88"/>
        <v>0</v>
      </c>
      <c r="H538" s="185">
        <f t="shared" si="88"/>
        <v>3000</v>
      </c>
      <c r="I538" s="185">
        <f t="shared" si="89"/>
        <v>0</v>
      </c>
      <c r="J538" s="185" t="e">
        <f t="shared" si="90"/>
        <v>#DIV/0!</v>
      </c>
      <c r="K538" s="185">
        <f t="shared" si="91"/>
        <v>0</v>
      </c>
      <c r="L538" s="1190" t="s">
        <v>2573</v>
      </c>
      <c r="M538" s="1059"/>
      <c r="N538" s="1059"/>
      <c r="T538" s="1011"/>
      <c r="U538" s="1133"/>
      <c r="V538" s="1012"/>
      <c r="AA538" s="1039" t="str">
        <f>VLOOKUP(L538,'25-BRA-I-090'!$I:$EZ,2,0)</f>
        <v>giấy ép plastic A4</v>
      </c>
      <c r="AB538" s="1039" t="str">
        <f>VLOOKUP(L538,'25-BRA-I-090'!$I:$EZ,3,0)</f>
        <v>giấy ép plastic A4</v>
      </c>
      <c r="AC538" s="1039" t="str">
        <f>VLOOKUP(L538,'25-BRA-I-090'!$I:$EZ,5,0)</f>
        <v>pcs</v>
      </c>
      <c r="AD538" s="1039">
        <f>SUMIFS('25-BRA-I-090'!$CS:$CS,'25-BRA-I-090'!$I:$I,L538)</f>
        <v>3000</v>
      </c>
      <c r="AE538" s="1039">
        <f>SUMIFS('25-BRA-I-090'!$CT:$CT,'25-BRA-I-090'!$I:$I,L538)</f>
        <v>0</v>
      </c>
      <c r="AF538" s="1039">
        <f>SUMIFS('25-BRA-I-090'!$CW:$CW,'25-BRA-I-090'!$I:$I,L538)</f>
        <v>3000</v>
      </c>
      <c r="AG538" s="1039">
        <f>SUMIFS('25-BRA-I-090'!$CX:$CX,'25-BRA-I-090'!$I:$I,L538)</f>
        <v>0</v>
      </c>
      <c r="AH538" s="1040">
        <f>SUMIFS('25-BRA-I-090'!$DJ:$DJ,'25-BRA-I-090'!$I:$I,L538)+SUMIFS('25-BRA-I-090'!$EC:$EC,'25-BRA-I-090'!$I:$I,L538)</f>
        <v>0</v>
      </c>
      <c r="AI538" s="1040">
        <f>SUMIFS('25-BRA-I-090'!$DK:$DK,'25-BRA-I-090'!$I:$I,L538)+SUMIFS('25-BRA-I-090'!$ED:$ED,'25-BRA-I-090'!$I:$I,L538)</f>
        <v>0</v>
      </c>
      <c r="AJ538" s="1040">
        <f>SUMIFS('25-BRA-I-090'!$DO:$DO,'25-BRA-I-090'!$I:$I,L538)+26400*SUMIFS('25-BRA-I-090'!$EF:$EF,'25-BRA-I-090'!$I:$I,L538)</f>
        <v>0</v>
      </c>
      <c r="AL538" s="1092"/>
      <c r="AM538" s="1039"/>
    </row>
    <row r="539" spans="1:39" s="1010" customFormat="1" ht="30">
      <c r="A539" s="1106"/>
      <c r="B539" s="1057" t="str">
        <f t="shared" si="86"/>
        <v>giấy ép plastic A3</v>
      </c>
      <c r="C539" s="1058" t="str">
        <f>VLOOKUP(L539,'25-BRA-I-090'!$I:$EZ,4,0)</f>
        <v>plastic</v>
      </c>
      <c r="D539" s="374" t="str">
        <f t="shared" si="87"/>
        <v>pcs</v>
      </c>
      <c r="E539" s="183"/>
      <c r="F539" s="184">
        <f t="shared" si="88"/>
        <v>2000</v>
      </c>
      <c r="G539" s="185">
        <f t="shared" si="88"/>
        <v>0</v>
      </c>
      <c r="H539" s="185">
        <f t="shared" si="88"/>
        <v>0</v>
      </c>
      <c r="I539" s="185">
        <f t="shared" si="89"/>
        <v>2000</v>
      </c>
      <c r="J539" s="185">
        <f t="shared" si="90"/>
        <v>168</v>
      </c>
      <c r="K539" s="185">
        <f t="shared" si="91"/>
        <v>336000</v>
      </c>
      <c r="L539" s="1190" t="s">
        <v>2576</v>
      </c>
      <c r="M539" s="1059"/>
      <c r="N539" s="1059"/>
      <c r="T539" s="1011"/>
      <c r="U539" s="1133"/>
      <c r="V539" s="1012"/>
      <c r="AA539" s="1039" t="str">
        <f>VLOOKUP(L539,'25-BRA-I-090'!$I:$EZ,2,0)</f>
        <v>giấy ép plastic A3</v>
      </c>
      <c r="AB539" s="1039" t="str">
        <f>VLOOKUP(L539,'25-BRA-I-090'!$I:$EZ,3,0)</f>
        <v>giấy ép plastic A3</v>
      </c>
      <c r="AC539" s="1039" t="str">
        <f>VLOOKUP(L539,'25-BRA-I-090'!$I:$EZ,5,0)</f>
        <v>pcs</v>
      </c>
      <c r="AD539" s="1039">
        <f>SUMIFS('25-BRA-I-090'!$CS:$CS,'25-BRA-I-090'!$I:$I,L539)</f>
        <v>2000</v>
      </c>
      <c r="AE539" s="1039">
        <f>SUMIFS('25-BRA-I-090'!$CT:$CT,'25-BRA-I-090'!$I:$I,L539)</f>
        <v>0</v>
      </c>
      <c r="AF539" s="1039">
        <f>SUMIFS('25-BRA-I-090'!$CW:$CW,'25-BRA-I-090'!$I:$I,L539)</f>
        <v>0</v>
      </c>
      <c r="AG539" s="1039">
        <f>SUMIFS('25-BRA-I-090'!$CX:$CX,'25-BRA-I-090'!$I:$I,L539)</f>
        <v>0</v>
      </c>
      <c r="AH539" s="1040">
        <f>SUMIFS('25-BRA-I-090'!$DJ:$DJ,'25-BRA-I-090'!$I:$I,L539)+SUMIFS('25-BRA-I-090'!$EC:$EC,'25-BRA-I-090'!$I:$I,L539)</f>
        <v>2000</v>
      </c>
      <c r="AI539" s="1040">
        <f>SUMIFS('25-BRA-I-090'!$DK:$DK,'25-BRA-I-090'!$I:$I,L539)+SUMIFS('25-BRA-I-090'!$ED:$ED,'25-BRA-I-090'!$I:$I,L539)</f>
        <v>0</v>
      </c>
      <c r="AJ539" s="1040">
        <f>SUMIFS('25-BRA-I-090'!$DO:$DO,'25-BRA-I-090'!$I:$I,L539)+26400*SUMIFS('25-BRA-I-090'!$EF:$EF,'25-BRA-I-090'!$I:$I,L539)</f>
        <v>336000</v>
      </c>
      <c r="AL539" s="1092"/>
      <c r="AM539" s="1039"/>
    </row>
    <row r="540" spans="1:39" s="1126" customFormat="1">
      <c r="A540" s="1119" t="s">
        <v>2647</v>
      </c>
      <c r="B540" s="1120" t="s">
        <v>2648</v>
      </c>
      <c r="C540" s="1149"/>
      <c r="D540" s="1122"/>
      <c r="E540" s="1150"/>
      <c r="F540" s="1150"/>
      <c r="G540" s="1140"/>
      <c r="H540" s="1140"/>
      <c r="I540" s="1140"/>
      <c r="J540" s="1140"/>
      <c r="K540" s="1100">
        <f>SUBTOTAL(9,K541:K559)</f>
        <v>207043956</v>
      </c>
      <c r="L540" s="1100"/>
      <c r="M540" s="1059" t="e">
        <f>+VLOOKUP(L540,'[121]PR (2)'!$A$12:$M$253,13,FALSE)</f>
        <v>#N/A</v>
      </c>
      <c r="N540" s="1059" t="e">
        <f>+VLOOKUP(L540,'[121]PR (2)'!$A$12:$AQ$253,12,FALSE)</f>
        <v>#N/A</v>
      </c>
      <c r="T540" s="1128"/>
      <c r="U540" s="1151"/>
      <c r="V540" s="1129"/>
      <c r="AA540" s="1039"/>
      <c r="AB540" s="1039"/>
      <c r="AC540" s="1039"/>
      <c r="AD540" s="1039"/>
      <c r="AE540" s="1039"/>
      <c r="AF540" s="1039"/>
      <c r="AG540" s="1039"/>
      <c r="AH540" s="1040"/>
      <c r="AI540" s="1040"/>
      <c r="AJ540" s="1040"/>
      <c r="AL540" s="1092"/>
      <c r="AM540" s="1039"/>
    </row>
    <row r="541" spans="1:39" s="1039" customFormat="1">
      <c r="A541" s="1106">
        <v>1</v>
      </c>
      <c r="B541" s="1130" t="s">
        <v>2768</v>
      </c>
      <c r="C541" s="1131"/>
      <c r="D541" s="1132" t="s">
        <v>1725</v>
      </c>
      <c r="E541" s="1154"/>
      <c r="F541" s="1154"/>
      <c r="G541" s="185">
        <v>20000</v>
      </c>
      <c r="H541" s="185"/>
      <c r="I541" s="185"/>
      <c r="J541" s="1155">
        <v>7000</v>
      </c>
      <c r="K541" s="1112">
        <f>+G541*J541</f>
        <v>140000000</v>
      </c>
      <c r="L541" s="1191" t="s">
        <v>2769</v>
      </c>
      <c r="M541" s="1059" t="e">
        <f>+VLOOKUP(L541,'[121]PR (2)'!$A$12:$M$253,13,FALSE)</f>
        <v>#N/A</v>
      </c>
      <c r="N541" s="1059" t="e">
        <f>+VLOOKUP(L541,'[121]PR (2)'!$A$12:$AQ$253,12,FALSE)</f>
        <v>#N/A</v>
      </c>
      <c r="T541" s="1041"/>
      <c r="U541" s="1156"/>
      <c r="V541" s="1042"/>
      <c r="AH541" s="1040"/>
      <c r="AI541" s="1040"/>
      <c r="AJ541" s="1040"/>
      <c r="AL541" s="1092"/>
    </row>
    <row r="542" spans="1:39" s="1039" customFormat="1">
      <c r="A542" s="1106">
        <f>+A541+1</f>
        <v>2</v>
      </c>
      <c r="B542" s="1130" t="s">
        <v>2770</v>
      </c>
      <c r="C542" s="1131"/>
      <c r="D542" s="1132" t="s">
        <v>2683</v>
      </c>
      <c r="E542" s="1154"/>
      <c r="F542" s="1154"/>
      <c r="G542" s="185">
        <v>1000</v>
      </c>
      <c r="H542" s="185"/>
      <c r="I542" s="185"/>
      <c r="J542" s="1155">
        <v>25000</v>
      </c>
      <c r="K542" s="1112">
        <f>+G542*J542</f>
        <v>25000000</v>
      </c>
      <c r="L542" s="1191" t="s">
        <v>2771</v>
      </c>
      <c r="M542" s="1059" t="e">
        <f>+VLOOKUP(L542,'[121]PR (2)'!$A$12:$M$253,13,FALSE)</f>
        <v>#N/A</v>
      </c>
      <c r="N542" s="1059" t="e">
        <f>+VLOOKUP(L542,'[121]PR (2)'!$A$12:$AQ$253,12,FALSE)</f>
        <v>#N/A</v>
      </c>
      <c r="T542" s="1041"/>
      <c r="U542" s="1156"/>
      <c r="V542" s="1042"/>
      <c r="AH542" s="1040"/>
      <c r="AI542" s="1040"/>
      <c r="AJ542" s="1040"/>
      <c r="AL542" s="1092"/>
    </row>
    <row r="543" spans="1:39" s="1039" customFormat="1">
      <c r="A543" s="1106">
        <f>+A542+1</f>
        <v>3</v>
      </c>
      <c r="B543" s="1130" t="s">
        <v>2772</v>
      </c>
      <c r="C543" s="1131"/>
      <c r="D543" s="1132" t="s">
        <v>44</v>
      </c>
      <c r="E543" s="1116">
        <v>0.354641042410827</v>
      </c>
      <c r="F543" s="1116"/>
      <c r="G543" s="1112">
        <f>ROUND(E543*$G$372,0)</f>
        <v>64</v>
      </c>
      <c r="H543" s="1112"/>
      <c r="I543" s="1112"/>
      <c r="J543" s="1112">
        <v>45000</v>
      </c>
      <c r="K543" s="1112">
        <f t="shared" ref="K543:K558" si="92">+G543*J543</f>
        <v>2880000</v>
      </c>
      <c r="L543" s="1191"/>
      <c r="M543" s="1059" t="e">
        <f>+VLOOKUP(L543,'[121]PR (2)'!$A$12:$M$253,13,FALSE)</f>
        <v>#N/A</v>
      </c>
      <c r="N543" s="1059" t="e">
        <f>+VLOOKUP(L543,'[121]PR (2)'!$A$12:$AQ$253,12,FALSE)</f>
        <v>#N/A</v>
      </c>
      <c r="T543" s="1041"/>
      <c r="U543" s="1156"/>
      <c r="V543" s="1042"/>
      <c r="AH543" s="1040"/>
      <c r="AI543" s="1040"/>
      <c r="AJ543" s="1040"/>
      <c r="AL543" s="1092"/>
    </row>
    <row r="544" spans="1:39" s="1039" customFormat="1">
      <c r="A544" s="1106">
        <f>+A543</f>
        <v>3</v>
      </c>
      <c r="B544" s="1130" t="s">
        <v>2773</v>
      </c>
      <c r="C544" s="1131"/>
      <c r="D544" s="1132" t="s">
        <v>1725</v>
      </c>
      <c r="E544" s="1116">
        <v>0.1257735070684711</v>
      </c>
      <c r="F544" s="1116"/>
      <c r="G544" s="1112">
        <f>ROUND(E544*$G$372,0)</f>
        <v>23</v>
      </c>
      <c r="H544" s="1112"/>
      <c r="I544" s="1112"/>
      <c r="J544" s="1112">
        <v>30000</v>
      </c>
      <c r="K544" s="1112">
        <f t="shared" si="92"/>
        <v>690000</v>
      </c>
      <c r="L544" s="1191"/>
      <c r="M544" s="1059" t="e">
        <f>+VLOOKUP(L544,'[121]PR (2)'!$A$12:$M$253,13,FALSE)</f>
        <v>#N/A</v>
      </c>
      <c r="N544" s="1059" t="e">
        <f>+VLOOKUP(L544,'[121]PR (2)'!$A$12:$AQ$253,12,FALSE)</f>
        <v>#N/A</v>
      </c>
      <c r="T544" s="1041"/>
      <c r="U544" s="1156"/>
      <c r="V544" s="1042"/>
      <c r="AH544" s="1040"/>
      <c r="AI544" s="1040"/>
      <c r="AJ544" s="1040"/>
      <c r="AL544" s="1092"/>
    </row>
    <row r="545" spans="1:38" s="1039" customFormat="1">
      <c r="A545" s="1106">
        <f t="shared" ref="A545:A559" si="93">+A544+1</f>
        <v>4</v>
      </c>
      <c r="B545" s="1130" t="s">
        <v>2774</v>
      </c>
      <c r="C545" s="1131"/>
      <c r="D545" s="1132" t="s">
        <v>345</v>
      </c>
      <c r="E545" s="1116"/>
      <c r="F545" s="1116"/>
      <c r="G545" s="1112">
        <v>20</v>
      </c>
      <c r="H545" s="1112"/>
      <c r="I545" s="1112"/>
      <c r="J545" s="1112">
        <v>200000</v>
      </c>
      <c r="K545" s="1112">
        <f t="shared" si="92"/>
        <v>4000000</v>
      </c>
      <c r="L545" s="1191"/>
      <c r="M545" s="1059" t="e">
        <f>+VLOOKUP(L545,'[121]PR (2)'!$A$12:$M$253,13,FALSE)</f>
        <v>#N/A</v>
      </c>
      <c r="N545" s="1059" t="e">
        <f>+VLOOKUP(L545,'[121]PR (2)'!$A$12:$AQ$253,12,FALSE)</f>
        <v>#N/A</v>
      </c>
      <c r="T545" s="1041"/>
      <c r="U545" s="1156"/>
      <c r="V545" s="1042"/>
      <c r="AH545" s="1040"/>
      <c r="AI545" s="1040"/>
      <c r="AJ545" s="1040"/>
      <c r="AL545" s="1092"/>
    </row>
    <row r="546" spans="1:38" s="1039" customFormat="1">
      <c r="A546" s="1106">
        <f t="shared" si="93"/>
        <v>5</v>
      </c>
      <c r="B546" s="1130" t="s">
        <v>2775</v>
      </c>
      <c r="C546" s="1131"/>
      <c r="D546" s="1132" t="s">
        <v>1725</v>
      </c>
      <c r="E546" s="1116">
        <v>0.1257735070684711</v>
      </c>
      <c r="F546" s="1116"/>
      <c r="G546" s="1112">
        <f>ROUND(E546*$G$372,0)</f>
        <v>23</v>
      </c>
      <c r="H546" s="1112"/>
      <c r="I546" s="1112"/>
      <c r="J546" s="1112">
        <v>30000</v>
      </c>
      <c r="K546" s="1112">
        <f t="shared" si="92"/>
        <v>690000</v>
      </c>
      <c r="L546" s="1191"/>
      <c r="M546" s="1059" t="e">
        <f>+VLOOKUP(L546,'[121]PR (2)'!$A$12:$M$253,13,FALSE)</f>
        <v>#N/A</v>
      </c>
      <c r="N546" s="1059" t="e">
        <f>+VLOOKUP(L546,'[121]PR (2)'!$A$12:$AQ$253,12,FALSE)</f>
        <v>#N/A</v>
      </c>
      <c r="T546" s="1041"/>
      <c r="U546" s="1156"/>
      <c r="V546" s="1042"/>
      <c r="AH546" s="1040"/>
      <c r="AI546" s="1040"/>
      <c r="AJ546" s="1040"/>
      <c r="AL546" s="1092"/>
    </row>
    <row r="547" spans="1:38" s="1039" customFormat="1">
      <c r="A547" s="1106">
        <f t="shared" si="93"/>
        <v>6</v>
      </c>
      <c r="B547" s="1130" t="s">
        <v>2776</v>
      </c>
      <c r="C547" s="1131"/>
      <c r="D547" s="1132" t="s">
        <v>61</v>
      </c>
      <c r="E547" s="1116">
        <v>1.257735070684711</v>
      </c>
      <c r="F547" s="1116"/>
      <c r="G547" s="1112">
        <f>ROUND(E547*$G$372,0)*0.4</f>
        <v>90</v>
      </c>
      <c r="H547" s="1112"/>
      <c r="I547" s="1112"/>
      <c r="J547" s="1112">
        <v>35000</v>
      </c>
      <c r="K547" s="1112">
        <f t="shared" si="92"/>
        <v>3150000</v>
      </c>
      <c r="L547" s="1191"/>
      <c r="M547" s="1059" t="e">
        <f>+VLOOKUP(L547,'[121]PR (2)'!$A$12:$M$253,13,FALSE)</f>
        <v>#N/A</v>
      </c>
      <c r="N547" s="1059" t="e">
        <f>+VLOOKUP(L547,'[121]PR (2)'!$A$12:$AQ$253,12,FALSE)</f>
        <v>#N/A</v>
      </c>
      <c r="T547" s="1041"/>
      <c r="U547" s="1156"/>
      <c r="V547" s="1042"/>
      <c r="AH547" s="1040"/>
      <c r="AI547" s="1040"/>
      <c r="AJ547" s="1040"/>
      <c r="AL547" s="1092"/>
    </row>
    <row r="548" spans="1:38" s="1039" customFormat="1">
      <c r="A548" s="1106">
        <f t="shared" si="93"/>
        <v>7</v>
      </c>
      <c r="B548" s="1130" t="s">
        <v>2777</v>
      </c>
      <c r="C548" s="1131"/>
      <c r="D548" s="1132" t="s">
        <v>2740</v>
      </c>
      <c r="E548" s="1116">
        <v>2.515470141369422</v>
      </c>
      <c r="F548" s="1116"/>
      <c r="G548" s="1112">
        <f>ROUND(E548*$G$372,0)*0.4</f>
        <v>180.4</v>
      </c>
      <c r="H548" s="1112"/>
      <c r="I548" s="1112"/>
      <c r="J548" s="1112">
        <v>1800</v>
      </c>
      <c r="K548" s="1112">
        <f t="shared" si="92"/>
        <v>324720</v>
      </c>
      <c r="L548" s="1191"/>
      <c r="M548" s="1059" t="e">
        <f>+VLOOKUP(L548,'[121]PR (2)'!$A$12:$M$253,13,FALSE)</f>
        <v>#N/A</v>
      </c>
      <c r="N548" s="1059" t="e">
        <f>+VLOOKUP(L548,'[121]PR (2)'!$A$12:$AQ$253,12,FALSE)</f>
        <v>#N/A</v>
      </c>
      <c r="T548" s="1041"/>
      <c r="U548" s="1156"/>
      <c r="V548" s="1042"/>
      <c r="AH548" s="1040"/>
      <c r="AI548" s="1040"/>
      <c r="AJ548" s="1040"/>
      <c r="AL548" s="1092"/>
    </row>
    <row r="549" spans="1:38" s="1039" customFormat="1">
      <c r="A549" s="1106">
        <f t="shared" si="93"/>
        <v>8</v>
      </c>
      <c r="B549" s="1130" t="s">
        <v>2778</v>
      </c>
      <c r="C549" s="1131"/>
      <c r="D549" s="1132" t="s">
        <v>2779</v>
      </c>
      <c r="E549" s="1116"/>
      <c r="F549" s="1116"/>
      <c r="G549" s="1112">
        <v>20</v>
      </c>
      <c r="H549" s="1112"/>
      <c r="I549" s="1112"/>
      <c r="J549" s="1112">
        <v>50000</v>
      </c>
      <c r="K549" s="1112">
        <f t="shared" si="92"/>
        <v>1000000</v>
      </c>
      <c r="L549" s="1191"/>
      <c r="M549" s="1059" t="e">
        <f>+VLOOKUP(L549,'[121]PR (2)'!$A$12:$M$253,13,FALSE)</f>
        <v>#N/A</v>
      </c>
      <c r="N549" s="1059" t="e">
        <f>+VLOOKUP(L549,'[121]PR (2)'!$A$12:$AQ$253,12,FALSE)</f>
        <v>#N/A</v>
      </c>
      <c r="T549" s="1041"/>
      <c r="U549" s="1156"/>
      <c r="V549" s="1042"/>
      <c r="AH549" s="1040"/>
      <c r="AI549" s="1040"/>
      <c r="AJ549" s="1040"/>
      <c r="AL549" s="1092"/>
    </row>
    <row r="550" spans="1:38" s="1039" customFormat="1">
      <c r="A550" s="1106">
        <f t="shared" si="93"/>
        <v>9</v>
      </c>
      <c r="B550" s="1130" t="s">
        <v>2780</v>
      </c>
      <c r="C550" s="1131"/>
      <c r="D550" s="1132" t="s">
        <v>2620</v>
      </c>
      <c r="E550" s="1116"/>
      <c r="F550" s="1116"/>
      <c r="G550" s="1112">
        <v>100</v>
      </c>
      <c r="H550" s="1112"/>
      <c r="I550" s="1112"/>
      <c r="J550" s="1112">
        <v>60000</v>
      </c>
      <c r="K550" s="1112">
        <f t="shared" si="92"/>
        <v>6000000</v>
      </c>
      <c r="L550" s="1191"/>
      <c r="M550" s="1059" t="e">
        <f>+VLOOKUP(L550,'[121]PR (2)'!$A$12:$M$253,13,FALSE)</f>
        <v>#N/A</v>
      </c>
      <c r="N550" s="1059" t="e">
        <f>+VLOOKUP(L550,'[121]PR (2)'!$A$12:$AQ$253,12,FALSE)</f>
        <v>#N/A</v>
      </c>
      <c r="T550" s="1041"/>
      <c r="U550" s="1156"/>
      <c r="V550" s="1042"/>
      <c r="AH550" s="1040"/>
      <c r="AI550" s="1040"/>
      <c r="AJ550" s="1040"/>
      <c r="AL550" s="1092"/>
    </row>
    <row r="551" spans="1:38" s="1039" customFormat="1">
      <c r="A551" s="1106">
        <f t="shared" si="93"/>
        <v>10</v>
      </c>
      <c r="B551" s="1130" t="s">
        <v>2781</v>
      </c>
      <c r="C551" s="1131"/>
      <c r="D551" s="1132" t="s">
        <v>2782</v>
      </c>
      <c r="E551" s="1116"/>
      <c r="F551" s="1116"/>
      <c r="G551" s="1112">
        <v>20</v>
      </c>
      <c r="H551" s="1112"/>
      <c r="I551" s="1112"/>
      <c r="J551" s="1112">
        <v>200000</v>
      </c>
      <c r="K551" s="1112">
        <f t="shared" si="92"/>
        <v>4000000</v>
      </c>
      <c r="L551" s="1191"/>
      <c r="M551" s="1059" t="e">
        <f>+VLOOKUP(L551,'[121]PR (2)'!$A$12:$M$253,13,FALSE)</f>
        <v>#N/A</v>
      </c>
      <c r="N551" s="1059" t="e">
        <f>+VLOOKUP(L551,'[121]PR (2)'!$A$12:$AQ$253,12,FALSE)</f>
        <v>#N/A</v>
      </c>
      <c r="T551" s="1041"/>
      <c r="U551" s="1156"/>
      <c r="V551" s="1042"/>
      <c r="AH551" s="1040"/>
      <c r="AI551" s="1040"/>
      <c r="AJ551" s="1040"/>
      <c r="AL551" s="1092"/>
    </row>
    <row r="552" spans="1:38" s="1039" customFormat="1">
      <c r="A552" s="1106">
        <f t="shared" si="93"/>
        <v>11</v>
      </c>
      <c r="B552" s="1130" t="s">
        <v>2783</v>
      </c>
      <c r="C552" s="1131"/>
      <c r="D552" s="1132" t="s">
        <v>2784</v>
      </c>
      <c r="E552" s="1116"/>
      <c r="F552" s="1116"/>
      <c r="G552" s="1112">
        <v>5</v>
      </c>
      <c r="H552" s="1112"/>
      <c r="I552" s="1112"/>
      <c r="J552" s="1112">
        <v>100000</v>
      </c>
      <c r="K552" s="1112">
        <f t="shared" si="92"/>
        <v>500000</v>
      </c>
      <c r="L552" s="1191"/>
      <c r="M552" s="1059" t="e">
        <f>+VLOOKUP(L552,'[121]PR (2)'!$A$12:$M$253,13,FALSE)</f>
        <v>#N/A</v>
      </c>
      <c r="N552" s="1059" t="e">
        <f>+VLOOKUP(L552,'[121]PR (2)'!$A$12:$AQ$253,12,FALSE)</f>
        <v>#N/A</v>
      </c>
      <c r="T552" s="1041"/>
      <c r="U552" s="1156"/>
      <c r="V552" s="1042"/>
      <c r="AH552" s="1040"/>
      <c r="AI552" s="1040"/>
      <c r="AJ552" s="1040"/>
      <c r="AL552" s="1092"/>
    </row>
    <row r="553" spans="1:38" s="1039" customFormat="1">
      <c r="A553" s="1106">
        <f t="shared" si="93"/>
        <v>12</v>
      </c>
      <c r="B553" s="1130" t="s">
        <v>2785</v>
      </c>
      <c r="C553" s="1131"/>
      <c r="D553" s="1132" t="s">
        <v>2786</v>
      </c>
      <c r="E553" s="1116"/>
      <c r="F553" s="1116"/>
      <c r="G553" s="1112">
        <v>50</v>
      </c>
      <c r="H553" s="1112"/>
      <c r="I553" s="1112"/>
      <c r="J553" s="1112">
        <v>35000</v>
      </c>
      <c r="K553" s="1112">
        <f t="shared" si="92"/>
        <v>1750000</v>
      </c>
      <c r="L553" s="1191"/>
      <c r="M553" s="1059" t="e">
        <f>+VLOOKUP(L553,'[121]PR (2)'!$A$12:$M$253,13,FALSE)</f>
        <v>#N/A</v>
      </c>
      <c r="N553" s="1059" t="e">
        <f>+VLOOKUP(L553,'[121]PR (2)'!$A$12:$AQ$253,12,FALSE)</f>
        <v>#N/A</v>
      </c>
      <c r="T553" s="1041"/>
      <c r="U553" s="1156"/>
      <c r="V553" s="1042"/>
      <c r="AH553" s="1040"/>
      <c r="AI553" s="1040"/>
      <c r="AJ553" s="1040"/>
      <c r="AL553" s="1092"/>
    </row>
    <row r="554" spans="1:38" s="1039" customFormat="1">
      <c r="A554" s="1106">
        <f t="shared" si="93"/>
        <v>13</v>
      </c>
      <c r="B554" s="1130" t="s">
        <v>2787</v>
      </c>
      <c r="C554" s="1131"/>
      <c r="D554" s="1132" t="s">
        <v>2587</v>
      </c>
      <c r="E554" s="1116"/>
      <c r="F554" s="1116"/>
      <c r="G554" s="1112">
        <v>20</v>
      </c>
      <c r="H554" s="1112"/>
      <c r="I554" s="1112"/>
      <c r="J554" s="1112">
        <v>3000</v>
      </c>
      <c r="K554" s="1112">
        <f t="shared" si="92"/>
        <v>60000</v>
      </c>
      <c r="L554" s="1191"/>
      <c r="M554" s="1059" t="e">
        <f>+VLOOKUP(L554,'[121]PR (2)'!$A$12:$M$253,13,FALSE)</f>
        <v>#N/A</v>
      </c>
      <c r="N554" s="1059" t="e">
        <f>+VLOOKUP(L554,'[121]PR (2)'!$A$12:$AQ$253,12,FALSE)</f>
        <v>#N/A</v>
      </c>
      <c r="T554" s="1041"/>
      <c r="U554" s="1156"/>
      <c r="V554" s="1042"/>
      <c r="AH554" s="1040"/>
      <c r="AI554" s="1040"/>
      <c r="AJ554" s="1040"/>
      <c r="AL554" s="1092"/>
    </row>
    <row r="555" spans="1:38" s="1039" customFormat="1">
      <c r="A555" s="1106">
        <f t="shared" si="93"/>
        <v>14</v>
      </c>
      <c r="B555" s="1130" t="s">
        <v>2788</v>
      </c>
      <c r="C555" s="1131"/>
      <c r="D555" s="1132" t="s">
        <v>1725</v>
      </c>
      <c r="E555" s="1116"/>
      <c r="F555" s="1116"/>
      <c r="G555" s="1112">
        <v>100</v>
      </c>
      <c r="H555" s="1112"/>
      <c r="I555" s="1112"/>
      <c r="J555" s="1112">
        <v>50000</v>
      </c>
      <c r="K555" s="1112">
        <f t="shared" si="92"/>
        <v>5000000</v>
      </c>
      <c r="L555" s="1191"/>
      <c r="M555" s="1059" t="e">
        <f>+VLOOKUP(L555,'[121]PR (2)'!$A$12:$M$253,13,FALSE)</f>
        <v>#N/A</v>
      </c>
      <c r="N555" s="1059" t="e">
        <f>+VLOOKUP(L555,'[121]PR (2)'!$A$12:$AQ$253,12,FALSE)</f>
        <v>#N/A</v>
      </c>
      <c r="T555" s="1041"/>
      <c r="U555" s="1156"/>
      <c r="V555" s="1042"/>
      <c r="AH555" s="1040"/>
      <c r="AI555" s="1040"/>
      <c r="AJ555" s="1040"/>
      <c r="AL555" s="1092"/>
    </row>
    <row r="556" spans="1:38" s="1039" customFormat="1">
      <c r="A556" s="1106">
        <f t="shared" si="93"/>
        <v>15</v>
      </c>
      <c r="B556" s="1130" t="s">
        <v>2789</v>
      </c>
      <c r="C556" s="1131"/>
      <c r="D556" s="1132" t="s">
        <v>2782</v>
      </c>
      <c r="E556" s="1116"/>
      <c r="F556" s="1116"/>
      <c r="G556" s="1112">
        <v>20</v>
      </c>
      <c r="H556" s="1112"/>
      <c r="I556" s="1112"/>
      <c r="J556" s="1112">
        <v>12000</v>
      </c>
      <c r="K556" s="1112">
        <f t="shared" si="92"/>
        <v>240000</v>
      </c>
      <c r="L556" s="1191"/>
      <c r="M556" s="1059" t="e">
        <f>+VLOOKUP(L556,'[121]PR (2)'!$A$12:$M$253,13,FALSE)</f>
        <v>#N/A</v>
      </c>
      <c r="N556" s="1059" t="e">
        <f>+VLOOKUP(L556,'[121]PR (2)'!$A$12:$AQ$253,12,FALSE)</f>
        <v>#N/A</v>
      </c>
      <c r="T556" s="1041"/>
      <c r="U556" s="1156"/>
      <c r="V556" s="1042"/>
      <c r="AH556" s="1040"/>
      <c r="AI556" s="1040"/>
      <c r="AJ556" s="1040"/>
      <c r="AL556" s="1092"/>
    </row>
    <row r="557" spans="1:38" s="1039" customFormat="1">
      <c r="A557" s="1106">
        <f t="shared" si="93"/>
        <v>16</v>
      </c>
      <c r="B557" s="1130" t="s">
        <v>2790</v>
      </c>
      <c r="C557" s="1131"/>
      <c r="D557" s="1132" t="s">
        <v>2620</v>
      </c>
      <c r="E557" s="1116"/>
      <c r="F557" s="1116"/>
      <c r="G557" s="1112">
        <v>20</v>
      </c>
      <c r="H557" s="1112"/>
      <c r="I557" s="1112"/>
      <c r="J557" s="1112">
        <v>25000</v>
      </c>
      <c r="K557" s="1112">
        <f t="shared" si="92"/>
        <v>500000</v>
      </c>
      <c r="L557" s="1191"/>
      <c r="M557" s="1059" t="e">
        <f>+VLOOKUP(L557,'[121]PR (2)'!$A$12:$M$253,13,FALSE)</f>
        <v>#N/A</v>
      </c>
      <c r="N557" s="1059" t="e">
        <f>+VLOOKUP(L557,'[121]PR (2)'!$A$12:$AQ$253,12,FALSE)</f>
        <v>#N/A</v>
      </c>
      <c r="T557" s="1041"/>
      <c r="U557" s="1156"/>
      <c r="V557" s="1042"/>
      <c r="AH557" s="1040"/>
      <c r="AI557" s="1040"/>
      <c r="AJ557" s="1040"/>
      <c r="AL557" s="1092"/>
    </row>
    <row r="558" spans="1:38" s="1039" customFormat="1">
      <c r="A558" s="1106">
        <f t="shared" si="93"/>
        <v>17</v>
      </c>
      <c r="B558" s="1130" t="s">
        <v>2791</v>
      </c>
      <c r="C558" s="1131"/>
      <c r="D558" s="1132" t="s">
        <v>1725</v>
      </c>
      <c r="E558" s="1116"/>
      <c r="F558" s="1116"/>
      <c r="G558" s="1112">
        <v>200</v>
      </c>
      <c r="H558" s="1112"/>
      <c r="I558" s="1112"/>
      <c r="J558" s="1112">
        <v>7000</v>
      </c>
      <c r="K558" s="1112">
        <f t="shared" si="92"/>
        <v>1400000</v>
      </c>
      <c r="L558" s="1191"/>
      <c r="M558" s="1059" t="e">
        <f>+VLOOKUP(L558,'[121]PR (2)'!$A$12:$M$253,13,FALSE)</f>
        <v>#N/A</v>
      </c>
      <c r="N558" s="1059" t="e">
        <f>+VLOOKUP(L558,'[121]PR (2)'!$A$12:$AQ$253,12,FALSE)</f>
        <v>#N/A</v>
      </c>
      <c r="T558" s="1041"/>
      <c r="U558" s="1156"/>
      <c r="V558" s="1042"/>
      <c r="AH558" s="1040"/>
      <c r="AI558" s="1040"/>
      <c r="AJ558" s="1040"/>
      <c r="AL558" s="1092"/>
    </row>
    <row r="559" spans="1:38" s="1039" customFormat="1">
      <c r="A559" s="1106">
        <f t="shared" si="93"/>
        <v>18</v>
      </c>
      <c r="B559" s="1130" t="s">
        <v>2792</v>
      </c>
      <c r="C559" s="1131"/>
      <c r="D559" s="1132" t="s">
        <v>2740</v>
      </c>
      <c r="E559" s="183">
        <v>0.05</v>
      </c>
      <c r="F559" s="183"/>
      <c r="G559" s="1112"/>
      <c r="H559" s="1112"/>
      <c r="I559" s="1112"/>
      <c r="J559" s="1112"/>
      <c r="K559" s="1112">
        <f>SUM(K541:K558)*E559</f>
        <v>9859236</v>
      </c>
      <c r="L559" s="1192" t="s">
        <v>2720</v>
      </c>
      <c r="M559" s="1059" t="e">
        <f>+VLOOKUP(L559,'[121]PR (2)'!$A$12:$M$253,13,FALSE)</f>
        <v>#N/A</v>
      </c>
      <c r="N559" s="1059" t="e">
        <f>+VLOOKUP(L559,'[121]PR (2)'!$A$12:$AQ$253,12,FALSE)</f>
        <v>#N/A</v>
      </c>
      <c r="T559" s="1041"/>
      <c r="U559" s="1156"/>
      <c r="V559" s="1042"/>
      <c r="AH559" s="1040"/>
      <c r="AI559" s="1040"/>
      <c r="AJ559" s="1040"/>
      <c r="AL559" s="1092"/>
    </row>
    <row r="560" spans="1:38" s="1039" customFormat="1" ht="29.5" customHeight="1">
      <c r="A560" s="1157" t="s">
        <v>2084</v>
      </c>
      <c r="B560" s="1158" t="s">
        <v>2793</v>
      </c>
      <c r="C560" s="1159"/>
      <c r="D560" s="1160"/>
      <c r="E560" s="1161">
        <v>0.02</v>
      </c>
      <c r="F560" s="1161"/>
      <c r="G560" s="1162"/>
      <c r="H560" s="1162"/>
      <c r="I560" s="1162"/>
      <c r="J560" s="1163"/>
      <c r="K560" s="1163">
        <f>SUBTOTAL(9,K561:K561)</f>
        <v>11000000</v>
      </c>
      <c r="L560" s="1181" t="s">
        <v>2794</v>
      </c>
      <c r="M560" s="1017" t="e">
        <f>+VLOOKUP(L560,'[121]PR (2)'!$A$12:$M$253,13,FALSE)</f>
        <v>#N/A</v>
      </c>
      <c r="N560" s="1017" t="e">
        <f>+VLOOKUP(L560,'[121]PR (2)'!$A$12:$AQ$253,12,FALSE)</f>
        <v>#N/A</v>
      </c>
      <c r="P560" s="1054"/>
      <c r="Q560" s="1054"/>
      <c r="R560" s="1054"/>
      <c r="T560" s="1055"/>
      <c r="U560" s="1042"/>
      <c r="V560" s="1042"/>
      <c r="AH560" s="1040"/>
      <c r="AI560" s="1040"/>
      <c r="AJ560" s="1040"/>
      <c r="AL560" s="1056"/>
    </row>
    <row r="561" spans="1:39" s="1010" customFormat="1">
      <c r="A561" s="1106">
        <v>1</v>
      </c>
      <c r="B561" s="1130" t="s">
        <v>2795</v>
      </c>
      <c r="C561" s="1131"/>
      <c r="D561" s="374" t="s">
        <v>2796</v>
      </c>
      <c r="E561" s="1109"/>
      <c r="F561" s="1109">
        <v>50</v>
      </c>
      <c r="G561" s="1110"/>
      <c r="H561" s="1110"/>
      <c r="I561" s="1110"/>
      <c r="J561" s="1112">
        <v>220000</v>
      </c>
      <c r="K561" s="1112">
        <f>J561*F561</f>
        <v>11000000</v>
      </c>
      <c r="L561" s="1186"/>
      <c r="M561" s="1059" t="e">
        <f>+VLOOKUP(L561,'[121]PR (2)'!$A$12:$M$253,13,FALSE)</f>
        <v>#N/A</v>
      </c>
      <c r="N561" s="1059" t="e">
        <f>+VLOOKUP(L561,'[121]PR (2)'!$A$12:$AQ$253,12,FALSE)</f>
        <v>#N/A</v>
      </c>
      <c r="T561" s="1011"/>
      <c r="U561" s="1133"/>
      <c r="V561" s="1012"/>
      <c r="AA561" s="1039"/>
      <c r="AB561" s="1039"/>
      <c r="AC561" s="1039"/>
      <c r="AD561" s="1039"/>
      <c r="AE561" s="1039"/>
      <c r="AF561" s="1039"/>
      <c r="AG561" s="1039"/>
      <c r="AH561" s="1040"/>
      <c r="AI561" s="1040"/>
      <c r="AJ561" s="1040"/>
      <c r="AL561" s="1092"/>
      <c r="AM561" s="1039"/>
    </row>
    <row r="562" spans="1:39" s="1039" customFormat="1" ht="29.5" customHeight="1">
      <c r="A562" s="1157" t="s">
        <v>2797</v>
      </c>
      <c r="B562" s="1158" t="s">
        <v>2798</v>
      </c>
      <c r="C562" s="1159"/>
      <c r="D562" s="1160" t="s">
        <v>2490</v>
      </c>
      <c r="E562" s="1161">
        <v>0.03</v>
      </c>
      <c r="F562" s="1161"/>
      <c r="G562" s="1162">
        <f>G372</f>
        <v>179.172</v>
      </c>
      <c r="H562" s="1162"/>
      <c r="I562" s="1162"/>
      <c r="J562" s="1163">
        <f>K562/G562</f>
        <v>5742743.8926440906</v>
      </c>
      <c r="K562" s="1163">
        <f>E562*(K281+K337+K372+K7)</f>
        <v>1028938908.7328269</v>
      </c>
      <c r="L562" s="1181"/>
      <c r="M562" s="1017" t="e">
        <f>+VLOOKUP(L562,'[121]PR (2)'!$A$12:$M$253,13,FALSE)</f>
        <v>#N/A</v>
      </c>
      <c r="N562" s="1017" t="e">
        <f>+VLOOKUP(L562,'[121]PR (2)'!$A$12:$AQ$253,12,FALSE)</f>
        <v>#N/A</v>
      </c>
      <c r="P562" s="1054"/>
      <c r="Q562" s="1054"/>
      <c r="R562" s="1054"/>
      <c r="T562" s="1055"/>
      <c r="U562" s="1042"/>
      <c r="V562" s="1042"/>
      <c r="AH562" s="1040"/>
      <c r="AI562" s="1040"/>
      <c r="AJ562" s="1040"/>
      <c r="AL562" s="1056"/>
    </row>
    <row r="563" spans="1:39" s="1010" customFormat="1">
      <c r="A563" s="1022"/>
      <c r="B563" s="1164"/>
      <c r="C563" s="1164"/>
      <c r="D563" s="1022"/>
      <c r="E563" s="1165"/>
      <c r="F563" s="1165"/>
      <c r="G563" s="1166"/>
      <c r="H563" s="1166"/>
      <c r="I563" s="1166"/>
      <c r="J563" s="1167"/>
      <c r="K563" s="1167"/>
      <c r="L563" s="1179"/>
      <c r="M563" s="1023"/>
      <c r="N563" s="1059" t="e">
        <f>+VLOOKUP(L563,'[121]PR (2)'!$A$12:$AQ$253,12,FALSE)</f>
        <v>#N/A</v>
      </c>
      <c r="S563" s="1168">
        <f>K7+K281+K337+K372+K562</f>
        <v>35326902533.160393</v>
      </c>
      <c r="T563" s="1011"/>
      <c r="U563" s="1133"/>
      <c r="V563" s="1012"/>
      <c r="AL563" s="1092"/>
      <c r="AM563" s="1039"/>
    </row>
    <row r="564" spans="1:39">
      <c r="K564" s="1012"/>
      <c r="U564" s="1133"/>
      <c r="AL564" s="1092"/>
      <c r="AM564" s="1039"/>
    </row>
    <row r="565" spans="1:39">
      <c r="U565" s="1133"/>
      <c r="AL565" s="1092"/>
      <c r="AM565" s="1039"/>
    </row>
    <row r="566" spans="1:39">
      <c r="U566" s="1133"/>
      <c r="AL566" s="1092"/>
      <c r="AM566" s="1039"/>
    </row>
    <row r="567" spans="1:39">
      <c r="U567" s="1133"/>
      <c r="AL567" s="1092"/>
      <c r="AM567" s="1039"/>
    </row>
    <row r="568" spans="1:39">
      <c r="U568" s="1133"/>
      <c r="AL568" s="1092"/>
      <c r="AM568" s="1039"/>
    </row>
    <row r="569" spans="1:39">
      <c r="U569" s="1133"/>
      <c r="AL569" s="1092"/>
      <c r="AM569" s="1039"/>
    </row>
    <row r="570" spans="1:39">
      <c r="U570" s="1133"/>
      <c r="AL570" s="1092"/>
      <c r="AM570" s="1039"/>
    </row>
    <row r="571" spans="1:39">
      <c r="U571" s="1133"/>
      <c r="AL571" s="1092"/>
      <c r="AM571" s="1039"/>
    </row>
    <row r="572" spans="1:39">
      <c r="U572" s="1133"/>
      <c r="AL572" s="1092"/>
      <c r="AM572" s="1039"/>
    </row>
    <row r="573" spans="1:39">
      <c r="U573" s="1133"/>
      <c r="AL573" s="1092"/>
    </row>
    <row r="574" spans="1:39">
      <c r="U574" s="1133"/>
      <c r="AL574" s="1092" t="s">
        <v>2630</v>
      </c>
    </row>
    <row r="575" spans="1:39">
      <c r="U575" s="1133"/>
      <c r="AL575" s="1092" t="s">
        <v>2633</v>
      </c>
    </row>
    <row r="576" spans="1:39">
      <c r="U576" s="1133"/>
    </row>
    <row r="577" spans="5:21">
      <c r="U577" s="1133"/>
    </row>
    <row r="578" spans="5:21">
      <c r="U578" s="1133"/>
    </row>
    <row r="579" spans="5:21">
      <c r="U579" s="1133"/>
    </row>
    <row r="580" spans="5:21">
      <c r="U580" s="1133"/>
    </row>
    <row r="581" spans="5:21">
      <c r="U581" s="1133"/>
    </row>
    <row r="582" spans="5:21">
      <c r="U582" s="1133"/>
    </row>
    <row r="583" spans="5:21">
      <c r="E583" s="1175"/>
      <c r="F583" s="1175"/>
      <c r="K583" s="1012"/>
      <c r="L583" s="1193"/>
      <c r="M583" s="1176"/>
      <c r="N583" s="1176"/>
      <c r="U583" s="1133"/>
    </row>
    <row r="584" spans="5:21">
      <c r="U584" s="1133"/>
    </row>
    <row r="585" spans="5:21">
      <c r="U585" s="1133"/>
    </row>
    <row r="586" spans="5:21">
      <c r="U586" s="1133"/>
    </row>
    <row r="587" spans="5:21">
      <c r="U587" s="1133"/>
    </row>
  </sheetData>
  <autoFilter ref="A6:AK582" xr:uid="{A30B4F8B-5147-4F6D-A55F-2A769979301A}"/>
  <mergeCells count="3">
    <mergeCell ref="AD5:AE5"/>
    <mergeCell ref="AF5:AG5"/>
    <mergeCell ref="AH5:AI5"/>
  </mergeCells>
  <conditionalFormatting sqref="L8:L125">
    <cfRule type="duplicateValues" dxfId="6" priority="3"/>
  </conditionalFormatting>
  <conditionalFormatting sqref="L145:L267">
    <cfRule type="duplicateValues" dxfId="5" priority="2"/>
  </conditionalFormatting>
  <conditionalFormatting sqref="L375:L404">
    <cfRule type="duplicateValues" dxfId="4" priority="1"/>
  </conditionalFormatting>
  <conditionalFormatting sqref="AR8:AR125">
    <cfRule type="duplicateValues" dxfId="3" priority="4"/>
  </conditionalFormatting>
  <pageMargins left="0.45" right="0.25" top="0.28000000000000003" bottom="0.38" header="0.196850393700787" footer="0.118110236220472"/>
  <pageSetup paperSize="9" scale="40" fitToHeight="0" orientation="landscape" horizontalDpi="300" verticalDpi="300" r:id="rId1"/>
  <headerFooter alignWithMargins="0">
    <oddFooter>&amp;L&amp;F&amp;C&amp;A&amp;RPage : &amp;P/&amp;N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447B-6F0C-49E2-8E7D-F634683792A8}">
  <sheetPr>
    <tabColor theme="3"/>
    <pageSetUpPr fitToPage="1"/>
  </sheetPr>
  <dimension ref="A1:F26"/>
  <sheetViews>
    <sheetView view="pageBreakPreview" topLeftCell="A4" zoomScale="85" zoomScaleNormal="100" zoomScaleSheetLayoutView="85" workbookViewId="0">
      <selection activeCell="C13" sqref="C13"/>
    </sheetView>
  </sheetViews>
  <sheetFormatPr defaultColWidth="10" defaultRowHeight="15.5"/>
  <cols>
    <col min="1" max="1" width="8.69921875" style="1169" customWidth="1"/>
    <col min="2" max="2" width="54.3984375" style="1170" customWidth="1"/>
    <col min="3" max="3" width="14.19921875" style="1169" customWidth="1"/>
    <col min="4" max="4" width="15" style="1172" customWidth="1"/>
    <col min="5" max="5" width="22.09765625" style="1173" customWidth="1"/>
    <col min="6" max="6" width="28.69921875" style="1182" customWidth="1"/>
    <col min="7" max="16384" width="10" style="1169"/>
  </cols>
  <sheetData>
    <row r="1" spans="1:6" s="1010" customFormat="1" ht="28" customHeight="1">
      <c r="A1" s="1008" t="s">
        <v>2799</v>
      </c>
      <c r="B1" s="1008"/>
      <c r="C1" s="1008"/>
      <c r="D1" s="1008"/>
      <c r="E1" s="1008"/>
      <c r="F1" s="1008"/>
    </row>
    <row r="2" spans="1:6" s="1010" customFormat="1">
      <c r="A2" s="1013"/>
      <c r="B2" s="1014"/>
      <c r="C2" s="1013"/>
      <c r="D2" s="1009"/>
      <c r="E2" s="1016"/>
      <c r="F2" s="1177"/>
    </row>
    <row r="3" spans="1:6" s="1021" customFormat="1">
      <c r="A3" s="1018"/>
      <c r="B3" s="1019" t="s">
        <v>2605</v>
      </c>
      <c r="C3" s="1019"/>
      <c r="D3" s="1019"/>
      <c r="E3" s="1019"/>
      <c r="F3" s="1178"/>
    </row>
    <row r="4" spans="1:6" s="1010" customFormat="1">
      <c r="A4" s="1022"/>
      <c r="B4" s="1019" t="s">
        <v>2606</v>
      </c>
      <c r="C4" s="1019"/>
      <c r="D4" s="1019"/>
      <c r="E4" s="1019"/>
      <c r="F4" s="1179"/>
    </row>
    <row r="5" spans="1:6" s="1029" customFormat="1">
      <c r="A5" s="1024"/>
      <c r="B5" s="1025"/>
      <c r="C5" s="1024"/>
      <c r="D5" s="1026"/>
      <c r="E5" s="1027" t="s">
        <v>2607</v>
      </c>
      <c r="F5" s="1180" t="s">
        <v>2608</v>
      </c>
    </row>
    <row r="6" spans="1:6" s="1039" customFormat="1" ht="45">
      <c r="A6" s="1031" t="s">
        <v>376</v>
      </c>
      <c r="B6" s="1032" t="s">
        <v>2800</v>
      </c>
      <c r="C6" s="1031" t="s">
        <v>2611</v>
      </c>
      <c r="D6" s="1035" t="s">
        <v>2613</v>
      </c>
      <c r="E6" s="1037" t="s">
        <v>2801</v>
      </c>
      <c r="F6" s="1037" t="s">
        <v>381</v>
      </c>
    </row>
    <row r="7" spans="1:6" s="1039" customFormat="1" ht="29.5" customHeight="1">
      <c r="A7" s="1157" t="s">
        <v>232</v>
      </c>
      <c r="B7" s="1158" t="s">
        <v>2619</v>
      </c>
      <c r="C7" s="1160"/>
      <c r="D7" s="1162"/>
      <c r="E7" s="1163"/>
      <c r="F7" s="1181"/>
    </row>
    <row r="8" spans="1:6" s="1039" customFormat="1">
      <c r="A8" s="372">
        <v>1</v>
      </c>
      <c r="B8" s="1057" t="s">
        <v>2802</v>
      </c>
      <c r="C8" s="374" t="s">
        <v>1725</v>
      </c>
      <c r="D8" s="185">
        <v>1225.1659999999999</v>
      </c>
      <c r="E8" s="185">
        <f>+'[122]Dự toán chung'!$M$7</f>
        <v>29626099870.507893</v>
      </c>
      <c r="F8" s="372"/>
    </row>
    <row r="9" spans="1:6" s="1039" customFormat="1">
      <c r="A9" s="372">
        <v>2</v>
      </c>
      <c r="B9" s="1057" t="s">
        <v>2803</v>
      </c>
      <c r="C9" s="374" t="s">
        <v>1725</v>
      </c>
      <c r="D9" s="185">
        <f>+[123]ChiTiet!I7</f>
        <v>1496.2869499999997</v>
      </c>
      <c r="E9" s="185">
        <f>+[123]ChiTiet!K7</f>
        <v>28974314279.620625</v>
      </c>
      <c r="F9" s="372"/>
    </row>
    <row r="10" spans="1:6" s="1039" customFormat="1">
      <c r="A10" s="372">
        <v>3</v>
      </c>
      <c r="B10" s="1057" t="s">
        <v>2804</v>
      </c>
      <c r="C10" s="374" t="s">
        <v>1725</v>
      </c>
      <c r="D10" s="185">
        <f>+D8-D9</f>
        <v>-271.12094999999977</v>
      </c>
      <c r="E10" s="185">
        <f>+E8-E9</f>
        <v>651785590.88726807</v>
      </c>
      <c r="F10" s="372"/>
    </row>
    <row r="11" spans="1:6" s="1039" customFormat="1" ht="29.5" customHeight="1">
      <c r="A11" s="1157" t="s">
        <v>2108</v>
      </c>
      <c r="B11" s="1158" t="s">
        <v>2631</v>
      </c>
      <c r="C11" s="1160"/>
      <c r="D11" s="1162"/>
      <c r="E11" s="1163"/>
      <c r="F11" s="1181"/>
    </row>
    <row r="12" spans="1:6" s="1039" customFormat="1">
      <c r="A12" s="372">
        <v>1</v>
      </c>
      <c r="B12" s="1057" t="s">
        <v>2802</v>
      </c>
      <c r="C12" s="374" t="s">
        <v>2805</v>
      </c>
      <c r="D12" s="185">
        <v>1</v>
      </c>
      <c r="E12" s="185">
        <f>+'[122]Dự toán chung'!$M$32</f>
        <v>3065605578</v>
      </c>
      <c r="F12" s="372"/>
    </row>
    <row r="13" spans="1:6" s="1039" customFormat="1">
      <c r="A13" s="372">
        <v>2</v>
      </c>
      <c r="B13" s="1057" t="s">
        <v>2803</v>
      </c>
      <c r="C13" s="374" t="s">
        <v>2805</v>
      </c>
      <c r="D13" s="185">
        <v>1</v>
      </c>
      <c r="E13" s="185">
        <f>+[123]ChiTiet!K281</f>
        <v>398339091.26504999</v>
      </c>
      <c r="F13" s="372"/>
    </row>
    <row r="14" spans="1:6" s="1039" customFormat="1">
      <c r="A14" s="372">
        <v>3</v>
      </c>
      <c r="B14" s="1057" t="s">
        <v>2804</v>
      </c>
      <c r="C14" s="374"/>
      <c r="D14" s="185"/>
      <c r="E14" s="185">
        <f>+E12-E13</f>
        <v>2667266486.7349501</v>
      </c>
      <c r="F14" s="372"/>
    </row>
    <row r="15" spans="1:6" s="1039" customFormat="1" ht="29.5" customHeight="1">
      <c r="A15" s="1157" t="s">
        <v>2111</v>
      </c>
      <c r="B15" s="1158" t="s">
        <v>2717</v>
      </c>
      <c r="C15" s="1160"/>
      <c r="D15" s="1162"/>
      <c r="E15" s="1163"/>
      <c r="F15" s="1181"/>
    </row>
    <row r="16" spans="1:6" s="1039" customFormat="1">
      <c r="A16" s="372">
        <v>1</v>
      </c>
      <c r="B16" s="1057" t="s">
        <v>2802</v>
      </c>
      <c r="C16" s="374" t="s">
        <v>2805</v>
      </c>
      <c r="D16" s="185">
        <v>1</v>
      </c>
      <c r="E16" s="185">
        <f>+'[122]Dự toán chung'!$M$106</f>
        <v>1790742464.4568963</v>
      </c>
      <c r="F16" s="372"/>
    </row>
    <row r="17" spans="1:6" s="1039" customFormat="1">
      <c r="A17" s="372">
        <v>2</v>
      </c>
      <c r="B17" s="1057" t="s">
        <v>2803</v>
      </c>
      <c r="C17" s="374" t="s">
        <v>2805</v>
      </c>
      <c r="D17" s="185">
        <v>1</v>
      </c>
      <c r="E17" s="185">
        <f>+[123]ChiTiet!K337</f>
        <v>490286995.662</v>
      </c>
      <c r="F17" s="372"/>
    </row>
    <row r="18" spans="1:6" s="1039" customFormat="1">
      <c r="A18" s="372">
        <v>3</v>
      </c>
      <c r="B18" s="1057" t="s">
        <v>2804</v>
      </c>
      <c r="C18" s="374"/>
      <c r="D18" s="185"/>
      <c r="E18" s="185">
        <f>+E16-E17</f>
        <v>1300455468.7948964</v>
      </c>
      <c r="F18" s="372"/>
    </row>
    <row r="19" spans="1:6" s="1039" customFormat="1" ht="29.5" customHeight="1">
      <c r="A19" s="1157" t="s">
        <v>2116</v>
      </c>
      <c r="B19" s="1158" t="s">
        <v>2763</v>
      </c>
      <c r="C19" s="1160"/>
      <c r="D19" s="1162"/>
      <c r="E19" s="1163"/>
      <c r="F19" s="1181"/>
    </row>
    <row r="20" spans="1:6" s="1039" customFormat="1">
      <c r="A20" s="372">
        <v>1</v>
      </c>
      <c r="B20" s="1057" t="s">
        <v>2802</v>
      </c>
      <c r="C20" s="374" t="s">
        <v>2805</v>
      </c>
      <c r="D20" s="185">
        <v>1</v>
      </c>
      <c r="E20" s="185">
        <f>+'[122]Dự toán chung'!$M$86+'[122]Dự toán chung'!$M$87</f>
        <v>1699164450</v>
      </c>
      <c r="F20" s="372"/>
    </row>
    <row r="21" spans="1:6" s="1039" customFormat="1">
      <c r="A21" s="372">
        <v>2</v>
      </c>
      <c r="B21" s="1057" t="s">
        <v>2803</v>
      </c>
      <c r="C21" s="374" t="s">
        <v>2805</v>
      </c>
      <c r="D21" s="185">
        <v>1</v>
      </c>
      <c r="E21" s="185">
        <f>+[123]ChiTiet!K372</f>
        <v>8663002559.7597809</v>
      </c>
      <c r="F21" s="372"/>
    </row>
    <row r="22" spans="1:6" s="1039" customFormat="1">
      <c r="A22" s="372">
        <v>3</v>
      </c>
      <c r="B22" s="1057" t="s">
        <v>2804</v>
      </c>
      <c r="C22" s="374"/>
      <c r="D22" s="185"/>
      <c r="E22" s="185">
        <f>+E20-E21</f>
        <v>-6963838109.7597809</v>
      </c>
      <c r="F22" s="372"/>
    </row>
    <row r="23" spans="1:6" s="1039" customFormat="1" ht="29.5" customHeight="1">
      <c r="A23" s="1157" t="s">
        <v>2084</v>
      </c>
      <c r="B23" s="1158" t="s">
        <v>2806</v>
      </c>
      <c r="C23" s="1160"/>
      <c r="D23" s="1162"/>
      <c r="E23" s="1163"/>
      <c r="F23" s="1181"/>
    </row>
    <row r="24" spans="1:6" s="1039" customFormat="1" ht="31">
      <c r="A24" s="372">
        <v>1</v>
      </c>
      <c r="B24" s="1057" t="s">
        <v>2802</v>
      </c>
      <c r="C24" s="374" t="s">
        <v>2805</v>
      </c>
      <c r="D24" s="185">
        <v>1</v>
      </c>
      <c r="E24" s="185">
        <f>+'[122]Dự toán chung'!$M$98+'[122]Dự toán chung'!$M$111</f>
        <v>9977874600</v>
      </c>
      <c r="F24" s="372" t="s">
        <v>2807</v>
      </c>
    </row>
    <row r="25" spans="1:6" s="1039" customFormat="1">
      <c r="A25" s="372">
        <v>2</v>
      </c>
      <c r="B25" s="1057" t="s">
        <v>2803</v>
      </c>
      <c r="C25" s="374"/>
      <c r="D25" s="185"/>
      <c r="E25" s="185">
        <v>0</v>
      </c>
      <c r="F25" s="372"/>
    </row>
    <row r="26" spans="1:6" s="1039" customFormat="1">
      <c r="A26" s="372">
        <v>3</v>
      </c>
      <c r="B26" s="1057" t="s">
        <v>2804</v>
      </c>
      <c r="C26" s="374"/>
      <c r="D26" s="185"/>
      <c r="E26" s="185">
        <f>+E24-E25</f>
        <v>9977874600</v>
      </c>
      <c r="F26" s="372"/>
    </row>
  </sheetData>
  <autoFilter ref="A6:F6" xr:uid="{C95BCFBC-557A-488D-B6B6-2697F6BF9B18}"/>
  <pageMargins left="0.53" right="0.25" top="0.5" bottom="0.5" header="0.196850393700787" footer="0.118110236220472"/>
  <pageSetup paperSize="9" scale="74" fitToHeight="0" orientation="portrait" horizontalDpi="300" verticalDpi="300" r:id="rId1"/>
  <headerFooter alignWithMargins="0">
    <oddFooter>&amp;L&amp;F&amp;C&amp;A&amp;RPage : &amp;P/&amp;N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89D6-6A04-476B-AF99-F6EB328BDE88}">
  <dimension ref="A1:L38"/>
  <sheetViews>
    <sheetView topLeftCell="A25" zoomScale="85" zoomScaleNormal="85" workbookViewId="0">
      <selection activeCell="I33" sqref="I33"/>
    </sheetView>
  </sheetViews>
  <sheetFormatPr defaultColWidth="10" defaultRowHeight="15.5"/>
  <cols>
    <col min="1" max="1" width="5.59765625" style="1196" bestFit="1" customWidth="1"/>
    <col min="2" max="2" width="9.19921875" style="1196" customWidth="1"/>
    <col min="3" max="3" width="52.59765625" style="1244" customWidth="1"/>
    <col min="4" max="4" width="12.5" style="1196" bestFit="1" customWidth="1"/>
    <col min="5" max="5" width="14.69921875" style="1196" customWidth="1"/>
    <col min="6" max="6" width="17.69921875" style="1196" bestFit="1" customWidth="1"/>
    <col min="7" max="7" width="23.5" style="1196" bestFit="1" customWidth="1"/>
    <col min="8" max="8" width="18" style="1196" customWidth="1"/>
    <col min="9" max="9" width="28.59765625" style="1244" customWidth="1"/>
    <col min="10" max="10" width="21.3984375" style="1248" bestFit="1" customWidth="1"/>
    <col min="11" max="11" width="57.8984375" style="1196" customWidth="1"/>
    <col min="12" max="12" width="27.09765625" style="1196" customWidth="1"/>
    <col min="13" max="13" width="13.296875" style="1196" bestFit="1" customWidth="1"/>
    <col min="14" max="14" width="22.09765625" style="1196" bestFit="1" customWidth="1"/>
    <col min="15" max="15" width="91.19921875" style="1196" customWidth="1"/>
    <col min="16" max="16" width="18.796875" style="1196" customWidth="1"/>
    <col min="17" max="17" width="20.19921875" style="1196" customWidth="1"/>
    <col min="18" max="16384" width="10" style="1196"/>
  </cols>
  <sheetData>
    <row r="1" spans="1:12" ht="76.5" customHeight="1">
      <c r="A1" s="1194"/>
      <c r="B1" s="1194"/>
      <c r="C1" s="1445" t="s">
        <v>1704</v>
      </c>
      <c r="D1" s="1445"/>
      <c r="E1" s="1445"/>
      <c r="F1" s="1445"/>
      <c r="G1" s="1445"/>
      <c r="H1" s="1445"/>
      <c r="I1" s="1251"/>
      <c r="J1" s="1195"/>
      <c r="K1" s="1194"/>
      <c r="L1" s="1194"/>
    </row>
    <row r="2" spans="1:12" s="1197" customFormat="1" ht="28.75" customHeight="1">
      <c r="A2" s="1446" t="s">
        <v>2808</v>
      </c>
      <c r="B2" s="1446"/>
      <c r="C2" s="1446"/>
      <c r="D2" s="1446"/>
      <c r="E2" s="1446"/>
      <c r="F2" s="1446"/>
      <c r="G2" s="1446"/>
      <c r="H2" s="1446"/>
      <c r="I2" s="1252"/>
    </row>
    <row r="3" spans="1:12" s="1202" customFormat="1" ht="26" customHeight="1">
      <c r="A3" s="1198"/>
      <c r="B3" s="1198"/>
      <c r="C3" s="1199"/>
      <c r="D3" s="1199"/>
      <c r="E3" s="1199"/>
      <c r="F3" s="1199"/>
      <c r="G3" s="1447" t="s">
        <v>2809</v>
      </c>
      <c r="H3" s="1447"/>
      <c r="I3" s="1253"/>
      <c r="J3" s="1201"/>
      <c r="K3" s="1200"/>
      <c r="L3" s="1200"/>
    </row>
    <row r="4" spans="1:12" s="1202" customFormat="1" ht="30">
      <c r="A4" s="1203" t="s">
        <v>85</v>
      </c>
      <c r="B4" s="1203" t="s">
        <v>1708</v>
      </c>
      <c r="C4" s="1203" t="s">
        <v>1710</v>
      </c>
      <c r="D4" s="1203" t="s">
        <v>1711</v>
      </c>
      <c r="E4" s="1203" t="s">
        <v>1714</v>
      </c>
      <c r="F4" s="1203" t="s">
        <v>1715</v>
      </c>
      <c r="G4" s="1203" t="s">
        <v>1716</v>
      </c>
      <c r="H4" s="1203" t="s">
        <v>2810</v>
      </c>
      <c r="I4" s="1254"/>
      <c r="J4" s="1205"/>
      <c r="K4" s="1204"/>
      <c r="L4" s="1204"/>
    </row>
    <row r="5" spans="1:12" s="1202" customFormat="1" ht="23.4" customHeight="1">
      <c r="A5" s="1206" t="s">
        <v>1722</v>
      </c>
      <c r="B5" s="1207" t="s">
        <v>1723</v>
      </c>
      <c r="C5" s="1208" t="s">
        <v>1724</v>
      </c>
      <c r="D5" s="1209"/>
      <c r="E5" s="1210">
        <f>E6+E11+E16+E17</f>
        <v>0</v>
      </c>
      <c r="F5" s="1211"/>
      <c r="G5" s="1249">
        <f>'ChiTiet Dự Toán'!K7</f>
        <v>28974314279.620625</v>
      </c>
      <c r="H5" s="1213">
        <f>G5/$G$35</f>
        <v>0.84478234908922256</v>
      </c>
      <c r="I5" s="1254"/>
      <c r="J5" s="1214"/>
    </row>
    <row r="6" spans="1:12" s="1222" customFormat="1" ht="23.4" customHeight="1">
      <c r="A6" s="1215">
        <v>1</v>
      </c>
      <c r="B6" s="1216" t="s">
        <v>2811</v>
      </c>
      <c r="C6" s="1217" t="s">
        <v>2812</v>
      </c>
      <c r="D6" s="1218" t="s">
        <v>1725</v>
      </c>
      <c r="E6" s="1219">
        <f>E7+E8+E9+E10</f>
        <v>0</v>
      </c>
      <c r="F6" s="1219">
        <f>F7+F8+F9+F10</f>
        <v>0</v>
      </c>
      <c r="G6" s="1220">
        <f>G7+G8+G9+G10</f>
        <v>0</v>
      </c>
      <c r="H6" s="1218"/>
      <c r="I6" s="1255"/>
      <c r="J6" s="1214"/>
      <c r="K6" s="1221"/>
      <c r="L6" s="1221"/>
    </row>
    <row r="7" spans="1:12" s="1222" customFormat="1" ht="23.4" hidden="1" customHeight="1">
      <c r="A7" s="1215"/>
      <c r="B7" s="1223" t="s">
        <v>2813</v>
      </c>
      <c r="C7" s="1224" t="s">
        <v>2814</v>
      </c>
      <c r="D7" s="1225" t="s">
        <v>1725</v>
      </c>
      <c r="E7" s="1226">
        <f>'[124]DT04 (TM) 1 '!J8</f>
        <v>0</v>
      </c>
      <c r="F7" s="1226">
        <f>'[124]DT04 (TM) 1 '!K8</f>
        <v>0</v>
      </c>
      <c r="G7" s="1227">
        <f>'[124]DT04 (TM) 1 '!L8</f>
        <v>0</v>
      </c>
      <c r="H7" s="1218"/>
      <c r="I7" s="1255"/>
      <c r="J7" s="1214"/>
      <c r="K7" s="1221"/>
      <c r="L7" s="1221"/>
    </row>
    <row r="8" spans="1:12" s="1222" customFormat="1" ht="23.4" hidden="1" customHeight="1">
      <c r="A8" s="1215"/>
      <c r="B8" s="1223" t="s">
        <v>2815</v>
      </c>
      <c r="C8" s="1224" t="s">
        <v>2816</v>
      </c>
      <c r="D8" s="1225" t="s">
        <v>1725</v>
      </c>
      <c r="E8" s="1226">
        <f>'[124]DT04 (TM) 1 '!J9</f>
        <v>0</v>
      </c>
      <c r="F8" s="1226">
        <f>'[124]DT04 (TM) 1 '!K9</f>
        <v>0</v>
      </c>
      <c r="G8" s="1227">
        <f>'[124]DT04 (TM) 1 '!L9</f>
        <v>0</v>
      </c>
      <c r="H8" s="1218"/>
      <c r="I8" s="1255"/>
      <c r="J8" s="1214"/>
      <c r="K8" s="1221"/>
      <c r="L8" s="1221"/>
    </row>
    <row r="9" spans="1:12" s="1222" customFormat="1" ht="23.4" hidden="1" customHeight="1">
      <c r="A9" s="1215"/>
      <c r="B9" s="1223" t="s">
        <v>2817</v>
      </c>
      <c r="C9" s="1224" t="s">
        <v>2818</v>
      </c>
      <c r="D9" s="1225" t="s">
        <v>1725</v>
      </c>
      <c r="E9" s="1226">
        <f>'[124]DT04 (TM) 1 '!J10</f>
        <v>0</v>
      </c>
      <c r="F9" s="1226">
        <f>'[124]DT04 (TM) 1 '!K10</f>
        <v>0</v>
      </c>
      <c r="G9" s="1228">
        <f>'[124]DT04 (TM) 1 '!L10</f>
        <v>0</v>
      </c>
      <c r="H9" s="1218"/>
      <c r="I9" s="1255"/>
      <c r="J9" s="1214"/>
      <c r="K9" s="1221"/>
      <c r="L9" s="1221"/>
    </row>
    <row r="10" spans="1:12" s="1222" customFormat="1" ht="23.4" hidden="1" customHeight="1">
      <c r="A10" s="1215"/>
      <c r="B10" s="1223" t="s">
        <v>2819</v>
      </c>
      <c r="C10" s="1224" t="s">
        <v>2820</v>
      </c>
      <c r="D10" s="1225" t="s">
        <v>1725</v>
      </c>
      <c r="E10" s="1226">
        <f>'[124]DT04 (TM) 1 '!J11</f>
        <v>0</v>
      </c>
      <c r="F10" s="1226">
        <f>'[124]DT04 (TM) 1 '!K11</f>
        <v>0</v>
      </c>
      <c r="G10" s="1228">
        <f>'[124]DT04 (TM) 1 '!L11</f>
        <v>0</v>
      </c>
      <c r="H10" s="1218"/>
      <c r="I10" s="1255"/>
      <c r="J10" s="1214"/>
      <c r="K10" s="1221"/>
      <c r="L10" s="1221"/>
    </row>
    <row r="11" spans="1:12" s="1222" customFormat="1" ht="23.4" customHeight="1">
      <c r="A11" s="1215">
        <v>2</v>
      </c>
      <c r="B11" s="1216" t="s">
        <v>2821</v>
      </c>
      <c r="C11" s="1217" t="s">
        <v>2822</v>
      </c>
      <c r="D11" s="1218" t="s">
        <v>1725</v>
      </c>
      <c r="E11" s="1219"/>
      <c r="F11" s="1219"/>
      <c r="G11" s="1220"/>
      <c r="H11" s="1218"/>
      <c r="I11" s="1255"/>
      <c r="J11" s="1214"/>
    </row>
    <row r="12" spans="1:12" s="1222" customFormat="1" ht="23.4" hidden="1" customHeight="1">
      <c r="A12" s="1215"/>
      <c r="B12" s="1223" t="s">
        <v>2823</v>
      </c>
      <c r="C12" s="1224" t="s">
        <v>2824</v>
      </c>
      <c r="D12" s="1225" t="s">
        <v>1725</v>
      </c>
      <c r="E12" s="1226">
        <f>'[124]DT04 (TM) 1 '!J13</f>
        <v>0</v>
      </c>
      <c r="F12" s="1226">
        <f>'[124]DT04 (TM) 1 '!K13</f>
        <v>0</v>
      </c>
      <c r="G12" s="1228">
        <f>'[124]DT04 (TM) 1 '!L13</f>
        <v>0</v>
      </c>
      <c r="H12" s="1218"/>
      <c r="I12" s="1255"/>
      <c r="J12" s="1214"/>
      <c r="K12" s="1221"/>
      <c r="L12" s="1221"/>
    </row>
    <row r="13" spans="1:12" s="1222" customFormat="1" ht="23.4" hidden="1" customHeight="1">
      <c r="A13" s="1215"/>
      <c r="B13" s="1223" t="s">
        <v>2825</v>
      </c>
      <c r="C13" s="1224" t="s">
        <v>2826</v>
      </c>
      <c r="D13" s="1225" t="s">
        <v>1725</v>
      </c>
      <c r="E13" s="1226">
        <f>'[124]DT04 (TM) 1 '!J14</f>
        <v>0</v>
      </c>
      <c r="F13" s="1226">
        <f>'[124]DT04 (TM) 1 '!K14</f>
        <v>0</v>
      </c>
      <c r="G13" s="1228">
        <f>'[124]DT04 (TM) 1 '!L14</f>
        <v>0</v>
      </c>
      <c r="H13" s="1218"/>
      <c r="I13" s="1255"/>
      <c r="J13" s="1214"/>
      <c r="K13" s="1221"/>
      <c r="L13" s="1221"/>
    </row>
    <row r="14" spans="1:12" s="1222" customFormat="1" ht="23.4" hidden="1" customHeight="1">
      <c r="A14" s="1215"/>
      <c r="B14" s="1223" t="s">
        <v>2827</v>
      </c>
      <c r="C14" s="1224" t="s">
        <v>2828</v>
      </c>
      <c r="D14" s="1225" t="s">
        <v>1725</v>
      </c>
      <c r="E14" s="1226">
        <f>'[124]DT04 (TM) 1 '!J15</f>
        <v>0</v>
      </c>
      <c r="F14" s="1226">
        <f>'[124]DT04 (TM) 1 '!K15</f>
        <v>0</v>
      </c>
      <c r="G14" s="1228">
        <f>'[124]DT04 (TM) 1 '!L15</f>
        <v>0</v>
      </c>
      <c r="H14" s="1218"/>
      <c r="I14" s="1255"/>
      <c r="J14" s="1214"/>
      <c r="K14" s="1221"/>
      <c r="L14" s="1221"/>
    </row>
    <row r="15" spans="1:12" s="1222" customFormat="1" ht="23.4" hidden="1" customHeight="1">
      <c r="A15" s="1215"/>
      <c r="B15" s="1223" t="s">
        <v>2829</v>
      </c>
      <c r="C15" s="1224" t="s">
        <v>2830</v>
      </c>
      <c r="D15" s="1225" t="s">
        <v>1725</v>
      </c>
      <c r="E15" s="1226">
        <f>'[124]DT04 (TM) 1 '!J16</f>
        <v>0</v>
      </c>
      <c r="F15" s="1226">
        <f>'[124]DT04 (TM) 1 '!K16</f>
        <v>0</v>
      </c>
      <c r="G15" s="1228">
        <f>'[124]DT04 (TM) 1 '!L16</f>
        <v>0</v>
      </c>
      <c r="H15" s="1218"/>
      <c r="I15" s="1255"/>
      <c r="J15" s="1214"/>
      <c r="K15" s="1221"/>
      <c r="L15" s="1221"/>
    </row>
    <row r="16" spans="1:12" s="1222" customFormat="1" ht="23.4" customHeight="1">
      <c r="A16" s="1215">
        <v>3</v>
      </c>
      <c r="B16" s="1216" t="s">
        <v>2831</v>
      </c>
      <c r="C16" s="1217" t="s">
        <v>2832</v>
      </c>
      <c r="D16" s="1218" t="s">
        <v>1725</v>
      </c>
      <c r="E16" s="1229">
        <f>'[124]DT04 (TM) 1 '!J17</f>
        <v>0</v>
      </c>
      <c r="F16" s="1229">
        <f>'[124]DT04 (TM) 1 '!K17</f>
        <v>0</v>
      </c>
      <c r="G16" s="1230">
        <f>'[124]DT04 (TM) 1 '!L17</f>
        <v>0</v>
      </c>
      <c r="H16" s="1218"/>
      <c r="I16" s="1255"/>
      <c r="J16" s="1214"/>
    </row>
    <row r="17" spans="1:12" s="1222" customFormat="1" ht="23.4" customHeight="1">
      <c r="A17" s="1215">
        <v>4</v>
      </c>
      <c r="B17" s="1216" t="s">
        <v>2833</v>
      </c>
      <c r="C17" s="1217" t="s">
        <v>2834</v>
      </c>
      <c r="D17" s="1218" t="s">
        <v>1725</v>
      </c>
      <c r="E17" s="1229">
        <f>'[124]DT04 (TM) 1 '!J18</f>
        <v>0</v>
      </c>
      <c r="F17" s="1229">
        <f>'[124]DT04 (TM) 1 '!K18</f>
        <v>0</v>
      </c>
      <c r="G17" s="1230">
        <f>'[124]DT04 (TM) 1 '!L18</f>
        <v>0</v>
      </c>
      <c r="H17" s="1218"/>
      <c r="I17" s="1255"/>
      <c r="J17" s="1214"/>
    </row>
    <row r="18" spans="1:12" s="1202" customFormat="1" ht="23.4" customHeight="1">
      <c r="A18" s="1206" t="s">
        <v>1726</v>
      </c>
      <c r="B18" s="1207" t="s">
        <v>2835</v>
      </c>
      <c r="C18" s="1208" t="s">
        <v>2836</v>
      </c>
      <c r="D18" s="1209"/>
      <c r="E18" s="1210">
        <f>'[124]DT04 (TM) 1 '!J19</f>
        <v>0</v>
      </c>
      <c r="F18" s="1210">
        <f>'[124]DT04 (TM) 1 '!K19</f>
        <v>0</v>
      </c>
      <c r="G18" s="1212"/>
      <c r="H18" s="1213">
        <f>G18/$G$35</f>
        <v>0</v>
      </c>
      <c r="I18" s="1250" t="s">
        <v>2870</v>
      </c>
      <c r="J18" s="1214"/>
    </row>
    <row r="19" spans="1:12" s="1222" customFormat="1" ht="23.4" customHeight="1">
      <c r="A19" s="1215">
        <v>1</v>
      </c>
      <c r="B19" s="1223" t="s">
        <v>2837</v>
      </c>
      <c r="C19" s="1224" t="s">
        <v>2838</v>
      </c>
      <c r="D19" s="1225"/>
      <c r="E19" s="1226">
        <f>'[124]DT04 (TM) 1 '!J20</f>
        <v>0</v>
      </c>
      <c r="F19" s="1226">
        <f>'[124]DT04 (TM) 1 '!K20</f>
        <v>0</v>
      </c>
      <c r="G19" s="1228">
        <f>'[124]DT04 (TM) 1 '!L20</f>
        <v>0</v>
      </c>
      <c r="H19" s="1218"/>
      <c r="I19" s="1255"/>
      <c r="J19" s="1214"/>
      <c r="K19" s="1221"/>
      <c r="L19" s="1221"/>
    </row>
    <row r="20" spans="1:12" s="1222" customFormat="1" ht="23.4" customHeight="1">
      <c r="A20" s="1215">
        <v>2</v>
      </c>
      <c r="B20" s="1223" t="s">
        <v>2839</v>
      </c>
      <c r="C20" s="1223" t="s">
        <v>2840</v>
      </c>
      <c r="D20" s="1225"/>
      <c r="E20" s="1226">
        <f>'[124]DT04 (TM) 1 '!J21</f>
        <v>0</v>
      </c>
      <c r="F20" s="1226">
        <f>'[124]DT04 (TM) 1 '!K21</f>
        <v>0</v>
      </c>
      <c r="G20" s="1228">
        <f>'[124]DT04 (TM) 1 '!L21</f>
        <v>0</v>
      </c>
      <c r="H20" s="1218"/>
      <c r="I20" s="1255"/>
      <c r="J20" s="1214"/>
      <c r="K20" s="1221"/>
      <c r="L20" s="1221"/>
    </row>
    <row r="21" spans="1:12" s="1222" customFormat="1" ht="23.4" customHeight="1">
      <c r="A21" s="1206" t="s">
        <v>1727</v>
      </c>
      <c r="B21" s="1207" t="s">
        <v>2841</v>
      </c>
      <c r="C21" s="1208" t="s">
        <v>1728</v>
      </c>
      <c r="D21" s="1209"/>
      <c r="E21" s="1210">
        <f>'[124]DT04 (TM) 1 '!J22</f>
        <v>0</v>
      </c>
      <c r="F21" s="1210">
        <f>'[124]DT04 (TM) 1 '!K22</f>
        <v>0</v>
      </c>
      <c r="G21" s="1212">
        <f>'ChiTiet Dự Toán'!K372</f>
        <v>4435023257.8798904</v>
      </c>
      <c r="H21" s="1213">
        <f>G21/$G$35</f>
        <v>0.12930864661367811</v>
      </c>
      <c r="I21" s="1255"/>
      <c r="J21" s="1231"/>
    </row>
    <row r="22" spans="1:12" s="1202" customFormat="1" ht="23.4" customHeight="1">
      <c r="A22" s="1215">
        <v>1</v>
      </c>
      <c r="B22" s="1232" t="s">
        <v>2842</v>
      </c>
      <c r="C22" s="1232" t="s">
        <v>2812</v>
      </c>
      <c r="D22" s="1233"/>
      <c r="E22" s="1226">
        <f>'[124]DT04 (TM) 1 '!J23</f>
        <v>0</v>
      </c>
      <c r="F22" s="1226">
        <f>'[124]DT04 (TM) 1 '!K23</f>
        <v>0</v>
      </c>
      <c r="G22" s="1230">
        <f>'[124]DT04 (TM) 1 '!L23</f>
        <v>0</v>
      </c>
      <c r="H22" s="1234"/>
      <c r="I22" s="1254"/>
      <c r="J22" s="1214"/>
    </row>
    <row r="23" spans="1:12" s="1222" customFormat="1" ht="23.4" customHeight="1">
      <c r="A23" s="1215">
        <v>2</v>
      </c>
      <c r="B23" s="1232" t="s">
        <v>2843</v>
      </c>
      <c r="C23" s="1232" t="s">
        <v>2836</v>
      </c>
      <c r="D23" s="1233"/>
      <c r="E23" s="1226">
        <f>'[124]DT04 (TM) 1 '!J24</f>
        <v>0</v>
      </c>
      <c r="F23" s="1226">
        <f>'[124]DT04 (TM) 1 '!K24</f>
        <v>0</v>
      </c>
      <c r="G23" s="1230">
        <f>'[124]DT04 (TM) 1 '!L24</f>
        <v>0</v>
      </c>
      <c r="H23" s="1234"/>
      <c r="I23" s="1255"/>
      <c r="J23" s="1231"/>
    </row>
    <row r="24" spans="1:12" s="1222" customFormat="1" ht="23.4" customHeight="1">
      <c r="A24" s="1215">
        <v>3</v>
      </c>
      <c r="B24" s="1232" t="s">
        <v>2844</v>
      </c>
      <c r="C24" s="1232" t="s">
        <v>2845</v>
      </c>
      <c r="D24" s="1233"/>
      <c r="E24" s="1226">
        <f>'[124]DT04 (TM) 1 '!J25</f>
        <v>0</v>
      </c>
      <c r="F24" s="1226">
        <f>'[124]DT04 (TM) 1 '!K25</f>
        <v>0</v>
      </c>
      <c r="G24" s="1230">
        <f>'[124]DT04 (TM) 1 '!L25</f>
        <v>0</v>
      </c>
      <c r="H24" s="1233"/>
      <c r="I24" s="1255"/>
      <c r="J24" s="1231"/>
    </row>
    <row r="25" spans="1:12" s="1222" customFormat="1" ht="23.4" customHeight="1">
      <c r="A25" s="1206" t="s">
        <v>2846</v>
      </c>
      <c r="B25" s="1207" t="s">
        <v>2847</v>
      </c>
      <c r="C25" s="1208" t="s">
        <v>2848</v>
      </c>
      <c r="D25" s="1209"/>
      <c r="E25" s="1210">
        <f t="shared" ref="E25:F25" si="0">SUBTOTAL(9,E26:E27)</f>
        <v>0</v>
      </c>
      <c r="F25" s="1210">
        <f t="shared" si="0"/>
        <v>0</v>
      </c>
      <c r="G25" s="1212"/>
      <c r="H25" s="1213">
        <f>G25/$G$35</f>
        <v>0</v>
      </c>
      <c r="I25" s="1250" t="s">
        <v>2868</v>
      </c>
      <c r="J25" s="1231"/>
    </row>
    <row r="26" spans="1:12" s="1202" customFormat="1" ht="23.4" customHeight="1">
      <c r="A26" s="1215">
        <v>1</v>
      </c>
      <c r="B26" s="1232" t="s">
        <v>2849</v>
      </c>
      <c r="C26" s="1232" t="s">
        <v>2812</v>
      </c>
      <c r="D26" s="1233"/>
      <c r="E26" s="1233"/>
      <c r="F26" s="1233"/>
      <c r="G26" s="1228"/>
      <c r="H26" s="1233"/>
      <c r="I26" s="1254"/>
      <c r="J26" s="1214"/>
    </row>
    <row r="27" spans="1:12" s="1222" customFormat="1" ht="23.4" customHeight="1">
      <c r="A27" s="1215">
        <v>2</v>
      </c>
      <c r="B27" s="1232" t="s">
        <v>2850</v>
      </c>
      <c r="C27" s="1232" t="s">
        <v>2836</v>
      </c>
      <c r="D27" s="1233"/>
      <c r="E27" s="1233"/>
      <c r="F27" s="1233"/>
      <c r="G27" s="1235"/>
      <c r="H27" s="1233"/>
      <c r="I27" s="1255"/>
      <c r="J27" s="1231"/>
    </row>
    <row r="28" spans="1:12" s="1222" customFormat="1" ht="23.4" customHeight="1">
      <c r="A28" s="1215">
        <v>3</v>
      </c>
      <c r="B28" s="1232" t="s">
        <v>2844</v>
      </c>
      <c r="C28" s="1232" t="s">
        <v>2851</v>
      </c>
      <c r="D28" s="1233"/>
      <c r="E28" s="1233"/>
      <c r="F28" s="1233"/>
      <c r="G28" s="1228"/>
      <c r="H28" s="1233"/>
      <c r="I28" s="1255"/>
      <c r="J28" s="1231"/>
    </row>
    <row r="29" spans="1:12" s="1222" customFormat="1" ht="23.4" customHeight="1">
      <c r="A29" s="1206" t="s">
        <v>2852</v>
      </c>
      <c r="B29" s="1207" t="s">
        <v>2853</v>
      </c>
      <c r="C29" s="1208" t="s">
        <v>1729</v>
      </c>
      <c r="D29" s="1209"/>
      <c r="E29" s="1209"/>
      <c r="F29" s="1209"/>
      <c r="G29" s="1212">
        <f>'ChiTiet Dự Toán'!K281</f>
        <v>398339091.26504999</v>
      </c>
      <c r="H29" s="1213">
        <f>G29/$G$35</f>
        <v>1.1614074107342817E-2</v>
      </c>
      <c r="I29" s="1250" t="s">
        <v>2869</v>
      </c>
      <c r="J29" s="1231"/>
    </row>
    <row r="30" spans="1:12" s="1202" customFormat="1" ht="23.4" customHeight="1">
      <c r="A30" s="1215">
        <v>1</v>
      </c>
      <c r="B30" s="1236" t="s">
        <v>2854</v>
      </c>
      <c r="C30" s="1236" t="s">
        <v>2855</v>
      </c>
      <c r="D30" s="1233"/>
      <c r="E30" s="1226">
        <f>'[124]DT04 (TM) 1 '!J30</f>
        <v>0</v>
      </c>
      <c r="F30" s="1226">
        <f>'[124]DT04 (TM) 1 '!K30</f>
        <v>0</v>
      </c>
      <c r="G30" s="1228">
        <f>'[124]DT04 (TM) 1 '!L30</f>
        <v>0</v>
      </c>
      <c r="H30" s="1233"/>
      <c r="I30" s="1254"/>
      <c r="J30" s="1214"/>
    </row>
    <row r="31" spans="1:12" s="1222" customFormat="1" ht="23.4" customHeight="1">
      <c r="A31" s="1215">
        <v>2</v>
      </c>
      <c r="B31" s="1236" t="s">
        <v>2856</v>
      </c>
      <c r="C31" s="1236" t="s">
        <v>2857</v>
      </c>
      <c r="D31" s="1233"/>
      <c r="E31" s="1233"/>
      <c r="F31" s="1233"/>
      <c r="G31" s="1228">
        <f>'[124]DT04 (TM) 1 '!L34</f>
        <v>0</v>
      </c>
      <c r="H31" s="1233"/>
      <c r="I31" s="1255"/>
      <c r="J31" s="1231"/>
    </row>
    <row r="32" spans="1:12" s="1222" customFormat="1" ht="23.4" customHeight="1">
      <c r="A32" s="1215">
        <v>3</v>
      </c>
      <c r="B32" s="1236" t="s">
        <v>2858</v>
      </c>
      <c r="C32" s="1236" t="s">
        <v>2859</v>
      </c>
      <c r="D32" s="1233"/>
      <c r="E32" s="1233"/>
      <c r="F32" s="1233"/>
      <c r="G32" s="1228">
        <f>'[124]DT04 (TM) 1 '!L40</f>
        <v>0</v>
      </c>
      <c r="H32" s="1233"/>
      <c r="I32" s="1255"/>
      <c r="J32" s="1231"/>
    </row>
    <row r="33" spans="1:12" s="1222" customFormat="1" ht="23.4" customHeight="1">
      <c r="A33" s="1206" t="s">
        <v>2860</v>
      </c>
      <c r="B33" s="1207" t="s">
        <v>2861</v>
      </c>
      <c r="C33" s="1208" t="s">
        <v>2862</v>
      </c>
      <c r="D33" s="1209"/>
      <c r="E33" s="1209"/>
      <c r="F33" s="1209"/>
      <c r="G33" s="1212">
        <f>'ChiTiet Dự Toán'!K337</f>
        <v>490286995.662</v>
      </c>
      <c r="H33" s="1213">
        <f>G33/$G$35</f>
        <v>1.4294930189756503E-2</v>
      </c>
      <c r="I33" s="1250" t="s">
        <v>2869</v>
      </c>
      <c r="J33" s="1231"/>
    </row>
    <row r="34" spans="1:12" s="1202" customFormat="1" ht="23.4" customHeight="1">
      <c r="A34" s="1206" t="s">
        <v>2863</v>
      </c>
      <c r="B34" s="1207" t="s">
        <v>2864</v>
      </c>
      <c r="C34" s="1208" t="s">
        <v>2865</v>
      </c>
      <c r="D34" s="1209"/>
      <c r="E34" s="1209"/>
      <c r="F34" s="1209"/>
      <c r="G34" s="1212">
        <f>'[124]DT04 (TM) 1 '!L44</f>
        <v>0</v>
      </c>
      <c r="H34" s="1213">
        <f>G34/$G$35</f>
        <v>0</v>
      </c>
      <c r="I34" s="1250" t="s">
        <v>2867</v>
      </c>
      <c r="J34" s="1214"/>
    </row>
    <row r="35" spans="1:12" ht="23.4" customHeight="1">
      <c r="A35" s="1237"/>
      <c r="B35" s="1238"/>
      <c r="C35" s="1238" t="s">
        <v>1730</v>
      </c>
      <c r="D35" s="1238"/>
      <c r="E35" s="1238"/>
      <c r="F35" s="1239"/>
      <c r="G35" s="1240">
        <f>G34+G33+G29+G25+G21+G18+G5</f>
        <v>34297963624.427567</v>
      </c>
      <c r="H35" s="1241">
        <v>1</v>
      </c>
      <c r="I35" s="1254"/>
      <c r="J35" s="1205"/>
      <c r="K35" s="1204"/>
      <c r="L35" s="1204"/>
    </row>
    <row r="37" spans="1:12">
      <c r="A37" s="1242"/>
      <c r="B37" s="1243"/>
      <c r="G37" s="1200" t="s">
        <v>1731</v>
      </c>
      <c r="J37" s="1196"/>
    </row>
    <row r="38" spans="1:12" s="1247" customFormat="1" ht="15">
      <c r="A38" s="1245"/>
      <c r="B38" s="1246"/>
      <c r="G38" s="1245" t="s">
        <v>2866</v>
      </c>
      <c r="I38" s="1246"/>
    </row>
  </sheetData>
  <autoFilter ref="A5:L35" xr:uid="{E3135C3E-57A0-4346-9B8B-A40FBE924B63}"/>
  <mergeCells count="3">
    <mergeCell ref="C1:H1"/>
    <mergeCell ref="A2:H2"/>
    <mergeCell ref="G3:H3"/>
  </mergeCells>
  <pageMargins left="0.15748031496062992" right="0.23622047244094491" top="0.27559055118110237" bottom="0.15748031496062992" header="0.19685039370078741" footer="0.11811023622047245"/>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49F8-CFBC-4FE3-A193-C6C54DB9F17B}">
  <sheetPr>
    <pageSetUpPr fitToPage="1"/>
  </sheetPr>
  <dimension ref="A1:P31"/>
  <sheetViews>
    <sheetView view="pageBreakPreview" topLeftCell="A3" zoomScale="55" zoomScaleNormal="55" zoomScaleSheetLayoutView="55" workbookViewId="0">
      <selection activeCell="M13" sqref="M13"/>
    </sheetView>
  </sheetViews>
  <sheetFormatPr defaultColWidth="9.796875" defaultRowHeight="20.5"/>
  <cols>
    <col min="1" max="1" width="16.19921875" style="648" bestFit="1" customWidth="1"/>
    <col min="2" max="2" width="31.19921875" style="634" customWidth="1"/>
    <col min="3" max="3" width="38.796875" style="634" customWidth="1"/>
    <col min="4" max="4" width="15.3984375" style="634" customWidth="1"/>
    <col min="5" max="6" width="11" style="634" customWidth="1"/>
    <col min="7" max="7" width="12.5" style="634" customWidth="1"/>
    <col min="8" max="8" width="25.09765625" style="634" customWidth="1"/>
    <col min="9" max="9" width="10.09765625" style="648" customWidth="1"/>
    <col min="10" max="10" width="15.69921875" style="634" customWidth="1"/>
    <col min="11" max="11" width="22.296875" style="634" customWidth="1"/>
    <col min="12" max="12" width="11.8984375" style="634" customWidth="1"/>
    <col min="13" max="13" width="21.19921875" style="634" customWidth="1"/>
    <col min="14" max="14" width="22.3984375" style="634" customWidth="1"/>
    <col min="15" max="15" width="19.296875" style="634" customWidth="1"/>
    <col min="16" max="16" width="25.69921875" style="634" customWidth="1"/>
    <col min="17" max="16384" width="9.796875" style="634"/>
  </cols>
  <sheetData>
    <row r="1" spans="1:16" ht="51.65" customHeight="1">
      <c r="A1" s="1304" t="s">
        <v>2065</v>
      </c>
      <c r="B1" s="1305"/>
      <c r="C1" s="1305"/>
      <c r="D1" s="1305"/>
      <c r="E1" s="1305"/>
      <c r="F1" s="1305"/>
      <c r="G1" s="1305"/>
      <c r="H1" s="1305"/>
      <c r="I1" s="1305"/>
      <c r="J1" s="1305"/>
      <c r="K1" s="1305"/>
      <c r="L1" s="1305"/>
      <c r="M1" s="1305"/>
      <c r="N1" s="1305"/>
      <c r="O1" s="1305"/>
      <c r="P1" s="1306"/>
    </row>
    <row r="2" spans="1:16">
      <c r="A2" s="1307"/>
      <c r="B2" s="1308"/>
      <c r="C2" s="1308"/>
      <c r="D2" s="1308"/>
      <c r="E2" s="1308"/>
      <c r="F2" s="1308"/>
      <c r="G2" s="1308"/>
      <c r="H2" s="1308"/>
      <c r="I2" s="1308"/>
      <c r="J2" s="1308"/>
      <c r="K2" s="1308"/>
      <c r="L2" s="1308"/>
      <c r="M2" s="1308"/>
      <c r="N2" s="1308"/>
      <c r="O2" s="1308"/>
      <c r="P2" s="1309"/>
    </row>
    <row r="3" spans="1:16" ht="29.5" customHeight="1">
      <c r="A3" s="636" t="s">
        <v>2066</v>
      </c>
      <c r="B3" s="637" t="s">
        <v>2156</v>
      </c>
      <c r="C3" s="638"/>
      <c r="D3" s="638"/>
      <c r="E3" s="638"/>
      <c r="F3" s="638"/>
      <c r="G3" s="639"/>
      <c r="H3" s="639"/>
      <c r="I3" s="640"/>
      <c r="J3" s="639"/>
      <c r="K3" s="639"/>
      <c r="L3" s="639"/>
      <c r="M3" s="639"/>
      <c r="N3" s="639"/>
      <c r="O3" s="639"/>
      <c r="P3" s="641"/>
    </row>
    <row r="4" spans="1:16" ht="15" customHeight="1">
      <c r="A4" s="642" t="s">
        <v>2067</v>
      </c>
      <c r="B4" s="643"/>
      <c r="C4" s="644"/>
      <c r="D4" s="644"/>
      <c r="E4" s="644"/>
      <c r="F4" s="644"/>
      <c r="G4" s="645"/>
      <c r="H4" s="645"/>
      <c r="I4" s="646"/>
      <c r="J4" s="645"/>
      <c r="K4" s="645"/>
      <c r="L4" s="645"/>
      <c r="M4" s="645"/>
      <c r="N4" s="645"/>
      <c r="O4" s="645"/>
      <c r="P4" s="647"/>
    </row>
    <row r="5" spans="1:16" ht="15" customHeight="1">
      <c r="A5" s="636" t="s">
        <v>2068</v>
      </c>
      <c r="B5" s="1310" t="s">
        <v>2157</v>
      </c>
      <c r="C5" s="1311"/>
      <c r="D5" s="1311"/>
      <c r="E5" s="1311"/>
      <c r="F5" s="1311"/>
      <c r="G5" s="1311"/>
      <c r="H5" s="1311"/>
      <c r="I5" s="1311"/>
      <c r="J5" s="639"/>
      <c r="P5" s="635"/>
    </row>
    <row r="6" spans="1:16" ht="15" customHeight="1">
      <c r="A6" s="642" t="s">
        <v>2069</v>
      </c>
      <c r="B6" s="1312"/>
      <c r="C6" s="1313"/>
      <c r="D6" s="1313"/>
      <c r="E6" s="1313"/>
      <c r="F6" s="1313"/>
      <c r="G6" s="1313"/>
      <c r="H6" s="1313"/>
      <c r="I6" s="1313"/>
      <c r="J6" s="645"/>
      <c r="K6" s="645"/>
      <c r="L6" s="645"/>
      <c r="M6" s="645"/>
      <c r="N6" s="645"/>
      <c r="O6" s="645"/>
      <c r="P6" s="647"/>
    </row>
    <row r="7" spans="1:16">
      <c r="A7" s="632"/>
      <c r="P7" s="635"/>
    </row>
    <row r="8" spans="1:16" ht="43.5" customHeight="1">
      <c r="A8" s="649" t="s">
        <v>2070</v>
      </c>
      <c r="B8" s="650" t="s">
        <v>2071</v>
      </c>
      <c r="C8" s="1314" t="s">
        <v>2072</v>
      </c>
      <c r="D8" s="1314"/>
      <c r="E8" s="1314"/>
      <c r="F8" s="1314" t="s">
        <v>2073</v>
      </c>
      <c r="G8" s="1314"/>
      <c r="H8" s="1314"/>
      <c r="I8" s="1316" t="s">
        <v>2075</v>
      </c>
      <c r="J8" s="1316"/>
      <c r="K8" s="1316"/>
      <c r="L8" s="1316" t="s">
        <v>2075</v>
      </c>
      <c r="M8" s="1316"/>
      <c r="N8" s="1316"/>
      <c r="O8" s="1316" t="s">
        <v>2076</v>
      </c>
      <c r="P8" s="1317" t="s">
        <v>1965</v>
      </c>
    </row>
    <row r="9" spans="1:16" ht="28.5" customHeight="1">
      <c r="A9" s="1318" t="s">
        <v>2077</v>
      </c>
      <c r="B9" s="1319" t="s">
        <v>2078</v>
      </c>
      <c r="C9" s="1319" t="s">
        <v>12</v>
      </c>
      <c r="D9" s="1319" t="s">
        <v>13</v>
      </c>
      <c r="E9" s="1319" t="s">
        <v>2216</v>
      </c>
      <c r="F9" s="1303" t="s">
        <v>1714</v>
      </c>
      <c r="G9" s="1303" t="s">
        <v>1715</v>
      </c>
      <c r="H9" s="1303" t="s">
        <v>1716</v>
      </c>
      <c r="I9" s="1316" t="s">
        <v>2217</v>
      </c>
      <c r="J9" s="1316"/>
      <c r="K9" s="1316"/>
      <c r="L9" s="1316" t="s">
        <v>435</v>
      </c>
      <c r="M9" s="1316"/>
      <c r="N9" s="1316"/>
      <c r="O9" s="1316"/>
      <c r="P9" s="1317"/>
    </row>
    <row r="10" spans="1:16" ht="56.5" customHeight="1">
      <c r="A10" s="1318"/>
      <c r="B10" s="1319"/>
      <c r="C10" s="1319"/>
      <c r="D10" s="1319"/>
      <c r="E10" s="1319" t="s">
        <v>1914</v>
      </c>
      <c r="F10" s="1303"/>
      <c r="G10" s="1303"/>
      <c r="H10" s="1303"/>
      <c r="I10" s="699" t="s">
        <v>2080</v>
      </c>
      <c r="J10" s="699" t="s">
        <v>2081</v>
      </c>
      <c r="K10" s="699" t="s">
        <v>2082</v>
      </c>
      <c r="L10" s="699" t="s">
        <v>2080</v>
      </c>
      <c r="M10" s="699" t="s">
        <v>2081</v>
      </c>
      <c r="N10" s="699" t="s">
        <v>2082</v>
      </c>
      <c r="O10" s="1316"/>
      <c r="P10" s="1317"/>
    </row>
    <row r="11" spans="1:16" s="633" customFormat="1" ht="37" customHeight="1">
      <c r="A11" s="651" t="s">
        <v>1961</v>
      </c>
      <c r="B11" s="700" t="s">
        <v>392</v>
      </c>
      <c r="C11" s="652"/>
      <c r="D11" s="652"/>
      <c r="E11" s="652"/>
      <c r="F11" s="653" t="s">
        <v>477</v>
      </c>
      <c r="G11" s="653" t="s">
        <v>477</v>
      </c>
      <c r="H11" s="654"/>
      <c r="I11" s="655"/>
      <c r="J11" s="655"/>
      <c r="K11" s="655">
        <f>SUM(K12:K14)</f>
        <v>88320000</v>
      </c>
      <c r="L11" s="655"/>
      <c r="M11" s="655"/>
      <c r="N11" s="655">
        <f>SUM(N12:N14)</f>
        <v>110064000</v>
      </c>
      <c r="O11" s="655"/>
      <c r="P11" s="656">
        <f>-K11</f>
        <v>-88320000</v>
      </c>
    </row>
    <row r="12" spans="1:16" ht="61.5">
      <c r="A12" s="697" t="s">
        <v>1877</v>
      </c>
      <c r="B12" s="730" t="s">
        <v>1293</v>
      </c>
      <c r="C12" s="657" t="s">
        <v>2219</v>
      </c>
      <c r="D12" s="658" t="s">
        <v>43</v>
      </c>
      <c r="E12" s="659">
        <v>24</v>
      </c>
      <c r="F12" s="660" t="s">
        <v>477</v>
      </c>
      <c r="G12" s="660" t="s">
        <v>477</v>
      </c>
      <c r="H12" s="660" t="s">
        <v>477</v>
      </c>
      <c r="I12" s="661" t="s">
        <v>2084</v>
      </c>
      <c r="J12" s="662">
        <v>3680000</v>
      </c>
      <c r="K12" s="662">
        <f>J12*E12</f>
        <v>88320000</v>
      </c>
      <c r="L12" s="662" t="s">
        <v>2084</v>
      </c>
      <c r="M12" s="662">
        <v>4586000</v>
      </c>
      <c r="N12" s="662">
        <f>M12*E12</f>
        <v>110064000</v>
      </c>
      <c r="O12" s="662" t="s">
        <v>2217</v>
      </c>
      <c r="P12" s="725" t="s">
        <v>2218</v>
      </c>
    </row>
    <row r="13" spans="1:16" s="671" customFormat="1">
      <c r="A13" s="663"/>
      <c r="B13" s="664" t="s">
        <v>2107</v>
      </c>
      <c r="C13" s="665"/>
      <c r="D13" s="666"/>
      <c r="E13" s="666"/>
      <c r="F13" s="666"/>
      <c r="G13" s="667"/>
      <c r="H13" s="667"/>
      <c r="I13" s="668"/>
      <c r="J13" s="669"/>
      <c r="K13" s="669"/>
      <c r="L13" s="669"/>
      <c r="M13" s="669"/>
      <c r="N13" s="669"/>
      <c r="O13" s="669"/>
      <c r="P13" s="670"/>
    </row>
    <row r="14" spans="1:16" ht="15.5" hidden="1" customHeight="1">
      <c r="A14" s="672" t="s">
        <v>2108</v>
      </c>
      <c r="B14" s="673" t="s">
        <v>2168</v>
      </c>
      <c r="C14" s="674"/>
      <c r="D14" s="674"/>
      <c r="E14" s="674"/>
      <c r="F14" s="674"/>
      <c r="G14" s="675"/>
      <c r="H14" s="676"/>
      <c r="I14" s="677"/>
      <c r="J14" s="678"/>
      <c r="K14" s="678"/>
      <c r="L14" s="678"/>
      <c r="M14" s="678"/>
      <c r="N14" s="678"/>
      <c r="O14" s="678"/>
      <c r="P14" s="679"/>
    </row>
    <row r="15" spans="1:16" ht="15.5" hidden="1" customHeight="1">
      <c r="A15" s="680">
        <v>1</v>
      </c>
      <c r="B15" s="681" t="s">
        <v>2110</v>
      </c>
      <c r="C15" s="682" t="s">
        <v>1725</v>
      </c>
      <c r="D15" s="682"/>
      <c r="E15" s="682"/>
      <c r="F15" s="682"/>
      <c r="G15" s="675"/>
      <c r="H15" s="676"/>
      <c r="I15" s="677"/>
      <c r="J15" s="678"/>
      <c r="K15" s="678"/>
      <c r="L15" s="678"/>
      <c r="M15" s="678"/>
      <c r="N15" s="678"/>
      <c r="O15" s="678"/>
      <c r="P15" s="679"/>
    </row>
    <row r="16" spans="1:16" ht="15.5" hidden="1" customHeight="1">
      <c r="A16" s="680">
        <v>2</v>
      </c>
      <c r="B16" s="681" t="s">
        <v>2110</v>
      </c>
      <c r="C16" s="683"/>
      <c r="D16" s="683"/>
      <c r="E16" s="683"/>
      <c r="F16" s="683"/>
      <c r="G16" s="675"/>
      <c r="H16" s="676"/>
      <c r="I16" s="677"/>
      <c r="J16" s="678"/>
      <c r="K16" s="678"/>
      <c r="L16" s="678"/>
      <c r="M16" s="678"/>
      <c r="N16" s="678"/>
      <c r="O16" s="678"/>
      <c r="P16" s="679"/>
    </row>
    <row r="17" spans="1:16" ht="15.5" hidden="1" customHeight="1">
      <c r="A17" s="672" t="s">
        <v>2111</v>
      </c>
      <c r="B17" s="673" t="s">
        <v>2169</v>
      </c>
      <c r="C17" s="684" t="s">
        <v>2113</v>
      </c>
      <c r="D17" s="684" t="s">
        <v>2114</v>
      </c>
      <c r="E17" s="684"/>
      <c r="F17" s="684"/>
      <c r="G17" s="675"/>
      <c r="H17" s="676"/>
      <c r="I17" s="677"/>
      <c r="J17" s="678"/>
      <c r="K17" s="678"/>
      <c r="L17" s="678"/>
      <c r="M17" s="678"/>
      <c r="N17" s="678"/>
      <c r="O17" s="678"/>
      <c r="P17" s="679"/>
    </row>
    <row r="18" spans="1:16" ht="15.5" hidden="1" customHeight="1">
      <c r="A18" s="680">
        <v>1</v>
      </c>
      <c r="B18" s="681" t="s">
        <v>2115</v>
      </c>
      <c r="C18" s="683"/>
      <c r="D18" s="682"/>
      <c r="E18" s="682"/>
      <c r="F18" s="682"/>
      <c r="G18" s="675"/>
      <c r="H18" s="676"/>
      <c r="I18" s="677"/>
      <c r="J18" s="678"/>
      <c r="K18" s="678"/>
      <c r="L18" s="678"/>
      <c r="M18" s="678"/>
      <c r="N18" s="678"/>
      <c r="O18" s="678"/>
      <c r="P18" s="679"/>
    </row>
    <row r="19" spans="1:16" ht="15.5" hidden="1" customHeight="1">
      <c r="A19" s="680"/>
      <c r="B19" s="681"/>
      <c r="C19" s="683"/>
      <c r="D19" s="683"/>
      <c r="E19" s="683"/>
      <c r="F19" s="683"/>
      <c r="G19" s="675"/>
      <c r="H19" s="676"/>
      <c r="I19" s="677"/>
      <c r="J19" s="678"/>
      <c r="K19" s="678"/>
      <c r="L19" s="678"/>
      <c r="M19" s="678"/>
      <c r="N19" s="678"/>
      <c r="O19" s="678"/>
      <c r="P19" s="679"/>
    </row>
    <row r="20" spans="1:16" hidden="1">
      <c r="A20" s="685" t="s">
        <v>2116</v>
      </c>
      <c r="B20" s="681" t="s">
        <v>2170</v>
      </c>
      <c r="C20" s="686"/>
      <c r="D20" s="686"/>
      <c r="E20" s="686"/>
      <c r="F20" s="686"/>
      <c r="G20" s="675"/>
      <c r="H20" s="676"/>
      <c r="I20" s="677"/>
      <c r="J20" s="678"/>
      <c r="K20" s="678"/>
      <c r="L20" s="678"/>
      <c r="M20" s="678"/>
      <c r="N20" s="678"/>
      <c r="O20" s="678"/>
      <c r="P20" s="679"/>
    </row>
    <row r="21" spans="1:16" ht="40" hidden="1">
      <c r="A21" s="680">
        <v>1</v>
      </c>
      <c r="B21" s="681" t="s">
        <v>2118</v>
      </c>
      <c r="C21" s="683"/>
      <c r="D21" s="682"/>
      <c r="E21" s="682"/>
      <c r="F21" s="682"/>
      <c r="G21" s="675"/>
      <c r="H21" s="676"/>
      <c r="I21" s="677"/>
      <c r="J21" s="678"/>
      <c r="K21" s="678"/>
      <c r="L21" s="678"/>
      <c r="M21" s="678"/>
      <c r="N21" s="678"/>
      <c r="O21" s="678"/>
      <c r="P21" s="679"/>
    </row>
    <row r="22" spans="1:16" hidden="1">
      <c r="A22" s="680"/>
      <c r="B22" s="681" t="s">
        <v>2115</v>
      </c>
      <c r="C22" s="683"/>
      <c r="D22" s="682"/>
      <c r="E22" s="682"/>
      <c r="F22" s="682"/>
      <c r="G22" s="675"/>
      <c r="H22" s="676"/>
      <c r="I22" s="677"/>
      <c r="J22" s="678"/>
      <c r="K22" s="678"/>
      <c r="L22" s="678"/>
      <c r="M22" s="678"/>
      <c r="N22" s="678"/>
      <c r="O22" s="678"/>
      <c r="P22" s="679"/>
    </row>
    <row r="23" spans="1:16" ht="120" hidden="1">
      <c r="A23" s="672" t="s">
        <v>2084</v>
      </c>
      <c r="B23" s="673" t="s">
        <v>2171</v>
      </c>
      <c r="C23" s="674"/>
      <c r="D23" s="674"/>
      <c r="E23" s="674"/>
      <c r="F23" s="674"/>
      <c r="G23" s="675"/>
      <c r="H23" s="676"/>
      <c r="I23" s="677"/>
      <c r="J23" s="678"/>
      <c r="K23" s="678"/>
      <c r="L23" s="678"/>
      <c r="M23" s="678"/>
      <c r="N23" s="678"/>
      <c r="O23" s="678"/>
      <c r="P23" s="679"/>
    </row>
    <row r="24" spans="1:16" s="671" customFormat="1">
      <c r="A24" s="687"/>
      <c r="B24" s="688" t="s">
        <v>2120</v>
      </c>
      <c r="C24" s="689"/>
      <c r="D24" s="690"/>
      <c r="E24" s="690"/>
      <c r="F24" s="690"/>
      <c r="G24" s="676"/>
      <c r="H24" s="676"/>
      <c r="I24" s="677"/>
      <c r="J24" s="691">
        <v>1</v>
      </c>
      <c r="K24" s="691"/>
      <c r="L24" s="691">
        <v>2</v>
      </c>
      <c r="M24" s="691"/>
      <c r="N24" s="691"/>
      <c r="O24" s="691"/>
      <c r="P24" s="692"/>
    </row>
    <row r="25" spans="1:16" ht="42.5" customHeight="1">
      <c r="A25" s="1448" t="s">
        <v>2167</v>
      </c>
      <c r="B25" s="1449"/>
      <c r="C25" s="1449"/>
      <c r="D25" s="1449"/>
      <c r="E25" s="1449"/>
      <c r="F25" s="1449"/>
      <c r="G25" s="1449"/>
      <c r="H25" s="1449"/>
      <c r="P25" s="641"/>
    </row>
    <row r="26" spans="1:16" ht="55.25" customHeight="1">
      <c r="A26" s="1335" t="s">
        <v>2161</v>
      </c>
      <c r="B26" s="1336"/>
      <c r="C26" s="1336" t="s">
        <v>2162</v>
      </c>
      <c r="D26" s="1336"/>
      <c r="E26" s="1336"/>
      <c r="F26" s="724"/>
      <c r="G26" s="724"/>
      <c r="H26" s="1280" t="s">
        <v>2123</v>
      </c>
      <c r="I26" s="1280"/>
      <c r="J26" s="1280"/>
      <c r="K26" s="1280"/>
      <c r="L26" s="1280"/>
      <c r="M26" s="1280"/>
      <c r="N26" s="1280"/>
      <c r="O26" s="726"/>
      <c r="P26" s="728"/>
    </row>
    <row r="27" spans="1:16" ht="36.5" customHeight="1">
      <c r="A27" s="632"/>
      <c r="B27" s="698"/>
      <c r="C27" s="698"/>
      <c r="D27" s="1337"/>
      <c r="E27" s="1337"/>
      <c r="F27" s="1337"/>
      <c r="G27" s="727"/>
      <c r="H27" s="1342" t="s">
        <v>2124</v>
      </c>
      <c r="I27" s="1342"/>
      <c r="J27" s="1277" t="s">
        <v>2125</v>
      </c>
      <c r="K27" s="1277"/>
      <c r="L27" s="535"/>
      <c r="M27" s="1276" t="s">
        <v>2126</v>
      </c>
      <c r="N27" s="1276"/>
      <c r="O27" s="535"/>
      <c r="P27" s="729"/>
    </row>
    <row r="28" spans="1:16">
      <c r="A28" s="632"/>
      <c r="P28" s="635"/>
    </row>
    <row r="29" spans="1:16" ht="101.5" customHeight="1">
      <c r="A29" s="632"/>
      <c r="P29" s="635"/>
    </row>
    <row r="30" spans="1:16" ht="353" customHeight="1" thickBot="1">
      <c r="A30" s="693"/>
      <c r="B30" s="694"/>
      <c r="C30" s="694"/>
      <c r="D30" s="694"/>
      <c r="E30" s="694"/>
      <c r="F30" s="694"/>
      <c r="G30" s="694"/>
      <c r="H30" s="694"/>
      <c r="I30" s="695"/>
      <c r="J30" s="694"/>
      <c r="K30" s="694"/>
      <c r="L30" s="694"/>
      <c r="M30" s="694"/>
      <c r="N30" s="694"/>
      <c r="O30" s="694"/>
      <c r="P30" s="696"/>
    </row>
    <row r="31" spans="1:16" ht="74.5" hidden="1" customHeight="1" thickBot="1">
      <c r="A31" s="693"/>
      <c r="B31" s="694"/>
      <c r="C31" s="694"/>
      <c r="D31" s="694"/>
      <c r="E31" s="694"/>
      <c r="F31" s="694"/>
      <c r="G31" s="694"/>
      <c r="H31" s="694"/>
      <c r="I31" s="695"/>
      <c r="J31" s="694"/>
      <c r="K31" s="694"/>
      <c r="L31" s="694"/>
      <c r="M31" s="694"/>
      <c r="N31" s="694"/>
      <c r="O31" s="694"/>
      <c r="P31" s="696"/>
    </row>
  </sheetData>
  <mergeCells count="26">
    <mergeCell ref="A26:B26"/>
    <mergeCell ref="D9:D10"/>
    <mergeCell ref="E9:E10"/>
    <mergeCell ref="F9:F10"/>
    <mergeCell ref="G9:G10"/>
    <mergeCell ref="A25:H25"/>
    <mergeCell ref="C26:E26"/>
    <mergeCell ref="A1:P2"/>
    <mergeCell ref="B5:I6"/>
    <mergeCell ref="C8:E8"/>
    <mergeCell ref="F8:H8"/>
    <mergeCell ref="I8:K8"/>
    <mergeCell ref="O8:O10"/>
    <mergeCell ref="P8:P10"/>
    <mergeCell ref="A9:A10"/>
    <mergeCell ref="B9:B10"/>
    <mergeCell ref="C9:C10"/>
    <mergeCell ref="L8:N8"/>
    <mergeCell ref="L9:N9"/>
    <mergeCell ref="H9:H10"/>
    <mergeCell ref="I9:K9"/>
    <mergeCell ref="D27:F27"/>
    <mergeCell ref="M27:N27"/>
    <mergeCell ref="H26:N26"/>
    <mergeCell ref="H27:I27"/>
    <mergeCell ref="J27:K27"/>
  </mergeCells>
  <conditionalFormatting sqref="A12">
    <cfRule type="duplicateValues" dxfId="2" priority="1"/>
  </conditionalFormatting>
  <pageMargins left="0.42" right="0.42" top="0.3" bottom="0.5" header="0.17" footer="0.17"/>
  <pageSetup paperSize="9" scale="49" fitToHeight="1111" orientation="landscape" r:id="rId1"/>
  <headerFooter>
    <oddFooter>Page &amp;P of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725F-DE2E-4DF9-A2F9-E79C4C1AE86D}">
  <dimension ref="A1:P93"/>
  <sheetViews>
    <sheetView topLeftCell="A69" zoomScale="70" zoomScaleNormal="70" workbookViewId="0">
      <selection activeCell="K80" sqref="K80"/>
    </sheetView>
  </sheetViews>
  <sheetFormatPr defaultColWidth="10" defaultRowHeight="13"/>
  <cols>
    <col min="1" max="1" width="4.5" style="452" customWidth="1"/>
    <col min="2" max="2" width="23.09765625" style="452" customWidth="1"/>
    <col min="3" max="3" width="11.8984375" style="452" customWidth="1"/>
    <col min="4" max="4" width="12.69921875" style="452" customWidth="1"/>
    <col min="5" max="5" width="9.296875" style="452" customWidth="1"/>
    <col min="6" max="6" width="10.59765625" style="452" bestFit="1" customWidth="1"/>
    <col min="7" max="7" width="9.5" style="469" customWidth="1"/>
    <col min="8" max="9" width="17.69921875" style="469" customWidth="1"/>
    <col min="10" max="10" width="16.69921875" style="470" customWidth="1"/>
    <col min="11" max="11" width="10" style="452"/>
    <col min="12" max="12" width="13.19921875" style="452" customWidth="1"/>
    <col min="13" max="16384" width="10" style="452"/>
  </cols>
  <sheetData>
    <row r="1" spans="1:10" ht="20.25" customHeight="1">
      <c r="A1" s="448"/>
      <c r="B1" s="449"/>
      <c r="C1" s="448"/>
      <c r="D1" s="448"/>
      <c r="E1" s="448"/>
      <c r="F1" s="448"/>
      <c r="G1" s="450"/>
      <c r="H1" s="450"/>
      <c r="I1" s="450"/>
      <c r="J1" s="451"/>
    </row>
    <row r="2" spans="1:10" ht="13.5" customHeight="1">
      <c r="A2" s="448"/>
      <c r="B2" s="453"/>
      <c r="C2" s="448"/>
      <c r="D2" s="448"/>
      <c r="E2" s="448"/>
      <c r="F2" s="448"/>
      <c r="G2" s="450"/>
      <c r="H2" s="450"/>
      <c r="I2" s="450"/>
      <c r="J2" s="451"/>
    </row>
    <row r="3" spans="1:10" ht="13.5" customHeight="1">
      <c r="A3" s="448"/>
      <c r="B3" s="453"/>
      <c r="C3" s="448"/>
      <c r="D3" s="448"/>
      <c r="E3" s="448"/>
      <c r="F3" s="448"/>
      <c r="G3" s="450"/>
      <c r="H3" s="450"/>
      <c r="I3" s="450"/>
      <c r="J3" s="451"/>
    </row>
    <row r="4" spans="1:10" ht="30" customHeight="1">
      <c r="A4" s="448"/>
      <c r="B4" s="453"/>
      <c r="C4" s="448"/>
      <c r="D4" s="448"/>
      <c r="E4" s="448"/>
      <c r="F4" s="448"/>
      <c r="G4" s="450"/>
      <c r="H4" s="450"/>
      <c r="I4" s="450"/>
      <c r="J4" s="451"/>
    </row>
    <row r="5" spans="1:10" ht="0.75" customHeight="1">
      <c r="A5" s="448"/>
      <c r="B5" s="453"/>
      <c r="C5" s="448"/>
      <c r="D5" s="448"/>
      <c r="E5" s="448"/>
      <c r="F5" s="448">
        <v>3777</v>
      </c>
      <c r="G5" s="450"/>
      <c r="H5" s="450"/>
      <c r="I5" s="450"/>
      <c r="J5" s="451"/>
    </row>
    <row r="6" spans="1:10" ht="2" customHeight="1">
      <c r="A6" s="454"/>
      <c r="B6" s="454"/>
      <c r="C6" s="454"/>
      <c r="D6" s="454"/>
      <c r="E6" s="454"/>
      <c r="F6" s="454">
        <v>22</v>
      </c>
      <c r="G6" s="455"/>
      <c r="H6" s="455"/>
      <c r="I6" s="455"/>
      <c r="J6" s="456"/>
    </row>
    <row r="7" spans="1:10" ht="30.75" customHeight="1">
      <c r="A7" s="1450" t="s">
        <v>1966</v>
      </c>
      <c r="B7" s="1450"/>
      <c r="C7" s="1450"/>
      <c r="D7" s="1450"/>
      <c r="E7" s="1450"/>
      <c r="F7" s="1450"/>
      <c r="G7" s="1450"/>
      <c r="H7" s="1450"/>
      <c r="I7" s="1450"/>
      <c r="J7" s="1450"/>
    </row>
    <row r="8" spans="1:10" ht="15" customHeight="1">
      <c r="A8" s="1451" t="s">
        <v>1967</v>
      </c>
      <c r="B8" s="1451"/>
      <c r="C8" s="1451"/>
      <c r="D8" s="1451"/>
      <c r="E8" s="1451"/>
      <c r="F8" s="1451"/>
      <c r="G8" s="1451"/>
      <c r="H8" s="1451"/>
      <c r="I8" s="1451"/>
      <c r="J8" s="1451"/>
    </row>
    <row r="9" spans="1:10" ht="15.5">
      <c r="A9" s="1452" t="s">
        <v>1968</v>
      </c>
      <c r="B9" s="1453"/>
      <c r="C9" s="1453"/>
      <c r="D9" s="1454"/>
      <c r="E9" s="1455" t="s">
        <v>1969</v>
      </c>
      <c r="F9" s="1455"/>
      <c r="G9" s="1455"/>
      <c r="H9" s="1455"/>
      <c r="I9" s="1455"/>
      <c r="J9" s="1455"/>
    </row>
    <row r="10" spans="1:10" ht="28.5" customHeight="1">
      <c r="A10" s="1456" t="s">
        <v>1970</v>
      </c>
      <c r="B10" s="1457"/>
      <c r="C10" s="1457"/>
      <c r="D10" s="1458"/>
      <c r="E10" s="1456" t="s">
        <v>1971</v>
      </c>
      <c r="F10" s="1457"/>
      <c r="G10" s="1457"/>
      <c r="H10" s="1457"/>
      <c r="I10" s="1457"/>
      <c r="J10" s="1458"/>
    </row>
    <row r="11" spans="1:10" ht="42.65" customHeight="1">
      <c r="A11" s="1462" t="s">
        <v>1972</v>
      </c>
      <c r="B11" s="1468"/>
      <c r="C11" s="1468"/>
      <c r="D11" s="1469"/>
      <c r="E11" s="1462" t="s">
        <v>1973</v>
      </c>
      <c r="F11" s="1460"/>
      <c r="G11" s="1460"/>
      <c r="H11" s="1460"/>
      <c r="I11" s="1460"/>
      <c r="J11" s="1461"/>
    </row>
    <row r="12" spans="1:10" ht="15.65" customHeight="1">
      <c r="A12" s="1459" t="s">
        <v>1974</v>
      </c>
      <c r="B12" s="1460"/>
      <c r="C12" s="1460"/>
      <c r="D12" s="1461"/>
      <c r="E12" s="1459" t="s">
        <v>1975</v>
      </c>
      <c r="F12" s="1460"/>
      <c r="G12" s="1460"/>
      <c r="H12" s="1460"/>
      <c r="I12" s="1460"/>
      <c r="J12" s="1461"/>
    </row>
    <row r="13" spans="1:10" ht="15.65" customHeight="1">
      <c r="A13" s="1459" t="s">
        <v>1976</v>
      </c>
      <c r="B13" s="1460"/>
      <c r="C13" s="1460"/>
      <c r="D13" s="1461"/>
      <c r="E13" s="1459" t="s">
        <v>1977</v>
      </c>
      <c r="F13" s="1460"/>
      <c r="G13" s="1460"/>
      <c r="H13" s="1460"/>
      <c r="I13" s="1460"/>
      <c r="J13" s="1461"/>
    </row>
    <row r="14" spans="1:10" ht="43.75" customHeight="1">
      <c r="A14" s="1459" t="s">
        <v>1978</v>
      </c>
      <c r="B14" s="1460"/>
      <c r="C14" s="1460"/>
      <c r="D14" s="1461"/>
      <c r="E14" s="1462" t="s">
        <v>1979</v>
      </c>
      <c r="F14" s="1460"/>
      <c r="G14" s="1460"/>
      <c r="H14" s="1460"/>
      <c r="I14" s="1460"/>
      <c r="J14" s="1461"/>
    </row>
    <row r="15" spans="1:10" ht="15.65" customHeight="1">
      <c r="A15" s="1463" t="s">
        <v>1980</v>
      </c>
      <c r="B15" s="1464"/>
      <c r="C15" s="1464"/>
      <c r="D15" s="1465"/>
      <c r="E15" s="1463" t="s">
        <v>1981</v>
      </c>
      <c r="F15" s="1464"/>
      <c r="G15" s="1464"/>
      <c r="H15" s="1464"/>
      <c r="I15" s="1464"/>
      <c r="J15" s="1465"/>
    </row>
    <row r="16" spans="1:10" s="458" customFormat="1" ht="18.75" customHeight="1">
      <c r="A16" s="1466" t="s">
        <v>1982</v>
      </c>
      <c r="B16" s="1467"/>
      <c r="C16" s="1467"/>
      <c r="D16" s="1467"/>
      <c r="E16" s="1467"/>
      <c r="F16" s="1467"/>
      <c r="G16" s="1467"/>
      <c r="H16" s="1467"/>
      <c r="I16" s="1467"/>
      <c r="J16" s="1467"/>
    </row>
    <row r="17" spans="1:16" s="458" customFormat="1" ht="15" customHeight="1">
      <c r="A17" s="1467"/>
      <c r="B17" s="1467"/>
      <c r="C17" s="1467"/>
      <c r="D17" s="1467"/>
      <c r="E17" s="1467"/>
      <c r="F17" s="1467"/>
      <c r="G17" s="1467"/>
      <c r="H17" s="1467"/>
      <c r="I17" s="1467"/>
      <c r="J17" s="1467"/>
    </row>
    <row r="18" spans="1:16" ht="33" customHeight="1" thickBot="1">
      <c r="A18" s="459" t="s">
        <v>1983</v>
      </c>
      <c r="B18" s="459" t="s">
        <v>1946</v>
      </c>
      <c r="C18" s="459" t="s">
        <v>1713</v>
      </c>
      <c r="D18" s="459" t="s">
        <v>1984</v>
      </c>
      <c r="E18" s="459" t="s">
        <v>229</v>
      </c>
      <c r="F18" s="459" t="s">
        <v>227</v>
      </c>
      <c r="G18" s="459" t="s">
        <v>1947</v>
      </c>
      <c r="H18" s="460" t="s">
        <v>1917</v>
      </c>
      <c r="I18" s="460"/>
      <c r="J18" s="460" t="s">
        <v>1965</v>
      </c>
    </row>
    <row r="19" spans="1:16" ht="42" customHeight="1" thickBot="1">
      <c r="A19" s="541" t="s">
        <v>85</v>
      </c>
      <c r="B19" s="542" t="s">
        <v>2127</v>
      </c>
      <c r="C19" s="542" t="s">
        <v>2128</v>
      </c>
      <c r="D19" s="542" t="s">
        <v>2129</v>
      </c>
      <c r="E19" s="542" t="s">
        <v>2130</v>
      </c>
      <c r="F19" s="542" t="s">
        <v>227</v>
      </c>
      <c r="G19" s="542" t="s">
        <v>2131</v>
      </c>
      <c r="H19" s="542" t="s">
        <v>2132</v>
      </c>
      <c r="I19" s="542"/>
      <c r="J19" s="542" t="s">
        <v>2133</v>
      </c>
    </row>
    <row r="20" spans="1:16" ht="42" customHeight="1" thickBot="1">
      <c r="A20" s="543" t="s">
        <v>1075</v>
      </c>
      <c r="B20" s="544" t="s">
        <v>1985</v>
      </c>
      <c r="C20" s="544" t="s">
        <v>1986</v>
      </c>
      <c r="D20" s="544" t="s">
        <v>1987</v>
      </c>
      <c r="E20" s="545">
        <v>788</v>
      </c>
      <c r="F20" s="544" t="s">
        <v>1988</v>
      </c>
      <c r="G20" s="544">
        <v>4600</v>
      </c>
      <c r="H20" s="544" t="s">
        <v>2134</v>
      </c>
      <c r="I20" s="544">
        <f>G20*E20</f>
        <v>3624800</v>
      </c>
      <c r="J20" s="544" t="s">
        <v>1989</v>
      </c>
      <c r="K20" s="461">
        <v>4600</v>
      </c>
      <c r="L20" s="462">
        <v>3624800</v>
      </c>
      <c r="M20" s="452">
        <f>G20*1000</f>
        <v>4600000</v>
      </c>
      <c r="N20" s="469">
        <f>K20-M20</f>
        <v>-4595400</v>
      </c>
      <c r="P20" s="452" t="str">
        <f>CONCATENATE(B20,C20,D20,J20," = ",E20,F20)</f>
        <v>Bu lông ren suốtM16*50Mạ kẽm 8.8Din 933 = 788Cái</v>
      </c>
    </row>
    <row r="21" spans="1:16" ht="42" customHeight="1" thickBot="1">
      <c r="A21" s="543" t="s">
        <v>1076</v>
      </c>
      <c r="B21" s="544" t="s">
        <v>1985</v>
      </c>
      <c r="C21" s="544" t="s">
        <v>1990</v>
      </c>
      <c r="D21" s="544" t="s">
        <v>1987</v>
      </c>
      <c r="E21" s="545">
        <v>372</v>
      </c>
      <c r="F21" s="544" t="s">
        <v>1988</v>
      </c>
      <c r="G21" s="544">
        <v>5250</v>
      </c>
      <c r="H21" s="544" t="s">
        <v>2135</v>
      </c>
      <c r="I21" s="544">
        <f t="shared" ref="I21:I74" si="0">G21*E21</f>
        <v>1953000</v>
      </c>
      <c r="J21" s="544" t="s">
        <v>1989</v>
      </c>
      <c r="K21" s="461">
        <v>5250</v>
      </c>
      <c r="L21" s="462">
        <v>1953000</v>
      </c>
      <c r="M21" s="452">
        <f t="shared" ref="M21:M74" si="1">G21*1000</f>
        <v>5250000</v>
      </c>
      <c r="N21" s="469">
        <f t="shared" ref="N21:N74" si="2">K21-M21</f>
        <v>-5244750</v>
      </c>
      <c r="P21" s="452" t="str">
        <f t="shared" ref="P21:P74" si="3">CONCATENATE(B21,C21,D21,J21," = ",E21,F21)</f>
        <v>Bu lông ren suốtM16*60Mạ kẽm 8.8Din 933 = 372Cái</v>
      </c>
    </row>
    <row r="22" spans="1:16" ht="42" customHeight="1" thickBot="1">
      <c r="A22" s="543" t="s">
        <v>1079</v>
      </c>
      <c r="B22" s="544" t="s">
        <v>1985</v>
      </c>
      <c r="C22" s="544" t="s">
        <v>1991</v>
      </c>
      <c r="D22" s="544" t="s">
        <v>1987</v>
      </c>
      <c r="E22" s="545">
        <v>48</v>
      </c>
      <c r="F22" s="544" t="s">
        <v>1988</v>
      </c>
      <c r="G22" s="544">
        <v>5850</v>
      </c>
      <c r="H22" s="544">
        <v>280.8</v>
      </c>
      <c r="I22" s="544">
        <f t="shared" si="0"/>
        <v>280800</v>
      </c>
      <c r="J22" s="544" t="s">
        <v>1989</v>
      </c>
      <c r="K22" s="461">
        <v>5850</v>
      </c>
      <c r="L22" s="462">
        <v>280800</v>
      </c>
      <c r="M22" s="452">
        <f t="shared" si="1"/>
        <v>5850000</v>
      </c>
      <c r="N22" s="469">
        <f t="shared" si="2"/>
        <v>-5844150</v>
      </c>
      <c r="P22" s="452" t="str">
        <f t="shared" si="3"/>
        <v>Bu lông ren suốtM16*70Mạ kẽm 8.8Din 933 = 48Cái</v>
      </c>
    </row>
    <row r="23" spans="1:16" ht="42" customHeight="1" thickBot="1">
      <c r="A23" s="543" t="s">
        <v>1080</v>
      </c>
      <c r="B23" s="544" t="s">
        <v>1985</v>
      </c>
      <c r="C23" s="544" t="s">
        <v>1992</v>
      </c>
      <c r="D23" s="544" t="s">
        <v>1987</v>
      </c>
      <c r="E23" s="545">
        <v>36</v>
      </c>
      <c r="F23" s="544" t="s">
        <v>1988</v>
      </c>
      <c r="G23" s="544">
        <v>6500</v>
      </c>
      <c r="H23" s="544">
        <v>234</v>
      </c>
      <c r="I23" s="544">
        <f t="shared" si="0"/>
        <v>234000</v>
      </c>
      <c r="J23" s="544" t="s">
        <v>1989</v>
      </c>
      <c r="K23" s="461">
        <v>6500</v>
      </c>
      <c r="L23" s="462">
        <v>234000</v>
      </c>
      <c r="M23" s="452">
        <f t="shared" si="1"/>
        <v>6500000</v>
      </c>
      <c r="N23" s="469">
        <f t="shared" si="2"/>
        <v>-6493500</v>
      </c>
      <c r="P23" s="452" t="str">
        <f t="shared" si="3"/>
        <v>Bu lông ren suốtM16*80Mạ kẽm 8.8Din 933 = 36Cái</v>
      </c>
    </row>
    <row r="24" spans="1:16" ht="42" customHeight="1" thickBot="1">
      <c r="A24" s="543" t="s">
        <v>1081</v>
      </c>
      <c r="B24" s="544" t="s">
        <v>1985</v>
      </c>
      <c r="C24" s="544" t="s">
        <v>1993</v>
      </c>
      <c r="D24" s="544" t="s">
        <v>1987</v>
      </c>
      <c r="E24" s="545">
        <v>24</v>
      </c>
      <c r="F24" s="544" t="s">
        <v>1988</v>
      </c>
      <c r="G24" s="544">
        <v>7100</v>
      </c>
      <c r="H24" s="544">
        <v>170.4</v>
      </c>
      <c r="I24" s="544">
        <f t="shared" si="0"/>
        <v>170400</v>
      </c>
      <c r="J24" s="544" t="s">
        <v>1989</v>
      </c>
      <c r="K24" s="461">
        <v>7100</v>
      </c>
      <c r="L24" s="462">
        <v>170400</v>
      </c>
      <c r="M24" s="452">
        <f t="shared" si="1"/>
        <v>7100000</v>
      </c>
      <c r="N24" s="469">
        <f t="shared" si="2"/>
        <v>-7092900</v>
      </c>
      <c r="P24" s="452" t="str">
        <f t="shared" si="3"/>
        <v>Bu lông ren suốtM16*90Mạ kẽm 8.8Din 933 = 24Cái</v>
      </c>
    </row>
    <row r="25" spans="1:16" ht="42" customHeight="1" thickBot="1">
      <c r="A25" s="543" t="s">
        <v>1087</v>
      </c>
      <c r="B25" s="544" t="s">
        <v>1985</v>
      </c>
      <c r="C25" s="544" t="s">
        <v>1994</v>
      </c>
      <c r="D25" s="544" t="s">
        <v>1987</v>
      </c>
      <c r="E25" s="545">
        <v>48</v>
      </c>
      <c r="F25" s="544" t="s">
        <v>1988</v>
      </c>
      <c r="G25" s="544">
        <v>8150</v>
      </c>
      <c r="H25" s="544">
        <v>391.2</v>
      </c>
      <c r="I25" s="544">
        <f t="shared" si="0"/>
        <v>391200</v>
      </c>
      <c r="J25" s="544" t="s">
        <v>1989</v>
      </c>
      <c r="K25" s="461">
        <v>8150</v>
      </c>
      <c r="L25" s="462">
        <v>391200</v>
      </c>
      <c r="M25" s="452">
        <f t="shared" si="1"/>
        <v>8150000</v>
      </c>
      <c r="N25" s="469">
        <f t="shared" si="2"/>
        <v>-8141850</v>
      </c>
      <c r="P25" s="452" t="str">
        <f t="shared" si="3"/>
        <v>Bu lông ren suốtM20*50Mạ kẽm 8.8Din 933 = 48Cái</v>
      </c>
    </row>
    <row r="26" spans="1:16" ht="42" customHeight="1" thickBot="1">
      <c r="A26" s="543" t="s">
        <v>1088</v>
      </c>
      <c r="B26" s="544" t="s">
        <v>1985</v>
      </c>
      <c r="C26" s="544" t="s">
        <v>1995</v>
      </c>
      <c r="D26" s="544" t="s">
        <v>1987</v>
      </c>
      <c r="E26" s="545">
        <v>213</v>
      </c>
      <c r="F26" s="544" t="s">
        <v>1988</v>
      </c>
      <c r="G26" s="544">
        <v>9000</v>
      </c>
      <c r="H26" s="544" t="s">
        <v>2136</v>
      </c>
      <c r="I26" s="544">
        <f t="shared" si="0"/>
        <v>1917000</v>
      </c>
      <c r="J26" s="544" t="s">
        <v>1989</v>
      </c>
      <c r="K26" s="461">
        <v>9000</v>
      </c>
      <c r="L26" s="462">
        <v>1917000</v>
      </c>
      <c r="M26" s="452">
        <f t="shared" si="1"/>
        <v>9000000</v>
      </c>
      <c r="N26" s="469">
        <f t="shared" si="2"/>
        <v>-8991000</v>
      </c>
      <c r="P26" s="452" t="str">
        <f t="shared" si="3"/>
        <v>Bu lông ren suốtM20*55Mạ kẽm 8.8Din 933 = 213Cái</v>
      </c>
    </row>
    <row r="27" spans="1:16" ht="42" customHeight="1" thickBot="1">
      <c r="A27" s="546" t="s">
        <v>1091</v>
      </c>
      <c r="B27" s="544" t="s">
        <v>1985</v>
      </c>
      <c r="C27" s="544" t="s">
        <v>1996</v>
      </c>
      <c r="D27" s="544" t="s">
        <v>1987</v>
      </c>
      <c r="E27" s="545">
        <v>272</v>
      </c>
      <c r="F27" s="544" t="s">
        <v>1988</v>
      </c>
      <c r="G27" s="544">
        <v>9000</v>
      </c>
      <c r="H27" s="544" t="s">
        <v>2137</v>
      </c>
      <c r="I27" s="544">
        <f t="shared" si="0"/>
        <v>2448000</v>
      </c>
      <c r="J27" s="544" t="s">
        <v>1989</v>
      </c>
      <c r="K27" s="461">
        <v>9000</v>
      </c>
      <c r="L27" s="462">
        <v>2448000</v>
      </c>
      <c r="M27" s="452">
        <f t="shared" si="1"/>
        <v>9000000</v>
      </c>
      <c r="N27" s="469">
        <f t="shared" si="2"/>
        <v>-8991000</v>
      </c>
      <c r="P27" s="452" t="str">
        <f t="shared" si="3"/>
        <v>Bu lông ren suốtM20*60Mạ kẽm 8.8Din 933 = 272Cái</v>
      </c>
    </row>
    <row r="28" spans="1:16" ht="42" customHeight="1" thickBot="1">
      <c r="A28" s="543" t="s">
        <v>1094</v>
      </c>
      <c r="B28" s="544" t="s">
        <v>1985</v>
      </c>
      <c r="C28" s="544" t="s">
        <v>1997</v>
      </c>
      <c r="D28" s="544" t="s">
        <v>1987</v>
      </c>
      <c r="E28" s="545">
        <v>192</v>
      </c>
      <c r="F28" s="544" t="s">
        <v>1988</v>
      </c>
      <c r="G28" s="544">
        <v>9900</v>
      </c>
      <c r="H28" s="544" t="s">
        <v>2138</v>
      </c>
      <c r="I28" s="544">
        <f t="shared" si="0"/>
        <v>1900800</v>
      </c>
      <c r="J28" s="544" t="s">
        <v>1989</v>
      </c>
      <c r="K28" s="461">
        <v>9900</v>
      </c>
      <c r="L28" s="462">
        <v>1900800</v>
      </c>
      <c r="M28" s="452">
        <f t="shared" si="1"/>
        <v>9900000</v>
      </c>
      <c r="N28" s="469">
        <f t="shared" si="2"/>
        <v>-9890100</v>
      </c>
      <c r="P28" s="452" t="str">
        <f t="shared" si="3"/>
        <v>Bu lông ren suốtM20*70Mạ kẽm 8.8Din 933 = 192Cái</v>
      </c>
    </row>
    <row r="29" spans="1:16" ht="42" customHeight="1" thickBot="1">
      <c r="A29" s="543" t="s">
        <v>1097</v>
      </c>
      <c r="B29" s="544" t="s">
        <v>1985</v>
      </c>
      <c r="C29" s="544" t="s">
        <v>1998</v>
      </c>
      <c r="D29" s="544" t="s">
        <v>1987</v>
      </c>
      <c r="E29" s="545">
        <v>120</v>
      </c>
      <c r="F29" s="544" t="s">
        <v>1988</v>
      </c>
      <c r="G29" s="544">
        <v>19400</v>
      </c>
      <c r="H29" s="544" t="s">
        <v>2139</v>
      </c>
      <c r="I29" s="544">
        <f t="shared" si="0"/>
        <v>2328000</v>
      </c>
      <c r="J29" s="544" t="s">
        <v>1989</v>
      </c>
      <c r="K29" s="461">
        <v>19400</v>
      </c>
      <c r="L29" s="462">
        <v>2328000</v>
      </c>
      <c r="M29" s="452">
        <f t="shared" si="1"/>
        <v>19400000</v>
      </c>
      <c r="N29" s="469">
        <f t="shared" si="2"/>
        <v>-19380600</v>
      </c>
      <c r="P29" s="452" t="str">
        <f t="shared" si="3"/>
        <v>Bu lông ren suốtM24*100Mạ kẽm 8.8Din 933 = 120Cái</v>
      </c>
    </row>
    <row r="30" spans="1:16" ht="42" customHeight="1" thickBot="1">
      <c r="A30" s="543" t="s">
        <v>1101</v>
      </c>
      <c r="B30" s="544" t="s">
        <v>1985</v>
      </c>
      <c r="C30" s="544" t="s">
        <v>1999</v>
      </c>
      <c r="D30" s="544" t="s">
        <v>1987</v>
      </c>
      <c r="E30" s="545">
        <v>48</v>
      </c>
      <c r="F30" s="544" t="s">
        <v>1988</v>
      </c>
      <c r="G30" s="544">
        <v>20800</v>
      </c>
      <c r="H30" s="544">
        <v>998.4</v>
      </c>
      <c r="I30" s="544">
        <f t="shared" si="0"/>
        <v>998400</v>
      </c>
      <c r="J30" s="544" t="s">
        <v>1989</v>
      </c>
      <c r="K30" s="461">
        <v>20800</v>
      </c>
      <c r="L30" s="462">
        <v>998400</v>
      </c>
      <c r="M30" s="452">
        <f t="shared" si="1"/>
        <v>20800000</v>
      </c>
      <c r="N30" s="469">
        <f t="shared" si="2"/>
        <v>-20779200</v>
      </c>
      <c r="P30" s="452" t="str">
        <f t="shared" si="3"/>
        <v>Bu lông ren suốtM24*110Mạ kẽm 8.8Din 933 = 48Cái</v>
      </c>
    </row>
    <row r="31" spans="1:16" ht="42" customHeight="1" thickBot="1">
      <c r="A31" s="543" t="s">
        <v>1105</v>
      </c>
      <c r="B31" s="544" t="s">
        <v>1985</v>
      </c>
      <c r="C31" s="544" t="s">
        <v>2000</v>
      </c>
      <c r="D31" s="544" t="s">
        <v>1987</v>
      </c>
      <c r="E31" s="545">
        <v>120</v>
      </c>
      <c r="F31" s="544" t="s">
        <v>1988</v>
      </c>
      <c r="G31" s="544">
        <v>17900</v>
      </c>
      <c r="H31" s="544" t="s">
        <v>2140</v>
      </c>
      <c r="I31" s="544">
        <f t="shared" si="0"/>
        <v>2148000</v>
      </c>
      <c r="J31" s="544" t="s">
        <v>1989</v>
      </c>
      <c r="K31" s="461">
        <v>17900</v>
      </c>
      <c r="L31" s="462">
        <v>2148000</v>
      </c>
      <c r="M31" s="452">
        <f t="shared" si="1"/>
        <v>17900000</v>
      </c>
      <c r="N31" s="469">
        <f t="shared" si="2"/>
        <v>-17882100</v>
      </c>
      <c r="P31" s="452" t="str">
        <f t="shared" si="3"/>
        <v>Bu lông ren suốtM24*90Mạ kẽm 8.8Din 933 = 120Cái</v>
      </c>
    </row>
    <row r="32" spans="1:16" ht="42" customHeight="1" thickBot="1">
      <c r="A32" s="543" t="s">
        <v>1109</v>
      </c>
      <c r="B32" s="544" t="s">
        <v>1985</v>
      </c>
      <c r="C32" s="544" t="s">
        <v>2001</v>
      </c>
      <c r="D32" s="544" t="s">
        <v>1987</v>
      </c>
      <c r="E32" s="545">
        <v>96</v>
      </c>
      <c r="F32" s="544" t="s">
        <v>1988</v>
      </c>
      <c r="G32" s="544">
        <v>46000</v>
      </c>
      <c r="H32" s="544" t="s">
        <v>2141</v>
      </c>
      <c r="I32" s="544">
        <f t="shared" si="0"/>
        <v>4416000</v>
      </c>
      <c r="J32" s="544" t="s">
        <v>1989</v>
      </c>
      <c r="K32" s="461">
        <v>46000</v>
      </c>
      <c r="L32" s="462">
        <v>4416000</v>
      </c>
      <c r="M32" s="452">
        <f t="shared" si="1"/>
        <v>46000000</v>
      </c>
      <c r="N32" s="469">
        <f t="shared" si="2"/>
        <v>-45954000</v>
      </c>
      <c r="P32" s="452" t="str">
        <f t="shared" si="3"/>
        <v>Bu lông ren suốtM30*120Mạ kẽm 8.8Din 933 = 96Cái</v>
      </c>
    </row>
    <row r="33" spans="1:16" ht="42" customHeight="1" thickBot="1">
      <c r="A33" s="543" t="s">
        <v>1113</v>
      </c>
      <c r="B33" s="544" t="s">
        <v>2002</v>
      </c>
      <c r="C33" s="544" t="s">
        <v>2003</v>
      </c>
      <c r="D33" s="544" t="s">
        <v>1987</v>
      </c>
      <c r="E33" s="545">
        <v>1326</v>
      </c>
      <c r="F33" s="544" t="s">
        <v>1988</v>
      </c>
      <c r="G33" s="544">
        <v>1590</v>
      </c>
      <c r="H33" s="544" t="s">
        <v>2142</v>
      </c>
      <c r="I33" s="544">
        <f t="shared" si="0"/>
        <v>2108340</v>
      </c>
      <c r="J33" s="544" t="s">
        <v>2004</v>
      </c>
      <c r="K33" s="461">
        <v>1590</v>
      </c>
      <c r="L33" s="462">
        <v>2108340</v>
      </c>
      <c r="M33" s="452">
        <f t="shared" si="1"/>
        <v>1590000</v>
      </c>
      <c r="N33" s="469">
        <f t="shared" si="2"/>
        <v>-1588410</v>
      </c>
      <c r="P33" s="452" t="str">
        <f t="shared" si="3"/>
        <v>EcuM16Mạ kẽm 8.8Din 934 = 1326Cái</v>
      </c>
    </row>
    <row r="34" spans="1:16" ht="42" customHeight="1" thickBot="1">
      <c r="A34" s="546" t="s">
        <v>1117</v>
      </c>
      <c r="B34" s="544" t="s">
        <v>2002</v>
      </c>
      <c r="C34" s="544" t="s">
        <v>2005</v>
      </c>
      <c r="D34" s="544" t="s">
        <v>1987</v>
      </c>
      <c r="E34" s="545">
        <v>773</v>
      </c>
      <c r="F34" s="544" t="s">
        <v>1988</v>
      </c>
      <c r="G34" s="544">
        <v>2900</v>
      </c>
      <c r="H34" s="544" t="s">
        <v>2143</v>
      </c>
      <c r="I34" s="544">
        <f t="shared" si="0"/>
        <v>2241700</v>
      </c>
      <c r="J34" s="544" t="s">
        <v>2004</v>
      </c>
      <c r="K34" s="461">
        <v>2900</v>
      </c>
      <c r="L34" s="462">
        <v>2241700</v>
      </c>
      <c r="M34" s="452">
        <f t="shared" si="1"/>
        <v>2900000</v>
      </c>
      <c r="N34" s="469">
        <f t="shared" si="2"/>
        <v>-2897100</v>
      </c>
      <c r="P34" s="452" t="str">
        <f t="shared" si="3"/>
        <v>EcuM20Mạ kẽm 8.8Din 934 = 773Cái</v>
      </c>
    </row>
    <row r="35" spans="1:16" ht="42" customHeight="1" thickBot="1">
      <c r="A35" s="546" t="s">
        <v>1121</v>
      </c>
      <c r="B35" s="544" t="s">
        <v>2002</v>
      </c>
      <c r="C35" s="544" t="s">
        <v>2006</v>
      </c>
      <c r="D35" s="544" t="s">
        <v>1987</v>
      </c>
      <c r="E35" s="545">
        <v>288</v>
      </c>
      <c r="F35" s="544" t="s">
        <v>1988</v>
      </c>
      <c r="G35" s="544">
        <v>4800</v>
      </c>
      <c r="H35" s="544" t="s">
        <v>2144</v>
      </c>
      <c r="I35" s="544">
        <f t="shared" si="0"/>
        <v>1382400</v>
      </c>
      <c r="J35" s="544" t="s">
        <v>2004</v>
      </c>
      <c r="K35" s="461">
        <v>4800</v>
      </c>
      <c r="L35" s="462">
        <v>1382400</v>
      </c>
      <c r="M35" s="452">
        <f t="shared" si="1"/>
        <v>4800000</v>
      </c>
      <c r="N35" s="469">
        <f t="shared" si="2"/>
        <v>-4795200</v>
      </c>
      <c r="P35" s="452" t="str">
        <f t="shared" si="3"/>
        <v>EcuM24Mạ kẽm 8.8Din 934 = 288Cái</v>
      </c>
    </row>
    <row r="36" spans="1:16" ht="42" customHeight="1" thickBot="1">
      <c r="A36" s="543" t="s">
        <v>1131</v>
      </c>
      <c r="B36" s="544" t="s">
        <v>2007</v>
      </c>
      <c r="C36" s="544" t="s">
        <v>2003</v>
      </c>
      <c r="D36" s="544" t="s">
        <v>1987</v>
      </c>
      <c r="E36" s="545">
        <v>128</v>
      </c>
      <c r="F36" s="544" t="s">
        <v>1988</v>
      </c>
      <c r="G36" s="544">
        <v>710</v>
      </c>
      <c r="H36" s="544">
        <v>90.88</v>
      </c>
      <c r="I36" s="544">
        <f t="shared" si="0"/>
        <v>90880</v>
      </c>
      <c r="J36" s="544" t="s">
        <v>2008</v>
      </c>
      <c r="K36" s="461">
        <v>710</v>
      </c>
      <c r="L36" s="462">
        <v>90880</v>
      </c>
      <c r="M36" s="452">
        <f>G36</f>
        <v>710</v>
      </c>
      <c r="N36" s="469">
        <f t="shared" si="2"/>
        <v>0</v>
      </c>
      <c r="P36" s="452" t="str">
        <f t="shared" si="3"/>
        <v>Long đen phẳngM16Mạ kẽm 8.8Din 125 = 128Cái</v>
      </c>
    </row>
    <row r="37" spans="1:16" ht="42" customHeight="1" thickBot="1">
      <c r="A37" s="543" t="s">
        <v>1778</v>
      </c>
      <c r="B37" s="544" t="s">
        <v>1985</v>
      </c>
      <c r="C37" s="544" t="s">
        <v>2009</v>
      </c>
      <c r="D37" s="544" t="s">
        <v>1987</v>
      </c>
      <c r="E37" s="545">
        <v>280</v>
      </c>
      <c r="F37" s="544" t="s">
        <v>1988</v>
      </c>
      <c r="G37" s="544">
        <v>2100</v>
      </c>
      <c r="H37" s="544">
        <v>588</v>
      </c>
      <c r="I37" s="544">
        <f t="shared" si="0"/>
        <v>588000</v>
      </c>
      <c r="J37" s="544" t="s">
        <v>1989</v>
      </c>
      <c r="K37" s="461">
        <v>2100</v>
      </c>
      <c r="L37" s="462">
        <v>588000</v>
      </c>
      <c r="M37" s="452">
        <f t="shared" si="1"/>
        <v>2100000</v>
      </c>
      <c r="N37" s="469">
        <f t="shared" si="2"/>
        <v>-2097900</v>
      </c>
      <c r="P37" s="452" t="str">
        <f t="shared" si="3"/>
        <v>Bu lông ren suốtM12*40Mạ kẽm 8.8Din 933 = 280Cái</v>
      </c>
    </row>
    <row r="38" spans="1:16" ht="42" customHeight="1" thickBot="1">
      <c r="A38" s="543" t="s">
        <v>1779</v>
      </c>
      <c r="B38" s="544" t="s">
        <v>1985</v>
      </c>
      <c r="C38" s="544" t="s">
        <v>2010</v>
      </c>
      <c r="D38" s="544" t="s">
        <v>1987</v>
      </c>
      <c r="E38" s="545">
        <v>104</v>
      </c>
      <c r="F38" s="544" t="s">
        <v>1988</v>
      </c>
      <c r="G38" s="544">
        <v>5800</v>
      </c>
      <c r="H38" s="544">
        <v>603.20000000000005</v>
      </c>
      <c r="I38" s="544">
        <f t="shared" si="0"/>
        <v>603200</v>
      </c>
      <c r="J38" s="544" t="s">
        <v>1989</v>
      </c>
      <c r="K38" s="461">
        <v>5800</v>
      </c>
      <c r="L38" s="462">
        <v>603200</v>
      </c>
      <c r="M38" s="452">
        <f t="shared" si="1"/>
        <v>5800000</v>
      </c>
      <c r="N38" s="469">
        <f t="shared" si="2"/>
        <v>-5794200</v>
      </c>
      <c r="P38" s="452" t="str">
        <f t="shared" si="3"/>
        <v>Bu lông ren suốtM16*65Mạ kẽm 8.8Din 933 = 104Cái</v>
      </c>
    </row>
    <row r="39" spans="1:16" ht="42" customHeight="1" thickBot="1">
      <c r="A39" s="543" t="s">
        <v>1781</v>
      </c>
      <c r="B39" s="544" t="s">
        <v>1985</v>
      </c>
      <c r="C39" s="544" t="s">
        <v>1991</v>
      </c>
      <c r="D39" s="544" t="s">
        <v>1987</v>
      </c>
      <c r="E39" s="545">
        <v>51</v>
      </c>
      <c r="F39" s="544" t="s">
        <v>1988</v>
      </c>
      <c r="G39" s="544">
        <v>5800</v>
      </c>
      <c r="H39" s="544">
        <v>295.8</v>
      </c>
      <c r="I39" s="544">
        <f t="shared" si="0"/>
        <v>295800</v>
      </c>
      <c r="J39" s="544" t="s">
        <v>1989</v>
      </c>
      <c r="K39" s="461">
        <v>5800</v>
      </c>
      <c r="L39" s="462">
        <v>295800</v>
      </c>
      <c r="M39" s="452">
        <f t="shared" si="1"/>
        <v>5800000</v>
      </c>
      <c r="N39" s="469">
        <f t="shared" si="2"/>
        <v>-5794200</v>
      </c>
      <c r="P39" s="452" t="str">
        <f t="shared" si="3"/>
        <v>Bu lông ren suốtM16*70Mạ kẽm 8.8Din 933 = 51Cái</v>
      </c>
    </row>
    <row r="40" spans="1:16" ht="42" customHeight="1" thickBot="1">
      <c r="A40" s="543" t="s">
        <v>1783</v>
      </c>
      <c r="B40" s="544" t="s">
        <v>1985</v>
      </c>
      <c r="C40" s="544" t="s">
        <v>2011</v>
      </c>
      <c r="D40" s="544" t="s">
        <v>1987</v>
      </c>
      <c r="E40" s="545">
        <v>24</v>
      </c>
      <c r="F40" s="544" t="s">
        <v>1988</v>
      </c>
      <c r="G40" s="544">
        <v>12700</v>
      </c>
      <c r="H40" s="544">
        <v>304.8</v>
      </c>
      <c r="I40" s="544">
        <f t="shared" si="0"/>
        <v>304800</v>
      </c>
      <c r="J40" s="544" t="s">
        <v>1989</v>
      </c>
      <c r="K40" s="461">
        <v>12700</v>
      </c>
      <c r="L40" s="462">
        <v>304800</v>
      </c>
      <c r="M40" s="452">
        <f t="shared" si="1"/>
        <v>12700000</v>
      </c>
      <c r="N40" s="469">
        <f t="shared" si="2"/>
        <v>-12687300</v>
      </c>
      <c r="P40" s="452" t="str">
        <f t="shared" si="3"/>
        <v>Bu lông ren suốtM20*100Mạ kẽm 8.8Din 933 = 24Cái</v>
      </c>
    </row>
    <row r="41" spans="1:16" ht="42" customHeight="1" thickBot="1">
      <c r="A41" s="543" t="s">
        <v>1785</v>
      </c>
      <c r="B41" s="544" t="s">
        <v>1985</v>
      </c>
      <c r="C41" s="544" t="s">
        <v>2012</v>
      </c>
      <c r="D41" s="544" t="s">
        <v>1987</v>
      </c>
      <c r="E41" s="545">
        <v>192</v>
      </c>
      <c r="F41" s="544" t="s">
        <v>1988</v>
      </c>
      <c r="G41" s="544">
        <v>11000</v>
      </c>
      <c r="H41" s="544" t="s">
        <v>2145</v>
      </c>
      <c r="I41" s="544">
        <f t="shared" si="0"/>
        <v>2112000</v>
      </c>
      <c r="J41" s="544" t="s">
        <v>1989</v>
      </c>
      <c r="K41" s="461">
        <v>11000</v>
      </c>
      <c r="L41" s="462">
        <v>2112000</v>
      </c>
      <c r="M41" s="452">
        <f t="shared" si="1"/>
        <v>11000000</v>
      </c>
      <c r="N41" s="469">
        <f t="shared" si="2"/>
        <v>-10989000</v>
      </c>
      <c r="P41" s="452" t="str">
        <f t="shared" si="3"/>
        <v>Bu lông ren suốtM20*80Mạ kẽm 8.8Din 933 = 192Cái</v>
      </c>
    </row>
    <row r="42" spans="1:16" ht="42" customHeight="1" thickBot="1">
      <c r="A42" s="543" t="s">
        <v>1787</v>
      </c>
      <c r="B42" s="544" t="s">
        <v>1985</v>
      </c>
      <c r="C42" s="544" t="s">
        <v>2013</v>
      </c>
      <c r="D42" s="544" t="s">
        <v>1987</v>
      </c>
      <c r="E42" s="545">
        <v>48</v>
      </c>
      <c r="F42" s="544" t="s">
        <v>1988</v>
      </c>
      <c r="G42" s="544">
        <v>12000</v>
      </c>
      <c r="H42" s="544">
        <v>576</v>
      </c>
      <c r="I42" s="544">
        <f t="shared" si="0"/>
        <v>576000</v>
      </c>
      <c r="J42" s="544" t="s">
        <v>1989</v>
      </c>
      <c r="K42" s="461">
        <v>12000</v>
      </c>
      <c r="L42" s="462">
        <v>576000</v>
      </c>
      <c r="M42" s="452">
        <f t="shared" si="1"/>
        <v>12000000</v>
      </c>
      <c r="N42" s="469">
        <f t="shared" si="2"/>
        <v>-11988000</v>
      </c>
      <c r="P42" s="452" t="str">
        <f t="shared" si="3"/>
        <v>Bu lông ren suốtM20*85Mạ kẽm 8.8Din 933 = 48Cái</v>
      </c>
    </row>
    <row r="43" spans="1:16" ht="42" customHeight="1" thickBot="1">
      <c r="A43" s="543" t="s">
        <v>1789</v>
      </c>
      <c r="B43" s="544" t="s">
        <v>1985</v>
      </c>
      <c r="C43" s="544" t="s">
        <v>1999</v>
      </c>
      <c r="D43" s="544" t="s">
        <v>1987</v>
      </c>
      <c r="E43" s="545">
        <v>72</v>
      </c>
      <c r="F43" s="544" t="s">
        <v>1988</v>
      </c>
      <c r="G43" s="544">
        <v>20800</v>
      </c>
      <c r="H43" s="544" t="s">
        <v>2146</v>
      </c>
      <c r="I43" s="544">
        <f t="shared" si="0"/>
        <v>1497600</v>
      </c>
      <c r="J43" s="544" t="s">
        <v>1989</v>
      </c>
      <c r="K43" s="461">
        <v>20800</v>
      </c>
      <c r="L43" s="462">
        <v>1497600</v>
      </c>
      <c r="M43" s="452">
        <f t="shared" si="1"/>
        <v>20800000</v>
      </c>
      <c r="N43" s="469">
        <f t="shared" si="2"/>
        <v>-20779200</v>
      </c>
      <c r="P43" s="452" t="str">
        <f t="shared" si="3"/>
        <v>Bu lông ren suốtM24*110Mạ kẽm 8.8Din 933 = 72Cái</v>
      </c>
    </row>
    <row r="44" spans="1:16" ht="42" customHeight="1" thickBot="1">
      <c r="A44" s="543" t="s">
        <v>1791</v>
      </c>
      <c r="B44" s="544" t="s">
        <v>1985</v>
      </c>
      <c r="C44" s="544" t="s">
        <v>2014</v>
      </c>
      <c r="D44" s="544" t="s">
        <v>1987</v>
      </c>
      <c r="E44" s="545">
        <v>72</v>
      </c>
      <c r="F44" s="544" t="s">
        <v>1988</v>
      </c>
      <c r="G44" s="544">
        <v>18000</v>
      </c>
      <c r="H44" s="544" t="s">
        <v>2147</v>
      </c>
      <c r="I44" s="544">
        <f t="shared" si="0"/>
        <v>1296000</v>
      </c>
      <c r="J44" s="544" t="s">
        <v>1989</v>
      </c>
      <c r="K44" s="461">
        <v>18000</v>
      </c>
      <c r="L44" s="462">
        <v>1296000</v>
      </c>
      <c r="M44" s="452">
        <f t="shared" si="1"/>
        <v>18000000</v>
      </c>
      <c r="N44" s="469">
        <f t="shared" si="2"/>
        <v>-17982000</v>
      </c>
      <c r="P44" s="452" t="str">
        <f t="shared" si="3"/>
        <v>Bu lông ren suốtM24*85Mạ kẽm 8.8Din 933 = 72Cái</v>
      </c>
    </row>
    <row r="45" spans="1:16" ht="42" customHeight="1" thickBot="1">
      <c r="A45" s="543" t="s">
        <v>1793</v>
      </c>
      <c r="B45" s="544" t="s">
        <v>1985</v>
      </c>
      <c r="C45" s="544" t="s">
        <v>2000</v>
      </c>
      <c r="D45" s="544" t="s">
        <v>1987</v>
      </c>
      <c r="E45" s="545">
        <v>48</v>
      </c>
      <c r="F45" s="544" t="s">
        <v>1988</v>
      </c>
      <c r="G45" s="544">
        <v>18000</v>
      </c>
      <c r="H45" s="544">
        <v>864</v>
      </c>
      <c r="I45" s="544">
        <f t="shared" si="0"/>
        <v>864000</v>
      </c>
      <c r="J45" s="544" t="s">
        <v>1989</v>
      </c>
      <c r="K45" s="461">
        <v>18000</v>
      </c>
      <c r="L45" s="462">
        <v>864000</v>
      </c>
      <c r="M45" s="452">
        <f t="shared" si="1"/>
        <v>18000000</v>
      </c>
      <c r="N45" s="469">
        <f t="shared" si="2"/>
        <v>-17982000</v>
      </c>
      <c r="P45" s="452" t="str">
        <f t="shared" si="3"/>
        <v>Bu lông ren suốtM24*90Mạ kẽm 8.8Din 933 = 48Cái</v>
      </c>
    </row>
    <row r="46" spans="1:16" ht="42" customHeight="1" thickBot="1">
      <c r="A46" s="543" t="s">
        <v>1795</v>
      </c>
      <c r="B46" s="544" t="s">
        <v>1985</v>
      </c>
      <c r="C46" s="544" t="s">
        <v>2015</v>
      </c>
      <c r="D46" s="544" t="s">
        <v>1987</v>
      </c>
      <c r="E46" s="545">
        <v>72</v>
      </c>
      <c r="F46" s="544" t="s">
        <v>1988</v>
      </c>
      <c r="G46" s="544">
        <v>44200</v>
      </c>
      <c r="H46" s="544" t="s">
        <v>2148</v>
      </c>
      <c r="I46" s="544">
        <f t="shared" si="0"/>
        <v>3182400</v>
      </c>
      <c r="J46" s="544" t="s">
        <v>1989</v>
      </c>
      <c r="K46" s="461">
        <v>44200</v>
      </c>
      <c r="L46" s="462">
        <v>3182400</v>
      </c>
      <c r="M46" s="452">
        <f t="shared" si="1"/>
        <v>44200000</v>
      </c>
      <c r="N46" s="469">
        <f t="shared" si="2"/>
        <v>-44155800</v>
      </c>
      <c r="P46" s="452" t="str">
        <f t="shared" si="3"/>
        <v>Bu lông ren suốtM30*100Mạ kẽm 8.8Din 933 = 72Cái</v>
      </c>
    </row>
    <row r="47" spans="1:16" ht="42" customHeight="1" thickBot="1">
      <c r="A47" s="543" t="s">
        <v>1797</v>
      </c>
      <c r="B47" s="544" t="s">
        <v>1985</v>
      </c>
      <c r="C47" s="544" t="s">
        <v>2016</v>
      </c>
      <c r="D47" s="544" t="s">
        <v>1987</v>
      </c>
      <c r="E47" s="545">
        <v>48</v>
      </c>
      <c r="F47" s="544" t="s">
        <v>1988</v>
      </c>
      <c r="G47" s="544">
        <v>61000</v>
      </c>
      <c r="H47" s="544" t="s">
        <v>2149</v>
      </c>
      <c r="I47" s="544">
        <f t="shared" si="0"/>
        <v>2928000</v>
      </c>
      <c r="J47" s="544" t="s">
        <v>1989</v>
      </c>
      <c r="K47" s="461">
        <v>61000</v>
      </c>
      <c r="L47" s="462">
        <v>29280000</v>
      </c>
      <c r="M47" s="452">
        <f t="shared" si="1"/>
        <v>61000000</v>
      </c>
      <c r="N47" s="469">
        <f t="shared" si="2"/>
        <v>-60939000</v>
      </c>
      <c r="P47" s="452" t="str">
        <f t="shared" si="3"/>
        <v>Bu lông ren suốtM36*100Mạ kẽm 8.8Din 933 = 48Cái</v>
      </c>
    </row>
    <row r="48" spans="1:16" ht="42" customHeight="1" thickBot="1">
      <c r="A48" s="543" t="s">
        <v>1799</v>
      </c>
      <c r="B48" s="544" t="s">
        <v>2002</v>
      </c>
      <c r="C48" s="544" t="s">
        <v>2017</v>
      </c>
      <c r="D48" s="544" t="s">
        <v>1987</v>
      </c>
      <c r="E48" s="545">
        <v>280</v>
      </c>
      <c r="F48" s="544" t="s">
        <v>1988</v>
      </c>
      <c r="G48" s="544">
        <v>690</v>
      </c>
      <c r="H48" s="544">
        <v>193.2</v>
      </c>
      <c r="I48" s="544">
        <f t="shared" si="0"/>
        <v>193200</v>
      </c>
      <c r="J48" s="544" t="s">
        <v>2004</v>
      </c>
      <c r="K48" s="461">
        <v>690</v>
      </c>
      <c r="L48" s="462">
        <v>193200</v>
      </c>
      <c r="M48" s="452">
        <f>G48</f>
        <v>690</v>
      </c>
      <c r="N48" s="469">
        <f t="shared" si="2"/>
        <v>0</v>
      </c>
      <c r="P48" s="452" t="str">
        <f t="shared" si="3"/>
        <v>EcuM12Mạ kẽm 8.8Din 934 = 280Cái</v>
      </c>
    </row>
    <row r="49" spans="1:16" ht="42" customHeight="1" thickBot="1">
      <c r="A49" s="543" t="s">
        <v>1801</v>
      </c>
      <c r="B49" s="544" t="s">
        <v>2002</v>
      </c>
      <c r="C49" s="544" t="s">
        <v>2003</v>
      </c>
      <c r="D49" s="544" t="s">
        <v>1987</v>
      </c>
      <c r="E49" s="545">
        <v>51</v>
      </c>
      <c r="F49" s="544" t="s">
        <v>1988</v>
      </c>
      <c r="G49" s="544">
        <v>1590</v>
      </c>
      <c r="H49" s="544">
        <v>81.09</v>
      </c>
      <c r="I49" s="544">
        <f t="shared" si="0"/>
        <v>81090</v>
      </c>
      <c r="J49" s="544" t="s">
        <v>2004</v>
      </c>
      <c r="K49" s="461">
        <v>1590</v>
      </c>
      <c r="L49" s="462">
        <v>81090</v>
      </c>
      <c r="M49" s="452">
        <f t="shared" si="1"/>
        <v>1590000</v>
      </c>
      <c r="N49" s="469">
        <f t="shared" si="2"/>
        <v>-1588410</v>
      </c>
      <c r="P49" s="452" t="str">
        <f t="shared" si="3"/>
        <v>EcuM16Mạ kẽm 8.8Din 934 = 51Cái</v>
      </c>
    </row>
    <row r="50" spans="1:16" ht="42" customHeight="1" thickBot="1">
      <c r="A50" s="543" t="s">
        <v>1803</v>
      </c>
      <c r="B50" s="544" t="s">
        <v>2007</v>
      </c>
      <c r="C50" s="544" t="s">
        <v>2003</v>
      </c>
      <c r="D50" s="544" t="s">
        <v>1987</v>
      </c>
      <c r="E50" s="545">
        <v>432</v>
      </c>
      <c r="F50" s="544" t="s">
        <v>1988</v>
      </c>
      <c r="G50" s="544">
        <v>710</v>
      </c>
      <c r="H50" s="544">
        <v>306.72000000000003</v>
      </c>
      <c r="I50" s="544">
        <f t="shared" si="0"/>
        <v>306720</v>
      </c>
      <c r="J50" s="544" t="s">
        <v>2008</v>
      </c>
      <c r="K50" s="558">
        <v>710</v>
      </c>
      <c r="L50" s="559">
        <v>306720</v>
      </c>
      <c r="M50" s="452">
        <f>G50</f>
        <v>710</v>
      </c>
      <c r="N50" s="469">
        <f t="shared" si="2"/>
        <v>0</v>
      </c>
      <c r="P50" s="452" t="str">
        <f t="shared" si="3"/>
        <v>Long đen phẳngM16Mạ kẽm 8.8Din 125 = 432Cái</v>
      </c>
    </row>
    <row r="51" spans="1:16" ht="42" customHeight="1" thickBot="1">
      <c r="A51" s="543" t="s">
        <v>1805</v>
      </c>
      <c r="B51" s="544" t="s">
        <v>2002</v>
      </c>
      <c r="C51" s="544" t="s">
        <v>2005</v>
      </c>
      <c r="D51" s="544" t="s">
        <v>1987</v>
      </c>
      <c r="E51" s="545">
        <v>264</v>
      </c>
      <c r="F51" s="544" t="s">
        <v>1988</v>
      </c>
      <c r="G51" s="544">
        <v>2940</v>
      </c>
      <c r="H51" s="544">
        <v>776.16</v>
      </c>
      <c r="I51" s="544">
        <f t="shared" si="0"/>
        <v>776160</v>
      </c>
      <c r="J51" s="544" t="s">
        <v>2004</v>
      </c>
      <c r="K51" s="461">
        <v>2940</v>
      </c>
      <c r="L51" s="462">
        <v>776160</v>
      </c>
      <c r="M51" s="452">
        <f t="shared" si="1"/>
        <v>2940000</v>
      </c>
      <c r="N51" s="469">
        <f t="shared" si="2"/>
        <v>-2937060</v>
      </c>
      <c r="P51" s="452" t="str">
        <f t="shared" si="3"/>
        <v>EcuM20Mạ kẽm 8.8Din 934 = 264Cái</v>
      </c>
    </row>
    <row r="52" spans="1:16" ht="42" customHeight="1" thickBot="1">
      <c r="A52" s="543" t="s">
        <v>1807</v>
      </c>
      <c r="B52" s="544" t="s">
        <v>2007</v>
      </c>
      <c r="C52" s="544" t="s">
        <v>2005</v>
      </c>
      <c r="D52" s="544" t="s">
        <v>1987</v>
      </c>
      <c r="E52" s="545">
        <v>112</v>
      </c>
      <c r="F52" s="544" t="s">
        <v>1988</v>
      </c>
      <c r="G52" s="544">
        <v>1050</v>
      </c>
      <c r="H52" s="544">
        <v>117.6</v>
      </c>
      <c r="I52" s="544">
        <f t="shared" si="0"/>
        <v>117600</v>
      </c>
      <c r="J52" s="544" t="s">
        <v>2008</v>
      </c>
      <c r="K52" s="558">
        <v>1050</v>
      </c>
      <c r="L52" s="559">
        <v>117600</v>
      </c>
      <c r="M52" s="452">
        <f t="shared" si="1"/>
        <v>1050000</v>
      </c>
      <c r="N52" s="469">
        <f t="shared" si="2"/>
        <v>-1048950</v>
      </c>
      <c r="P52" s="452" t="str">
        <f t="shared" si="3"/>
        <v>Long đen phẳngM20Mạ kẽm 8.8Din 125 = 112Cái</v>
      </c>
    </row>
    <row r="53" spans="1:16" ht="42" customHeight="1" thickBot="1">
      <c r="A53" s="543" t="s">
        <v>1809</v>
      </c>
      <c r="B53" s="544" t="s">
        <v>2002</v>
      </c>
      <c r="C53" s="544" t="s">
        <v>2006</v>
      </c>
      <c r="D53" s="544" t="s">
        <v>1987</v>
      </c>
      <c r="E53" s="545">
        <v>192</v>
      </c>
      <c r="F53" s="544" t="s">
        <v>1988</v>
      </c>
      <c r="G53" s="544">
        <v>4900</v>
      </c>
      <c r="H53" s="544">
        <v>940.8</v>
      </c>
      <c r="I53" s="544">
        <f t="shared" si="0"/>
        <v>940800</v>
      </c>
      <c r="J53" s="544" t="s">
        <v>2004</v>
      </c>
      <c r="K53" s="461">
        <v>4900</v>
      </c>
      <c r="L53" s="462">
        <v>940800</v>
      </c>
      <c r="M53" s="452">
        <f t="shared" si="1"/>
        <v>4900000</v>
      </c>
      <c r="N53" s="469">
        <f t="shared" si="2"/>
        <v>-4895100</v>
      </c>
      <c r="P53" s="452" t="str">
        <f t="shared" si="3"/>
        <v>EcuM24Mạ kẽm 8.8Din 934 = 192Cái</v>
      </c>
    </row>
    <row r="54" spans="1:16" ht="42" customHeight="1" thickBot="1">
      <c r="A54" s="543" t="s">
        <v>1811</v>
      </c>
      <c r="B54" s="544" t="s">
        <v>2002</v>
      </c>
      <c r="C54" s="544" t="s">
        <v>2018</v>
      </c>
      <c r="D54" s="544" t="s">
        <v>1987</v>
      </c>
      <c r="E54" s="545">
        <v>72</v>
      </c>
      <c r="F54" s="544" t="s">
        <v>1988</v>
      </c>
      <c r="G54" s="544">
        <v>9700</v>
      </c>
      <c r="H54" s="544">
        <v>698.4</v>
      </c>
      <c r="I54" s="544">
        <f t="shared" si="0"/>
        <v>698400</v>
      </c>
      <c r="J54" s="544" t="s">
        <v>2004</v>
      </c>
      <c r="K54" s="461">
        <v>9700</v>
      </c>
      <c r="L54" s="462">
        <v>698400</v>
      </c>
      <c r="M54" s="452">
        <f t="shared" si="1"/>
        <v>9700000</v>
      </c>
      <c r="N54" s="469">
        <f t="shared" si="2"/>
        <v>-9690300</v>
      </c>
      <c r="P54" s="452" t="str">
        <f t="shared" si="3"/>
        <v>EcuM30Mạ kẽm 8.8Din 934 = 72Cái</v>
      </c>
    </row>
    <row r="55" spans="1:16" ht="42" customHeight="1" thickBot="1">
      <c r="A55" s="543" t="s">
        <v>1813</v>
      </c>
      <c r="B55" s="544" t="s">
        <v>2002</v>
      </c>
      <c r="C55" s="544" t="s">
        <v>2018</v>
      </c>
      <c r="D55" s="544" t="s">
        <v>1987</v>
      </c>
      <c r="E55" s="545">
        <v>96</v>
      </c>
      <c r="F55" s="544" t="s">
        <v>1988</v>
      </c>
      <c r="G55" s="544">
        <v>9700</v>
      </c>
      <c r="H55" s="544">
        <v>931.2</v>
      </c>
      <c r="I55" s="544">
        <f t="shared" si="0"/>
        <v>931200</v>
      </c>
      <c r="J55" s="544" t="s">
        <v>2004</v>
      </c>
      <c r="K55" s="461">
        <v>9700</v>
      </c>
      <c r="L55" s="462">
        <v>931200</v>
      </c>
      <c r="M55" s="452">
        <f t="shared" si="1"/>
        <v>9700000</v>
      </c>
      <c r="N55" s="469">
        <f t="shared" si="2"/>
        <v>-9690300</v>
      </c>
      <c r="P55" s="452" t="str">
        <f t="shared" si="3"/>
        <v>EcuM30Mạ kẽm 8.8Din 934 = 96Cái</v>
      </c>
    </row>
    <row r="56" spans="1:16" ht="42" customHeight="1" thickBot="1">
      <c r="A56" s="543" t="s">
        <v>1815</v>
      </c>
      <c r="B56" s="544" t="s">
        <v>2002</v>
      </c>
      <c r="C56" s="544" t="s">
        <v>2019</v>
      </c>
      <c r="D56" s="544" t="s">
        <v>1987</v>
      </c>
      <c r="E56" s="545">
        <v>48</v>
      </c>
      <c r="F56" s="544" t="s">
        <v>1988</v>
      </c>
      <c r="G56" s="544">
        <v>16500</v>
      </c>
      <c r="H56" s="544">
        <v>792</v>
      </c>
      <c r="I56" s="544">
        <f t="shared" si="0"/>
        <v>792000</v>
      </c>
      <c r="J56" s="544" t="s">
        <v>2004</v>
      </c>
      <c r="K56" s="461">
        <v>16500</v>
      </c>
      <c r="L56" s="462">
        <v>792000</v>
      </c>
      <c r="M56" s="452">
        <f t="shared" si="1"/>
        <v>16500000</v>
      </c>
      <c r="N56" s="469">
        <f t="shared" si="2"/>
        <v>-16483500</v>
      </c>
      <c r="P56" s="452" t="str">
        <f t="shared" si="3"/>
        <v>EcuM36Mạ kẽm 8.8Din 934 = 48Cái</v>
      </c>
    </row>
    <row r="57" spans="1:16" ht="42" customHeight="1" thickBot="1">
      <c r="A57" s="543" t="s">
        <v>1817</v>
      </c>
      <c r="B57" s="544" t="s">
        <v>2007</v>
      </c>
      <c r="C57" s="544" t="s">
        <v>2017</v>
      </c>
      <c r="D57" s="544" t="s">
        <v>1987</v>
      </c>
      <c r="E57" s="545">
        <v>240</v>
      </c>
      <c r="F57" s="544" t="s">
        <v>1988</v>
      </c>
      <c r="G57" s="544">
        <v>440</v>
      </c>
      <c r="H57" s="544">
        <v>105.6</v>
      </c>
      <c r="I57" s="544">
        <f t="shared" si="0"/>
        <v>105600</v>
      </c>
      <c r="J57" s="544" t="s">
        <v>2008</v>
      </c>
      <c r="K57" s="461">
        <v>440</v>
      </c>
      <c r="L57" s="462">
        <v>105600</v>
      </c>
      <c r="M57" s="452">
        <f>G57</f>
        <v>440</v>
      </c>
      <c r="N57" s="469">
        <f t="shared" si="2"/>
        <v>0</v>
      </c>
      <c r="P57" s="452" t="str">
        <f t="shared" si="3"/>
        <v>Long đen phẳngM12Mạ kẽm 8.8Din 125 = 240Cái</v>
      </c>
    </row>
    <row r="58" spans="1:16" ht="42" customHeight="1" thickBot="1">
      <c r="A58" s="543" t="s">
        <v>1819</v>
      </c>
      <c r="B58" s="544" t="s">
        <v>2007</v>
      </c>
      <c r="C58" s="544" t="s">
        <v>2003</v>
      </c>
      <c r="D58" s="544" t="s">
        <v>1987</v>
      </c>
      <c r="E58" s="545">
        <v>1926</v>
      </c>
      <c r="F58" s="544" t="s">
        <v>1988</v>
      </c>
      <c r="G58" s="544">
        <v>710</v>
      </c>
      <c r="H58" s="544" t="s">
        <v>2150</v>
      </c>
      <c r="I58" s="544">
        <f t="shared" si="0"/>
        <v>1367460</v>
      </c>
      <c r="J58" s="544" t="s">
        <v>2008</v>
      </c>
      <c r="K58" s="461">
        <v>710</v>
      </c>
      <c r="L58" s="462">
        <v>1367460</v>
      </c>
      <c r="M58" s="452">
        <f>G58</f>
        <v>710</v>
      </c>
      <c r="N58" s="469">
        <f t="shared" si="2"/>
        <v>0</v>
      </c>
      <c r="P58" s="452" t="str">
        <f t="shared" si="3"/>
        <v>Long đen phẳngM16Mạ kẽm 8.8Din 125 = 1926Cái</v>
      </c>
    </row>
    <row r="59" spans="1:16" ht="42" customHeight="1" thickBot="1">
      <c r="A59" s="543" t="s">
        <v>1821</v>
      </c>
      <c r="B59" s="544" t="s">
        <v>2007</v>
      </c>
      <c r="C59" s="544" t="s">
        <v>2003</v>
      </c>
      <c r="D59" s="544" t="s">
        <v>1987</v>
      </c>
      <c r="E59" s="545">
        <v>24</v>
      </c>
      <c r="F59" s="544" t="s">
        <v>1988</v>
      </c>
      <c r="G59" s="544">
        <v>710</v>
      </c>
      <c r="H59" s="544">
        <v>17.04</v>
      </c>
      <c r="I59" s="544">
        <f t="shared" si="0"/>
        <v>17040</v>
      </c>
      <c r="J59" s="544" t="s">
        <v>2008</v>
      </c>
      <c r="K59" s="461">
        <v>710</v>
      </c>
      <c r="L59" s="462">
        <v>17040</v>
      </c>
      <c r="M59" s="452">
        <f>G59</f>
        <v>710</v>
      </c>
      <c r="N59" s="469">
        <f t="shared" si="2"/>
        <v>0</v>
      </c>
      <c r="P59" s="452" t="str">
        <f t="shared" si="3"/>
        <v>Long đen phẳngM16Mạ kẽm 8.8Din 125 = 24Cái</v>
      </c>
    </row>
    <row r="60" spans="1:16" ht="42" customHeight="1" thickBot="1">
      <c r="A60" s="543" t="s">
        <v>1823</v>
      </c>
      <c r="B60" s="544" t="s">
        <v>2020</v>
      </c>
      <c r="C60" s="544" t="s">
        <v>2021</v>
      </c>
      <c r="D60" s="544" t="s">
        <v>1987</v>
      </c>
      <c r="E60" s="545">
        <v>32</v>
      </c>
      <c r="F60" s="544" t="s">
        <v>1988</v>
      </c>
      <c r="G60" s="544">
        <v>14300</v>
      </c>
      <c r="H60" s="544">
        <v>457.6</v>
      </c>
      <c r="I60" s="544">
        <f t="shared" si="0"/>
        <v>457600</v>
      </c>
      <c r="J60" s="547" t="s">
        <v>2022</v>
      </c>
      <c r="K60" s="461">
        <v>14300</v>
      </c>
      <c r="L60" s="462">
        <v>457600</v>
      </c>
      <c r="M60" s="452">
        <f t="shared" si="1"/>
        <v>14300000</v>
      </c>
      <c r="N60" s="469">
        <f t="shared" si="2"/>
        <v>-14285700</v>
      </c>
      <c r="P60" s="452" t="str">
        <f t="shared" si="3"/>
        <v>Long đen vuông vátM17.5Mạ kẽm 8.8din 434 = 32Cái</v>
      </c>
    </row>
    <row r="61" spans="1:16" ht="42" customHeight="1" thickBot="1">
      <c r="A61" s="543" t="s">
        <v>1824</v>
      </c>
      <c r="B61" s="544" t="s">
        <v>2020</v>
      </c>
      <c r="C61" s="544" t="s">
        <v>2021</v>
      </c>
      <c r="D61" s="544" t="s">
        <v>1987</v>
      </c>
      <c r="E61" s="545">
        <v>32</v>
      </c>
      <c r="F61" s="544" t="s">
        <v>1988</v>
      </c>
      <c r="G61" s="544">
        <v>14300</v>
      </c>
      <c r="H61" s="544">
        <v>457.6</v>
      </c>
      <c r="I61" s="544">
        <f t="shared" si="0"/>
        <v>457600</v>
      </c>
      <c r="J61" s="547" t="s">
        <v>2022</v>
      </c>
      <c r="K61" s="461">
        <v>14300</v>
      </c>
      <c r="L61" s="462">
        <v>457600</v>
      </c>
      <c r="M61" s="452">
        <f t="shared" si="1"/>
        <v>14300000</v>
      </c>
      <c r="N61" s="469">
        <f t="shared" si="2"/>
        <v>-14285700</v>
      </c>
      <c r="P61" s="452" t="str">
        <f t="shared" si="3"/>
        <v>Long đen vuông vátM17.5Mạ kẽm 8.8din 434 = 32Cái</v>
      </c>
    </row>
    <row r="62" spans="1:16" ht="42" customHeight="1" thickBot="1">
      <c r="A62" s="543" t="s">
        <v>1826</v>
      </c>
      <c r="B62" s="544" t="s">
        <v>2007</v>
      </c>
      <c r="C62" s="544" t="s">
        <v>2005</v>
      </c>
      <c r="D62" s="544" t="s">
        <v>1987</v>
      </c>
      <c r="E62" s="545">
        <v>1362</v>
      </c>
      <c r="F62" s="544" t="s">
        <v>1988</v>
      </c>
      <c r="G62" s="544">
        <v>550</v>
      </c>
      <c r="H62" s="544">
        <v>749.1</v>
      </c>
      <c r="I62" s="544">
        <f t="shared" si="0"/>
        <v>749100</v>
      </c>
      <c r="J62" s="544" t="s">
        <v>2008</v>
      </c>
      <c r="K62" s="461">
        <v>550</v>
      </c>
      <c r="L62" s="462">
        <v>749100</v>
      </c>
      <c r="M62" s="452">
        <f>G62</f>
        <v>550</v>
      </c>
      <c r="N62" s="469">
        <f t="shared" si="2"/>
        <v>0</v>
      </c>
      <c r="P62" s="452" t="str">
        <f t="shared" si="3"/>
        <v>Long đen phẳngM20Mạ kẽm 8.8Din 125 = 1362Cái</v>
      </c>
    </row>
    <row r="63" spans="1:16" ht="42" customHeight="1" thickBot="1">
      <c r="A63" s="543" t="s">
        <v>1828</v>
      </c>
      <c r="B63" s="544" t="s">
        <v>2020</v>
      </c>
      <c r="C63" s="544" t="s">
        <v>2023</v>
      </c>
      <c r="D63" s="544" t="s">
        <v>1987</v>
      </c>
      <c r="E63" s="545">
        <v>16</v>
      </c>
      <c r="F63" s="544" t="s">
        <v>1988</v>
      </c>
      <c r="G63" s="544">
        <v>28800</v>
      </c>
      <c r="H63" s="544">
        <v>460.8</v>
      </c>
      <c r="I63" s="544">
        <f t="shared" si="0"/>
        <v>460800</v>
      </c>
      <c r="J63" s="547" t="s">
        <v>2022</v>
      </c>
      <c r="K63" s="461">
        <v>28800</v>
      </c>
      <c r="L63" s="462">
        <v>460800</v>
      </c>
      <c r="M63" s="452">
        <f t="shared" si="1"/>
        <v>28800000</v>
      </c>
      <c r="N63" s="469">
        <f t="shared" si="2"/>
        <v>-28771200</v>
      </c>
      <c r="P63" s="452" t="str">
        <f t="shared" si="3"/>
        <v>Long đen vuông vátM22Mạ kẽm 8.8din 434 = 16Cái</v>
      </c>
    </row>
    <row r="64" spans="1:16" ht="42" customHeight="1" thickBot="1">
      <c r="A64" s="543" t="s">
        <v>1829</v>
      </c>
      <c r="B64" s="544" t="s">
        <v>2020</v>
      </c>
      <c r="C64" s="544" t="s">
        <v>2023</v>
      </c>
      <c r="D64" s="544" t="s">
        <v>1987</v>
      </c>
      <c r="E64" s="545">
        <v>12</v>
      </c>
      <c r="F64" s="544" t="s">
        <v>1988</v>
      </c>
      <c r="G64" s="544">
        <v>28800</v>
      </c>
      <c r="H64" s="544">
        <v>345.6</v>
      </c>
      <c r="I64" s="544">
        <f t="shared" si="0"/>
        <v>345600</v>
      </c>
      <c r="J64" s="547" t="s">
        <v>2022</v>
      </c>
      <c r="K64" s="461">
        <v>28800</v>
      </c>
      <c r="L64" s="462">
        <v>345600</v>
      </c>
      <c r="M64" s="452">
        <f t="shared" si="1"/>
        <v>28800000</v>
      </c>
      <c r="N64" s="469">
        <f t="shared" si="2"/>
        <v>-28771200</v>
      </c>
      <c r="P64" s="452" t="str">
        <f t="shared" si="3"/>
        <v>Long đen vuông vátM22Mạ kẽm 8.8din 434 = 12Cái</v>
      </c>
    </row>
    <row r="65" spans="1:16" ht="42" customHeight="1" thickBot="1">
      <c r="A65" s="543" t="s">
        <v>1831</v>
      </c>
      <c r="B65" s="544" t="s">
        <v>2007</v>
      </c>
      <c r="C65" s="548" t="s">
        <v>2006</v>
      </c>
      <c r="D65" s="544" t="s">
        <v>1987</v>
      </c>
      <c r="E65" s="545">
        <v>576</v>
      </c>
      <c r="F65" s="544" t="s">
        <v>1988</v>
      </c>
      <c r="G65" s="544">
        <v>1150</v>
      </c>
      <c r="H65" s="544">
        <v>662.4</v>
      </c>
      <c r="I65" s="544">
        <f t="shared" si="0"/>
        <v>662400</v>
      </c>
      <c r="J65" s="544" t="s">
        <v>2008</v>
      </c>
      <c r="K65" s="461">
        <v>1150</v>
      </c>
      <c r="L65" s="462">
        <v>662400</v>
      </c>
      <c r="M65" s="452">
        <f t="shared" si="1"/>
        <v>1150000</v>
      </c>
      <c r="N65" s="469">
        <f t="shared" si="2"/>
        <v>-1148850</v>
      </c>
      <c r="P65" s="452" t="str">
        <f t="shared" si="3"/>
        <v>Long đen phẳngM24Mạ kẽm 8.8Din 125 = 576Cái</v>
      </c>
    </row>
    <row r="66" spans="1:16" ht="42" customHeight="1" thickBot="1">
      <c r="A66" s="543" t="s">
        <v>1833</v>
      </c>
      <c r="B66" s="544" t="s">
        <v>2007</v>
      </c>
      <c r="C66" s="548" t="s">
        <v>2018</v>
      </c>
      <c r="D66" s="544" t="s">
        <v>1987</v>
      </c>
      <c r="E66" s="545">
        <v>192</v>
      </c>
      <c r="F66" s="544" t="s">
        <v>1988</v>
      </c>
      <c r="G66" s="544">
        <v>1880</v>
      </c>
      <c r="H66" s="544">
        <v>360.96</v>
      </c>
      <c r="I66" s="544">
        <f t="shared" si="0"/>
        <v>360960</v>
      </c>
      <c r="J66" s="544" t="s">
        <v>2008</v>
      </c>
      <c r="K66" s="461">
        <v>1880</v>
      </c>
      <c r="L66" s="462">
        <v>360960</v>
      </c>
      <c r="M66" s="452">
        <f t="shared" si="1"/>
        <v>1880000</v>
      </c>
      <c r="N66" s="469">
        <f t="shared" si="2"/>
        <v>-1878120</v>
      </c>
      <c r="P66" s="452" t="str">
        <f t="shared" si="3"/>
        <v>Long đen phẳngM30Mạ kẽm 8.8Din 125 = 192Cái</v>
      </c>
    </row>
    <row r="67" spans="1:16" ht="42" customHeight="1" thickBot="1">
      <c r="A67" s="543" t="s">
        <v>1835</v>
      </c>
      <c r="B67" s="544" t="s">
        <v>2024</v>
      </c>
      <c r="C67" s="548" t="s">
        <v>2003</v>
      </c>
      <c r="D67" s="544" t="s">
        <v>1987</v>
      </c>
      <c r="E67" s="545">
        <v>102</v>
      </c>
      <c r="F67" s="544" t="s">
        <v>1988</v>
      </c>
      <c r="G67" s="544">
        <v>420</v>
      </c>
      <c r="H67" s="544">
        <v>42.84</v>
      </c>
      <c r="I67" s="544">
        <f t="shared" si="0"/>
        <v>42840</v>
      </c>
      <c r="J67" s="544" t="s">
        <v>2008</v>
      </c>
      <c r="K67" s="461">
        <v>420</v>
      </c>
      <c r="L67" s="462">
        <v>42840</v>
      </c>
      <c r="M67" s="452">
        <f>G67</f>
        <v>420</v>
      </c>
      <c r="N67" s="469">
        <f t="shared" si="2"/>
        <v>0</v>
      </c>
      <c r="P67" s="452" t="str">
        <f t="shared" si="3"/>
        <v>Long đen vênhM16Mạ kẽm 8.8Din 125 = 102Cái</v>
      </c>
    </row>
    <row r="68" spans="1:16" ht="42" customHeight="1" thickBot="1">
      <c r="A68" s="543" t="s">
        <v>1837</v>
      </c>
      <c r="B68" s="544" t="s">
        <v>2024</v>
      </c>
      <c r="C68" s="548" t="s">
        <v>2005</v>
      </c>
      <c r="D68" s="544" t="s">
        <v>1987</v>
      </c>
      <c r="E68" s="545">
        <v>528</v>
      </c>
      <c r="F68" s="544" t="s">
        <v>1988</v>
      </c>
      <c r="G68" s="544">
        <v>640</v>
      </c>
      <c r="H68" s="544">
        <v>337.92</v>
      </c>
      <c r="I68" s="544">
        <f t="shared" si="0"/>
        <v>337920</v>
      </c>
      <c r="J68" s="547" t="s">
        <v>2025</v>
      </c>
      <c r="K68" s="461">
        <v>640</v>
      </c>
      <c r="L68" s="462">
        <v>337920</v>
      </c>
      <c r="M68" s="452">
        <f>G68</f>
        <v>640</v>
      </c>
      <c r="N68" s="469">
        <f t="shared" si="2"/>
        <v>0</v>
      </c>
      <c r="P68" s="452" t="str">
        <f t="shared" si="3"/>
        <v>Long đen vênhM20Mạ kẽm 8.8Din 127 = 528Cái</v>
      </c>
    </row>
    <row r="69" spans="1:16" ht="42" customHeight="1" thickBot="1">
      <c r="A69" s="543" t="s">
        <v>1839</v>
      </c>
      <c r="B69" s="544" t="s">
        <v>2024</v>
      </c>
      <c r="C69" s="548" t="s">
        <v>2006</v>
      </c>
      <c r="D69" s="544" t="s">
        <v>1987</v>
      </c>
      <c r="E69" s="545">
        <v>384</v>
      </c>
      <c r="F69" s="544" t="s">
        <v>1988</v>
      </c>
      <c r="G69" s="544">
        <v>1220</v>
      </c>
      <c r="H69" s="544">
        <v>468.48</v>
      </c>
      <c r="I69" s="544">
        <f t="shared" si="0"/>
        <v>468480</v>
      </c>
      <c r="J69" s="547" t="s">
        <v>2025</v>
      </c>
      <c r="K69" s="461">
        <v>1220</v>
      </c>
      <c r="L69" s="462">
        <v>468480</v>
      </c>
      <c r="M69" s="452">
        <f t="shared" si="1"/>
        <v>1220000</v>
      </c>
      <c r="N69" s="469">
        <f t="shared" si="2"/>
        <v>-1218780</v>
      </c>
      <c r="P69" s="452" t="str">
        <f t="shared" si="3"/>
        <v>Long đen vênhM24Mạ kẽm 8.8Din 127 = 384Cái</v>
      </c>
    </row>
    <row r="70" spans="1:16" ht="42" customHeight="1" thickBot="1">
      <c r="A70" s="543" t="s">
        <v>1841</v>
      </c>
      <c r="B70" s="544" t="s">
        <v>2024</v>
      </c>
      <c r="C70" s="548" t="s">
        <v>2018</v>
      </c>
      <c r="D70" s="544" t="s">
        <v>1987</v>
      </c>
      <c r="E70" s="545">
        <v>144</v>
      </c>
      <c r="F70" s="544" t="s">
        <v>1988</v>
      </c>
      <c r="G70" s="544">
        <v>1780</v>
      </c>
      <c r="H70" s="544">
        <v>256.32</v>
      </c>
      <c r="I70" s="544">
        <f t="shared" si="0"/>
        <v>256320</v>
      </c>
      <c r="J70" s="547" t="s">
        <v>2025</v>
      </c>
      <c r="K70" s="461">
        <v>1780</v>
      </c>
      <c r="L70" s="462">
        <v>256320</v>
      </c>
      <c r="M70" s="452">
        <f t="shared" si="1"/>
        <v>1780000</v>
      </c>
      <c r="N70" s="469">
        <f t="shared" si="2"/>
        <v>-1778220</v>
      </c>
      <c r="P70" s="452" t="str">
        <f t="shared" si="3"/>
        <v>Long đen vênhM30Mạ kẽm 8.8Din 127 = 144Cái</v>
      </c>
    </row>
    <row r="71" spans="1:16" ht="42" customHeight="1" thickBot="1">
      <c r="A71" s="543" t="s">
        <v>1843</v>
      </c>
      <c r="B71" s="544" t="s">
        <v>2024</v>
      </c>
      <c r="C71" s="548" t="s">
        <v>2019</v>
      </c>
      <c r="D71" s="544" t="s">
        <v>1987</v>
      </c>
      <c r="E71" s="545">
        <v>96</v>
      </c>
      <c r="F71" s="544" t="s">
        <v>1988</v>
      </c>
      <c r="G71" s="544">
        <v>2750</v>
      </c>
      <c r="H71" s="544">
        <v>264</v>
      </c>
      <c r="I71" s="544">
        <f t="shared" si="0"/>
        <v>264000</v>
      </c>
      <c r="J71" s="547" t="s">
        <v>2025</v>
      </c>
      <c r="K71" s="461">
        <v>2750</v>
      </c>
      <c r="L71" s="462">
        <v>264000</v>
      </c>
      <c r="M71" s="452">
        <f t="shared" si="1"/>
        <v>2750000</v>
      </c>
      <c r="N71" s="469">
        <f t="shared" si="2"/>
        <v>-2747250</v>
      </c>
      <c r="P71" s="452" t="str">
        <f t="shared" si="3"/>
        <v>Long đen vênhM36Mạ kẽm 8.8Din 127 = 96Cái</v>
      </c>
    </row>
    <row r="72" spans="1:16" ht="42" customHeight="1" thickBot="1">
      <c r="A72" s="543" t="s">
        <v>1845</v>
      </c>
      <c r="B72" s="544" t="s">
        <v>2024</v>
      </c>
      <c r="C72" s="548" t="s">
        <v>2017</v>
      </c>
      <c r="D72" s="544" t="s">
        <v>1987</v>
      </c>
      <c r="E72" s="545">
        <v>320</v>
      </c>
      <c r="F72" s="544" t="s">
        <v>1988</v>
      </c>
      <c r="G72" s="544">
        <v>230</v>
      </c>
      <c r="H72" s="544">
        <v>73.599999999999994</v>
      </c>
      <c r="I72" s="544">
        <f t="shared" si="0"/>
        <v>73600</v>
      </c>
      <c r="J72" s="547" t="s">
        <v>2025</v>
      </c>
      <c r="K72" s="461">
        <v>230</v>
      </c>
      <c r="L72" s="462">
        <v>73600</v>
      </c>
      <c r="M72" s="452">
        <f>G72</f>
        <v>230</v>
      </c>
      <c r="N72" s="469">
        <f t="shared" si="2"/>
        <v>0</v>
      </c>
      <c r="P72" s="452" t="str">
        <f t="shared" si="3"/>
        <v>Long đen vênhM12Mạ kẽm 8.8Din 127 = 320Cái</v>
      </c>
    </row>
    <row r="73" spans="1:16" ht="42" customHeight="1" thickBot="1">
      <c r="A73" s="543" t="s">
        <v>1847</v>
      </c>
      <c r="B73" s="544" t="s">
        <v>2020</v>
      </c>
      <c r="C73" s="548" t="s">
        <v>2003</v>
      </c>
      <c r="D73" s="544" t="s">
        <v>1987</v>
      </c>
      <c r="E73" s="545">
        <v>252</v>
      </c>
      <c r="F73" s="544" t="s">
        <v>1988</v>
      </c>
      <c r="G73" s="544">
        <v>14100</v>
      </c>
      <c r="H73" s="544" t="s">
        <v>2151</v>
      </c>
      <c r="I73" s="544">
        <f t="shared" si="0"/>
        <v>3553200</v>
      </c>
      <c r="J73" s="547" t="s">
        <v>2022</v>
      </c>
      <c r="K73" s="461">
        <v>14100</v>
      </c>
      <c r="L73" s="462">
        <v>3553200</v>
      </c>
      <c r="M73" s="452">
        <f t="shared" si="1"/>
        <v>14100000</v>
      </c>
      <c r="N73" s="469">
        <f t="shared" si="2"/>
        <v>-14085900</v>
      </c>
      <c r="P73" s="452" t="str">
        <f t="shared" si="3"/>
        <v>Long đen vuông vátM16Mạ kẽm 8.8din 434 = 252Cái</v>
      </c>
    </row>
    <row r="74" spans="1:16" s="465" customFormat="1" ht="18" customHeight="1" thickBot="1">
      <c r="A74" s="556" t="s">
        <v>1849</v>
      </c>
      <c r="B74" s="552" t="s">
        <v>1599</v>
      </c>
      <c r="C74" s="557" t="s">
        <v>2026</v>
      </c>
      <c r="D74" s="552" t="s">
        <v>1987</v>
      </c>
      <c r="E74" s="550">
        <v>12</v>
      </c>
      <c r="F74" s="552" t="s">
        <v>1988</v>
      </c>
      <c r="G74" s="552">
        <v>13700</v>
      </c>
      <c r="H74" s="552">
        <v>164.4</v>
      </c>
      <c r="I74" s="544">
        <f t="shared" si="0"/>
        <v>164400</v>
      </c>
      <c r="J74" s="549" t="s">
        <v>2152</v>
      </c>
      <c r="K74" s="461">
        <v>13700</v>
      </c>
      <c r="L74" s="462">
        <v>164400</v>
      </c>
      <c r="M74" s="452">
        <f t="shared" si="1"/>
        <v>13700000</v>
      </c>
      <c r="N74" s="469">
        <f t="shared" si="2"/>
        <v>-13686300</v>
      </c>
      <c r="O74" s="452"/>
      <c r="P74" s="452" t="str">
        <f t="shared" si="3"/>
        <v>Thanh renM20*1000Mạ kẽm 8.81đầu tiện 170mm = 12Cái</v>
      </c>
    </row>
    <row r="75" spans="1:16" ht="18" customHeight="1" thickBot="1">
      <c r="A75" s="554"/>
      <c r="B75" s="553"/>
      <c r="C75" s="555"/>
      <c r="D75" s="553"/>
      <c r="E75" s="551"/>
      <c r="F75" s="553"/>
      <c r="G75" s="553"/>
      <c r="H75" s="553"/>
      <c r="I75" s="544"/>
      <c r="J75" s="547" t="s">
        <v>2153</v>
      </c>
    </row>
    <row r="76" spans="1:16" ht="18" customHeight="1">
      <c r="A76" s="1479"/>
      <c r="B76" s="1480"/>
      <c r="C76" s="1480"/>
      <c r="D76" s="1480"/>
      <c r="E76" s="1480"/>
      <c r="F76" s="1480"/>
      <c r="G76" s="1481"/>
      <c r="H76" s="463">
        <f>SUM(H20:H75)</f>
        <v>15458.910000000002</v>
      </c>
      <c r="I76" s="463">
        <f>SUM(I20:I75)</f>
        <v>57863610</v>
      </c>
      <c r="J76" s="464"/>
    </row>
    <row r="77" spans="1:16" ht="16" customHeight="1">
      <c r="A77" s="465"/>
      <c r="B77" s="465"/>
      <c r="C77" s="465"/>
      <c r="D77" s="465"/>
      <c r="E77" s="465"/>
      <c r="F77" s="465"/>
      <c r="G77" s="466"/>
      <c r="H77" s="466"/>
      <c r="I77" s="466"/>
      <c r="J77" s="467"/>
    </row>
    <row r="78" spans="1:16" ht="14.25" customHeight="1">
      <c r="A78" s="468" t="s">
        <v>2027</v>
      </c>
    </row>
    <row r="79" spans="1:16" ht="16.5" customHeight="1">
      <c r="A79" s="457"/>
      <c r="B79" s="457" t="s">
        <v>2028</v>
      </c>
      <c r="C79" s="457"/>
      <c r="J79" s="471"/>
    </row>
    <row r="80" spans="1:16" ht="15" customHeight="1">
      <c r="A80" s="457"/>
      <c r="B80" s="457" t="s">
        <v>2029</v>
      </c>
      <c r="C80" s="457"/>
      <c r="J80" s="471"/>
    </row>
    <row r="81" spans="1:10" ht="16.5" customHeight="1">
      <c r="B81" s="1482" t="s">
        <v>2030</v>
      </c>
      <c r="C81" s="1482"/>
      <c r="D81" s="1482"/>
      <c r="E81" s="1482"/>
      <c r="F81" s="1482"/>
      <c r="G81" s="1482"/>
      <c r="H81" s="1482"/>
      <c r="I81" s="1482"/>
      <c r="J81" s="1482"/>
    </row>
    <row r="82" spans="1:10" ht="14.25" customHeight="1">
      <c r="B82" s="457" t="s">
        <v>2031</v>
      </c>
      <c r="J82" s="471"/>
    </row>
    <row r="83" spans="1:10" ht="15" customHeight="1">
      <c r="A83" s="468"/>
      <c r="B83" s="1468" t="s">
        <v>2032</v>
      </c>
      <c r="C83" s="1468"/>
      <c r="D83" s="1468"/>
      <c r="E83" s="1468"/>
      <c r="F83" s="1468"/>
      <c r="G83" s="1468"/>
      <c r="H83" s="1468"/>
      <c r="I83" s="1468"/>
      <c r="J83" s="1468"/>
    </row>
    <row r="84" spans="1:10" ht="15" customHeight="1">
      <c r="A84" s="468"/>
      <c r="B84" s="1468" t="s">
        <v>2033</v>
      </c>
      <c r="C84" s="1468"/>
      <c r="D84" s="1468"/>
      <c r="E84" s="1468"/>
      <c r="F84" s="1468"/>
      <c r="G84" s="1468"/>
      <c r="H84" s="1468"/>
      <c r="I84" s="1468"/>
      <c r="J84" s="1468"/>
    </row>
    <row r="85" spans="1:10">
      <c r="B85" s="457" t="s">
        <v>2034</v>
      </c>
      <c r="J85" s="471"/>
    </row>
    <row r="86" spans="1:10" ht="15" customHeight="1">
      <c r="A86" s="1483" t="s">
        <v>2035</v>
      </c>
      <c r="B86" s="1483"/>
      <c r="C86" s="1483"/>
      <c r="D86" s="1483"/>
      <c r="E86" s="1483"/>
      <c r="F86" s="1483"/>
      <c r="G86" s="1483"/>
      <c r="H86" s="1483"/>
      <c r="I86" s="1483"/>
      <c r="J86" s="1483"/>
    </row>
    <row r="87" spans="1:10" ht="19.5" customHeight="1">
      <c r="A87" s="1484" t="s">
        <v>2036</v>
      </c>
      <c r="B87" s="1485"/>
      <c r="C87" s="1485"/>
      <c r="D87" s="1486"/>
      <c r="E87" s="1487" t="s">
        <v>2037</v>
      </c>
      <c r="F87" s="1488"/>
      <c r="G87" s="1488"/>
      <c r="H87" s="1488"/>
      <c r="I87" s="1488"/>
      <c r="J87" s="1489"/>
    </row>
    <row r="88" spans="1:10" ht="19.25" customHeight="1">
      <c r="A88" s="1470"/>
      <c r="B88" s="1471"/>
      <c r="C88" s="1471"/>
      <c r="D88" s="1472"/>
      <c r="E88" s="1470"/>
      <c r="F88" s="1471"/>
      <c r="G88" s="1471"/>
      <c r="H88" s="1471"/>
      <c r="I88" s="1471"/>
      <c r="J88" s="1472"/>
    </row>
    <row r="89" spans="1:10" ht="19.25" customHeight="1">
      <c r="A89" s="1473"/>
      <c r="B89" s="1474"/>
      <c r="C89" s="1474"/>
      <c r="D89" s="1475"/>
      <c r="E89" s="1473"/>
      <c r="F89" s="1474"/>
      <c r="G89" s="1474"/>
      <c r="H89" s="1474"/>
      <c r="I89" s="1474"/>
      <c r="J89" s="1475"/>
    </row>
    <row r="90" spans="1:10" ht="19.25" customHeight="1">
      <c r="A90" s="1473"/>
      <c r="B90" s="1474"/>
      <c r="C90" s="1474"/>
      <c r="D90" s="1475"/>
      <c r="E90" s="1473"/>
      <c r="F90" s="1474"/>
      <c r="G90" s="1474"/>
      <c r="H90" s="1474"/>
      <c r="I90" s="1474"/>
      <c r="J90" s="1475"/>
    </row>
    <row r="91" spans="1:10" ht="19.25" customHeight="1">
      <c r="A91" s="1473"/>
      <c r="B91" s="1474"/>
      <c r="C91" s="1474"/>
      <c r="D91" s="1475"/>
      <c r="E91" s="1473"/>
      <c r="F91" s="1474"/>
      <c r="G91" s="1474"/>
      <c r="H91" s="1474"/>
      <c r="I91" s="1474"/>
      <c r="J91" s="1475"/>
    </row>
    <row r="92" spans="1:10" ht="19.25" customHeight="1">
      <c r="A92" s="1473"/>
      <c r="B92" s="1474"/>
      <c r="C92" s="1474"/>
      <c r="D92" s="1475"/>
      <c r="E92" s="1473"/>
      <c r="F92" s="1474"/>
      <c r="G92" s="1474"/>
      <c r="H92" s="1474"/>
      <c r="I92" s="1474"/>
      <c r="J92" s="1475"/>
    </row>
    <row r="93" spans="1:10" ht="19.25" customHeight="1">
      <c r="A93" s="1476"/>
      <c r="B93" s="1477"/>
      <c r="C93" s="1477"/>
      <c r="D93" s="1478"/>
      <c r="E93" s="1476"/>
      <c r="F93" s="1477"/>
      <c r="G93" s="1477"/>
      <c r="H93" s="1477"/>
      <c r="I93" s="1477"/>
      <c r="J93" s="1478"/>
    </row>
  </sheetData>
  <autoFilter ref="A19:N76" xr:uid="{821A725F-DE2E-4DF9-A2F9-E79C4C1AE86D}"/>
  <mergeCells count="26">
    <mergeCell ref="A88:D93"/>
    <mergeCell ref="E88:J93"/>
    <mergeCell ref="A76:G76"/>
    <mergeCell ref="B81:J81"/>
    <mergeCell ref="B83:J83"/>
    <mergeCell ref="B84:J84"/>
    <mergeCell ref="A86:J86"/>
    <mergeCell ref="A87:D87"/>
    <mergeCell ref="E87:J87"/>
    <mergeCell ref="A11:D11"/>
    <mergeCell ref="E11:J11"/>
    <mergeCell ref="A12:D12"/>
    <mergeCell ref="E12:J12"/>
    <mergeCell ref="A13:D13"/>
    <mergeCell ref="E13:J13"/>
    <mergeCell ref="A14:D14"/>
    <mergeCell ref="E14:J14"/>
    <mergeCell ref="A15:D15"/>
    <mergeCell ref="E15:J15"/>
    <mergeCell ref="A16:J17"/>
    <mergeCell ref="A7:J7"/>
    <mergeCell ref="A8:J8"/>
    <mergeCell ref="A9:D9"/>
    <mergeCell ref="E9:J9"/>
    <mergeCell ref="A10:D10"/>
    <mergeCell ref="E10:J10"/>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1080-B972-4614-B8F0-E4A9A97ABBBF}">
  <dimension ref="A1:K61"/>
  <sheetViews>
    <sheetView view="pageBreakPreview" topLeftCell="A22" zoomScaleNormal="110" workbookViewId="0">
      <selection activeCell="M25" sqref="M25"/>
    </sheetView>
  </sheetViews>
  <sheetFormatPr defaultColWidth="11.19921875" defaultRowHeight="15"/>
  <cols>
    <col min="1" max="1" width="6.796875" style="48" customWidth="1"/>
    <col min="2" max="2" width="20.59765625" style="48" customWidth="1"/>
    <col min="3" max="3" width="7.19921875" style="48" customWidth="1"/>
    <col min="4" max="4" width="7.59765625" style="48" customWidth="1"/>
    <col min="5" max="5" width="8.19921875" style="48" customWidth="1"/>
    <col min="6" max="6" width="11" style="49" customWidth="1"/>
    <col min="7" max="7" width="8" style="50" customWidth="1"/>
    <col min="8" max="8" width="11.59765625" style="49" customWidth="1"/>
    <col min="9" max="9" width="11.796875" style="47" customWidth="1"/>
    <col min="10" max="10" width="15.09765625" style="47" customWidth="1"/>
    <col min="11" max="256" width="11.19921875" style="34"/>
    <col min="257" max="257" width="6.796875" style="34" customWidth="1"/>
    <col min="258" max="258" width="20.59765625" style="34" customWidth="1"/>
    <col min="259" max="259" width="7.19921875" style="34" customWidth="1"/>
    <col min="260" max="260" width="7.59765625" style="34" customWidth="1"/>
    <col min="261" max="261" width="8.19921875" style="34" customWidth="1"/>
    <col min="262" max="262" width="11" style="34" customWidth="1"/>
    <col min="263" max="263" width="8" style="34" customWidth="1"/>
    <col min="264" max="264" width="11.59765625" style="34" customWidth="1"/>
    <col min="265" max="265" width="11.796875" style="34" customWidth="1"/>
    <col min="266" max="266" width="15.09765625" style="34" customWidth="1"/>
    <col min="267" max="512" width="11.19921875" style="34"/>
    <col min="513" max="513" width="6.796875" style="34" customWidth="1"/>
    <col min="514" max="514" width="20.59765625" style="34" customWidth="1"/>
    <col min="515" max="515" width="7.19921875" style="34" customWidth="1"/>
    <col min="516" max="516" width="7.59765625" style="34" customWidth="1"/>
    <col min="517" max="517" width="8.19921875" style="34" customWidth="1"/>
    <col min="518" max="518" width="11" style="34" customWidth="1"/>
    <col min="519" max="519" width="8" style="34" customWidth="1"/>
    <col min="520" max="520" width="11.59765625" style="34" customWidth="1"/>
    <col min="521" max="521" width="11.796875" style="34" customWidth="1"/>
    <col min="522" max="522" width="15.09765625" style="34" customWidth="1"/>
    <col min="523" max="768" width="11.19921875" style="34"/>
    <col min="769" max="769" width="6.796875" style="34" customWidth="1"/>
    <col min="770" max="770" width="20.59765625" style="34" customWidth="1"/>
    <col min="771" max="771" width="7.19921875" style="34" customWidth="1"/>
    <col min="772" max="772" width="7.59765625" style="34" customWidth="1"/>
    <col min="773" max="773" width="8.19921875" style="34" customWidth="1"/>
    <col min="774" max="774" width="11" style="34" customWidth="1"/>
    <col min="775" max="775" width="8" style="34" customWidth="1"/>
    <col min="776" max="776" width="11.59765625" style="34" customWidth="1"/>
    <col min="777" max="777" width="11.796875" style="34" customWidth="1"/>
    <col min="778" max="778" width="15.09765625" style="34" customWidth="1"/>
    <col min="779" max="1024" width="11.19921875" style="34"/>
    <col min="1025" max="1025" width="6.796875" style="34" customWidth="1"/>
    <col min="1026" max="1026" width="20.59765625" style="34" customWidth="1"/>
    <col min="1027" max="1027" width="7.19921875" style="34" customWidth="1"/>
    <col min="1028" max="1028" width="7.59765625" style="34" customWidth="1"/>
    <col min="1029" max="1029" width="8.19921875" style="34" customWidth="1"/>
    <col min="1030" max="1030" width="11" style="34" customWidth="1"/>
    <col min="1031" max="1031" width="8" style="34" customWidth="1"/>
    <col min="1032" max="1032" width="11.59765625" style="34" customWidth="1"/>
    <col min="1033" max="1033" width="11.796875" style="34" customWidth="1"/>
    <col min="1034" max="1034" width="15.09765625" style="34" customWidth="1"/>
    <col min="1035" max="1280" width="11.19921875" style="34"/>
    <col min="1281" max="1281" width="6.796875" style="34" customWidth="1"/>
    <col min="1282" max="1282" width="20.59765625" style="34" customWidth="1"/>
    <col min="1283" max="1283" width="7.19921875" style="34" customWidth="1"/>
    <col min="1284" max="1284" width="7.59765625" style="34" customWidth="1"/>
    <col min="1285" max="1285" width="8.19921875" style="34" customWidth="1"/>
    <col min="1286" max="1286" width="11" style="34" customWidth="1"/>
    <col min="1287" max="1287" width="8" style="34" customWidth="1"/>
    <col min="1288" max="1288" width="11.59765625" style="34" customWidth="1"/>
    <col min="1289" max="1289" width="11.796875" style="34" customWidth="1"/>
    <col min="1290" max="1290" width="15.09765625" style="34" customWidth="1"/>
    <col min="1291" max="1536" width="11.19921875" style="34"/>
    <col min="1537" max="1537" width="6.796875" style="34" customWidth="1"/>
    <col min="1538" max="1538" width="20.59765625" style="34" customWidth="1"/>
    <col min="1539" max="1539" width="7.19921875" style="34" customWidth="1"/>
    <col min="1540" max="1540" width="7.59765625" style="34" customWidth="1"/>
    <col min="1541" max="1541" width="8.19921875" style="34" customWidth="1"/>
    <col min="1542" max="1542" width="11" style="34" customWidth="1"/>
    <col min="1543" max="1543" width="8" style="34" customWidth="1"/>
    <col min="1544" max="1544" width="11.59765625" style="34" customWidth="1"/>
    <col min="1545" max="1545" width="11.796875" style="34" customWidth="1"/>
    <col min="1546" max="1546" width="15.09765625" style="34" customWidth="1"/>
    <col min="1547" max="1792" width="11.19921875" style="34"/>
    <col min="1793" max="1793" width="6.796875" style="34" customWidth="1"/>
    <col min="1794" max="1794" width="20.59765625" style="34" customWidth="1"/>
    <col min="1795" max="1795" width="7.19921875" style="34" customWidth="1"/>
    <col min="1796" max="1796" width="7.59765625" style="34" customWidth="1"/>
    <col min="1797" max="1797" width="8.19921875" style="34" customWidth="1"/>
    <col min="1798" max="1798" width="11" style="34" customWidth="1"/>
    <col min="1799" max="1799" width="8" style="34" customWidth="1"/>
    <col min="1800" max="1800" width="11.59765625" style="34" customWidth="1"/>
    <col min="1801" max="1801" width="11.796875" style="34" customWidth="1"/>
    <col min="1802" max="1802" width="15.09765625" style="34" customWidth="1"/>
    <col min="1803" max="2048" width="11.19921875" style="34"/>
    <col min="2049" max="2049" width="6.796875" style="34" customWidth="1"/>
    <col min="2050" max="2050" width="20.59765625" style="34" customWidth="1"/>
    <col min="2051" max="2051" width="7.19921875" style="34" customWidth="1"/>
    <col min="2052" max="2052" width="7.59765625" style="34" customWidth="1"/>
    <col min="2053" max="2053" width="8.19921875" style="34" customWidth="1"/>
    <col min="2054" max="2054" width="11" style="34" customWidth="1"/>
    <col min="2055" max="2055" width="8" style="34" customWidth="1"/>
    <col min="2056" max="2056" width="11.59765625" style="34" customWidth="1"/>
    <col min="2057" max="2057" width="11.796875" style="34" customWidth="1"/>
    <col min="2058" max="2058" width="15.09765625" style="34" customWidth="1"/>
    <col min="2059" max="2304" width="11.19921875" style="34"/>
    <col min="2305" max="2305" width="6.796875" style="34" customWidth="1"/>
    <col min="2306" max="2306" width="20.59765625" style="34" customWidth="1"/>
    <col min="2307" max="2307" width="7.19921875" style="34" customWidth="1"/>
    <col min="2308" max="2308" width="7.59765625" style="34" customWidth="1"/>
    <col min="2309" max="2309" width="8.19921875" style="34" customWidth="1"/>
    <col min="2310" max="2310" width="11" style="34" customWidth="1"/>
    <col min="2311" max="2311" width="8" style="34" customWidth="1"/>
    <col min="2312" max="2312" width="11.59765625" style="34" customWidth="1"/>
    <col min="2313" max="2313" width="11.796875" style="34" customWidth="1"/>
    <col min="2314" max="2314" width="15.09765625" style="34" customWidth="1"/>
    <col min="2315" max="2560" width="11.19921875" style="34"/>
    <col min="2561" max="2561" width="6.796875" style="34" customWidth="1"/>
    <col min="2562" max="2562" width="20.59765625" style="34" customWidth="1"/>
    <col min="2563" max="2563" width="7.19921875" style="34" customWidth="1"/>
    <col min="2564" max="2564" width="7.59765625" style="34" customWidth="1"/>
    <col min="2565" max="2565" width="8.19921875" style="34" customWidth="1"/>
    <col min="2566" max="2566" width="11" style="34" customWidth="1"/>
    <col min="2567" max="2567" width="8" style="34" customWidth="1"/>
    <col min="2568" max="2568" width="11.59765625" style="34" customWidth="1"/>
    <col min="2569" max="2569" width="11.796875" style="34" customWidth="1"/>
    <col min="2570" max="2570" width="15.09765625" style="34" customWidth="1"/>
    <col min="2571" max="2816" width="11.19921875" style="34"/>
    <col min="2817" max="2817" width="6.796875" style="34" customWidth="1"/>
    <col min="2818" max="2818" width="20.59765625" style="34" customWidth="1"/>
    <col min="2819" max="2819" width="7.19921875" style="34" customWidth="1"/>
    <col min="2820" max="2820" width="7.59765625" style="34" customWidth="1"/>
    <col min="2821" max="2821" width="8.19921875" style="34" customWidth="1"/>
    <col min="2822" max="2822" width="11" style="34" customWidth="1"/>
    <col min="2823" max="2823" width="8" style="34" customWidth="1"/>
    <col min="2824" max="2824" width="11.59765625" style="34" customWidth="1"/>
    <col min="2825" max="2825" width="11.796875" style="34" customWidth="1"/>
    <col min="2826" max="2826" width="15.09765625" style="34" customWidth="1"/>
    <col min="2827" max="3072" width="11.19921875" style="34"/>
    <col min="3073" max="3073" width="6.796875" style="34" customWidth="1"/>
    <col min="3074" max="3074" width="20.59765625" style="34" customWidth="1"/>
    <col min="3075" max="3075" width="7.19921875" style="34" customWidth="1"/>
    <col min="3076" max="3076" width="7.59765625" style="34" customWidth="1"/>
    <col min="3077" max="3077" width="8.19921875" style="34" customWidth="1"/>
    <col min="3078" max="3078" width="11" style="34" customWidth="1"/>
    <col min="3079" max="3079" width="8" style="34" customWidth="1"/>
    <col min="3080" max="3080" width="11.59765625" style="34" customWidth="1"/>
    <col min="3081" max="3081" width="11.796875" style="34" customWidth="1"/>
    <col min="3082" max="3082" width="15.09765625" style="34" customWidth="1"/>
    <col min="3083" max="3328" width="11.19921875" style="34"/>
    <col min="3329" max="3329" width="6.796875" style="34" customWidth="1"/>
    <col min="3330" max="3330" width="20.59765625" style="34" customWidth="1"/>
    <col min="3331" max="3331" width="7.19921875" style="34" customWidth="1"/>
    <col min="3332" max="3332" width="7.59765625" style="34" customWidth="1"/>
    <col min="3333" max="3333" width="8.19921875" style="34" customWidth="1"/>
    <col min="3334" max="3334" width="11" style="34" customWidth="1"/>
    <col min="3335" max="3335" width="8" style="34" customWidth="1"/>
    <col min="3336" max="3336" width="11.59765625" style="34" customWidth="1"/>
    <col min="3337" max="3337" width="11.796875" style="34" customWidth="1"/>
    <col min="3338" max="3338" width="15.09765625" style="34" customWidth="1"/>
    <col min="3339" max="3584" width="11.19921875" style="34"/>
    <col min="3585" max="3585" width="6.796875" style="34" customWidth="1"/>
    <col min="3586" max="3586" width="20.59765625" style="34" customWidth="1"/>
    <col min="3587" max="3587" width="7.19921875" style="34" customWidth="1"/>
    <col min="3588" max="3588" width="7.59765625" style="34" customWidth="1"/>
    <col min="3589" max="3589" width="8.19921875" style="34" customWidth="1"/>
    <col min="3590" max="3590" width="11" style="34" customWidth="1"/>
    <col min="3591" max="3591" width="8" style="34" customWidth="1"/>
    <col min="3592" max="3592" width="11.59765625" style="34" customWidth="1"/>
    <col min="3593" max="3593" width="11.796875" style="34" customWidth="1"/>
    <col min="3594" max="3594" width="15.09765625" style="34" customWidth="1"/>
    <col min="3595" max="3840" width="11.19921875" style="34"/>
    <col min="3841" max="3841" width="6.796875" style="34" customWidth="1"/>
    <col min="3842" max="3842" width="20.59765625" style="34" customWidth="1"/>
    <col min="3843" max="3843" width="7.19921875" style="34" customWidth="1"/>
    <col min="3844" max="3844" width="7.59765625" style="34" customWidth="1"/>
    <col min="3845" max="3845" width="8.19921875" style="34" customWidth="1"/>
    <col min="3846" max="3846" width="11" style="34" customWidth="1"/>
    <col min="3847" max="3847" width="8" style="34" customWidth="1"/>
    <col min="3848" max="3848" width="11.59765625" style="34" customWidth="1"/>
    <col min="3849" max="3849" width="11.796875" style="34" customWidth="1"/>
    <col min="3850" max="3850" width="15.09765625" style="34" customWidth="1"/>
    <col min="3851" max="4096" width="11.19921875" style="34"/>
    <col min="4097" max="4097" width="6.796875" style="34" customWidth="1"/>
    <col min="4098" max="4098" width="20.59765625" style="34" customWidth="1"/>
    <col min="4099" max="4099" width="7.19921875" style="34" customWidth="1"/>
    <col min="4100" max="4100" width="7.59765625" style="34" customWidth="1"/>
    <col min="4101" max="4101" width="8.19921875" style="34" customWidth="1"/>
    <col min="4102" max="4102" width="11" style="34" customWidth="1"/>
    <col min="4103" max="4103" width="8" style="34" customWidth="1"/>
    <col min="4104" max="4104" width="11.59765625" style="34" customWidth="1"/>
    <col min="4105" max="4105" width="11.796875" style="34" customWidth="1"/>
    <col min="4106" max="4106" width="15.09765625" style="34" customWidth="1"/>
    <col min="4107" max="4352" width="11.19921875" style="34"/>
    <col min="4353" max="4353" width="6.796875" style="34" customWidth="1"/>
    <col min="4354" max="4354" width="20.59765625" style="34" customWidth="1"/>
    <col min="4355" max="4355" width="7.19921875" style="34" customWidth="1"/>
    <col min="4356" max="4356" width="7.59765625" style="34" customWidth="1"/>
    <col min="4357" max="4357" width="8.19921875" style="34" customWidth="1"/>
    <col min="4358" max="4358" width="11" style="34" customWidth="1"/>
    <col min="4359" max="4359" width="8" style="34" customWidth="1"/>
    <col min="4360" max="4360" width="11.59765625" style="34" customWidth="1"/>
    <col min="4361" max="4361" width="11.796875" style="34" customWidth="1"/>
    <col min="4362" max="4362" width="15.09765625" style="34" customWidth="1"/>
    <col min="4363" max="4608" width="11.19921875" style="34"/>
    <col min="4609" max="4609" width="6.796875" style="34" customWidth="1"/>
    <col min="4610" max="4610" width="20.59765625" style="34" customWidth="1"/>
    <col min="4611" max="4611" width="7.19921875" style="34" customWidth="1"/>
    <col min="4612" max="4612" width="7.59765625" style="34" customWidth="1"/>
    <col min="4613" max="4613" width="8.19921875" style="34" customWidth="1"/>
    <col min="4614" max="4614" width="11" style="34" customWidth="1"/>
    <col min="4615" max="4615" width="8" style="34" customWidth="1"/>
    <col min="4616" max="4616" width="11.59765625" style="34" customWidth="1"/>
    <col min="4617" max="4617" width="11.796875" style="34" customWidth="1"/>
    <col min="4618" max="4618" width="15.09765625" style="34" customWidth="1"/>
    <col min="4619" max="4864" width="11.19921875" style="34"/>
    <col min="4865" max="4865" width="6.796875" style="34" customWidth="1"/>
    <col min="4866" max="4866" width="20.59765625" style="34" customWidth="1"/>
    <col min="4867" max="4867" width="7.19921875" style="34" customWidth="1"/>
    <col min="4868" max="4868" width="7.59765625" style="34" customWidth="1"/>
    <col min="4869" max="4869" width="8.19921875" style="34" customWidth="1"/>
    <col min="4870" max="4870" width="11" style="34" customWidth="1"/>
    <col min="4871" max="4871" width="8" style="34" customWidth="1"/>
    <col min="4872" max="4872" width="11.59765625" style="34" customWidth="1"/>
    <col min="4873" max="4873" width="11.796875" style="34" customWidth="1"/>
    <col min="4874" max="4874" width="15.09765625" style="34" customWidth="1"/>
    <col min="4875" max="5120" width="11.19921875" style="34"/>
    <col min="5121" max="5121" width="6.796875" style="34" customWidth="1"/>
    <col min="5122" max="5122" width="20.59765625" style="34" customWidth="1"/>
    <col min="5123" max="5123" width="7.19921875" style="34" customWidth="1"/>
    <col min="5124" max="5124" width="7.59765625" style="34" customWidth="1"/>
    <col min="5125" max="5125" width="8.19921875" style="34" customWidth="1"/>
    <col min="5126" max="5126" width="11" style="34" customWidth="1"/>
    <col min="5127" max="5127" width="8" style="34" customWidth="1"/>
    <col min="5128" max="5128" width="11.59765625" style="34" customWidth="1"/>
    <col min="5129" max="5129" width="11.796875" style="34" customWidth="1"/>
    <col min="5130" max="5130" width="15.09765625" style="34" customWidth="1"/>
    <col min="5131" max="5376" width="11.19921875" style="34"/>
    <col min="5377" max="5377" width="6.796875" style="34" customWidth="1"/>
    <col min="5378" max="5378" width="20.59765625" style="34" customWidth="1"/>
    <col min="5379" max="5379" width="7.19921875" style="34" customWidth="1"/>
    <col min="5380" max="5380" width="7.59765625" style="34" customWidth="1"/>
    <col min="5381" max="5381" width="8.19921875" style="34" customWidth="1"/>
    <col min="5382" max="5382" width="11" style="34" customWidth="1"/>
    <col min="5383" max="5383" width="8" style="34" customWidth="1"/>
    <col min="5384" max="5384" width="11.59765625" style="34" customWidth="1"/>
    <col min="5385" max="5385" width="11.796875" style="34" customWidth="1"/>
    <col min="5386" max="5386" width="15.09765625" style="34" customWidth="1"/>
    <col min="5387" max="5632" width="11.19921875" style="34"/>
    <col min="5633" max="5633" width="6.796875" style="34" customWidth="1"/>
    <col min="5634" max="5634" width="20.59765625" style="34" customWidth="1"/>
    <col min="5635" max="5635" width="7.19921875" style="34" customWidth="1"/>
    <col min="5636" max="5636" width="7.59765625" style="34" customWidth="1"/>
    <col min="5637" max="5637" width="8.19921875" style="34" customWidth="1"/>
    <col min="5638" max="5638" width="11" style="34" customWidth="1"/>
    <col min="5639" max="5639" width="8" style="34" customWidth="1"/>
    <col min="5640" max="5640" width="11.59765625" style="34" customWidth="1"/>
    <col min="5641" max="5641" width="11.796875" style="34" customWidth="1"/>
    <col min="5642" max="5642" width="15.09765625" style="34" customWidth="1"/>
    <col min="5643" max="5888" width="11.19921875" style="34"/>
    <col min="5889" max="5889" width="6.796875" style="34" customWidth="1"/>
    <col min="5890" max="5890" width="20.59765625" style="34" customWidth="1"/>
    <col min="5891" max="5891" width="7.19921875" style="34" customWidth="1"/>
    <col min="5892" max="5892" width="7.59765625" style="34" customWidth="1"/>
    <col min="5893" max="5893" width="8.19921875" style="34" customWidth="1"/>
    <col min="5894" max="5894" width="11" style="34" customWidth="1"/>
    <col min="5895" max="5895" width="8" style="34" customWidth="1"/>
    <col min="5896" max="5896" width="11.59765625" style="34" customWidth="1"/>
    <col min="5897" max="5897" width="11.796875" style="34" customWidth="1"/>
    <col min="5898" max="5898" width="15.09765625" style="34" customWidth="1"/>
    <col min="5899" max="6144" width="11.19921875" style="34"/>
    <col min="6145" max="6145" width="6.796875" style="34" customWidth="1"/>
    <col min="6146" max="6146" width="20.59765625" style="34" customWidth="1"/>
    <col min="6147" max="6147" width="7.19921875" style="34" customWidth="1"/>
    <col min="6148" max="6148" width="7.59765625" style="34" customWidth="1"/>
    <col min="6149" max="6149" width="8.19921875" style="34" customWidth="1"/>
    <col min="6150" max="6150" width="11" style="34" customWidth="1"/>
    <col min="6151" max="6151" width="8" style="34" customWidth="1"/>
    <col min="6152" max="6152" width="11.59765625" style="34" customWidth="1"/>
    <col min="6153" max="6153" width="11.796875" style="34" customWidth="1"/>
    <col min="6154" max="6154" width="15.09765625" style="34" customWidth="1"/>
    <col min="6155" max="6400" width="11.19921875" style="34"/>
    <col min="6401" max="6401" width="6.796875" style="34" customWidth="1"/>
    <col min="6402" max="6402" width="20.59765625" style="34" customWidth="1"/>
    <col min="6403" max="6403" width="7.19921875" style="34" customWidth="1"/>
    <col min="6404" max="6404" width="7.59765625" style="34" customWidth="1"/>
    <col min="6405" max="6405" width="8.19921875" style="34" customWidth="1"/>
    <col min="6406" max="6406" width="11" style="34" customWidth="1"/>
    <col min="6407" max="6407" width="8" style="34" customWidth="1"/>
    <col min="6408" max="6408" width="11.59765625" style="34" customWidth="1"/>
    <col min="6409" max="6409" width="11.796875" style="34" customWidth="1"/>
    <col min="6410" max="6410" width="15.09765625" style="34" customWidth="1"/>
    <col min="6411" max="6656" width="11.19921875" style="34"/>
    <col min="6657" max="6657" width="6.796875" style="34" customWidth="1"/>
    <col min="6658" max="6658" width="20.59765625" style="34" customWidth="1"/>
    <col min="6659" max="6659" width="7.19921875" style="34" customWidth="1"/>
    <col min="6660" max="6660" width="7.59765625" style="34" customWidth="1"/>
    <col min="6661" max="6661" width="8.19921875" style="34" customWidth="1"/>
    <col min="6662" max="6662" width="11" style="34" customWidth="1"/>
    <col min="6663" max="6663" width="8" style="34" customWidth="1"/>
    <col min="6664" max="6664" width="11.59765625" style="34" customWidth="1"/>
    <col min="6665" max="6665" width="11.796875" style="34" customWidth="1"/>
    <col min="6666" max="6666" width="15.09765625" style="34" customWidth="1"/>
    <col min="6667" max="6912" width="11.19921875" style="34"/>
    <col min="6913" max="6913" width="6.796875" style="34" customWidth="1"/>
    <col min="6914" max="6914" width="20.59765625" style="34" customWidth="1"/>
    <col min="6915" max="6915" width="7.19921875" style="34" customWidth="1"/>
    <col min="6916" max="6916" width="7.59765625" style="34" customWidth="1"/>
    <col min="6917" max="6917" width="8.19921875" style="34" customWidth="1"/>
    <col min="6918" max="6918" width="11" style="34" customWidth="1"/>
    <col min="6919" max="6919" width="8" style="34" customWidth="1"/>
    <col min="6920" max="6920" width="11.59765625" style="34" customWidth="1"/>
    <col min="6921" max="6921" width="11.796875" style="34" customWidth="1"/>
    <col min="6922" max="6922" width="15.09765625" style="34" customWidth="1"/>
    <col min="6923" max="7168" width="11.19921875" style="34"/>
    <col min="7169" max="7169" width="6.796875" style="34" customWidth="1"/>
    <col min="7170" max="7170" width="20.59765625" style="34" customWidth="1"/>
    <col min="7171" max="7171" width="7.19921875" style="34" customWidth="1"/>
    <col min="7172" max="7172" width="7.59765625" style="34" customWidth="1"/>
    <col min="7173" max="7173" width="8.19921875" style="34" customWidth="1"/>
    <col min="7174" max="7174" width="11" style="34" customWidth="1"/>
    <col min="7175" max="7175" width="8" style="34" customWidth="1"/>
    <col min="7176" max="7176" width="11.59765625" style="34" customWidth="1"/>
    <col min="7177" max="7177" width="11.796875" style="34" customWidth="1"/>
    <col min="7178" max="7178" width="15.09765625" style="34" customWidth="1"/>
    <col min="7179" max="7424" width="11.19921875" style="34"/>
    <col min="7425" max="7425" width="6.796875" style="34" customWidth="1"/>
    <col min="7426" max="7426" width="20.59765625" style="34" customWidth="1"/>
    <col min="7427" max="7427" width="7.19921875" style="34" customWidth="1"/>
    <col min="7428" max="7428" width="7.59765625" style="34" customWidth="1"/>
    <col min="7429" max="7429" width="8.19921875" style="34" customWidth="1"/>
    <col min="7430" max="7430" width="11" style="34" customWidth="1"/>
    <col min="7431" max="7431" width="8" style="34" customWidth="1"/>
    <col min="7432" max="7432" width="11.59765625" style="34" customWidth="1"/>
    <col min="7433" max="7433" width="11.796875" style="34" customWidth="1"/>
    <col min="7434" max="7434" width="15.09765625" style="34" customWidth="1"/>
    <col min="7435" max="7680" width="11.19921875" style="34"/>
    <col min="7681" max="7681" width="6.796875" style="34" customWidth="1"/>
    <col min="7682" max="7682" width="20.59765625" style="34" customWidth="1"/>
    <col min="7683" max="7683" width="7.19921875" style="34" customWidth="1"/>
    <col min="7684" max="7684" width="7.59765625" style="34" customWidth="1"/>
    <col min="7685" max="7685" width="8.19921875" style="34" customWidth="1"/>
    <col min="7686" max="7686" width="11" style="34" customWidth="1"/>
    <col min="7687" max="7687" width="8" style="34" customWidth="1"/>
    <col min="7688" max="7688" width="11.59765625" style="34" customWidth="1"/>
    <col min="7689" max="7689" width="11.796875" style="34" customWidth="1"/>
    <col min="7690" max="7690" width="15.09765625" style="34" customWidth="1"/>
    <col min="7691" max="7936" width="11.19921875" style="34"/>
    <col min="7937" max="7937" width="6.796875" style="34" customWidth="1"/>
    <col min="7938" max="7938" width="20.59765625" style="34" customWidth="1"/>
    <col min="7939" max="7939" width="7.19921875" style="34" customWidth="1"/>
    <col min="7940" max="7940" width="7.59765625" style="34" customWidth="1"/>
    <col min="7941" max="7941" width="8.19921875" style="34" customWidth="1"/>
    <col min="7942" max="7942" width="11" style="34" customWidth="1"/>
    <col min="7943" max="7943" width="8" style="34" customWidth="1"/>
    <col min="7944" max="7944" width="11.59765625" style="34" customWidth="1"/>
    <col min="7945" max="7945" width="11.796875" style="34" customWidth="1"/>
    <col min="7946" max="7946" width="15.09765625" style="34" customWidth="1"/>
    <col min="7947" max="8192" width="11.19921875" style="34"/>
    <col min="8193" max="8193" width="6.796875" style="34" customWidth="1"/>
    <col min="8194" max="8194" width="20.59765625" style="34" customWidth="1"/>
    <col min="8195" max="8195" width="7.19921875" style="34" customWidth="1"/>
    <col min="8196" max="8196" width="7.59765625" style="34" customWidth="1"/>
    <col min="8197" max="8197" width="8.19921875" style="34" customWidth="1"/>
    <col min="8198" max="8198" width="11" style="34" customWidth="1"/>
    <col min="8199" max="8199" width="8" style="34" customWidth="1"/>
    <col min="8200" max="8200" width="11.59765625" style="34" customWidth="1"/>
    <col min="8201" max="8201" width="11.796875" style="34" customWidth="1"/>
    <col min="8202" max="8202" width="15.09765625" style="34" customWidth="1"/>
    <col min="8203" max="8448" width="11.19921875" style="34"/>
    <col min="8449" max="8449" width="6.796875" style="34" customWidth="1"/>
    <col min="8450" max="8450" width="20.59765625" style="34" customWidth="1"/>
    <col min="8451" max="8451" width="7.19921875" style="34" customWidth="1"/>
    <col min="8452" max="8452" width="7.59765625" style="34" customWidth="1"/>
    <col min="8453" max="8453" width="8.19921875" style="34" customWidth="1"/>
    <col min="8454" max="8454" width="11" style="34" customWidth="1"/>
    <col min="8455" max="8455" width="8" style="34" customWidth="1"/>
    <col min="8456" max="8456" width="11.59765625" style="34" customWidth="1"/>
    <col min="8457" max="8457" width="11.796875" style="34" customWidth="1"/>
    <col min="8458" max="8458" width="15.09765625" style="34" customWidth="1"/>
    <col min="8459" max="8704" width="11.19921875" style="34"/>
    <col min="8705" max="8705" width="6.796875" style="34" customWidth="1"/>
    <col min="8706" max="8706" width="20.59765625" style="34" customWidth="1"/>
    <col min="8707" max="8707" width="7.19921875" style="34" customWidth="1"/>
    <col min="8708" max="8708" width="7.59765625" style="34" customWidth="1"/>
    <col min="8709" max="8709" width="8.19921875" style="34" customWidth="1"/>
    <col min="8710" max="8710" width="11" style="34" customWidth="1"/>
    <col min="8711" max="8711" width="8" style="34" customWidth="1"/>
    <col min="8712" max="8712" width="11.59765625" style="34" customWidth="1"/>
    <col min="8713" max="8713" width="11.796875" style="34" customWidth="1"/>
    <col min="8714" max="8714" width="15.09765625" style="34" customWidth="1"/>
    <col min="8715" max="8960" width="11.19921875" style="34"/>
    <col min="8961" max="8961" width="6.796875" style="34" customWidth="1"/>
    <col min="8962" max="8962" width="20.59765625" style="34" customWidth="1"/>
    <col min="8963" max="8963" width="7.19921875" style="34" customWidth="1"/>
    <col min="8964" max="8964" width="7.59765625" style="34" customWidth="1"/>
    <col min="8965" max="8965" width="8.19921875" style="34" customWidth="1"/>
    <col min="8966" max="8966" width="11" style="34" customWidth="1"/>
    <col min="8967" max="8967" width="8" style="34" customWidth="1"/>
    <col min="8968" max="8968" width="11.59765625" style="34" customWidth="1"/>
    <col min="8969" max="8969" width="11.796875" style="34" customWidth="1"/>
    <col min="8970" max="8970" width="15.09765625" style="34" customWidth="1"/>
    <col min="8971" max="9216" width="11.19921875" style="34"/>
    <col min="9217" max="9217" width="6.796875" style="34" customWidth="1"/>
    <col min="9218" max="9218" width="20.59765625" style="34" customWidth="1"/>
    <col min="9219" max="9219" width="7.19921875" style="34" customWidth="1"/>
    <col min="9220" max="9220" width="7.59765625" style="34" customWidth="1"/>
    <col min="9221" max="9221" width="8.19921875" style="34" customWidth="1"/>
    <col min="9222" max="9222" width="11" style="34" customWidth="1"/>
    <col min="9223" max="9223" width="8" style="34" customWidth="1"/>
    <col min="9224" max="9224" width="11.59765625" style="34" customWidth="1"/>
    <col min="9225" max="9225" width="11.796875" style="34" customWidth="1"/>
    <col min="9226" max="9226" width="15.09765625" style="34" customWidth="1"/>
    <col min="9227" max="9472" width="11.19921875" style="34"/>
    <col min="9473" max="9473" width="6.796875" style="34" customWidth="1"/>
    <col min="9474" max="9474" width="20.59765625" style="34" customWidth="1"/>
    <col min="9475" max="9475" width="7.19921875" style="34" customWidth="1"/>
    <col min="9476" max="9476" width="7.59765625" style="34" customWidth="1"/>
    <col min="9477" max="9477" width="8.19921875" style="34" customWidth="1"/>
    <col min="9478" max="9478" width="11" style="34" customWidth="1"/>
    <col min="9479" max="9479" width="8" style="34" customWidth="1"/>
    <col min="9480" max="9480" width="11.59765625" style="34" customWidth="1"/>
    <col min="9481" max="9481" width="11.796875" style="34" customWidth="1"/>
    <col min="9482" max="9482" width="15.09765625" style="34" customWidth="1"/>
    <col min="9483" max="9728" width="11.19921875" style="34"/>
    <col min="9729" max="9729" width="6.796875" style="34" customWidth="1"/>
    <col min="9730" max="9730" width="20.59765625" style="34" customWidth="1"/>
    <col min="9731" max="9731" width="7.19921875" style="34" customWidth="1"/>
    <col min="9732" max="9732" width="7.59765625" style="34" customWidth="1"/>
    <col min="9733" max="9733" width="8.19921875" style="34" customWidth="1"/>
    <col min="9734" max="9734" width="11" style="34" customWidth="1"/>
    <col min="9735" max="9735" width="8" style="34" customWidth="1"/>
    <col min="9736" max="9736" width="11.59765625" style="34" customWidth="1"/>
    <col min="9737" max="9737" width="11.796875" style="34" customWidth="1"/>
    <col min="9738" max="9738" width="15.09765625" style="34" customWidth="1"/>
    <col min="9739" max="9984" width="11.19921875" style="34"/>
    <col min="9985" max="9985" width="6.796875" style="34" customWidth="1"/>
    <col min="9986" max="9986" width="20.59765625" style="34" customWidth="1"/>
    <col min="9987" max="9987" width="7.19921875" style="34" customWidth="1"/>
    <col min="9988" max="9988" width="7.59765625" style="34" customWidth="1"/>
    <col min="9989" max="9989" width="8.19921875" style="34" customWidth="1"/>
    <col min="9990" max="9990" width="11" style="34" customWidth="1"/>
    <col min="9991" max="9991" width="8" style="34" customWidth="1"/>
    <col min="9992" max="9992" width="11.59765625" style="34" customWidth="1"/>
    <col min="9993" max="9993" width="11.796875" style="34" customWidth="1"/>
    <col min="9994" max="9994" width="15.09765625" style="34" customWidth="1"/>
    <col min="9995" max="10240" width="11.19921875" style="34"/>
    <col min="10241" max="10241" width="6.796875" style="34" customWidth="1"/>
    <col min="10242" max="10242" width="20.59765625" style="34" customWidth="1"/>
    <col min="10243" max="10243" width="7.19921875" style="34" customWidth="1"/>
    <col min="10244" max="10244" width="7.59765625" style="34" customWidth="1"/>
    <col min="10245" max="10245" width="8.19921875" style="34" customWidth="1"/>
    <col min="10246" max="10246" width="11" style="34" customWidth="1"/>
    <col min="10247" max="10247" width="8" style="34" customWidth="1"/>
    <col min="10248" max="10248" width="11.59765625" style="34" customWidth="1"/>
    <col min="10249" max="10249" width="11.796875" style="34" customWidth="1"/>
    <col min="10250" max="10250" width="15.09765625" style="34" customWidth="1"/>
    <col min="10251" max="10496" width="11.19921875" style="34"/>
    <col min="10497" max="10497" width="6.796875" style="34" customWidth="1"/>
    <col min="10498" max="10498" width="20.59765625" style="34" customWidth="1"/>
    <col min="10499" max="10499" width="7.19921875" style="34" customWidth="1"/>
    <col min="10500" max="10500" width="7.59765625" style="34" customWidth="1"/>
    <col min="10501" max="10501" width="8.19921875" style="34" customWidth="1"/>
    <col min="10502" max="10502" width="11" style="34" customWidth="1"/>
    <col min="10503" max="10503" width="8" style="34" customWidth="1"/>
    <col min="10504" max="10504" width="11.59765625" style="34" customWidth="1"/>
    <col min="10505" max="10505" width="11.796875" style="34" customWidth="1"/>
    <col min="10506" max="10506" width="15.09765625" style="34" customWidth="1"/>
    <col min="10507" max="10752" width="11.19921875" style="34"/>
    <col min="10753" max="10753" width="6.796875" style="34" customWidth="1"/>
    <col min="10754" max="10754" width="20.59765625" style="34" customWidth="1"/>
    <col min="10755" max="10755" width="7.19921875" style="34" customWidth="1"/>
    <col min="10756" max="10756" width="7.59765625" style="34" customWidth="1"/>
    <col min="10757" max="10757" width="8.19921875" style="34" customWidth="1"/>
    <col min="10758" max="10758" width="11" style="34" customWidth="1"/>
    <col min="10759" max="10759" width="8" style="34" customWidth="1"/>
    <col min="10760" max="10760" width="11.59765625" style="34" customWidth="1"/>
    <col min="10761" max="10761" width="11.796875" style="34" customWidth="1"/>
    <col min="10762" max="10762" width="15.09765625" style="34" customWidth="1"/>
    <col min="10763" max="11008" width="11.19921875" style="34"/>
    <col min="11009" max="11009" width="6.796875" style="34" customWidth="1"/>
    <col min="11010" max="11010" width="20.59765625" style="34" customWidth="1"/>
    <col min="11011" max="11011" width="7.19921875" style="34" customWidth="1"/>
    <col min="11012" max="11012" width="7.59765625" style="34" customWidth="1"/>
    <col min="11013" max="11013" width="8.19921875" style="34" customWidth="1"/>
    <col min="11014" max="11014" width="11" style="34" customWidth="1"/>
    <col min="11015" max="11015" width="8" style="34" customWidth="1"/>
    <col min="11016" max="11016" width="11.59765625" style="34" customWidth="1"/>
    <col min="11017" max="11017" width="11.796875" style="34" customWidth="1"/>
    <col min="11018" max="11018" width="15.09765625" style="34" customWidth="1"/>
    <col min="11019" max="11264" width="11.19921875" style="34"/>
    <col min="11265" max="11265" width="6.796875" style="34" customWidth="1"/>
    <col min="11266" max="11266" width="20.59765625" style="34" customWidth="1"/>
    <col min="11267" max="11267" width="7.19921875" style="34" customWidth="1"/>
    <col min="11268" max="11268" width="7.59765625" style="34" customWidth="1"/>
    <col min="11269" max="11269" width="8.19921875" style="34" customWidth="1"/>
    <col min="11270" max="11270" width="11" style="34" customWidth="1"/>
    <col min="11271" max="11271" width="8" style="34" customWidth="1"/>
    <col min="11272" max="11272" width="11.59765625" style="34" customWidth="1"/>
    <col min="11273" max="11273" width="11.796875" style="34" customWidth="1"/>
    <col min="11274" max="11274" width="15.09765625" style="34" customWidth="1"/>
    <col min="11275" max="11520" width="11.19921875" style="34"/>
    <col min="11521" max="11521" width="6.796875" style="34" customWidth="1"/>
    <col min="11522" max="11522" width="20.59765625" style="34" customWidth="1"/>
    <col min="11523" max="11523" width="7.19921875" style="34" customWidth="1"/>
    <col min="11524" max="11524" width="7.59765625" style="34" customWidth="1"/>
    <col min="11525" max="11525" width="8.19921875" style="34" customWidth="1"/>
    <col min="11526" max="11526" width="11" style="34" customWidth="1"/>
    <col min="11527" max="11527" width="8" style="34" customWidth="1"/>
    <col min="11528" max="11528" width="11.59765625" style="34" customWidth="1"/>
    <col min="11529" max="11529" width="11.796875" style="34" customWidth="1"/>
    <col min="11530" max="11530" width="15.09765625" style="34" customWidth="1"/>
    <col min="11531" max="11776" width="11.19921875" style="34"/>
    <col min="11777" max="11777" width="6.796875" style="34" customWidth="1"/>
    <col min="11778" max="11778" width="20.59765625" style="34" customWidth="1"/>
    <col min="11779" max="11779" width="7.19921875" style="34" customWidth="1"/>
    <col min="11780" max="11780" width="7.59765625" style="34" customWidth="1"/>
    <col min="11781" max="11781" width="8.19921875" style="34" customWidth="1"/>
    <col min="11782" max="11782" width="11" style="34" customWidth="1"/>
    <col min="11783" max="11783" width="8" style="34" customWidth="1"/>
    <col min="11784" max="11784" width="11.59765625" style="34" customWidth="1"/>
    <col min="11785" max="11785" width="11.796875" style="34" customWidth="1"/>
    <col min="11786" max="11786" width="15.09765625" style="34" customWidth="1"/>
    <col min="11787" max="12032" width="11.19921875" style="34"/>
    <col min="12033" max="12033" width="6.796875" style="34" customWidth="1"/>
    <col min="12034" max="12034" width="20.59765625" style="34" customWidth="1"/>
    <col min="12035" max="12035" width="7.19921875" style="34" customWidth="1"/>
    <col min="12036" max="12036" width="7.59765625" style="34" customWidth="1"/>
    <col min="12037" max="12037" width="8.19921875" style="34" customWidth="1"/>
    <col min="12038" max="12038" width="11" style="34" customWidth="1"/>
    <col min="12039" max="12039" width="8" style="34" customWidth="1"/>
    <col min="12040" max="12040" width="11.59765625" style="34" customWidth="1"/>
    <col min="12041" max="12041" width="11.796875" style="34" customWidth="1"/>
    <col min="12042" max="12042" width="15.09765625" style="34" customWidth="1"/>
    <col min="12043" max="12288" width="11.19921875" style="34"/>
    <col min="12289" max="12289" width="6.796875" style="34" customWidth="1"/>
    <col min="12290" max="12290" width="20.59765625" style="34" customWidth="1"/>
    <col min="12291" max="12291" width="7.19921875" style="34" customWidth="1"/>
    <col min="12292" max="12292" width="7.59765625" style="34" customWidth="1"/>
    <col min="12293" max="12293" width="8.19921875" style="34" customWidth="1"/>
    <col min="12294" max="12294" width="11" style="34" customWidth="1"/>
    <col min="12295" max="12295" width="8" style="34" customWidth="1"/>
    <col min="12296" max="12296" width="11.59765625" style="34" customWidth="1"/>
    <col min="12297" max="12297" width="11.796875" style="34" customWidth="1"/>
    <col min="12298" max="12298" width="15.09765625" style="34" customWidth="1"/>
    <col min="12299" max="12544" width="11.19921875" style="34"/>
    <col min="12545" max="12545" width="6.796875" style="34" customWidth="1"/>
    <col min="12546" max="12546" width="20.59765625" style="34" customWidth="1"/>
    <col min="12547" max="12547" width="7.19921875" style="34" customWidth="1"/>
    <col min="12548" max="12548" width="7.59765625" style="34" customWidth="1"/>
    <col min="12549" max="12549" width="8.19921875" style="34" customWidth="1"/>
    <col min="12550" max="12550" width="11" style="34" customWidth="1"/>
    <col min="12551" max="12551" width="8" style="34" customWidth="1"/>
    <col min="12552" max="12552" width="11.59765625" style="34" customWidth="1"/>
    <col min="12553" max="12553" width="11.796875" style="34" customWidth="1"/>
    <col min="12554" max="12554" width="15.09765625" style="34" customWidth="1"/>
    <col min="12555" max="12800" width="11.19921875" style="34"/>
    <col min="12801" max="12801" width="6.796875" style="34" customWidth="1"/>
    <col min="12802" max="12802" width="20.59765625" style="34" customWidth="1"/>
    <col min="12803" max="12803" width="7.19921875" style="34" customWidth="1"/>
    <col min="12804" max="12804" width="7.59765625" style="34" customWidth="1"/>
    <col min="12805" max="12805" width="8.19921875" style="34" customWidth="1"/>
    <col min="12806" max="12806" width="11" style="34" customWidth="1"/>
    <col min="12807" max="12807" width="8" style="34" customWidth="1"/>
    <col min="12808" max="12808" width="11.59765625" style="34" customWidth="1"/>
    <col min="12809" max="12809" width="11.796875" style="34" customWidth="1"/>
    <col min="12810" max="12810" width="15.09765625" style="34" customWidth="1"/>
    <col min="12811" max="13056" width="11.19921875" style="34"/>
    <col min="13057" max="13057" width="6.796875" style="34" customWidth="1"/>
    <col min="13058" max="13058" width="20.59765625" style="34" customWidth="1"/>
    <col min="13059" max="13059" width="7.19921875" style="34" customWidth="1"/>
    <col min="13060" max="13060" width="7.59765625" style="34" customWidth="1"/>
    <col min="13061" max="13061" width="8.19921875" style="34" customWidth="1"/>
    <col min="13062" max="13062" width="11" style="34" customWidth="1"/>
    <col min="13063" max="13063" width="8" style="34" customWidth="1"/>
    <col min="13064" max="13064" width="11.59765625" style="34" customWidth="1"/>
    <col min="13065" max="13065" width="11.796875" style="34" customWidth="1"/>
    <col min="13066" max="13066" width="15.09765625" style="34" customWidth="1"/>
    <col min="13067" max="13312" width="11.19921875" style="34"/>
    <col min="13313" max="13313" width="6.796875" style="34" customWidth="1"/>
    <col min="13314" max="13314" width="20.59765625" style="34" customWidth="1"/>
    <col min="13315" max="13315" width="7.19921875" style="34" customWidth="1"/>
    <col min="13316" max="13316" width="7.59765625" style="34" customWidth="1"/>
    <col min="13317" max="13317" width="8.19921875" style="34" customWidth="1"/>
    <col min="13318" max="13318" width="11" style="34" customWidth="1"/>
    <col min="13319" max="13319" width="8" style="34" customWidth="1"/>
    <col min="13320" max="13320" width="11.59765625" style="34" customWidth="1"/>
    <col min="13321" max="13321" width="11.796875" style="34" customWidth="1"/>
    <col min="13322" max="13322" width="15.09765625" style="34" customWidth="1"/>
    <col min="13323" max="13568" width="11.19921875" style="34"/>
    <col min="13569" max="13569" width="6.796875" style="34" customWidth="1"/>
    <col min="13570" max="13570" width="20.59765625" style="34" customWidth="1"/>
    <col min="13571" max="13571" width="7.19921875" style="34" customWidth="1"/>
    <col min="13572" max="13572" width="7.59765625" style="34" customWidth="1"/>
    <col min="13573" max="13573" width="8.19921875" style="34" customWidth="1"/>
    <col min="13574" max="13574" width="11" style="34" customWidth="1"/>
    <col min="13575" max="13575" width="8" style="34" customWidth="1"/>
    <col min="13576" max="13576" width="11.59765625" style="34" customWidth="1"/>
    <col min="13577" max="13577" width="11.796875" style="34" customWidth="1"/>
    <col min="13578" max="13578" width="15.09765625" style="34" customWidth="1"/>
    <col min="13579" max="13824" width="11.19921875" style="34"/>
    <col min="13825" max="13825" width="6.796875" style="34" customWidth="1"/>
    <col min="13826" max="13826" width="20.59765625" style="34" customWidth="1"/>
    <col min="13827" max="13827" width="7.19921875" style="34" customWidth="1"/>
    <col min="13828" max="13828" width="7.59765625" style="34" customWidth="1"/>
    <col min="13829" max="13829" width="8.19921875" style="34" customWidth="1"/>
    <col min="13830" max="13830" width="11" style="34" customWidth="1"/>
    <col min="13831" max="13831" width="8" style="34" customWidth="1"/>
    <col min="13832" max="13832" width="11.59765625" style="34" customWidth="1"/>
    <col min="13833" max="13833" width="11.796875" style="34" customWidth="1"/>
    <col min="13834" max="13834" width="15.09765625" style="34" customWidth="1"/>
    <col min="13835" max="14080" width="11.19921875" style="34"/>
    <col min="14081" max="14081" width="6.796875" style="34" customWidth="1"/>
    <col min="14082" max="14082" width="20.59765625" style="34" customWidth="1"/>
    <col min="14083" max="14083" width="7.19921875" style="34" customWidth="1"/>
    <col min="14084" max="14084" width="7.59765625" style="34" customWidth="1"/>
    <col min="14085" max="14085" width="8.19921875" style="34" customWidth="1"/>
    <col min="14086" max="14086" width="11" style="34" customWidth="1"/>
    <col min="14087" max="14087" width="8" style="34" customWidth="1"/>
    <col min="14088" max="14088" width="11.59765625" style="34" customWidth="1"/>
    <col min="14089" max="14089" width="11.796875" style="34" customWidth="1"/>
    <col min="14090" max="14090" width="15.09765625" style="34" customWidth="1"/>
    <col min="14091" max="14336" width="11.19921875" style="34"/>
    <col min="14337" max="14337" width="6.796875" style="34" customWidth="1"/>
    <col min="14338" max="14338" width="20.59765625" style="34" customWidth="1"/>
    <col min="14339" max="14339" width="7.19921875" style="34" customWidth="1"/>
    <col min="14340" max="14340" width="7.59765625" style="34" customWidth="1"/>
    <col min="14341" max="14341" width="8.19921875" style="34" customWidth="1"/>
    <col min="14342" max="14342" width="11" style="34" customWidth="1"/>
    <col min="14343" max="14343" width="8" style="34" customWidth="1"/>
    <col min="14344" max="14344" width="11.59765625" style="34" customWidth="1"/>
    <col min="14345" max="14345" width="11.796875" style="34" customWidth="1"/>
    <col min="14346" max="14346" width="15.09765625" style="34" customWidth="1"/>
    <col min="14347" max="14592" width="11.19921875" style="34"/>
    <col min="14593" max="14593" width="6.796875" style="34" customWidth="1"/>
    <col min="14594" max="14594" width="20.59765625" style="34" customWidth="1"/>
    <col min="14595" max="14595" width="7.19921875" style="34" customWidth="1"/>
    <col min="14596" max="14596" width="7.59765625" style="34" customWidth="1"/>
    <col min="14597" max="14597" width="8.19921875" style="34" customWidth="1"/>
    <col min="14598" max="14598" width="11" style="34" customWidth="1"/>
    <col min="14599" max="14599" width="8" style="34" customWidth="1"/>
    <col min="14600" max="14600" width="11.59765625" style="34" customWidth="1"/>
    <col min="14601" max="14601" width="11.796875" style="34" customWidth="1"/>
    <col min="14602" max="14602" width="15.09765625" style="34" customWidth="1"/>
    <col min="14603" max="14848" width="11.19921875" style="34"/>
    <col min="14849" max="14849" width="6.796875" style="34" customWidth="1"/>
    <col min="14850" max="14850" width="20.59765625" style="34" customWidth="1"/>
    <col min="14851" max="14851" width="7.19921875" style="34" customWidth="1"/>
    <col min="14852" max="14852" width="7.59765625" style="34" customWidth="1"/>
    <col min="14853" max="14853" width="8.19921875" style="34" customWidth="1"/>
    <col min="14854" max="14854" width="11" style="34" customWidth="1"/>
    <col min="14855" max="14855" width="8" style="34" customWidth="1"/>
    <col min="14856" max="14856" width="11.59765625" style="34" customWidth="1"/>
    <col min="14857" max="14857" width="11.796875" style="34" customWidth="1"/>
    <col min="14858" max="14858" width="15.09765625" style="34" customWidth="1"/>
    <col min="14859" max="15104" width="11.19921875" style="34"/>
    <col min="15105" max="15105" width="6.796875" style="34" customWidth="1"/>
    <col min="15106" max="15106" width="20.59765625" style="34" customWidth="1"/>
    <col min="15107" max="15107" width="7.19921875" style="34" customWidth="1"/>
    <col min="15108" max="15108" width="7.59765625" style="34" customWidth="1"/>
    <col min="15109" max="15109" width="8.19921875" style="34" customWidth="1"/>
    <col min="15110" max="15110" width="11" style="34" customWidth="1"/>
    <col min="15111" max="15111" width="8" style="34" customWidth="1"/>
    <col min="15112" max="15112" width="11.59765625" style="34" customWidth="1"/>
    <col min="15113" max="15113" width="11.796875" style="34" customWidth="1"/>
    <col min="15114" max="15114" width="15.09765625" style="34" customWidth="1"/>
    <col min="15115" max="15360" width="11.19921875" style="34"/>
    <col min="15361" max="15361" width="6.796875" style="34" customWidth="1"/>
    <col min="15362" max="15362" width="20.59765625" style="34" customWidth="1"/>
    <col min="15363" max="15363" width="7.19921875" style="34" customWidth="1"/>
    <col min="15364" max="15364" width="7.59765625" style="34" customWidth="1"/>
    <col min="15365" max="15365" width="8.19921875" style="34" customWidth="1"/>
    <col min="15366" max="15366" width="11" style="34" customWidth="1"/>
    <col min="15367" max="15367" width="8" style="34" customWidth="1"/>
    <col min="15368" max="15368" width="11.59765625" style="34" customWidth="1"/>
    <col min="15369" max="15369" width="11.796875" style="34" customWidth="1"/>
    <col min="15370" max="15370" width="15.09765625" style="34" customWidth="1"/>
    <col min="15371" max="15616" width="11.19921875" style="34"/>
    <col min="15617" max="15617" width="6.796875" style="34" customWidth="1"/>
    <col min="15618" max="15618" width="20.59765625" style="34" customWidth="1"/>
    <col min="15619" max="15619" width="7.19921875" style="34" customWidth="1"/>
    <col min="15620" max="15620" width="7.59765625" style="34" customWidth="1"/>
    <col min="15621" max="15621" width="8.19921875" style="34" customWidth="1"/>
    <col min="15622" max="15622" width="11" style="34" customWidth="1"/>
    <col min="15623" max="15623" width="8" style="34" customWidth="1"/>
    <col min="15624" max="15624" width="11.59765625" style="34" customWidth="1"/>
    <col min="15625" max="15625" width="11.796875" style="34" customWidth="1"/>
    <col min="15626" max="15626" width="15.09765625" style="34" customWidth="1"/>
    <col min="15627" max="15872" width="11.19921875" style="34"/>
    <col min="15873" max="15873" width="6.796875" style="34" customWidth="1"/>
    <col min="15874" max="15874" width="20.59765625" style="34" customWidth="1"/>
    <col min="15875" max="15875" width="7.19921875" style="34" customWidth="1"/>
    <col min="15876" max="15876" width="7.59765625" style="34" customWidth="1"/>
    <col min="15877" max="15877" width="8.19921875" style="34" customWidth="1"/>
    <col min="15878" max="15878" width="11" style="34" customWidth="1"/>
    <col min="15879" max="15879" width="8" style="34" customWidth="1"/>
    <col min="15880" max="15880" width="11.59765625" style="34" customWidth="1"/>
    <col min="15881" max="15881" width="11.796875" style="34" customWidth="1"/>
    <col min="15882" max="15882" width="15.09765625" style="34" customWidth="1"/>
    <col min="15883" max="16128" width="11.19921875" style="34"/>
    <col min="16129" max="16129" width="6.796875" style="34" customWidth="1"/>
    <col min="16130" max="16130" width="20.59765625" style="34" customWidth="1"/>
    <col min="16131" max="16131" width="7.19921875" style="34" customWidth="1"/>
    <col min="16132" max="16132" width="7.59765625" style="34" customWidth="1"/>
    <col min="16133" max="16133" width="8.19921875" style="34" customWidth="1"/>
    <col min="16134" max="16134" width="11" style="34" customWidth="1"/>
    <col min="16135" max="16135" width="8" style="34" customWidth="1"/>
    <col min="16136" max="16136" width="11.59765625" style="34" customWidth="1"/>
    <col min="16137" max="16137" width="11.796875" style="34" customWidth="1"/>
    <col min="16138" max="16138" width="15.09765625" style="34" customWidth="1"/>
    <col min="16139" max="16384" width="11.19921875" style="34"/>
  </cols>
  <sheetData>
    <row r="1" spans="1:11" s="3" customFormat="1" ht="38" customHeight="1">
      <c r="A1" s="1"/>
      <c r="B1" s="1492" t="s">
        <v>106</v>
      </c>
      <c r="C1" s="1492"/>
      <c r="D1" s="1492"/>
      <c r="E1" s="1492"/>
      <c r="F1" s="1493"/>
      <c r="G1" s="1494"/>
      <c r="H1" s="1493"/>
      <c r="I1" s="1495"/>
      <c r="J1" s="1495"/>
    </row>
    <row r="2" spans="1:11" s="3" customFormat="1" ht="20.149999999999999" customHeight="1">
      <c r="A2" s="1"/>
      <c r="B2" s="1496" t="s">
        <v>107</v>
      </c>
      <c r="C2" s="1497"/>
      <c r="D2" s="1497"/>
      <c r="E2" s="1497"/>
      <c r="F2" s="1498"/>
      <c r="G2" s="1499"/>
      <c r="H2" s="1498"/>
      <c r="I2" s="1500"/>
      <c r="J2" s="1500"/>
    </row>
    <row r="3" spans="1:11" s="6" customFormat="1" ht="20.149999999999999" customHeight="1" thickBot="1">
      <c r="A3" s="1501" t="s">
        <v>108</v>
      </c>
      <c r="B3" s="1501"/>
      <c r="C3" s="1501"/>
      <c r="D3" s="1501"/>
      <c r="E3" s="1501"/>
      <c r="F3" s="1502"/>
      <c r="G3" s="1501"/>
      <c r="H3" s="1501"/>
      <c r="I3" s="1501"/>
      <c r="J3" s="1501"/>
    </row>
    <row r="4" spans="1:11" s="6" customFormat="1" ht="31" customHeight="1" thickTop="1">
      <c r="A4" s="1503" t="s">
        <v>109</v>
      </c>
      <c r="B4" s="1503"/>
      <c r="C4" s="1503"/>
      <c r="D4" s="1503"/>
      <c r="E4" s="1503"/>
      <c r="F4" s="1504"/>
      <c r="G4" s="1505"/>
      <c r="H4" s="1504"/>
      <c r="I4" s="1506"/>
      <c r="J4" s="1506"/>
    </row>
    <row r="5" spans="1:11" s="12" customFormat="1" ht="18" customHeight="1">
      <c r="A5" s="8" t="s">
        <v>195</v>
      </c>
      <c r="B5" s="9"/>
      <c r="C5" s="8"/>
      <c r="D5" s="9"/>
      <c r="E5" s="9"/>
      <c r="F5" s="10"/>
      <c r="G5" s="9"/>
      <c r="H5" s="10"/>
      <c r="I5" s="11"/>
      <c r="J5" s="11"/>
    </row>
    <row r="6" spans="1:11" s="16" customFormat="1" ht="18" customHeight="1">
      <c r="A6" s="13" t="s">
        <v>196</v>
      </c>
      <c r="B6" s="9"/>
      <c r="C6" s="8"/>
      <c r="D6" s="8"/>
      <c r="E6" s="8"/>
      <c r="F6" s="14"/>
      <c r="G6" s="15"/>
      <c r="H6" s="10"/>
      <c r="I6" s="11"/>
      <c r="J6" s="11"/>
    </row>
    <row r="7" spans="1:11" s="16" customFormat="1" ht="18" customHeight="1">
      <c r="A7" s="1507" t="s">
        <v>112</v>
      </c>
      <c r="B7" s="1507"/>
      <c r="C7" s="8"/>
      <c r="D7" s="8"/>
      <c r="E7" s="8"/>
      <c r="F7" s="14"/>
      <c r="G7" s="15"/>
      <c r="H7" s="10"/>
      <c r="I7" s="11"/>
      <c r="J7" s="11"/>
    </row>
    <row r="8" spans="1:11" s="17" customFormat="1" ht="36" customHeight="1">
      <c r="A8" s="1508" t="s">
        <v>113</v>
      </c>
      <c r="B8" s="1509" t="s">
        <v>114</v>
      </c>
      <c r="C8" s="59" t="s">
        <v>115</v>
      </c>
      <c r="D8" s="60"/>
      <c r="E8" s="61"/>
      <c r="F8" s="1511" t="s">
        <v>116</v>
      </c>
      <c r="G8" s="1512" t="s">
        <v>117</v>
      </c>
      <c r="H8" s="1513"/>
      <c r="I8" s="1490" t="s">
        <v>197</v>
      </c>
      <c r="J8" s="1491"/>
    </row>
    <row r="9" spans="1:11" s="17" customFormat="1" ht="43" customHeight="1">
      <c r="A9" s="1508"/>
      <c r="B9" s="1510"/>
      <c r="C9" s="62"/>
      <c r="D9" s="63"/>
      <c r="E9" s="67" t="s">
        <v>215</v>
      </c>
      <c r="F9" s="1511"/>
      <c r="G9" s="18" t="s">
        <v>119</v>
      </c>
      <c r="H9" s="19" t="s">
        <v>120</v>
      </c>
      <c r="I9" s="20" t="s">
        <v>121</v>
      </c>
      <c r="J9" s="21" t="s">
        <v>122</v>
      </c>
      <c r="K9" s="17" t="s">
        <v>123</v>
      </c>
    </row>
    <row r="10" spans="1:11" s="17" customFormat="1" ht="43" customHeight="1">
      <c r="A10" s="22" t="s">
        <v>48</v>
      </c>
      <c r="B10" s="23" t="s">
        <v>124</v>
      </c>
      <c r="C10" s="64" t="s">
        <v>190</v>
      </c>
      <c r="D10" s="65"/>
      <c r="E10" s="66">
        <f>G10*2*6</f>
        <v>36</v>
      </c>
      <c r="F10" s="24">
        <v>565.20000000000005</v>
      </c>
      <c r="G10" s="25">
        <v>3</v>
      </c>
      <c r="H10" s="26">
        <f t="shared" ref="H10:H26" si="0">G10*F10</f>
        <v>1695.6000000000001</v>
      </c>
      <c r="I10" s="28">
        <v>3.16</v>
      </c>
      <c r="J10" s="27">
        <f t="shared" ref="J10:J26" si="1">I10*H10</f>
        <v>5358.0960000000005</v>
      </c>
      <c r="K10" s="17" t="s">
        <v>126</v>
      </c>
    </row>
    <row r="11" spans="1:11" s="17" customFormat="1" ht="43" customHeight="1">
      <c r="A11" s="22" t="s">
        <v>54</v>
      </c>
      <c r="B11" s="23" t="s">
        <v>133</v>
      </c>
      <c r="C11" s="64" t="s">
        <v>191</v>
      </c>
      <c r="D11" s="65"/>
      <c r="E11" s="66">
        <f>G11*1.5*3.7</f>
        <v>5.5500000000000007</v>
      </c>
      <c r="F11" s="24">
        <v>653.5</v>
      </c>
      <c r="G11" s="25">
        <v>1</v>
      </c>
      <c r="H11" s="26">
        <f t="shared" si="0"/>
        <v>653.5</v>
      </c>
      <c r="I11" s="28">
        <v>1.1000000000000001</v>
      </c>
      <c r="J11" s="27">
        <f t="shared" si="1"/>
        <v>718.85</v>
      </c>
      <c r="K11" s="17" t="s">
        <v>126</v>
      </c>
    </row>
    <row r="12" spans="1:11" s="17" customFormat="1" ht="43" customHeight="1">
      <c r="A12" s="22" t="s">
        <v>59</v>
      </c>
      <c r="B12" s="23" t="s">
        <v>136</v>
      </c>
      <c r="C12" s="64" t="s">
        <v>192</v>
      </c>
      <c r="D12" s="65"/>
      <c r="E12" s="66">
        <f>G12*2*6</f>
        <v>12</v>
      </c>
      <c r="F12" s="24">
        <v>1507.2</v>
      </c>
      <c r="G12" s="25">
        <v>1</v>
      </c>
      <c r="H12" s="26">
        <f t="shared" si="0"/>
        <v>1507.2</v>
      </c>
      <c r="I12" s="28">
        <v>3.07</v>
      </c>
      <c r="J12" s="27">
        <f t="shared" si="1"/>
        <v>4627.1040000000003</v>
      </c>
      <c r="K12" s="17" t="s">
        <v>126</v>
      </c>
    </row>
    <row r="13" spans="1:11" s="17" customFormat="1" ht="43" customHeight="1">
      <c r="A13" s="22" t="s">
        <v>62</v>
      </c>
      <c r="B13" s="23" t="s">
        <v>136</v>
      </c>
      <c r="C13" s="64" t="s">
        <v>198</v>
      </c>
      <c r="D13" s="65"/>
      <c r="E13" s="66">
        <f>G13*2*6</f>
        <v>12</v>
      </c>
      <c r="F13" s="24">
        <f>22*2*6*7.85</f>
        <v>2072.4</v>
      </c>
      <c r="G13" s="25">
        <v>1</v>
      </c>
      <c r="H13" s="26">
        <f t="shared" si="0"/>
        <v>2072.4</v>
      </c>
      <c r="I13" s="28">
        <v>3.16</v>
      </c>
      <c r="J13" s="27">
        <f t="shared" si="1"/>
        <v>6548.7840000000006</v>
      </c>
      <c r="K13" s="17" t="s">
        <v>126</v>
      </c>
    </row>
    <row r="14" spans="1:11" s="17" customFormat="1" ht="43" customHeight="1">
      <c r="A14" s="22" t="s">
        <v>47</v>
      </c>
      <c r="B14" s="23" t="s">
        <v>199</v>
      </c>
      <c r="C14" s="64" t="s">
        <v>200</v>
      </c>
      <c r="D14" s="65"/>
      <c r="E14" s="66">
        <f>G14*1.219*2.438</f>
        <v>2.9719220000000006</v>
      </c>
      <c r="F14" s="24">
        <v>47.2</v>
      </c>
      <c r="G14" s="25">
        <v>1</v>
      </c>
      <c r="H14" s="26">
        <f t="shared" si="0"/>
        <v>47.2</v>
      </c>
      <c r="I14" s="28">
        <v>3.29</v>
      </c>
      <c r="J14" s="27">
        <f t="shared" si="1"/>
        <v>155.28800000000001</v>
      </c>
    </row>
    <row r="15" spans="1:11" s="17" customFormat="1" ht="43" customHeight="1">
      <c r="A15" s="22" t="s">
        <v>78</v>
      </c>
      <c r="B15" s="23" t="s">
        <v>201</v>
      </c>
      <c r="C15" s="64" t="s">
        <v>202</v>
      </c>
      <c r="D15" s="65"/>
      <c r="E15" s="66">
        <f t="shared" ref="E15:E21" si="2">G15*6</f>
        <v>12</v>
      </c>
      <c r="F15" s="24">
        <v>59.8</v>
      </c>
      <c r="G15" s="25">
        <v>2</v>
      </c>
      <c r="H15" s="26">
        <f t="shared" si="0"/>
        <v>119.6</v>
      </c>
      <c r="I15" s="28">
        <v>3.72</v>
      </c>
      <c r="J15" s="27">
        <f t="shared" si="1"/>
        <v>444.91199999999998</v>
      </c>
    </row>
    <row r="16" spans="1:11" s="17" customFormat="1" ht="43" customHeight="1">
      <c r="A16" s="22" t="s">
        <v>65</v>
      </c>
      <c r="B16" s="23" t="s">
        <v>203</v>
      </c>
      <c r="C16" s="64" t="s">
        <v>204</v>
      </c>
      <c r="D16" s="65"/>
      <c r="E16" s="66">
        <f t="shared" si="2"/>
        <v>6</v>
      </c>
      <c r="F16" s="24">
        <v>85.2</v>
      </c>
      <c r="G16" s="25">
        <v>1</v>
      </c>
      <c r="H16" s="26">
        <f t="shared" si="0"/>
        <v>85.2</v>
      </c>
      <c r="I16" s="28">
        <v>0.91</v>
      </c>
      <c r="J16" s="27">
        <f t="shared" si="1"/>
        <v>77.532000000000011</v>
      </c>
    </row>
    <row r="17" spans="1:10" s="17" customFormat="1" ht="43" customHeight="1">
      <c r="A17" s="22" t="s">
        <v>66</v>
      </c>
      <c r="B17" s="23" t="s">
        <v>203</v>
      </c>
      <c r="C17" s="64" t="s">
        <v>205</v>
      </c>
      <c r="D17" s="65"/>
      <c r="E17" s="66">
        <f t="shared" si="2"/>
        <v>126</v>
      </c>
      <c r="F17" s="24">
        <v>76.2</v>
      </c>
      <c r="G17" s="25">
        <v>21</v>
      </c>
      <c r="H17" s="26">
        <f t="shared" si="0"/>
        <v>1600.2</v>
      </c>
      <c r="I17" s="28">
        <v>0.91</v>
      </c>
      <c r="J17" s="27">
        <f t="shared" si="1"/>
        <v>1456.182</v>
      </c>
    </row>
    <row r="18" spans="1:10" s="17" customFormat="1" ht="43" customHeight="1">
      <c r="A18" s="22" t="s">
        <v>67</v>
      </c>
      <c r="B18" s="23" t="s">
        <v>203</v>
      </c>
      <c r="C18" s="64" t="s">
        <v>206</v>
      </c>
      <c r="D18" s="65"/>
      <c r="E18" s="66">
        <f t="shared" si="2"/>
        <v>60</v>
      </c>
      <c r="F18" s="24">
        <v>85.8</v>
      </c>
      <c r="G18" s="25">
        <v>10</v>
      </c>
      <c r="H18" s="26">
        <f t="shared" si="0"/>
        <v>858</v>
      </c>
      <c r="I18" s="28">
        <v>0.91</v>
      </c>
      <c r="J18" s="27">
        <f t="shared" si="1"/>
        <v>780.78</v>
      </c>
    </row>
    <row r="19" spans="1:10" s="17" customFormat="1" ht="43" customHeight="1">
      <c r="A19" s="22" t="s">
        <v>68</v>
      </c>
      <c r="B19" s="23" t="s">
        <v>203</v>
      </c>
      <c r="C19" s="64" t="s">
        <v>207</v>
      </c>
      <c r="D19" s="65"/>
      <c r="E19" s="66">
        <f t="shared" si="2"/>
        <v>150</v>
      </c>
      <c r="F19" s="24">
        <v>119</v>
      </c>
      <c r="G19" s="25">
        <v>25</v>
      </c>
      <c r="H19" s="26">
        <f t="shared" si="0"/>
        <v>2975</v>
      </c>
      <c r="I19" s="28">
        <v>0.91</v>
      </c>
      <c r="J19" s="27">
        <f t="shared" si="1"/>
        <v>2707.25</v>
      </c>
    </row>
    <row r="20" spans="1:10" s="17" customFormat="1" ht="43" customHeight="1">
      <c r="A20" s="22" t="s">
        <v>69</v>
      </c>
      <c r="B20" s="23" t="s">
        <v>203</v>
      </c>
      <c r="C20" s="64" t="s">
        <v>208</v>
      </c>
      <c r="D20" s="65"/>
      <c r="E20" s="66">
        <f t="shared" si="2"/>
        <v>18</v>
      </c>
      <c r="F20" s="24">
        <v>189.4</v>
      </c>
      <c r="G20" s="25">
        <v>3</v>
      </c>
      <c r="H20" s="26">
        <f t="shared" si="0"/>
        <v>568.20000000000005</v>
      </c>
      <c r="I20" s="28">
        <v>0.91</v>
      </c>
      <c r="J20" s="27">
        <f t="shared" si="1"/>
        <v>517.06200000000001</v>
      </c>
    </row>
    <row r="21" spans="1:10" s="17" customFormat="1" ht="43" customHeight="1">
      <c r="A21" s="22" t="s">
        <v>70</v>
      </c>
      <c r="B21" s="23" t="s">
        <v>203</v>
      </c>
      <c r="C21" s="64" t="s">
        <v>209</v>
      </c>
      <c r="D21" s="65"/>
      <c r="E21" s="66">
        <f t="shared" si="2"/>
        <v>6</v>
      </c>
      <c r="F21" s="24">
        <v>220.2</v>
      </c>
      <c r="G21" s="25">
        <v>1</v>
      </c>
      <c r="H21" s="26">
        <f t="shared" si="0"/>
        <v>220.2</v>
      </c>
      <c r="I21" s="28">
        <v>0.91</v>
      </c>
      <c r="J21" s="27">
        <f t="shared" si="1"/>
        <v>200.38200000000001</v>
      </c>
    </row>
    <row r="22" spans="1:10" s="17" customFormat="1" ht="43" customHeight="1">
      <c r="A22" s="22" t="s">
        <v>71</v>
      </c>
      <c r="B22" s="23" t="s">
        <v>203</v>
      </c>
      <c r="C22" s="64" t="s">
        <v>210</v>
      </c>
      <c r="D22" s="65"/>
      <c r="E22" s="66">
        <f>G22*12</f>
        <v>12</v>
      </c>
      <c r="F22" s="24">
        <v>695.5</v>
      </c>
      <c r="G22" s="25">
        <v>1</v>
      </c>
      <c r="H22" s="26">
        <f t="shared" si="0"/>
        <v>695.5</v>
      </c>
      <c r="I22" s="28">
        <v>0.91</v>
      </c>
      <c r="J22" s="27">
        <f t="shared" si="1"/>
        <v>632.90499999999997</v>
      </c>
    </row>
    <row r="23" spans="1:10" s="17" customFormat="1" ht="43" customHeight="1">
      <c r="A23" s="22" t="s">
        <v>72</v>
      </c>
      <c r="B23" s="23" t="s">
        <v>203</v>
      </c>
      <c r="C23" s="64" t="s">
        <v>211</v>
      </c>
      <c r="D23" s="65"/>
      <c r="E23" s="66">
        <f>G23*6</f>
        <v>6</v>
      </c>
      <c r="F23" s="24">
        <v>16.600000000000001</v>
      </c>
      <c r="G23" s="25">
        <v>1</v>
      </c>
      <c r="H23" s="26">
        <f t="shared" si="0"/>
        <v>16.600000000000001</v>
      </c>
      <c r="I23" s="28">
        <v>0.91</v>
      </c>
      <c r="J23" s="27">
        <f t="shared" si="1"/>
        <v>15.106000000000002</v>
      </c>
    </row>
    <row r="24" spans="1:10" s="17" customFormat="1" ht="43" customHeight="1">
      <c r="A24" s="22" t="s">
        <v>73</v>
      </c>
      <c r="B24" s="23" t="s">
        <v>203</v>
      </c>
      <c r="C24" s="64" t="s">
        <v>212</v>
      </c>
      <c r="D24" s="65"/>
      <c r="E24" s="66">
        <f>G24*6</f>
        <v>6</v>
      </c>
      <c r="F24" s="24">
        <v>29.3</v>
      </c>
      <c r="G24" s="25">
        <v>1</v>
      </c>
      <c r="H24" s="26">
        <f t="shared" si="0"/>
        <v>29.3</v>
      </c>
      <c r="I24" s="28">
        <v>0.91</v>
      </c>
      <c r="J24" s="27">
        <f t="shared" si="1"/>
        <v>26.663</v>
      </c>
    </row>
    <row r="25" spans="1:10" s="17" customFormat="1" ht="43" customHeight="1">
      <c r="A25" s="22" t="s">
        <v>75</v>
      </c>
      <c r="B25" s="23" t="s">
        <v>203</v>
      </c>
      <c r="C25" s="64" t="s">
        <v>213</v>
      </c>
      <c r="D25" s="65"/>
      <c r="E25" s="66">
        <f>G25*6</f>
        <v>6</v>
      </c>
      <c r="F25" s="24">
        <v>47.9</v>
      </c>
      <c r="G25" s="25">
        <v>1</v>
      </c>
      <c r="H25" s="26">
        <f t="shared" si="0"/>
        <v>47.9</v>
      </c>
      <c r="I25" s="28">
        <v>0.91</v>
      </c>
      <c r="J25" s="27">
        <f t="shared" si="1"/>
        <v>43.588999999999999</v>
      </c>
    </row>
    <row r="26" spans="1:10" s="17" customFormat="1" ht="43" customHeight="1">
      <c r="A26" s="22" t="s">
        <v>76</v>
      </c>
      <c r="B26" s="23" t="s">
        <v>203</v>
      </c>
      <c r="C26" s="64" t="s">
        <v>214</v>
      </c>
      <c r="D26" s="65"/>
      <c r="E26" s="66">
        <f>G26*6</f>
        <v>36</v>
      </c>
      <c r="F26" s="24">
        <v>52.6</v>
      </c>
      <c r="G26" s="25">
        <v>6</v>
      </c>
      <c r="H26" s="26">
        <f t="shared" si="0"/>
        <v>315.60000000000002</v>
      </c>
      <c r="I26" s="28">
        <v>0.91</v>
      </c>
      <c r="J26" s="27">
        <f t="shared" si="1"/>
        <v>287.19600000000003</v>
      </c>
    </row>
    <row r="27" spans="1:10" s="17" customFormat="1" ht="21" customHeight="1">
      <c r="A27" s="1519" t="s">
        <v>149</v>
      </c>
      <c r="B27" s="1520"/>
      <c r="C27" s="1520"/>
      <c r="D27" s="1520"/>
      <c r="E27" s="1520"/>
      <c r="F27" s="1521"/>
      <c r="G27" s="30">
        <f>SUM(G10:G26)</f>
        <v>80</v>
      </c>
      <c r="H27" s="19">
        <f>SUM(H10:H26)</f>
        <v>13507.200000000003</v>
      </c>
      <c r="I27" s="20"/>
      <c r="J27" s="31">
        <f>SUM(J10:J26)</f>
        <v>24597.681000000004</v>
      </c>
    </row>
    <row r="28" spans="1:10" s="16" customFormat="1" ht="20.149999999999999" customHeight="1">
      <c r="A28" s="1515" t="s">
        <v>150</v>
      </c>
      <c r="B28" s="1515"/>
      <c r="C28" s="1515"/>
      <c r="D28" s="1515"/>
      <c r="E28" s="1515"/>
      <c r="F28" s="1516"/>
      <c r="G28" s="1517"/>
      <c r="H28" s="1516"/>
      <c r="I28" s="1518"/>
      <c r="J28" s="1518"/>
    </row>
    <row r="29" spans="1:10" s="16" customFormat="1" ht="20.149999999999999" customHeight="1">
      <c r="A29" s="1522" t="s">
        <v>151</v>
      </c>
      <c r="B29" s="1522"/>
      <c r="C29" s="1515" t="s">
        <v>152</v>
      </c>
      <c r="D29" s="1522"/>
      <c r="E29" s="1515"/>
      <c r="F29" s="1516"/>
      <c r="G29" s="1517"/>
      <c r="H29" s="1516"/>
      <c r="I29" s="1518"/>
      <c r="J29" s="1518"/>
    </row>
    <row r="30" spans="1:10" s="16" customFormat="1" ht="20.149999999999999" customHeight="1">
      <c r="A30" s="1522" t="s">
        <v>153</v>
      </c>
      <c r="B30" s="1522"/>
      <c r="C30" s="1515" t="s">
        <v>154</v>
      </c>
      <c r="D30" s="1522"/>
      <c r="E30" s="1515"/>
      <c r="F30" s="1516"/>
      <c r="G30" s="1517"/>
      <c r="H30" s="1516"/>
      <c r="I30" s="1518"/>
      <c r="J30" s="1518"/>
    </row>
    <row r="31" spans="1:10" s="16" customFormat="1" ht="26" customHeight="1">
      <c r="A31" s="1522" t="s">
        <v>155</v>
      </c>
      <c r="B31" s="1522"/>
      <c r="C31" s="1515" t="s">
        <v>156</v>
      </c>
      <c r="D31" s="1522"/>
      <c r="E31" s="1515"/>
      <c r="F31" s="1516"/>
      <c r="G31" s="1517"/>
      <c r="H31" s="1516"/>
      <c r="I31" s="1518"/>
      <c r="J31" s="1518"/>
    </row>
    <row r="32" spans="1:10" s="16" customFormat="1" ht="20.149999999999999" customHeight="1">
      <c r="A32" s="1515" t="s">
        <v>157</v>
      </c>
      <c r="B32" s="1515"/>
      <c r="C32" s="1515"/>
      <c r="D32" s="1515"/>
      <c r="E32" s="1515"/>
      <c r="F32" s="1516"/>
      <c r="G32" s="1515"/>
      <c r="H32" s="1516"/>
      <c r="I32" s="1518"/>
      <c r="J32" s="1518"/>
    </row>
    <row r="33" spans="1:10" s="16" customFormat="1" ht="20.149999999999999" customHeight="1">
      <c r="A33" s="1522" t="s">
        <v>158</v>
      </c>
      <c r="B33" s="1522"/>
      <c r="C33" s="1515" t="s">
        <v>159</v>
      </c>
      <c r="D33" s="1522"/>
      <c r="E33" s="1515"/>
      <c r="F33" s="1516"/>
      <c r="G33" s="1517"/>
      <c r="H33" s="1516"/>
      <c r="I33" s="1518"/>
      <c r="J33" s="1518"/>
    </row>
    <row r="34" spans="1:10" s="16" customFormat="1" ht="20.149999999999999" customHeight="1">
      <c r="A34" s="1514" t="s">
        <v>160</v>
      </c>
      <c r="B34" s="1514"/>
      <c r="C34" s="1515" t="s">
        <v>161</v>
      </c>
      <c r="D34" s="1515"/>
      <c r="E34" s="1515"/>
      <c r="F34" s="1516"/>
      <c r="G34" s="1517"/>
      <c r="H34" s="1516"/>
      <c r="I34" s="1518"/>
      <c r="J34" s="1518"/>
    </row>
    <row r="35" spans="1:10" s="16" customFormat="1" ht="21" customHeight="1">
      <c r="A35" s="1523" t="s">
        <v>162</v>
      </c>
      <c r="B35" s="1523"/>
      <c r="C35" s="1524" t="s">
        <v>163</v>
      </c>
      <c r="D35" s="1525"/>
      <c r="E35" s="1524"/>
      <c r="F35" s="1526"/>
      <c r="G35" s="1527"/>
      <c r="H35" s="1526"/>
      <c r="I35" s="1528"/>
      <c r="J35" s="1528"/>
    </row>
    <row r="36" spans="1:10" s="16" customFormat="1" ht="20.149999999999999" customHeight="1">
      <c r="A36" s="1523" t="s">
        <v>164</v>
      </c>
      <c r="B36" s="1523"/>
      <c r="C36" s="1524" t="s">
        <v>193</v>
      </c>
      <c r="D36" s="1525"/>
      <c r="E36" s="1524"/>
      <c r="F36" s="1526"/>
      <c r="G36" s="1527"/>
      <c r="H36" s="1526"/>
      <c r="I36" s="1528"/>
      <c r="J36" s="1528"/>
    </row>
    <row r="37" spans="1:10" s="16" customFormat="1" ht="20.149999999999999" customHeight="1">
      <c r="A37" s="1523" t="s">
        <v>165</v>
      </c>
      <c r="B37" s="1523"/>
      <c r="C37" s="1529" t="s">
        <v>166</v>
      </c>
      <c r="D37" s="1523"/>
      <c r="E37" s="1529"/>
      <c r="F37" s="1530"/>
      <c r="G37" s="1531"/>
      <c r="H37" s="1530"/>
      <c r="I37" s="1532"/>
      <c r="J37" s="1532"/>
    </row>
    <row r="38" spans="1:10" s="16" customFormat="1" ht="20.149999999999999" customHeight="1">
      <c r="A38" s="1523" t="s">
        <v>167</v>
      </c>
      <c r="B38" s="1523"/>
      <c r="C38" s="1529" t="s">
        <v>168</v>
      </c>
      <c r="D38" s="1523"/>
      <c r="E38" s="1529"/>
      <c r="F38" s="1530"/>
      <c r="G38" s="1531"/>
      <c r="H38" s="1530"/>
      <c r="I38" s="1532"/>
      <c r="J38" s="1532"/>
    </row>
    <row r="39" spans="1:10" s="16" customFormat="1" ht="20.149999999999999" customHeight="1">
      <c r="A39" s="1523" t="s">
        <v>169</v>
      </c>
      <c r="B39" s="1523"/>
      <c r="C39" s="1533" t="s">
        <v>170</v>
      </c>
      <c r="D39" s="1534"/>
      <c r="E39" s="1533"/>
      <c r="F39" s="1526"/>
      <c r="G39" s="1527"/>
      <c r="H39" s="1526"/>
      <c r="I39" s="1528"/>
      <c r="J39" s="1528"/>
    </row>
    <row r="40" spans="1:10" s="16" customFormat="1" ht="20.149999999999999" customHeight="1">
      <c r="A40" s="1523" t="s">
        <v>171</v>
      </c>
      <c r="B40" s="1523"/>
      <c r="C40" s="1529" t="s">
        <v>172</v>
      </c>
      <c r="D40" s="1523"/>
      <c r="E40" s="1529"/>
      <c r="F40" s="1530"/>
      <c r="G40" s="1531"/>
      <c r="H40" s="1530"/>
      <c r="I40" s="1532"/>
      <c r="J40" s="1532"/>
    </row>
    <row r="41" spans="1:10" s="16" customFormat="1" ht="20.149999999999999" customHeight="1">
      <c r="A41" s="1523" t="s">
        <v>173</v>
      </c>
      <c r="B41" s="1523"/>
      <c r="C41" s="1529" t="s">
        <v>174</v>
      </c>
      <c r="D41" s="1523"/>
      <c r="E41" s="1529"/>
      <c r="F41" s="1530"/>
      <c r="G41" s="1531"/>
      <c r="H41" s="1530"/>
      <c r="I41" s="1532"/>
      <c r="J41" s="1532"/>
    </row>
    <row r="42" spans="1:10" s="32" customFormat="1" ht="20.149999999999999" customHeight="1">
      <c r="A42" s="1523" t="s">
        <v>175</v>
      </c>
      <c r="B42" s="1523"/>
      <c r="C42" s="1515" t="s">
        <v>176</v>
      </c>
      <c r="D42" s="1522"/>
      <c r="E42" s="1515"/>
      <c r="F42" s="1516"/>
      <c r="G42" s="1517"/>
      <c r="H42" s="1516"/>
      <c r="I42" s="1518"/>
      <c r="J42" s="1518"/>
    </row>
    <row r="43" spans="1:10" s="32" customFormat="1" ht="20.149999999999999" customHeight="1">
      <c r="A43" s="1523"/>
      <c r="B43" s="1523"/>
      <c r="C43" s="1515" t="s">
        <v>177</v>
      </c>
      <c r="D43" s="1522"/>
      <c r="E43" s="1515"/>
      <c r="F43" s="1516"/>
      <c r="G43" s="1517"/>
      <c r="H43" s="1516"/>
      <c r="I43" s="1518"/>
      <c r="J43" s="1518"/>
    </row>
    <row r="44" spans="1:10" s="32" customFormat="1" ht="20.149999999999999" customHeight="1">
      <c r="A44" s="1515" t="s">
        <v>178</v>
      </c>
      <c r="B44" s="1515"/>
      <c r="C44" s="1515"/>
      <c r="D44" s="1515"/>
      <c r="E44" s="1515"/>
      <c r="F44" s="1516"/>
      <c r="G44" s="1515"/>
      <c r="H44" s="1516"/>
      <c r="I44" s="1518"/>
      <c r="J44" s="1518"/>
    </row>
    <row r="45" spans="1:10" s="33" customFormat="1" ht="20.149999999999999" customHeight="1">
      <c r="A45" s="1535" t="s">
        <v>179</v>
      </c>
      <c r="B45" s="1536"/>
      <c r="C45" s="1537" t="s">
        <v>106</v>
      </c>
      <c r="D45" s="1538"/>
      <c r="E45" s="1538"/>
      <c r="F45" s="1539"/>
      <c r="G45" s="1538"/>
      <c r="H45" s="1539"/>
      <c r="I45" s="1540"/>
      <c r="J45" s="1541"/>
    </row>
    <row r="46" spans="1:10" s="33" customFormat="1" ht="20.149999999999999" customHeight="1">
      <c r="A46" s="1535" t="s">
        <v>180</v>
      </c>
      <c r="B46" s="1536"/>
      <c r="C46" s="1537" t="s">
        <v>107</v>
      </c>
      <c r="D46" s="1538"/>
      <c r="E46" s="1538"/>
      <c r="F46" s="1539"/>
      <c r="G46" s="1538"/>
      <c r="H46" s="1539"/>
      <c r="I46" s="1540"/>
      <c r="J46" s="1541"/>
    </row>
    <row r="47" spans="1:10" s="33" customFormat="1" ht="20.149999999999999" customHeight="1">
      <c r="A47" s="1535" t="s">
        <v>181</v>
      </c>
      <c r="B47" s="1536"/>
      <c r="C47" s="1537" t="s">
        <v>182</v>
      </c>
      <c r="D47" s="1538"/>
      <c r="E47" s="1538"/>
      <c r="F47" s="1539"/>
      <c r="G47" s="1538"/>
      <c r="H47" s="1539"/>
      <c r="I47" s="1540"/>
      <c r="J47" s="1541"/>
    </row>
    <row r="48" spans="1:10" s="33" customFormat="1" ht="20.149999999999999" customHeight="1">
      <c r="A48" s="1535" t="s">
        <v>183</v>
      </c>
      <c r="B48" s="1536"/>
      <c r="C48" s="1537" t="s">
        <v>184</v>
      </c>
      <c r="D48" s="1538"/>
      <c r="E48" s="1538"/>
      <c r="F48" s="1539"/>
      <c r="G48" s="1538"/>
      <c r="H48" s="1539"/>
      <c r="I48" s="1540"/>
      <c r="J48" s="1541"/>
    </row>
    <row r="49" spans="1:10" s="33" customFormat="1" ht="20.149999999999999" customHeight="1">
      <c r="A49" s="1535" t="s">
        <v>185</v>
      </c>
      <c r="B49" s="1536"/>
      <c r="C49" s="1537" t="s">
        <v>186</v>
      </c>
      <c r="D49" s="1538"/>
      <c r="E49" s="1538"/>
      <c r="F49" s="1539"/>
      <c r="G49" s="1538"/>
      <c r="H49" s="1539"/>
      <c r="I49" s="1540"/>
      <c r="J49" s="1541"/>
    </row>
    <row r="50" spans="1:10" ht="20.149999999999999" customHeight="1">
      <c r="A50" s="1535" t="s">
        <v>187</v>
      </c>
      <c r="B50" s="1536"/>
      <c r="C50" s="1537" t="s">
        <v>188</v>
      </c>
      <c r="D50" s="1538"/>
      <c r="E50" s="1538"/>
      <c r="F50" s="1539"/>
      <c r="G50" s="1538"/>
      <c r="H50" s="1539"/>
      <c r="I50" s="1540"/>
      <c r="J50" s="1541"/>
    </row>
    <row r="51" spans="1:10">
      <c r="A51" s="13"/>
      <c r="B51" s="13"/>
      <c r="C51" s="35"/>
      <c r="D51" s="35"/>
      <c r="E51" s="35"/>
      <c r="F51" s="36"/>
      <c r="G51" s="37"/>
      <c r="H51" s="36"/>
      <c r="I51" s="38"/>
      <c r="J51" s="39"/>
    </row>
    <row r="52" spans="1:10">
      <c r="A52" s="13"/>
      <c r="B52" s="13"/>
      <c r="C52" s="35"/>
      <c r="D52" s="35"/>
      <c r="E52" s="35"/>
      <c r="F52" s="36"/>
      <c r="G52" s="37"/>
      <c r="H52" s="36"/>
      <c r="I52" s="38"/>
      <c r="J52" s="39"/>
    </row>
    <row r="53" spans="1:10">
      <c r="A53" s="40"/>
      <c r="B53" s="40"/>
      <c r="C53" s="41"/>
      <c r="D53" s="41"/>
      <c r="E53" s="41"/>
      <c r="F53" s="42"/>
      <c r="G53" s="43"/>
      <c r="H53" s="42"/>
      <c r="I53" s="44"/>
      <c r="J53" s="39"/>
    </row>
    <row r="54" spans="1:10">
      <c r="A54" s="1"/>
      <c r="B54" s="1"/>
      <c r="C54" s="1"/>
      <c r="D54" s="1"/>
      <c r="E54" s="1"/>
      <c r="F54" s="45"/>
      <c r="G54" s="46"/>
      <c r="H54" s="45"/>
      <c r="I54" s="39"/>
    </row>
    <row r="55" spans="1:10">
      <c r="D55" s="1"/>
      <c r="E55" s="1"/>
      <c r="F55" s="45"/>
      <c r="G55" s="46"/>
      <c r="H55" s="45"/>
      <c r="I55" s="39"/>
    </row>
    <row r="56" spans="1:10">
      <c r="D56" s="1"/>
      <c r="E56" s="1"/>
      <c r="F56" s="45"/>
      <c r="G56" s="46"/>
      <c r="H56" s="45"/>
      <c r="I56" s="39"/>
    </row>
    <row r="57" spans="1:10">
      <c r="D57" s="1"/>
      <c r="E57" s="1"/>
      <c r="F57" s="45"/>
      <c r="G57" s="46"/>
      <c r="H57" s="45"/>
      <c r="I57" s="39"/>
    </row>
    <row r="58" spans="1:10">
      <c r="D58" s="1"/>
      <c r="E58" s="1"/>
      <c r="F58" s="45"/>
      <c r="G58" s="46"/>
      <c r="H58" s="45"/>
      <c r="I58" s="39"/>
    </row>
    <row r="59" spans="1:10">
      <c r="D59" s="1"/>
      <c r="E59" s="1"/>
      <c r="F59" s="45"/>
      <c r="G59" s="46"/>
    </row>
    <row r="60" spans="1:10">
      <c r="D60" s="1"/>
      <c r="E60" s="1"/>
      <c r="F60" s="45"/>
      <c r="G60" s="46"/>
    </row>
    <row r="61" spans="1:10">
      <c r="A61" s="1"/>
      <c r="B61" s="1"/>
      <c r="C61" s="1"/>
      <c r="D61" s="1"/>
      <c r="E61" s="1"/>
      <c r="F61" s="45"/>
      <c r="G61" s="46"/>
    </row>
  </sheetData>
  <mergeCells count="53">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I8:J8"/>
    <mergeCell ref="B1:J1"/>
    <mergeCell ref="B2:J2"/>
    <mergeCell ref="A3:J3"/>
    <mergeCell ref="A4:J4"/>
    <mergeCell ref="A7:B7"/>
    <mergeCell ref="A8:A9"/>
    <mergeCell ref="B8:B9"/>
    <mergeCell ref="F8:F9"/>
    <mergeCell ref="G8:H8"/>
  </mergeCells>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38AC-2203-47B4-8154-B1A09EE5AC67}">
  <dimension ref="A1:M61"/>
  <sheetViews>
    <sheetView view="pageBreakPreview" zoomScaleNormal="110" workbookViewId="0">
      <selection activeCell="M25" sqref="M25"/>
    </sheetView>
  </sheetViews>
  <sheetFormatPr defaultColWidth="10.69921875" defaultRowHeight="15"/>
  <cols>
    <col min="1" max="5" width="10.69921875" style="48"/>
    <col min="6" max="6" width="10.69921875" style="49"/>
    <col min="7" max="7" width="10.69921875" style="50"/>
    <col min="8" max="8" width="10.69921875" style="49"/>
    <col min="9" max="11" width="10.69921875" style="47"/>
    <col min="12" max="12" width="26.3984375" style="47" customWidth="1"/>
    <col min="13" max="16384" width="10.69921875" style="34"/>
  </cols>
  <sheetData>
    <row r="1" spans="1:13" s="3" customFormat="1" ht="38" customHeight="1">
      <c r="A1" s="1"/>
      <c r="B1" s="1492" t="s">
        <v>106</v>
      </c>
      <c r="C1" s="1492"/>
      <c r="D1" s="1492"/>
      <c r="E1" s="1492"/>
      <c r="F1" s="1493"/>
      <c r="G1" s="1494"/>
      <c r="H1" s="1493"/>
      <c r="I1" s="1495"/>
      <c r="J1" s="1495"/>
      <c r="K1" s="2"/>
      <c r="L1" s="2"/>
    </row>
    <row r="2" spans="1:13" s="3" customFormat="1" ht="20.149999999999999" customHeight="1">
      <c r="A2" s="1"/>
      <c r="B2" s="1496" t="s">
        <v>107</v>
      </c>
      <c r="C2" s="1497"/>
      <c r="D2" s="1497"/>
      <c r="E2" s="1497"/>
      <c r="F2" s="1498"/>
      <c r="G2" s="1499"/>
      <c r="H2" s="1498"/>
      <c r="I2" s="1500"/>
      <c r="J2" s="1500"/>
      <c r="K2" s="5"/>
      <c r="L2" s="5"/>
    </row>
    <row r="3" spans="1:13" s="6" customFormat="1" ht="20.149999999999999" customHeight="1" thickBot="1">
      <c r="A3" s="1501" t="s">
        <v>108</v>
      </c>
      <c r="B3" s="1501"/>
      <c r="C3" s="1501"/>
      <c r="D3" s="1501"/>
      <c r="E3" s="1501"/>
      <c r="F3" s="1502"/>
      <c r="G3" s="1501"/>
      <c r="H3" s="1501"/>
      <c r="I3" s="1501"/>
      <c r="J3" s="1501"/>
      <c r="K3" s="4"/>
      <c r="L3" s="4"/>
    </row>
    <row r="4" spans="1:13" s="6" customFormat="1" ht="31" customHeight="1" thickTop="1">
      <c r="A4" s="1503" t="s">
        <v>109</v>
      </c>
      <c r="B4" s="1503"/>
      <c r="C4" s="1503"/>
      <c r="D4" s="1503"/>
      <c r="E4" s="1503"/>
      <c r="F4" s="1504"/>
      <c r="G4" s="1505"/>
      <c r="H4" s="1504"/>
      <c r="I4" s="1506"/>
      <c r="J4" s="1506"/>
      <c r="K4" s="7"/>
      <c r="L4" s="7"/>
    </row>
    <row r="5" spans="1:13" s="12" customFormat="1" ht="18" customHeight="1">
      <c r="A5" s="8" t="s">
        <v>110</v>
      </c>
      <c r="B5" s="9"/>
      <c r="C5" s="8"/>
      <c r="D5" s="9"/>
      <c r="E5" s="9"/>
      <c r="F5" s="10"/>
      <c r="G5" s="9"/>
      <c r="H5" s="10"/>
      <c r="I5" s="11"/>
      <c r="J5" s="11"/>
      <c r="K5" s="11"/>
      <c r="L5" s="11"/>
    </row>
    <row r="6" spans="1:13" s="16" customFormat="1" ht="18" customHeight="1">
      <c r="A6" s="13" t="s">
        <v>111</v>
      </c>
      <c r="B6" s="9"/>
      <c r="C6" s="8"/>
      <c r="D6" s="8"/>
      <c r="E6" s="8"/>
      <c r="F6" s="14"/>
      <c r="G6" s="15"/>
      <c r="H6" s="10"/>
      <c r="I6" s="11"/>
      <c r="J6" s="11"/>
      <c r="K6" s="11"/>
      <c r="L6" s="11"/>
    </row>
    <row r="7" spans="1:13" s="16" customFormat="1" ht="18" customHeight="1">
      <c r="A7" s="1507" t="s">
        <v>112</v>
      </c>
      <c r="B7" s="1507"/>
      <c r="C7" s="8"/>
      <c r="D7" s="8"/>
      <c r="E7" s="8"/>
      <c r="F7" s="14"/>
      <c r="G7" s="15"/>
      <c r="H7" s="10"/>
      <c r="I7" s="11"/>
      <c r="J7" s="11"/>
      <c r="K7" s="11"/>
      <c r="L7" s="11"/>
    </row>
    <row r="8" spans="1:13" s="17" customFormat="1" ht="36" customHeight="1">
      <c r="A8" s="1508" t="s">
        <v>113</v>
      </c>
      <c r="B8" s="57" t="s">
        <v>114</v>
      </c>
      <c r="C8" s="59" t="s">
        <v>115</v>
      </c>
      <c r="D8" s="60"/>
      <c r="E8" s="61"/>
      <c r="F8" s="1511" t="s">
        <v>116</v>
      </c>
      <c r="G8" s="1512" t="s">
        <v>117</v>
      </c>
      <c r="H8" s="1513"/>
      <c r="I8" s="1490" t="s">
        <v>118</v>
      </c>
      <c r="J8" s="1491"/>
      <c r="K8" s="51"/>
      <c r="L8" s="51"/>
    </row>
    <row r="9" spans="1:13" s="17" customFormat="1" ht="43" customHeight="1">
      <c r="A9" s="1508"/>
      <c r="B9" s="58"/>
      <c r="C9" s="62"/>
      <c r="D9" s="63"/>
      <c r="E9" s="67" t="s">
        <v>215</v>
      </c>
      <c r="F9" s="1511"/>
      <c r="G9" s="18" t="s">
        <v>119</v>
      </c>
      <c r="H9" s="19" t="s">
        <v>120</v>
      </c>
      <c r="I9" s="20" t="s">
        <v>121</v>
      </c>
      <c r="J9" s="21" t="s">
        <v>122</v>
      </c>
      <c r="K9" s="51"/>
      <c r="L9" s="51"/>
      <c r="M9" s="17" t="s">
        <v>123</v>
      </c>
    </row>
    <row r="10" spans="1:13" s="17" customFormat="1" ht="43" customHeight="1">
      <c r="A10" s="22" t="s">
        <v>48</v>
      </c>
      <c r="B10" s="23" t="s">
        <v>124</v>
      </c>
      <c r="C10" s="64" t="s">
        <v>190</v>
      </c>
      <c r="D10" s="22"/>
      <c r="E10" s="66">
        <f>G10*2*6</f>
        <v>36</v>
      </c>
      <c r="F10" s="24">
        <v>565.20000000000005</v>
      </c>
      <c r="G10" s="25">
        <v>3</v>
      </c>
      <c r="H10" s="26">
        <f>G10*F10</f>
        <v>1695.6000000000001</v>
      </c>
      <c r="I10" s="28">
        <v>3.21</v>
      </c>
      <c r="J10" s="27">
        <f t="shared" ref="J10:J25" si="0">I10*H10</f>
        <v>5442.8760000000002</v>
      </c>
      <c r="K10" s="52" t="s">
        <v>194</v>
      </c>
      <c r="L10" s="56" t="s">
        <v>104</v>
      </c>
      <c r="M10" s="17" t="s">
        <v>126</v>
      </c>
    </row>
    <row r="11" spans="1:13" s="17" customFormat="1" ht="43" customHeight="1">
      <c r="A11" s="22" t="s">
        <v>49</v>
      </c>
      <c r="B11" s="23" t="s">
        <v>127</v>
      </c>
      <c r="C11" s="64" t="s">
        <v>125</v>
      </c>
      <c r="D11" s="22"/>
      <c r="E11" s="66">
        <f>G11*1.5*6</f>
        <v>18</v>
      </c>
      <c r="F11" s="24">
        <v>423.9</v>
      </c>
      <c r="G11" s="25">
        <v>2</v>
      </c>
      <c r="H11" s="26">
        <f>G11*F11</f>
        <v>847.8</v>
      </c>
      <c r="I11" s="28">
        <v>0.68</v>
      </c>
      <c r="J11" s="27">
        <f t="shared" si="0"/>
        <v>576.50400000000002</v>
      </c>
      <c r="K11" s="52" t="s">
        <v>194</v>
      </c>
      <c r="L11" s="52"/>
      <c r="M11" s="17" t="s">
        <v>126</v>
      </c>
    </row>
    <row r="12" spans="1:13" s="17" customFormat="1" ht="43" customHeight="1">
      <c r="A12" s="22" t="s">
        <v>50</v>
      </c>
      <c r="B12" s="23" t="s">
        <v>127</v>
      </c>
      <c r="C12" s="64" t="s">
        <v>129</v>
      </c>
      <c r="D12" s="22"/>
      <c r="E12" s="66">
        <f>G12*1.5*6</f>
        <v>9</v>
      </c>
      <c r="F12" s="24">
        <v>565.20000000000005</v>
      </c>
      <c r="G12" s="25">
        <v>1</v>
      </c>
      <c r="H12" s="26">
        <f t="shared" ref="H12:H26" si="1">G12*F12</f>
        <v>565.20000000000005</v>
      </c>
      <c r="I12" s="28">
        <v>0.7</v>
      </c>
      <c r="J12" s="27">
        <f t="shared" si="0"/>
        <v>395.64</v>
      </c>
      <c r="K12" s="52" t="s">
        <v>194</v>
      </c>
      <c r="L12" s="52"/>
      <c r="M12" s="17" t="s">
        <v>126</v>
      </c>
    </row>
    <row r="13" spans="1:13" s="17" customFormat="1" ht="43" customHeight="1">
      <c r="A13" s="22" t="s">
        <v>51</v>
      </c>
      <c r="B13" s="23" t="s">
        <v>128</v>
      </c>
      <c r="C13" s="64" t="s">
        <v>130</v>
      </c>
      <c r="D13" s="22"/>
      <c r="E13" s="66">
        <f>G13*2*12</f>
        <v>24</v>
      </c>
      <c r="F13" s="24">
        <v>1507.2</v>
      </c>
      <c r="G13" s="25">
        <v>1</v>
      </c>
      <c r="H13" s="26">
        <f t="shared" si="1"/>
        <v>1507.2</v>
      </c>
      <c r="I13" s="28">
        <v>0.72</v>
      </c>
      <c r="J13" s="27">
        <f t="shared" si="0"/>
        <v>1085.184</v>
      </c>
      <c r="K13" s="52" t="s">
        <v>194</v>
      </c>
      <c r="L13" s="52"/>
      <c r="M13" s="17" t="s">
        <v>126</v>
      </c>
    </row>
    <row r="14" spans="1:13" s="17" customFormat="1" ht="43" customHeight="1">
      <c r="A14" s="22" t="s">
        <v>52</v>
      </c>
      <c r="B14" s="23" t="s">
        <v>127</v>
      </c>
      <c r="C14" s="64" t="s">
        <v>131</v>
      </c>
      <c r="D14" s="22"/>
      <c r="E14" s="66">
        <f>G14*1.5*6</f>
        <v>9</v>
      </c>
      <c r="F14" s="24">
        <v>706.5</v>
      </c>
      <c r="G14" s="25">
        <v>1</v>
      </c>
      <c r="H14" s="26">
        <f t="shared" si="1"/>
        <v>706.5</v>
      </c>
      <c r="I14" s="28">
        <v>0.69</v>
      </c>
      <c r="J14" s="27">
        <f t="shared" si="0"/>
        <v>487.48499999999996</v>
      </c>
      <c r="K14" s="52" t="s">
        <v>194</v>
      </c>
      <c r="L14" s="52"/>
      <c r="M14" s="17" t="s">
        <v>126</v>
      </c>
    </row>
    <row r="15" spans="1:13" s="17" customFormat="1" ht="43" customHeight="1">
      <c r="A15" s="22" t="s">
        <v>53</v>
      </c>
      <c r="B15" s="23" t="s">
        <v>128</v>
      </c>
      <c r="C15" s="64" t="s">
        <v>132</v>
      </c>
      <c r="D15" s="22"/>
      <c r="E15" s="66">
        <f>G15*2*10</f>
        <v>20</v>
      </c>
      <c r="F15" s="24">
        <v>1570</v>
      </c>
      <c r="G15" s="25">
        <v>1</v>
      </c>
      <c r="H15" s="26">
        <f t="shared" si="1"/>
        <v>1570</v>
      </c>
      <c r="I15" s="28">
        <v>0.72</v>
      </c>
      <c r="J15" s="27">
        <f t="shared" si="0"/>
        <v>1130.3999999999999</v>
      </c>
      <c r="K15" s="52" t="s">
        <v>194</v>
      </c>
      <c r="L15" s="52"/>
      <c r="M15" s="17" t="s">
        <v>126</v>
      </c>
    </row>
    <row r="16" spans="1:13" s="17" customFormat="1" ht="43" customHeight="1">
      <c r="A16" s="22" t="s">
        <v>54</v>
      </c>
      <c r="B16" s="23" t="s">
        <v>133</v>
      </c>
      <c r="C16" s="64" t="s">
        <v>191</v>
      </c>
      <c r="D16" s="22"/>
      <c r="E16" s="66">
        <f>G16*1.5*3.7</f>
        <v>5.5500000000000007</v>
      </c>
      <c r="F16" s="24">
        <v>653.5</v>
      </c>
      <c r="G16" s="25">
        <v>1</v>
      </c>
      <c r="H16" s="26">
        <f t="shared" si="1"/>
        <v>653.5</v>
      </c>
      <c r="I16" s="28">
        <v>1.1499999999999999</v>
      </c>
      <c r="J16" s="27">
        <f t="shared" si="0"/>
        <v>751.52499999999998</v>
      </c>
      <c r="K16" s="52" t="s">
        <v>194</v>
      </c>
      <c r="L16" s="56" t="s">
        <v>189</v>
      </c>
      <c r="M16" s="17" t="s">
        <v>126</v>
      </c>
    </row>
    <row r="17" spans="1:13" s="29" customFormat="1" ht="43" customHeight="1">
      <c r="A17" s="22" t="s">
        <v>57</v>
      </c>
      <c r="B17" s="23" t="s">
        <v>128</v>
      </c>
      <c r="C17" s="64" t="s">
        <v>134</v>
      </c>
      <c r="D17" s="22"/>
      <c r="E17" s="66">
        <f>G17*2*12</f>
        <v>24</v>
      </c>
      <c r="F17" s="24">
        <v>2260.8000000000002</v>
      </c>
      <c r="G17" s="25">
        <v>1</v>
      </c>
      <c r="H17" s="26">
        <f t="shared" si="1"/>
        <v>2260.8000000000002</v>
      </c>
      <c r="I17" s="28">
        <v>0.72</v>
      </c>
      <c r="J17" s="27">
        <f t="shared" si="0"/>
        <v>1627.7760000000001</v>
      </c>
      <c r="K17" s="52" t="s">
        <v>194</v>
      </c>
      <c r="L17" s="52"/>
      <c r="M17" s="29" t="s">
        <v>135</v>
      </c>
    </row>
    <row r="18" spans="1:13" s="17" customFormat="1" ht="43" customHeight="1">
      <c r="A18" s="22" t="s">
        <v>59</v>
      </c>
      <c r="B18" s="23" t="s">
        <v>136</v>
      </c>
      <c r="C18" s="64" t="s">
        <v>192</v>
      </c>
      <c r="D18" s="22"/>
      <c r="E18" s="66">
        <f>G18*2*6</f>
        <v>12</v>
      </c>
      <c r="F18" s="24">
        <v>1507.2</v>
      </c>
      <c r="G18" s="25">
        <v>1</v>
      </c>
      <c r="H18" s="26">
        <f t="shared" si="1"/>
        <v>1507.2</v>
      </c>
      <c r="I18" s="28">
        <v>3.12</v>
      </c>
      <c r="J18" s="27">
        <f t="shared" si="0"/>
        <v>4702.4639999999999</v>
      </c>
      <c r="K18" s="52" t="s">
        <v>194</v>
      </c>
      <c r="L18" s="56" t="s">
        <v>105</v>
      </c>
      <c r="M18" s="17" t="s">
        <v>126</v>
      </c>
    </row>
    <row r="19" spans="1:13" s="17" customFormat="1" ht="43" customHeight="1">
      <c r="A19" s="22" t="s">
        <v>60</v>
      </c>
      <c r="B19" s="23" t="s">
        <v>128</v>
      </c>
      <c r="C19" s="64" t="s">
        <v>137</v>
      </c>
      <c r="D19" s="22"/>
      <c r="E19" s="66">
        <f>G19*2*8</f>
        <v>16</v>
      </c>
      <c r="F19" s="24">
        <v>2009.6</v>
      </c>
      <c r="G19" s="25">
        <v>1</v>
      </c>
      <c r="H19" s="26">
        <f t="shared" si="1"/>
        <v>2009.6</v>
      </c>
      <c r="I19" s="28">
        <v>0.78</v>
      </c>
      <c r="J19" s="27">
        <f t="shared" si="0"/>
        <v>1567.4880000000001</v>
      </c>
      <c r="K19" s="52" t="s">
        <v>194</v>
      </c>
      <c r="L19" s="52"/>
      <c r="M19" s="17" t="s">
        <v>126</v>
      </c>
    </row>
    <row r="20" spans="1:13" s="17" customFormat="1" ht="43" customHeight="1">
      <c r="A20" s="22" t="s">
        <v>63</v>
      </c>
      <c r="B20" s="23" t="s">
        <v>138</v>
      </c>
      <c r="C20" s="64" t="s">
        <v>139</v>
      </c>
      <c r="D20" s="22"/>
      <c r="E20" s="66">
        <f>G20*12</f>
        <v>96</v>
      </c>
      <c r="F20" s="24">
        <f>50.5*12</f>
        <v>606</v>
      </c>
      <c r="G20" s="25">
        <v>8</v>
      </c>
      <c r="H20" s="26">
        <f t="shared" si="1"/>
        <v>4848</v>
      </c>
      <c r="I20" s="28">
        <v>0.75</v>
      </c>
      <c r="J20" s="27">
        <f t="shared" si="0"/>
        <v>3636</v>
      </c>
      <c r="K20" s="52" t="s">
        <v>194</v>
      </c>
      <c r="L20" s="52"/>
      <c r="M20" s="17" t="s">
        <v>126</v>
      </c>
    </row>
    <row r="21" spans="1:13" s="17" customFormat="1" ht="43" customHeight="1">
      <c r="A21" s="22" t="s">
        <v>64</v>
      </c>
      <c r="B21" s="23" t="s">
        <v>138</v>
      </c>
      <c r="C21" s="64" t="s">
        <v>140</v>
      </c>
      <c r="D21" s="22"/>
      <c r="E21" s="66">
        <f>G21*12</f>
        <v>12</v>
      </c>
      <c r="F21" s="24">
        <f>72.4*12</f>
        <v>868.80000000000007</v>
      </c>
      <c r="G21" s="25">
        <v>1</v>
      </c>
      <c r="H21" s="26">
        <f t="shared" si="1"/>
        <v>868.80000000000007</v>
      </c>
      <c r="I21" s="28">
        <v>0.75</v>
      </c>
      <c r="J21" s="27">
        <f t="shared" si="0"/>
        <v>651.6</v>
      </c>
      <c r="K21" s="52" t="s">
        <v>194</v>
      </c>
      <c r="L21" s="52"/>
    </row>
    <row r="22" spans="1:13" s="17" customFormat="1" ht="43" customHeight="1">
      <c r="A22" s="22" t="s">
        <v>79</v>
      </c>
      <c r="B22" s="23" t="s">
        <v>141</v>
      </c>
      <c r="C22" s="64" t="s">
        <v>142</v>
      </c>
      <c r="D22" s="22"/>
      <c r="E22" s="66">
        <f>G22*12</f>
        <v>24</v>
      </c>
      <c r="F22" s="24">
        <v>269</v>
      </c>
      <c r="G22" s="25">
        <v>2</v>
      </c>
      <c r="H22" s="26">
        <f t="shared" si="1"/>
        <v>538</v>
      </c>
      <c r="I22" s="28">
        <v>0.75</v>
      </c>
      <c r="J22" s="27">
        <f t="shared" si="0"/>
        <v>403.5</v>
      </c>
      <c r="K22" s="52" t="s">
        <v>194</v>
      </c>
      <c r="L22" s="52"/>
      <c r="M22" s="17" t="s">
        <v>126</v>
      </c>
    </row>
    <row r="23" spans="1:13" s="17" customFormat="1" ht="43" customHeight="1">
      <c r="A23" s="22" t="s">
        <v>80</v>
      </c>
      <c r="B23" s="23" t="s">
        <v>141</v>
      </c>
      <c r="C23" s="64" t="s">
        <v>143</v>
      </c>
      <c r="D23" s="22"/>
      <c r="E23" s="66">
        <f>G23*6</f>
        <v>30</v>
      </c>
      <c r="F23" s="24">
        <v>162.80000000000001</v>
      </c>
      <c r="G23" s="25">
        <v>5</v>
      </c>
      <c r="H23" s="26">
        <f t="shared" si="1"/>
        <v>814</v>
      </c>
      <c r="I23" s="28">
        <v>0.75</v>
      </c>
      <c r="J23" s="27">
        <f t="shared" si="0"/>
        <v>610.5</v>
      </c>
      <c r="K23" s="52" t="s">
        <v>194</v>
      </c>
      <c r="L23" s="52"/>
      <c r="M23" s="17" t="s">
        <v>126</v>
      </c>
    </row>
    <row r="24" spans="1:13" s="17" customFormat="1" ht="43" customHeight="1">
      <c r="A24" s="22" t="s">
        <v>81</v>
      </c>
      <c r="B24" s="23" t="s">
        <v>144</v>
      </c>
      <c r="C24" s="64" t="s">
        <v>145</v>
      </c>
      <c r="D24" s="22"/>
      <c r="E24" s="66">
        <f>G24*6</f>
        <v>60</v>
      </c>
      <c r="F24" s="24">
        <v>358</v>
      </c>
      <c r="G24" s="25">
        <v>10</v>
      </c>
      <c r="H24" s="26">
        <f t="shared" si="1"/>
        <v>3580</v>
      </c>
      <c r="I24" s="28">
        <v>0.75</v>
      </c>
      <c r="J24" s="27">
        <f t="shared" si="0"/>
        <v>2685</v>
      </c>
      <c r="K24" s="52" t="s">
        <v>194</v>
      </c>
      <c r="L24" s="52"/>
      <c r="M24" s="17" t="s">
        <v>126</v>
      </c>
    </row>
    <row r="25" spans="1:13" s="17" customFormat="1" ht="43" customHeight="1">
      <c r="A25" s="22" t="s">
        <v>82</v>
      </c>
      <c r="B25" s="23" t="s">
        <v>146</v>
      </c>
      <c r="C25" s="64" t="s">
        <v>147</v>
      </c>
      <c r="D25" s="22"/>
      <c r="E25" s="66">
        <f>G25*12</f>
        <v>48</v>
      </c>
      <c r="F25" s="24">
        <v>289.39999999999998</v>
      </c>
      <c r="G25" s="25">
        <v>4</v>
      </c>
      <c r="H25" s="26">
        <f t="shared" si="1"/>
        <v>1157.5999999999999</v>
      </c>
      <c r="I25" s="28">
        <v>0.77</v>
      </c>
      <c r="J25" s="27">
        <f t="shared" si="0"/>
        <v>891.35199999999998</v>
      </c>
      <c r="K25" s="52" t="s">
        <v>194</v>
      </c>
      <c r="L25" s="52"/>
    </row>
    <row r="26" spans="1:13" s="17" customFormat="1" ht="43" customHeight="1">
      <c r="A26" s="22" t="s">
        <v>83</v>
      </c>
      <c r="B26" s="23" t="s">
        <v>144</v>
      </c>
      <c r="C26" s="64" t="s">
        <v>148</v>
      </c>
      <c r="D26" s="22"/>
      <c r="E26" s="66">
        <f>G26*6</f>
        <v>54</v>
      </c>
      <c r="F26" s="24">
        <v>332.4</v>
      </c>
      <c r="G26" s="25">
        <v>9</v>
      </c>
      <c r="H26" s="26">
        <f t="shared" si="1"/>
        <v>2991.6</v>
      </c>
      <c r="I26" s="28">
        <v>0.75</v>
      </c>
      <c r="J26" s="27">
        <f>I26*H26</f>
        <v>2243.6999999999998</v>
      </c>
      <c r="K26" s="52" t="s">
        <v>194</v>
      </c>
      <c r="L26" s="52"/>
      <c r="M26" s="17" t="s">
        <v>126</v>
      </c>
    </row>
    <row r="27" spans="1:13" s="17" customFormat="1" ht="21" customHeight="1">
      <c r="A27" s="1519" t="s">
        <v>149</v>
      </c>
      <c r="B27" s="1520"/>
      <c r="C27" s="1520"/>
      <c r="D27" s="1520"/>
      <c r="E27" s="1520"/>
      <c r="F27" s="1521"/>
      <c r="G27" s="30">
        <f>SUM(G10:G26)</f>
        <v>52</v>
      </c>
      <c r="H27" s="19">
        <f>SUM(H10:H26)</f>
        <v>28121.399999999998</v>
      </c>
      <c r="I27" s="20"/>
      <c r="J27" s="31">
        <f>SUM(J10:J26)</f>
        <v>28888.993999999999</v>
      </c>
      <c r="K27" s="53"/>
      <c r="L27" s="53"/>
    </row>
    <row r="28" spans="1:13" s="16" customFormat="1" ht="20.149999999999999" customHeight="1">
      <c r="A28" s="1515" t="s">
        <v>150</v>
      </c>
      <c r="B28" s="1515"/>
      <c r="C28" s="1515"/>
      <c r="D28" s="1515"/>
      <c r="E28" s="1515"/>
      <c r="F28" s="1516"/>
      <c r="G28" s="1517"/>
      <c r="H28" s="1516"/>
      <c r="I28" s="1518"/>
      <c r="J28" s="1518"/>
      <c r="K28" s="38"/>
      <c r="L28" s="38"/>
    </row>
    <row r="29" spans="1:13" s="16" customFormat="1" ht="20.149999999999999" customHeight="1">
      <c r="A29" s="1522" t="s">
        <v>151</v>
      </c>
      <c r="B29" s="1522"/>
      <c r="C29" s="1515" t="s">
        <v>152</v>
      </c>
      <c r="D29" s="1522"/>
      <c r="E29" s="1515"/>
      <c r="F29" s="1516"/>
      <c r="G29" s="1517"/>
      <c r="H29" s="1516"/>
      <c r="I29" s="1518"/>
      <c r="J29" s="1518"/>
      <c r="K29" s="38"/>
      <c r="L29" s="38"/>
    </row>
    <row r="30" spans="1:13" s="16" customFormat="1" ht="20.149999999999999" customHeight="1">
      <c r="A30" s="1522" t="s">
        <v>153</v>
      </c>
      <c r="B30" s="1522"/>
      <c r="C30" s="1515" t="s">
        <v>154</v>
      </c>
      <c r="D30" s="1522"/>
      <c r="E30" s="1515"/>
      <c r="F30" s="1516"/>
      <c r="G30" s="1517"/>
      <c r="H30" s="1516"/>
      <c r="I30" s="1518"/>
      <c r="J30" s="1518"/>
      <c r="K30" s="38"/>
      <c r="L30" s="38"/>
    </row>
    <row r="31" spans="1:13" s="16" customFormat="1" ht="26" customHeight="1">
      <c r="A31" s="1522" t="s">
        <v>155</v>
      </c>
      <c r="B31" s="1522"/>
      <c r="C31" s="1515" t="s">
        <v>156</v>
      </c>
      <c r="D31" s="1522"/>
      <c r="E31" s="1515"/>
      <c r="F31" s="1516"/>
      <c r="G31" s="1517"/>
      <c r="H31" s="1516"/>
      <c r="I31" s="1518"/>
      <c r="J31" s="1518"/>
      <c r="K31" s="38"/>
      <c r="L31" s="38"/>
    </row>
    <row r="32" spans="1:13" s="16" customFormat="1" ht="20.149999999999999" customHeight="1">
      <c r="A32" s="1515" t="s">
        <v>157</v>
      </c>
      <c r="B32" s="1515"/>
      <c r="C32" s="1515"/>
      <c r="D32" s="1515"/>
      <c r="E32" s="1515"/>
      <c r="F32" s="1516"/>
      <c r="G32" s="1515"/>
      <c r="H32" s="1516"/>
      <c r="I32" s="1518"/>
      <c r="J32" s="1518"/>
      <c r="K32" s="38"/>
      <c r="L32" s="38"/>
    </row>
    <row r="33" spans="1:12" s="16" customFormat="1" ht="20.149999999999999" customHeight="1">
      <c r="A33" s="1522" t="s">
        <v>158</v>
      </c>
      <c r="B33" s="1522"/>
      <c r="C33" s="1515" t="s">
        <v>159</v>
      </c>
      <c r="D33" s="1522"/>
      <c r="E33" s="1515"/>
      <c r="F33" s="1516"/>
      <c r="G33" s="1517"/>
      <c r="H33" s="1516"/>
      <c r="I33" s="1518"/>
      <c r="J33" s="1518"/>
      <c r="K33" s="38"/>
      <c r="L33" s="38"/>
    </row>
    <row r="34" spans="1:12" s="16" customFormat="1" ht="20.149999999999999" customHeight="1">
      <c r="A34" s="1514" t="s">
        <v>160</v>
      </c>
      <c r="B34" s="1514"/>
      <c r="C34" s="1515" t="s">
        <v>161</v>
      </c>
      <c r="D34" s="1515"/>
      <c r="E34" s="1515"/>
      <c r="F34" s="1516"/>
      <c r="G34" s="1517"/>
      <c r="H34" s="1516"/>
      <c r="I34" s="1518"/>
      <c r="J34" s="1518"/>
      <c r="K34" s="38"/>
      <c r="L34" s="38"/>
    </row>
    <row r="35" spans="1:12" s="16" customFormat="1" ht="21" customHeight="1">
      <c r="A35" s="1523" t="s">
        <v>162</v>
      </c>
      <c r="B35" s="1523"/>
      <c r="C35" s="1524" t="s">
        <v>163</v>
      </c>
      <c r="D35" s="1525"/>
      <c r="E35" s="1524"/>
      <c r="F35" s="1526"/>
      <c r="G35" s="1527"/>
      <c r="H35" s="1526"/>
      <c r="I35" s="1528"/>
      <c r="J35" s="1528"/>
      <c r="K35" s="54"/>
      <c r="L35" s="54"/>
    </row>
    <row r="36" spans="1:12" s="16" customFormat="1" ht="20.149999999999999" customHeight="1">
      <c r="A36" s="1523" t="s">
        <v>164</v>
      </c>
      <c r="B36" s="1523"/>
      <c r="C36" s="1524" t="s">
        <v>193</v>
      </c>
      <c r="D36" s="1525"/>
      <c r="E36" s="1524"/>
      <c r="F36" s="1526"/>
      <c r="G36" s="1527"/>
      <c r="H36" s="1526"/>
      <c r="I36" s="1528"/>
      <c r="J36" s="1528"/>
      <c r="K36" s="54"/>
      <c r="L36" s="54"/>
    </row>
    <row r="37" spans="1:12" s="16" customFormat="1" ht="20.149999999999999" customHeight="1">
      <c r="A37" s="1523" t="s">
        <v>165</v>
      </c>
      <c r="B37" s="1523"/>
      <c r="C37" s="1529" t="s">
        <v>166</v>
      </c>
      <c r="D37" s="1523"/>
      <c r="E37" s="1529"/>
      <c r="F37" s="1530"/>
      <c r="G37" s="1531"/>
      <c r="H37" s="1530"/>
      <c r="I37" s="1532"/>
      <c r="J37" s="1532"/>
      <c r="K37" s="55"/>
      <c r="L37" s="55"/>
    </row>
    <row r="38" spans="1:12" s="16" customFormat="1" ht="20.149999999999999" customHeight="1">
      <c r="A38" s="1523" t="s">
        <v>167</v>
      </c>
      <c r="B38" s="1523"/>
      <c r="C38" s="1529" t="s">
        <v>168</v>
      </c>
      <c r="D38" s="1523"/>
      <c r="E38" s="1529"/>
      <c r="F38" s="1530"/>
      <c r="G38" s="1531"/>
      <c r="H38" s="1530"/>
      <c r="I38" s="1532"/>
      <c r="J38" s="1532"/>
      <c r="K38" s="55"/>
      <c r="L38" s="55"/>
    </row>
    <row r="39" spans="1:12" s="16" customFormat="1" ht="20.149999999999999" customHeight="1">
      <c r="A39" s="1523" t="s">
        <v>169</v>
      </c>
      <c r="B39" s="1523"/>
      <c r="C39" s="1533" t="s">
        <v>170</v>
      </c>
      <c r="D39" s="1534"/>
      <c r="E39" s="1533"/>
      <c r="F39" s="1526"/>
      <c r="G39" s="1527"/>
      <c r="H39" s="1526"/>
      <c r="I39" s="1528"/>
      <c r="J39" s="1528"/>
      <c r="K39" s="54"/>
      <c r="L39" s="54"/>
    </row>
    <row r="40" spans="1:12" s="16" customFormat="1" ht="20.149999999999999" customHeight="1">
      <c r="A40" s="1523" t="s">
        <v>171</v>
      </c>
      <c r="B40" s="1523"/>
      <c r="C40" s="1529" t="s">
        <v>172</v>
      </c>
      <c r="D40" s="1523"/>
      <c r="E40" s="1529"/>
      <c r="F40" s="1530"/>
      <c r="G40" s="1531"/>
      <c r="H40" s="1530"/>
      <c r="I40" s="1532"/>
      <c r="J40" s="1532"/>
      <c r="K40" s="55"/>
      <c r="L40" s="55"/>
    </row>
    <row r="41" spans="1:12" s="16" customFormat="1" ht="20.149999999999999" customHeight="1">
      <c r="A41" s="1523" t="s">
        <v>173</v>
      </c>
      <c r="B41" s="1523"/>
      <c r="C41" s="1529" t="s">
        <v>174</v>
      </c>
      <c r="D41" s="1523"/>
      <c r="E41" s="1529"/>
      <c r="F41" s="1530"/>
      <c r="G41" s="1531"/>
      <c r="H41" s="1530"/>
      <c r="I41" s="1532"/>
      <c r="J41" s="1532"/>
      <c r="K41" s="55"/>
      <c r="L41" s="55"/>
    </row>
    <row r="42" spans="1:12" s="32" customFormat="1" ht="20.149999999999999" customHeight="1">
      <c r="A42" s="1523" t="s">
        <v>175</v>
      </c>
      <c r="B42" s="1523"/>
      <c r="C42" s="1515" t="s">
        <v>176</v>
      </c>
      <c r="D42" s="1522"/>
      <c r="E42" s="1515"/>
      <c r="F42" s="1516"/>
      <c r="G42" s="1517"/>
      <c r="H42" s="1516"/>
      <c r="I42" s="1518"/>
      <c r="J42" s="1518"/>
      <c r="K42" s="38"/>
      <c r="L42" s="38"/>
    </row>
    <row r="43" spans="1:12" s="32" customFormat="1" ht="20.149999999999999" customHeight="1">
      <c r="A43" s="1523"/>
      <c r="B43" s="1523"/>
      <c r="C43" s="1515" t="s">
        <v>177</v>
      </c>
      <c r="D43" s="1522"/>
      <c r="E43" s="1515"/>
      <c r="F43" s="1516"/>
      <c r="G43" s="1517"/>
      <c r="H43" s="1516"/>
      <c r="I43" s="1518"/>
      <c r="J43" s="1518"/>
      <c r="K43" s="38"/>
      <c r="L43" s="38"/>
    </row>
    <row r="44" spans="1:12" s="32" customFormat="1" ht="20.149999999999999" customHeight="1">
      <c r="A44" s="1515" t="s">
        <v>178</v>
      </c>
      <c r="B44" s="1515"/>
      <c r="C44" s="1515"/>
      <c r="D44" s="1515"/>
      <c r="E44" s="1515"/>
      <c r="F44" s="1516"/>
      <c r="G44" s="1515"/>
      <c r="H44" s="1516"/>
      <c r="I44" s="1518"/>
      <c r="J44" s="1518"/>
      <c r="K44" s="38"/>
      <c r="L44" s="38"/>
    </row>
    <row r="45" spans="1:12" s="33" customFormat="1" ht="20.149999999999999" customHeight="1">
      <c r="A45" s="1535" t="s">
        <v>179</v>
      </c>
      <c r="B45" s="1536"/>
      <c r="C45" s="1537" t="s">
        <v>106</v>
      </c>
      <c r="D45" s="1538"/>
      <c r="E45" s="1538"/>
      <c r="F45" s="1539"/>
      <c r="G45" s="1538"/>
      <c r="H45" s="1539"/>
      <c r="I45" s="1540"/>
      <c r="J45" s="1541"/>
      <c r="K45" s="55"/>
      <c r="L45" s="55"/>
    </row>
    <row r="46" spans="1:12" s="33" customFormat="1" ht="20.149999999999999" customHeight="1">
      <c r="A46" s="1535" t="s">
        <v>180</v>
      </c>
      <c r="B46" s="1536"/>
      <c r="C46" s="1537" t="s">
        <v>107</v>
      </c>
      <c r="D46" s="1538"/>
      <c r="E46" s="1538"/>
      <c r="F46" s="1539"/>
      <c r="G46" s="1538"/>
      <c r="H46" s="1539"/>
      <c r="I46" s="1540"/>
      <c r="J46" s="1541"/>
      <c r="K46" s="55"/>
      <c r="L46" s="55"/>
    </row>
    <row r="47" spans="1:12" s="33" customFormat="1" ht="20.149999999999999" customHeight="1">
      <c r="A47" s="1535" t="s">
        <v>181</v>
      </c>
      <c r="B47" s="1536"/>
      <c r="C47" s="1537" t="s">
        <v>182</v>
      </c>
      <c r="D47" s="1538"/>
      <c r="E47" s="1538"/>
      <c r="F47" s="1539"/>
      <c r="G47" s="1538"/>
      <c r="H47" s="1539"/>
      <c r="I47" s="1540"/>
      <c r="J47" s="1541"/>
      <c r="K47" s="55"/>
      <c r="L47" s="55"/>
    </row>
    <row r="48" spans="1:12" s="33" customFormat="1" ht="20.149999999999999" customHeight="1">
      <c r="A48" s="1535" t="s">
        <v>183</v>
      </c>
      <c r="B48" s="1536"/>
      <c r="C48" s="1537" t="s">
        <v>184</v>
      </c>
      <c r="D48" s="1538"/>
      <c r="E48" s="1538"/>
      <c r="F48" s="1539"/>
      <c r="G48" s="1538"/>
      <c r="H48" s="1539"/>
      <c r="I48" s="1540"/>
      <c r="J48" s="1541"/>
      <c r="K48" s="55"/>
      <c r="L48" s="55"/>
    </row>
    <row r="49" spans="1:12" s="33" customFormat="1" ht="20.149999999999999" customHeight="1">
      <c r="A49" s="1535" t="s">
        <v>185</v>
      </c>
      <c r="B49" s="1536"/>
      <c r="C49" s="1537" t="s">
        <v>186</v>
      </c>
      <c r="D49" s="1538"/>
      <c r="E49" s="1538"/>
      <c r="F49" s="1539"/>
      <c r="G49" s="1538"/>
      <c r="H49" s="1539"/>
      <c r="I49" s="1540"/>
      <c r="J49" s="1541"/>
      <c r="K49" s="55"/>
      <c r="L49" s="55"/>
    </row>
    <row r="50" spans="1:12" ht="20.149999999999999" customHeight="1">
      <c r="A50" s="1535" t="s">
        <v>187</v>
      </c>
      <c r="B50" s="1536"/>
      <c r="C50" s="1537" t="s">
        <v>188</v>
      </c>
      <c r="D50" s="1538"/>
      <c r="E50" s="1538"/>
      <c r="F50" s="1539"/>
      <c r="G50" s="1538"/>
      <c r="H50" s="1539"/>
      <c r="I50" s="1540"/>
      <c r="J50" s="1541"/>
      <c r="K50" s="55"/>
      <c r="L50" s="55"/>
    </row>
    <row r="51" spans="1:12">
      <c r="A51" s="13"/>
      <c r="B51" s="13"/>
      <c r="C51" s="35"/>
      <c r="D51" s="35"/>
      <c r="E51" s="35"/>
      <c r="F51" s="36"/>
      <c r="G51" s="37"/>
      <c r="H51" s="36"/>
      <c r="I51" s="38"/>
      <c r="J51" s="39"/>
      <c r="K51" s="39"/>
      <c r="L51" s="39"/>
    </row>
    <row r="52" spans="1:12">
      <c r="A52" s="13"/>
      <c r="B52" s="13"/>
      <c r="C52" s="35"/>
      <c r="D52" s="35"/>
      <c r="E52" s="35"/>
      <c r="F52" s="36"/>
      <c r="G52" s="37"/>
      <c r="H52" s="36"/>
      <c r="I52" s="38"/>
      <c r="J52" s="39"/>
      <c r="K52" s="39"/>
      <c r="L52" s="39"/>
    </row>
    <row r="53" spans="1:12">
      <c r="A53" s="40"/>
      <c r="B53" s="40"/>
      <c r="C53" s="41"/>
      <c r="D53" s="41"/>
      <c r="E53" s="41"/>
      <c r="F53" s="42"/>
      <c r="G53" s="43"/>
      <c r="H53" s="42"/>
      <c r="I53" s="44"/>
      <c r="J53" s="39"/>
      <c r="K53" s="39"/>
      <c r="L53" s="39"/>
    </row>
    <row r="54" spans="1:12">
      <c r="A54" s="1"/>
      <c r="B54" s="1"/>
      <c r="C54" s="1"/>
      <c r="D54" s="1"/>
      <c r="E54" s="1"/>
      <c r="F54" s="45"/>
      <c r="G54" s="46"/>
      <c r="H54" s="45"/>
      <c r="I54" s="39"/>
    </row>
    <row r="55" spans="1:12">
      <c r="D55" s="1"/>
      <c r="E55" s="1"/>
      <c r="F55" s="45"/>
      <c r="G55" s="46"/>
      <c r="H55" s="45"/>
      <c r="I55" s="39"/>
    </row>
    <row r="56" spans="1:12">
      <c r="D56" s="1"/>
      <c r="E56" s="1"/>
      <c r="F56" s="45"/>
      <c r="G56" s="46"/>
      <c r="H56" s="45"/>
      <c r="I56" s="39"/>
    </row>
    <row r="57" spans="1:12">
      <c r="D57" s="1"/>
      <c r="E57" s="1"/>
      <c r="F57" s="45"/>
      <c r="G57" s="46"/>
      <c r="H57" s="45"/>
      <c r="I57" s="39"/>
    </row>
    <row r="58" spans="1:12">
      <c r="D58" s="1"/>
      <c r="E58" s="1"/>
      <c r="F58" s="45"/>
      <c r="G58" s="46"/>
      <c r="H58" s="45"/>
      <c r="I58" s="39"/>
    </row>
    <row r="59" spans="1:12">
      <c r="D59" s="1"/>
      <c r="E59" s="1"/>
      <c r="F59" s="45"/>
      <c r="G59" s="46"/>
    </row>
    <row r="60" spans="1:12">
      <c r="D60" s="1"/>
      <c r="E60" s="1"/>
      <c r="F60" s="45"/>
      <c r="G60" s="46"/>
    </row>
    <row r="61" spans="1:12">
      <c r="A61" s="1"/>
      <c r="B61" s="1"/>
      <c r="C61" s="1"/>
      <c r="D61" s="1"/>
      <c r="E61" s="1"/>
      <c r="F61" s="45"/>
      <c r="G61" s="46"/>
    </row>
  </sheetData>
  <mergeCells count="52">
    <mergeCell ref="A48:B48"/>
    <mergeCell ref="C48:J48"/>
    <mergeCell ref="A49:B49"/>
    <mergeCell ref="C49:J49"/>
    <mergeCell ref="A50:B50"/>
    <mergeCell ref="C50:J50"/>
    <mergeCell ref="A45:B45"/>
    <mergeCell ref="C45:J45"/>
    <mergeCell ref="A46:B46"/>
    <mergeCell ref="C46:J46"/>
    <mergeCell ref="A47:B47"/>
    <mergeCell ref="C47:J47"/>
    <mergeCell ref="A44:J44"/>
    <mergeCell ref="A38:B38"/>
    <mergeCell ref="C38:J38"/>
    <mergeCell ref="A39:B39"/>
    <mergeCell ref="C39:J39"/>
    <mergeCell ref="A40:B40"/>
    <mergeCell ref="C40:J40"/>
    <mergeCell ref="A41:B41"/>
    <mergeCell ref="C41:J41"/>
    <mergeCell ref="A42:B43"/>
    <mergeCell ref="C42:J42"/>
    <mergeCell ref="C43:J43"/>
    <mergeCell ref="A35:B35"/>
    <mergeCell ref="C35:J35"/>
    <mergeCell ref="A36:B36"/>
    <mergeCell ref="C36:J36"/>
    <mergeCell ref="A37:B37"/>
    <mergeCell ref="C37:J37"/>
    <mergeCell ref="A34:B34"/>
    <mergeCell ref="C34:J34"/>
    <mergeCell ref="A27:F27"/>
    <mergeCell ref="A28:J28"/>
    <mergeCell ref="A29:B29"/>
    <mergeCell ref="C29:J29"/>
    <mergeCell ref="A30:B30"/>
    <mergeCell ref="C30:J30"/>
    <mergeCell ref="A31:B31"/>
    <mergeCell ref="C31:J31"/>
    <mergeCell ref="A32:J32"/>
    <mergeCell ref="A33:B33"/>
    <mergeCell ref="C33:J33"/>
    <mergeCell ref="A8:A9"/>
    <mergeCell ref="F8:F9"/>
    <mergeCell ref="G8:H8"/>
    <mergeCell ref="I8:J8"/>
    <mergeCell ref="B1:J1"/>
    <mergeCell ref="B2:J2"/>
    <mergeCell ref="A3:J3"/>
    <mergeCell ref="A4:J4"/>
    <mergeCell ref="A7:B7"/>
  </mergeCells>
  <conditionalFormatting sqref="A1:A1048576">
    <cfRule type="duplicateValues" dxfId="1" priority="2"/>
  </conditionalFormatting>
  <conditionalFormatting sqref="E9">
    <cfRule type="cellIs" dxfId="0" priority="1" operator="equal">
      <formula>"Thiếu"</formula>
    </cfRule>
  </conditionalFormatting>
  <pageMargins left="0.19652777777777777" right="3.888888888888889E-2" top="0.31" bottom="0.28000000000000003" header="0.16" footer="0.11999999999999998"/>
  <pageSetup paperSize="9" scale="95" firstPageNumber="4294963191" orientation="portrait" useFirstPageNumber="1"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34</vt:i4>
      </vt:variant>
    </vt:vector>
  </HeadingPairs>
  <TitlesOfParts>
    <vt:vector size="57" baseType="lpstr">
      <vt:lpstr>IBSHI đơn 5 (4)</vt:lpstr>
      <vt:lpstr>Máy hàn</vt:lpstr>
      <vt:lpstr>Sàn nhựa Đại Việt</vt:lpstr>
      <vt:lpstr>Vật tư đóng kiện Trân toàn</vt:lpstr>
      <vt:lpstr>Vật tư </vt:lpstr>
      <vt:lpstr>Vật tư sơn 090</vt:lpstr>
      <vt:lpstr>Vật tư Hùng Nguyên</vt:lpstr>
      <vt:lpstr>Vật tư Quang Thịnh Phát</vt:lpstr>
      <vt:lpstr>Vật tư đóng kiện Ngọc hiếu 090</vt:lpstr>
      <vt:lpstr>Vật tư đóng kiện Hoàng hà2</vt:lpstr>
      <vt:lpstr>Vật tư đóng kiện Hoàng hà 090</vt:lpstr>
      <vt:lpstr>DT04 (TM) 1 </vt:lpstr>
      <vt:lpstr>Vat lieu han -BRA090</vt:lpstr>
      <vt:lpstr>Vật tư sơn BRA090</vt:lpstr>
      <vt:lpstr>25-BRA-I-090</vt:lpstr>
      <vt:lpstr>Tổng hợp</vt:lpstr>
      <vt:lpstr>ChiTiet Dự Toán</vt:lpstr>
      <vt:lpstr>TongHop</vt:lpstr>
      <vt:lpstr>DT03 (TM)</vt:lpstr>
      <vt:lpstr>Vật tư đóng kiện của Hoàng Hà</vt:lpstr>
      <vt:lpstr>Hoàng hà</vt:lpstr>
      <vt:lpstr>BG Gnee 2</vt:lpstr>
      <vt:lpstr>Báo giá của GNEE</vt:lpstr>
      <vt:lpstr>'ChiTiet Dự Toán'!Print_Area</vt:lpstr>
      <vt:lpstr>'DT03 (TM)'!Print_Area</vt:lpstr>
      <vt:lpstr>'DT04 (TM) 1 '!Print_Area</vt:lpstr>
      <vt:lpstr>'IBSHI đơn 5 (4)'!Print_Area</vt:lpstr>
      <vt:lpstr>'Máy hàn'!Print_Area</vt:lpstr>
      <vt:lpstr>'Sàn nhựa Đại Việt'!Print_Area</vt:lpstr>
      <vt:lpstr>TongHop!Print_Area</vt:lpstr>
      <vt:lpstr>'Vật tư '!Print_Area</vt:lpstr>
      <vt:lpstr>'Vật tư đóng kiện của Hoàng Hà'!Print_Area</vt:lpstr>
      <vt:lpstr>'Vật tư đóng kiện Hoàng hà 090'!Print_Area</vt:lpstr>
      <vt:lpstr>'Vật tư đóng kiện Hoàng hà2'!Print_Area</vt:lpstr>
      <vt:lpstr>'Vật tư đóng kiện Ngọc hiếu 090'!Print_Area</vt:lpstr>
      <vt:lpstr>'Vật tư đóng kiện Trân toàn'!Print_Area</vt:lpstr>
      <vt:lpstr>'Vật tư Hùng Nguyên'!Print_Area</vt:lpstr>
      <vt:lpstr>'Vật tư Quang Thịnh Phát'!Print_Area</vt:lpstr>
      <vt:lpstr>'Vật tư sơn 090'!Print_Area</vt:lpstr>
      <vt:lpstr>'25-BRA-I-090'!Print_Titles</vt:lpstr>
      <vt:lpstr>'ChiTiet Dự Toán'!Print_Titles</vt:lpstr>
      <vt:lpstr>'DT03 (TM)'!Print_Titles</vt:lpstr>
      <vt:lpstr>'DT04 (TM) 1 '!Print_Titles</vt:lpstr>
      <vt:lpstr>'Máy hàn'!Print_Titles</vt:lpstr>
      <vt:lpstr>'Sàn nhựa Đại Việt'!Print_Titles</vt:lpstr>
      <vt:lpstr>TongHop!Print_Titles</vt:lpstr>
      <vt:lpstr>'Vat lieu han -BRA090'!Print_Titles</vt:lpstr>
      <vt:lpstr>'Vật tư '!Print_Titles</vt:lpstr>
      <vt:lpstr>'Vật tư đóng kiện của Hoàng Hà'!Print_Titles</vt:lpstr>
      <vt:lpstr>'Vật tư đóng kiện Hoàng hà 090'!Print_Titles</vt:lpstr>
      <vt:lpstr>'Vật tư đóng kiện Hoàng hà2'!Print_Titles</vt:lpstr>
      <vt:lpstr>'Vật tư đóng kiện Ngọc hiếu 090'!Print_Titles</vt:lpstr>
      <vt:lpstr>'Vật tư đóng kiện Trân toàn'!Print_Titles</vt:lpstr>
      <vt:lpstr>'Vật tư Hùng Nguyên'!Print_Titles</vt:lpstr>
      <vt:lpstr>'Vật tư Quang Thịnh Phát'!Print_Titles</vt:lpstr>
      <vt:lpstr>'Vật tư sơn 090'!Print_Titles</vt:lpstr>
      <vt:lpstr>'Vật tư sơn BRA090'!Print_Titles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VAN DUC</dc:creator>
  <cp:lastModifiedBy>Chu Đức</cp:lastModifiedBy>
  <cp:lastPrinted>2026-01-06T09:46:17Z</cp:lastPrinted>
  <dcterms:created xsi:type="dcterms:W3CDTF">2024-04-07T12:42:39Z</dcterms:created>
  <dcterms:modified xsi:type="dcterms:W3CDTF">2026-03-05T06:53:41Z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ies>
</file>